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7FE2382-4BF2-4BA9-9B3C-BD08430C3653}" xr6:coauthVersionLast="47" xr6:coauthVersionMax="47" xr10:uidLastSave="{00000000-0000-0000-0000-000000000000}"/>
  <bookViews>
    <workbookView xWindow="-120" yWindow="-120" windowWidth="21840" windowHeight="13140" firstSheet="7" activeTab="7" xr2:uid="{00000000-000D-0000-FFFF-FFFF00000000}"/>
  </bookViews>
  <sheets>
    <sheet name="OLD Payback" sheetId="18" state="hidden" r:id="rId1"/>
    <sheet name="Payback" sheetId="21" state="hidden" r:id="rId2"/>
    <sheet name="P&amp;L" sheetId="7" r:id="rId3"/>
    <sheet name="BS" sheetId="8" r:id="rId4"/>
    <sheet name="CFS" sheetId="9" r:id="rId5"/>
    <sheet name="Sheet2" sheetId="11" state="hidden" r:id="rId6"/>
    <sheet name="Depreciation" sheetId="13" r:id="rId7"/>
    <sheet name="DCF Valuation (1)" sheetId="17" r:id="rId8"/>
    <sheet name="DCF Valuation (2)" sheetId="23" r:id="rId9"/>
    <sheet name="DCF Valuation (3)" sheetId="24" r:id="rId10"/>
    <sheet name="Sheet1" sheetId="22" r:id="rId11"/>
    <sheet name="Discount Rate" sheetId="16" r:id="rId12"/>
    <sheet name="Relative Valuation RK" sheetId="10" state="hidden" r:id="rId13"/>
  </sheets>
  <externalReferences>
    <externalReference r:id="rId14"/>
  </externalReferences>
  <calcPr calcId="181029"/>
</workbook>
</file>

<file path=xl/calcChain.xml><?xml version="1.0" encoding="utf-8"?>
<calcChain xmlns="http://schemas.openxmlformats.org/spreadsheetml/2006/main">
  <c r="I38" i="17" l="1"/>
  <c r="G8" i="16"/>
  <c r="G9" i="16" s="1"/>
  <c r="D20" i="22" l="1"/>
  <c r="E20" i="22" s="1"/>
  <c r="F20" i="22" s="1"/>
  <c r="G20" i="22" s="1"/>
  <c r="H20" i="22" s="1"/>
  <c r="I20" i="22" s="1"/>
  <c r="J20" i="22" s="1"/>
  <c r="K20" i="22" s="1"/>
  <c r="L20" i="22" s="1"/>
  <c r="M20" i="22" s="1"/>
  <c r="N20" i="22" s="1"/>
  <c r="O20" i="22" s="1"/>
  <c r="P20" i="22" s="1"/>
  <c r="Q20" i="22" s="1"/>
  <c r="R20" i="22" s="1"/>
  <c r="S20" i="22" s="1"/>
  <c r="T20" i="22" s="1"/>
  <c r="U20" i="22" s="1"/>
  <c r="V20" i="22" s="1"/>
  <c r="D12" i="22"/>
  <c r="E12" i="22" s="1"/>
  <c r="F12" i="22" s="1"/>
  <c r="G12" i="22" s="1"/>
  <c r="H12" i="22" s="1"/>
  <c r="I12" i="22" s="1"/>
  <c r="J12" i="22" s="1"/>
  <c r="K12" i="22" s="1"/>
  <c r="L12" i="22" s="1"/>
  <c r="M12" i="22" s="1"/>
  <c r="N12" i="22" s="1"/>
  <c r="O12" i="22" s="1"/>
  <c r="P12" i="22" s="1"/>
  <c r="Q12" i="22" s="1"/>
  <c r="R12" i="22" s="1"/>
  <c r="S12" i="22" s="1"/>
  <c r="T12" i="22" s="1"/>
  <c r="U12" i="22" s="1"/>
  <c r="V12" i="22" s="1"/>
  <c r="F43" i="24"/>
  <c r="G43" i="24" s="1"/>
  <c r="I29" i="24"/>
  <c r="J29" i="24" s="1"/>
  <c r="K29" i="24" s="1"/>
  <c r="L29" i="24" s="1"/>
  <c r="M29" i="24" s="1"/>
  <c r="N29" i="24" s="1"/>
  <c r="O29" i="24" s="1"/>
  <c r="P29" i="24" s="1"/>
  <c r="L24" i="24"/>
  <c r="U19" i="24"/>
  <c r="U20" i="24" s="1"/>
  <c r="M19" i="24"/>
  <c r="M20" i="24" s="1"/>
  <c r="A19" i="24"/>
  <c r="AB19" i="24" s="1"/>
  <c r="AB20" i="24" s="1"/>
  <c r="H17" i="24"/>
  <c r="G17" i="24"/>
  <c r="F17" i="24"/>
  <c r="E17" i="24"/>
  <c r="I14" i="24"/>
  <c r="H14" i="24"/>
  <c r="G14" i="24"/>
  <c r="F14" i="24"/>
  <c r="E14" i="24"/>
  <c r="I13" i="24"/>
  <c r="H13" i="24"/>
  <c r="G13" i="24"/>
  <c r="F13" i="24"/>
  <c r="E13" i="24"/>
  <c r="I12" i="24"/>
  <c r="H12" i="24"/>
  <c r="H15" i="24" s="1"/>
  <c r="G12" i="24"/>
  <c r="G15" i="24" s="1"/>
  <c r="F12" i="24"/>
  <c r="E12" i="24"/>
  <c r="I9" i="24"/>
  <c r="H9" i="24"/>
  <c r="G9" i="24"/>
  <c r="F9" i="24"/>
  <c r="E9" i="24"/>
  <c r="E44" i="24" s="1"/>
  <c r="I8" i="24"/>
  <c r="H8" i="24"/>
  <c r="G8" i="24"/>
  <c r="G10" i="24" s="1"/>
  <c r="F8" i="24"/>
  <c r="F10" i="24" s="1"/>
  <c r="E8" i="24"/>
  <c r="F6" i="24"/>
  <c r="G6" i="24" s="1"/>
  <c r="H6" i="24" s="1"/>
  <c r="I6" i="24" s="1"/>
  <c r="J6" i="24" s="1"/>
  <c r="K6" i="24" s="1"/>
  <c r="L6" i="24" s="1"/>
  <c r="M6" i="24" s="1"/>
  <c r="N6" i="24" s="1"/>
  <c r="O6" i="24" s="1"/>
  <c r="P6" i="24" s="1"/>
  <c r="Q6" i="24" s="1"/>
  <c r="R6" i="24" s="1"/>
  <c r="S6" i="24" s="1"/>
  <c r="T6" i="24" s="1"/>
  <c r="U6" i="24" s="1"/>
  <c r="V6" i="24" s="1"/>
  <c r="W6" i="24" s="1"/>
  <c r="X6" i="24" s="1"/>
  <c r="Y6" i="24" s="1"/>
  <c r="Z6" i="24" s="1"/>
  <c r="AA6" i="24" s="1"/>
  <c r="AB6" i="24" s="1"/>
  <c r="F43" i="23"/>
  <c r="G43" i="23" s="1"/>
  <c r="I29" i="23"/>
  <c r="L24" i="23"/>
  <c r="A19" i="23"/>
  <c r="W19" i="23" s="1"/>
  <c r="W20" i="23" s="1"/>
  <c r="H17" i="23"/>
  <c r="G17" i="23"/>
  <c r="F17" i="23"/>
  <c r="E17" i="23"/>
  <c r="I14" i="23"/>
  <c r="H14" i="23"/>
  <c r="G14" i="23"/>
  <c r="F14" i="23"/>
  <c r="E14" i="23"/>
  <c r="I13" i="23"/>
  <c r="I15" i="23" s="1"/>
  <c r="H13" i="23"/>
  <c r="G13" i="23"/>
  <c r="F13" i="23"/>
  <c r="F46" i="23" s="1"/>
  <c r="E13" i="23"/>
  <c r="E46" i="23" s="1"/>
  <c r="I12" i="23"/>
  <c r="H12" i="23"/>
  <c r="H15" i="23" s="1"/>
  <c r="G12" i="23"/>
  <c r="F12" i="23"/>
  <c r="E12" i="23"/>
  <c r="I9" i="23"/>
  <c r="H9" i="23"/>
  <c r="H44" i="23" s="1"/>
  <c r="G9" i="23"/>
  <c r="F9" i="23"/>
  <c r="E9" i="23"/>
  <c r="I8" i="23"/>
  <c r="H8" i="23"/>
  <c r="G8" i="23"/>
  <c r="G10" i="23" s="1"/>
  <c r="F8" i="23"/>
  <c r="F10" i="23" s="1"/>
  <c r="E8" i="23"/>
  <c r="G6" i="23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F6" i="23"/>
  <c r="G16" i="24" l="1"/>
  <c r="G18" i="24" s="1"/>
  <c r="H10" i="23"/>
  <c r="H16" i="23" s="1"/>
  <c r="H18" i="23" s="1"/>
  <c r="G46" i="24"/>
  <c r="V19" i="24"/>
  <c r="V20" i="24" s="1"/>
  <c r="I10" i="23"/>
  <c r="I16" i="23" s="1"/>
  <c r="H10" i="24"/>
  <c r="H16" i="24" s="1"/>
  <c r="H18" i="24" s="1"/>
  <c r="I15" i="24"/>
  <c r="I19" i="24"/>
  <c r="I20" i="24" s="1"/>
  <c r="Q19" i="24"/>
  <c r="Q20" i="24" s="1"/>
  <c r="Y19" i="24"/>
  <c r="Y20" i="24" s="1"/>
  <c r="N19" i="24"/>
  <c r="N20" i="24" s="1"/>
  <c r="E10" i="23"/>
  <c r="E16" i="23" s="1"/>
  <c r="E18" i="23" s="1"/>
  <c r="E15" i="23"/>
  <c r="E10" i="24"/>
  <c r="I10" i="24"/>
  <c r="I16" i="24" s="1"/>
  <c r="J19" i="24"/>
  <c r="J20" i="24" s="1"/>
  <c r="R19" i="24"/>
  <c r="R20" i="24" s="1"/>
  <c r="Z19" i="24"/>
  <c r="Z20" i="24" s="1"/>
  <c r="E15" i="24"/>
  <c r="E16" i="24" s="1"/>
  <c r="E18" i="24" s="1"/>
  <c r="E45" i="24"/>
  <c r="Q29" i="24"/>
  <c r="R29" i="24" s="1"/>
  <c r="S29" i="24" s="1"/>
  <c r="T29" i="24" s="1"/>
  <c r="U29" i="24" s="1"/>
  <c r="V29" i="24" s="1"/>
  <c r="W29" i="24" s="1"/>
  <c r="E46" i="24"/>
  <c r="F44" i="24"/>
  <c r="I44" i="24" s="1"/>
  <c r="G44" i="24"/>
  <c r="G45" i="24"/>
  <c r="F45" i="24"/>
  <c r="F46" i="24"/>
  <c r="H44" i="24"/>
  <c r="F15" i="24"/>
  <c r="F16" i="24" s="1"/>
  <c r="F18" i="24" s="1"/>
  <c r="K19" i="24"/>
  <c r="K20" i="24" s="1"/>
  <c r="O19" i="24"/>
  <c r="O20" i="24" s="1"/>
  <c r="S19" i="24"/>
  <c r="S20" i="24" s="1"/>
  <c r="W19" i="24"/>
  <c r="W20" i="24" s="1"/>
  <c r="AA19" i="24"/>
  <c r="AA20" i="24" s="1"/>
  <c r="L19" i="24"/>
  <c r="L20" i="24" s="1"/>
  <c r="P19" i="24"/>
  <c r="P20" i="24" s="1"/>
  <c r="T19" i="24"/>
  <c r="T20" i="24" s="1"/>
  <c r="X19" i="24"/>
  <c r="X20" i="24" s="1"/>
  <c r="Z19" i="23"/>
  <c r="Z20" i="23" s="1"/>
  <c r="V19" i="23"/>
  <c r="V20" i="23" s="1"/>
  <c r="R19" i="23"/>
  <c r="R20" i="23" s="1"/>
  <c r="N19" i="23"/>
  <c r="N20" i="23" s="1"/>
  <c r="J19" i="23"/>
  <c r="J20" i="23" s="1"/>
  <c r="Y19" i="23"/>
  <c r="Y20" i="23" s="1"/>
  <c r="U19" i="23"/>
  <c r="U20" i="23" s="1"/>
  <c r="Q19" i="23"/>
  <c r="Q20" i="23" s="1"/>
  <c r="M19" i="23"/>
  <c r="M20" i="23" s="1"/>
  <c r="I19" i="23"/>
  <c r="I20" i="23" s="1"/>
  <c r="AB19" i="23"/>
  <c r="AB20" i="23" s="1"/>
  <c r="T19" i="23"/>
  <c r="T20" i="23" s="1"/>
  <c r="L19" i="23"/>
  <c r="L20" i="23" s="1"/>
  <c r="AA19" i="23"/>
  <c r="AA20" i="23" s="1"/>
  <c r="S19" i="23"/>
  <c r="S20" i="23" s="1"/>
  <c r="K19" i="23"/>
  <c r="K20" i="23" s="1"/>
  <c r="X19" i="23"/>
  <c r="X20" i="23" s="1"/>
  <c r="F15" i="23"/>
  <c r="G46" i="23"/>
  <c r="O19" i="23"/>
  <c r="O20" i="23" s="1"/>
  <c r="G44" i="23"/>
  <c r="F16" i="23"/>
  <c r="F18" i="23" s="1"/>
  <c r="F44" i="23"/>
  <c r="I44" i="23" s="1"/>
  <c r="G15" i="23"/>
  <c r="G16" i="23" s="1"/>
  <c r="G18" i="23" s="1"/>
  <c r="G45" i="23"/>
  <c r="P19" i="23"/>
  <c r="P20" i="23" s="1"/>
  <c r="F45" i="23"/>
  <c r="J29" i="23"/>
  <c r="E44" i="23"/>
  <c r="E45" i="23"/>
  <c r="X29" i="24" l="1"/>
  <c r="K29" i="23"/>
  <c r="D4" i="22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P4" i="22" s="1"/>
  <c r="Q4" i="22" s="1"/>
  <c r="R4" i="22" s="1"/>
  <c r="S4" i="22" s="1"/>
  <c r="T4" i="22" s="1"/>
  <c r="U4" i="22" s="1"/>
  <c r="V4" i="22" s="1"/>
  <c r="I12" i="17"/>
  <c r="R16" i="7"/>
  <c r="R18" i="7" s="1"/>
  <c r="R19" i="7" s="1"/>
  <c r="Q10" i="7"/>
  <c r="R10" i="7"/>
  <c r="R11" i="7"/>
  <c r="R12" i="7"/>
  <c r="R13" i="7"/>
  <c r="I29" i="17"/>
  <c r="O19" i="17"/>
  <c r="O20" i="17" s="1"/>
  <c r="S19" i="17"/>
  <c r="S20" i="17" s="1"/>
  <c r="W19" i="17"/>
  <c r="W20" i="17" s="1"/>
  <c r="AA19" i="17"/>
  <c r="AA20" i="17" s="1"/>
  <c r="I14" i="17"/>
  <c r="I13" i="17"/>
  <c r="I9" i="17"/>
  <c r="I8" i="17"/>
  <c r="C8" i="22" s="1"/>
  <c r="K19" i="17"/>
  <c r="A19" i="17"/>
  <c r="P19" i="17" s="1"/>
  <c r="P20" i="17" s="1"/>
  <c r="E17" i="17"/>
  <c r="F17" i="17"/>
  <c r="G17" i="17"/>
  <c r="H17" i="17"/>
  <c r="E13" i="17"/>
  <c r="F13" i="17"/>
  <c r="G13" i="17"/>
  <c r="H13" i="17"/>
  <c r="E14" i="17"/>
  <c r="F14" i="17"/>
  <c r="G14" i="17"/>
  <c r="H14" i="17"/>
  <c r="E12" i="17"/>
  <c r="F12" i="17"/>
  <c r="G12" i="17"/>
  <c r="H12" i="17"/>
  <c r="E9" i="17"/>
  <c r="F9" i="17"/>
  <c r="G9" i="17"/>
  <c r="H9" i="17"/>
  <c r="E8" i="17"/>
  <c r="F8" i="17"/>
  <c r="G8" i="17"/>
  <c r="H8" i="17"/>
  <c r="Q15" i="7"/>
  <c r="Q16" i="7"/>
  <c r="Q18" i="7" s="1"/>
  <c r="Q19" i="7" s="1"/>
  <c r="E13" i="13"/>
  <c r="E14" i="13"/>
  <c r="E12" i="13"/>
  <c r="P20" i="8"/>
  <c r="Q21" i="8"/>
  <c r="Q20" i="8"/>
  <c r="C7" i="13" s="1"/>
  <c r="P11" i="8"/>
  <c r="I60" i="8"/>
  <c r="H60" i="8"/>
  <c r="G60" i="8"/>
  <c r="F60" i="8"/>
  <c r="I47" i="8"/>
  <c r="H47" i="8"/>
  <c r="G47" i="8"/>
  <c r="F47" i="8"/>
  <c r="I41" i="8"/>
  <c r="H41" i="8"/>
  <c r="G41" i="8"/>
  <c r="F41" i="8"/>
  <c r="I33" i="8"/>
  <c r="H33" i="8"/>
  <c r="G28" i="8"/>
  <c r="G33" i="8" s="1"/>
  <c r="F28" i="8"/>
  <c r="F33" i="8" s="1"/>
  <c r="I21" i="8"/>
  <c r="H21" i="8"/>
  <c r="G21" i="8"/>
  <c r="F21" i="8"/>
  <c r="C24" i="22" l="1"/>
  <c r="C21" i="22"/>
  <c r="D21" i="22" s="1"/>
  <c r="C14" i="22"/>
  <c r="D14" i="22" s="1"/>
  <c r="E14" i="22" s="1"/>
  <c r="F14" i="22" s="1"/>
  <c r="G14" i="22" s="1"/>
  <c r="H14" i="22" s="1"/>
  <c r="I14" i="22" s="1"/>
  <c r="J14" i="22" s="1"/>
  <c r="K14" i="22" s="1"/>
  <c r="L14" i="22" s="1"/>
  <c r="M14" i="22" s="1"/>
  <c r="N14" i="22" s="1"/>
  <c r="O14" i="22" s="1"/>
  <c r="P14" i="22" s="1"/>
  <c r="Q14" i="22" s="1"/>
  <c r="R14" i="22" s="1"/>
  <c r="C13" i="22"/>
  <c r="D13" i="22" s="1"/>
  <c r="C16" i="22"/>
  <c r="C15" i="22"/>
  <c r="D15" i="22" s="1"/>
  <c r="E15" i="22" s="1"/>
  <c r="F15" i="22" s="1"/>
  <c r="G15" i="22" s="1"/>
  <c r="H15" i="22" s="1"/>
  <c r="I15" i="22" s="1"/>
  <c r="J15" i="22" s="1"/>
  <c r="K15" i="22" s="1"/>
  <c r="L15" i="22" s="1"/>
  <c r="M15" i="22" s="1"/>
  <c r="N15" i="22" s="1"/>
  <c r="O15" i="22" s="1"/>
  <c r="P15" i="22" s="1"/>
  <c r="Q15" i="22" s="1"/>
  <c r="R15" i="22" s="1"/>
  <c r="S15" i="22" s="1"/>
  <c r="C22" i="22"/>
  <c r="D22" i="22" s="1"/>
  <c r="E22" i="22" s="1"/>
  <c r="F22" i="22" s="1"/>
  <c r="G22" i="22" s="1"/>
  <c r="H22" i="22" s="1"/>
  <c r="I22" i="22" s="1"/>
  <c r="J22" i="22" s="1"/>
  <c r="K22" i="22" s="1"/>
  <c r="L22" i="22" s="1"/>
  <c r="M22" i="22" s="1"/>
  <c r="N22" i="22" s="1"/>
  <c r="O22" i="22" s="1"/>
  <c r="P22" i="22" s="1"/>
  <c r="Q22" i="22" s="1"/>
  <c r="R22" i="22" s="1"/>
  <c r="C23" i="22"/>
  <c r="D23" i="22" s="1"/>
  <c r="E23" i="22" s="1"/>
  <c r="F23" i="22" s="1"/>
  <c r="G23" i="22" s="1"/>
  <c r="H23" i="22" s="1"/>
  <c r="I23" i="22" s="1"/>
  <c r="J23" i="22" s="1"/>
  <c r="K23" i="22" s="1"/>
  <c r="L23" i="22" s="1"/>
  <c r="M23" i="22" s="1"/>
  <c r="N23" i="22" s="1"/>
  <c r="O23" i="22" s="1"/>
  <c r="P23" i="22" s="1"/>
  <c r="Q23" i="22" s="1"/>
  <c r="R23" i="22" s="1"/>
  <c r="S23" i="22" s="1"/>
  <c r="C5" i="22"/>
  <c r="D5" i="22" s="1"/>
  <c r="C7" i="22"/>
  <c r="D7" i="22" s="1"/>
  <c r="E7" i="22" s="1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Q7" i="22" s="1"/>
  <c r="R7" i="22" s="1"/>
  <c r="S7" i="22" s="1"/>
  <c r="C6" i="22"/>
  <c r="D6" i="22" s="1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G34" i="8"/>
  <c r="G63" i="8" s="1"/>
  <c r="G61" i="8"/>
  <c r="J19" i="17"/>
  <c r="Z19" i="17"/>
  <c r="Z20" i="17" s="1"/>
  <c r="V19" i="17"/>
  <c r="V20" i="17" s="1"/>
  <c r="R19" i="17"/>
  <c r="R20" i="17" s="1"/>
  <c r="N19" i="17"/>
  <c r="N20" i="17" s="1"/>
  <c r="M19" i="17"/>
  <c r="I19" i="17"/>
  <c r="Y19" i="17"/>
  <c r="Y20" i="17" s="1"/>
  <c r="U19" i="17"/>
  <c r="U20" i="17" s="1"/>
  <c r="Q19" i="17"/>
  <c r="Q20" i="17" s="1"/>
  <c r="L19" i="17"/>
  <c r="AB19" i="17"/>
  <c r="AB20" i="17" s="1"/>
  <c r="X19" i="17"/>
  <c r="X20" i="17" s="1"/>
  <c r="T19" i="17"/>
  <c r="T20" i="17" s="1"/>
  <c r="Y29" i="24"/>
  <c r="L29" i="23"/>
  <c r="F34" i="8"/>
  <c r="F63" i="8" s="1"/>
  <c r="F61" i="8"/>
  <c r="H34" i="8"/>
  <c r="H61" i="8"/>
  <c r="H63" i="8" s="1"/>
  <c r="I34" i="8"/>
  <c r="I63" i="8" s="1"/>
  <c r="I61" i="8"/>
  <c r="E13" i="22" l="1"/>
  <c r="D16" i="22"/>
  <c r="J8" i="24" s="1"/>
  <c r="E21" i="22"/>
  <c r="D24" i="22"/>
  <c r="J8" i="23" s="1"/>
  <c r="E5" i="22"/>
  <c r="D8" i="22"/>
  <c r="J8" i="17" s="1"/>
  <c r="Z29" i="24"/>
  <c r="M29" i="23"/>
  <c r="I34" i="7"/>
  <c r="H34" i="7"/>
  <c r="I28" i="7"/>
  <c r="H28" i="7"/>
  <c r="I23" i="7"/>
  <c r="H23" i="7"/>
  <c r="I14" i="7"/>
  <c r="H14" i="7"/>
  <c r="I9" i="7"/>
  <c r="I15" i="7" s="1"/>
  <c r="H9" i="7"/>
  <c r="J34" i="21"/>
  <c r="J35" i="21" s="1"/>
  <c r="J36" i="21" s="1"/>
  <c r="J37" i="21" s="1"/>
  <c r="J38" i="21" s="1"/>
  <c r="J39" i="21" s="1"/>
  <c r="J40" i="21" s="1"/>
  <c r="J41" i="21" s="1"/>
  <c r="J42" i="21" s="1"/>
  <c r="J43" i="21" s="1"/>
  <c r="J44" i="21" s="1"/>
  <c r="J45" i="21" s="1"/>
  <c r="M20" i="21"/>
  <c r="N20" i="21"/>
  <c r="O20" i="21"/>
  <c r="P20" i="21"/>
  <c r="Q20" i="21"/>
  <c r="R20" i="21"/>
  <c r="S20" i="21"/>
  <c r="T20" i="21"/>
  <c r="U20" i="21"/>
  <c r="N24" i="21"/>
  <c r="O24" i="21" s="1"/>
  <c r="P24" i="21" s="1"/>
  <c r="Q24" i="21" s="1"/>
  <c r="R24" i="21" s="1"/>
  <c r="S24" i="21" s="1"/>
  <c r="T24" i="21" s="1"/>
  <c r="U24" i="21" s="1"/>
  <c r="L24" i="21"/>
  <c r="AC20" i="21"/>
  <c r="L20" i="21"/>
  <c r="K20" i="21"/>
  <c r="J20" i="21"/>
  <c r="I20" i="21"/>
  <c r="H20" i="21"/>
  <c r="G15" i="21"/>
  <c r="F15" i="21"/>
  <c r="E15" i="21"/>
  <c r="D15" i="21"/>
  <c r="C15" i="21"/>
  <c r="H14" i="21"/>
  <c r="H13" i="21"/>
  <c r="AL12" i="21"/>
  <c r="H12" i="21"/>
  <c r="AL11" i="21"/>
  <c r="AK11" i="21"/>
  <c r="AJ11" i="21"/>
  <c r="AI11" i="21"/>
  <c r="AH11" i="21"/>
  <c r="AG11" i="21"/>
  <c r="AK10" i="21"/>
  <c r="AJ10" i="21"/>
  <c r="AI10" i="21"/>
  <c r="AH10" i="21"/>
  <c r="AG10" i="21"/>
  <c r="H9" i="21"/>
  <c r="G9" i="21"/>
  <c r="G10" i="21" s="1"/>
  <c r="F9" i="21"/>
  <c r="F10" i="21" s="1"/>
  <c r="E9" i="21"/>
  <c r="AI9" i="21" s="1"/>
  <c r="D9" i="21"/>
  <c r="AH9" i="21" s="1"/>
  <c r="C9" i="21"/>
  <c r="C10" i="21" s="1"/>
  <c r="AH8" i="21"/>
  <c r="AI8" i="21" s="1"/>
  <c r="AJ8" i="21" s="1"/>
  <c r="AK8" i="21" s="1"/>
  <c r="H8" i="21"/>
  <c r="H10" i="21" s="1"/>
  <c r="D6" i="21"/>
  <c r="E6" i="21" s="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D23" i="7"/>
  <c r="E23" i="7"/>
  <c r="F23" i="7"/>
  <c r="G23" i="7"/>
  <c r="C23" i="7"/>
  <c r="L24" i="17"/>
  <c r="M20" i="17"/>
  <c r="L40" i="8"/>
  <c r="M40" i="8"/>
  <c r="N40" i="8"/>
  <c r="O40" i="8"/>
  <c r="K40" i="8"/>
  <c r="C7" i="16"/>
  <c r="E44" i="17"/>
  <c r="F44" i="17"/>
  <c r="G44" i="17"/>
  <c r="H47" i="17"/>
  <c r="Q11" i="7"/>
  <c r="Q12" i="7"/>
  <c r="Q13" i="7"/>
  <c r="P10" i="7"/>
  <c r="C4" i="13"/>
  <c r="O11" i="8"/>
  <c r="AC16" i="18"/>
  <c r="AC21" i="18" s="1"/>
  <c r="AD16" i="18"/>
  <c r="AD21" i="18" s="1"/>
  <c r="AE16" i="18"/>
  <c r="AF16" i="18"/>
  <c r="AG16" i="18"/>
  <c r="AG21" i="18" s="1"/>
  <c r="AH16" i="18"/>
  <c r="AH21" i="18" s="1"/>
  <c r="AI16" i="18"/>
  <c r="AJ16" i="18"/>
  <c r="AK16" i="18"/>
  <c r="AK21" i="18" s="1"/>
  <c r="AL16" i="18"/>
  <c r="AL21" i="18" s="1"/>
  <c r="AM16" i="18"/>
  <c r="AN16" i="18"/>
  <c r="AO16" i="18"/>
  <c r="AO21" i="18" s="1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E21" i="18"/>
  <c r="AF21" i="18"/>
  <c r="AI21" i="18"/>
  <c r="AJ21" i="18"/>
  <c r="AM21" i="18"/>
  <c r="AN21" i="18"/>
  <c r="N23" i="18"/>
  <c r="O23" i="18" s="1"/>
  <c r="P23" i="18" s="1"/>
  <c r="Q23" i="18" s="1"/>
  <c r="R23" i="18" s="1"/>
  <c r="S23" i="18" s="1"/>
  <c r="T23" i="18" s="1"/>
  <c r="U23" i="18" s="1"/>
  <c r="V23" i="18" s="1"/>
  <c r="W23" i="18" s="1"/>
  <c r="X23" i="18" s="1"/>
  <c r="Y23" i="18" s="1"/>
  <c r="Z23" i="18" s="1"/>
  <c r="AA23" i="18" s="1"/>
  <c r="AB23" i="18" s="1"/>
  <c r="AC23" i="18" s="1"/>
  <c r="AD23" i="18" s="1"/>
  <c r="AE23" i="18" s="1"/>
  <c r="AF23" i="18" s="1"/>
  <c r="AG23" i="18" s="1"/>
  <c r="AH23" i="18" s="1"/>
  <c r="AI23" i="18" s="1"/>
  <c r="AJ23" i="18" s="1"/>
  <c r="AK23" i="18" s="1"/>
  <c r="AL23" i="18" s="1"/>
  <c r="AM23" i="18" s="1"/>
  <c r="AN23" i="18" s="1"/>
  <c r="AO23" i="18" s="1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H28" i="18"/>
  <c r="I28" i="18" s="1"/>
  <c r="J28" i="18" s="1"/>
  <c r="K28" i="18" s="1"/>
  <c r="L28" i="18" s="1"/>
  <c r="M28" i="18" s="1"/>
  <c r="N28" i="18" s="1"/>
  <c r="L23" i="18"/>
  <c r="L19" i="18"/>
  <c r="K19" i="18"/>
  <c r="J19" i="18"/>
  <c r="I19" i="18"/>
  <c r="H19" i="18"/>
  <c r="G14" i="18"/>
  <c r="F14" i="18"/>
  <c r="E14" i="18"/>
  <c r="D14" i="18"/>
  <c r="C14" i="18"/>
  <c r="BW10" i="18"/>
  <c r="BV10" i="18"/>
  <c r="BU10" i="18"/>
  <c r="BT10" i="18"/>
  <c r="BS10" i="18"/>
  <c r="BW9" i="18"/>
  <c r="BV9" i="18"/>
  <c r="BU9" i="18"/>
  <c r="BT9" i="18"/>
  <c r="BS9" i="18"/>
  <c r="G9" i="18"/>
  <c r="F9" i="18"/>
  <c r="E9" i="18"/>
  <c r="D9" i="18"/>
  <c r="C9" i="18"/>
  <c r="C15" i="18" s="1"/>
  <c r="C17" i="18" s="1"/>
  <c r="BT8" i="18"/>
  <c r="BU8" i="18" s="1"/>
  <c r="BV8" i="18" s="1"/>
  <c r="BW8" i="18" s="1"/>
  <c r="H8" i="18"/>
  <c r="H9" i="18" s="1"/>
  <c r="D6" i="18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Z6" i="18" s="1"/>
  <c r="AA6" i="18" s="1"/>
  <c r="AB6" i="18" s="1"/>
  <c r="AC6" i="18" s="1"/>
  <c r="AD6" i="18" s="1"/>
  <c r="AE6" i="18" s="1"/>
  <c r="AF6" i="18" s="1"/>
  <c r="AG6" i="18" s="1"/>
  <c r="AH6" i="18" s="1"/>
  <c r="AI6" i="18" s="1"/>
  <c r="AJ6" i="18" s="1"/>
  <c r="AK6" i="18" s="1"/>
  <c r="AL6" i="18" s="1"/>
  <c r="AM6" i="18" s="1"/>
  <c r="AN6" i="18" s="1"/>
  <c r="AO6" i="18" s="1"/>
  <c r="E15" i="18" l="1"/>
  <c r="E17" i="18" s="1"/>
  <c r="F21" i="22"/>
  <c r="E24" i="22"/>
  <c r="K8" i="23" s="1"/>
  <c r="H46" i="17"/>
  <c r="H46" i="24"/>
  <c r="I46" i="24" s="1"/>
  <c r="H46" i="23"/>
  <c r="I46" i="23" s="1"/>
  <c r="J12" i="17"/>
  <c r="J14" i="17"/>
  <c r="J13" i="17"/>
  <c r="J12" i="24"/>
  <c r="J14" i="24"/>
  <c r="J13" i="24"/>
  <c r="J9" i="24"/>
  <c r="J10" i="24" s="1"/>
  <c r="J14" i="23"/>
  <c r="J13" i="23"/>
  <c r="J12" i="23"/>
  <c r="J9" i="23"/>
  <c r="J10" i="23" s="1"/>
  <c r="H47" i="23"/>
  <c r="H47" i="24"/>
  <c r="H45" i="17"/>
  <c r="H45" i="23"/>
  <c r="I45" i="23" s="1"/>
  <c r="H45" i="24"/>
  <c r="I45" i="24" s="1"/>
  <c r="H15" i="7"/>
  <c r="H31" i="7" s="1"/>
  <c r="Q14" i="7"/>
  <c r="F5" i="22"/>
  <c r="E8" i="22"/>
  <c r="K8" i="17" s="1"/>
  <c r="F13" i="22"/>
  <c r="E16" i="22"/>
  <c r="K8" i="24" s="1"/>
  <c r="I27" i="23"/>
  <c r="M30" i="23" s="1"/>
  <c r="I27" i="24"/>
  <c r="AA29" i="24"/>
  <c r="Z30" i="24"/>
  <c r="N29" i="23"/>
  <c r="I31" i="7"/>
  <c r="I17" i="7"/>
  <c r="H15" i="21"/>
  <c r="AL10" i="21"/>
  <c r="C16" i="21"/>
  <c r="C18" i="21" s="1"/>
  <c r="G16" i="21"/>
  <c r="G18" i="21" s="1"/>
  <c r="AL9" i="21"/>
  <c r="AG9" i="21"/>
  <c r="AM10" i="21"/>
  <c r="AM11" i="21"/>
  <c r="F16" i="21"/>
  <c r="F18" i="21" s="1"/>
  <c r="AK9" i="21"/>
  <c r="H16" i="21"/>
  <c r="I8" i="21"/>
  <c r="AJ9" i="21"/>
  <c r="D10" i="21"/>
  <c r="D16" i="21" s="1"/>
  <c r="D18" i="21" s="1"/>
  <c r="E10" i="21"/>
  <c r="E16" i="21" s="1"/>
  <c r="E18" i="21" s="1"/>
  <c r="Q22" i="8"/>
  <c r="P18" i="8"/>
  <c r="H17" i="21"/>
  <c r="H22" i="21" s="1"/>
  <c r="H44" i="17"/>
  <c r="I44" i="17" s="1"/>
  <c r="G10" i="17"/>
  <c r="F10" i="17"/>
  <c r="E10" i="17"/>
  <c r="O28" i="18"/>
  <c r="BX9" i="18"/>
  <c r="H11" i="18" s="1"/>
  <c r="BX10" i="18"/>
  <c r="H12" i="18" s="1"/>
  <c r="G10" i="18"/>
  <c r="F10" i="18"/>
  <c r="I8" i="18"/>
  <c r="J8" i="18" s="1"/>
  <c r="K8" i="18" s="1"/>
  <c r="D15" i="18"/>
  <c r="D17" i="18" s="1"/>
  <c r="D10" i="18"/>
  <c r="F15" i="18"/>
  <c r="F17" i="18" s="1"/>
  <c r="E10" i="18"/>
  <c r="G15" i="18"/>
  <c r="G17" i="18" s="1"/>
  <c r="J29" i="17"/>
  <c r="K29" i="17" s="1"/>
  <c r="L29" i="17" s="1"/>
  <c r="M29" i="17" s="1"/>
  <c r="N29" i="17" s="1"/>
  <c r="O29" i="17" s="1"/>
  <c r="P29" i="17" s="1"/>
  <c r="Q29" i="17" s="1"/>
  <c r="R29" i="17" s="1"/>
  <c r="S29" i="17" s="1"/>
  <c r="T29" i="17" s="1"/>
  <c r="U29" i="17" s="1"/>
  <c r="V29" i="17" s="1"/>
  <c r="W29" i="17" s="1"/>
  <c r="X29" i="17" s="1"/>
  <c r="Y29" i="17" s="1"/>
  <c r="Z29" i="17" s="1"/>
  <c r="AA29" i="17" s="1"/>
  <c r="AB29" i="17" s="1"/>
  <c r="L20" i="17"/>
  <c r="K20" i="17"/>
  <c r="J20" i="17"/>
  <c r="I20" i="17"/>
  <c r="G15" i="17"/>
  <c r="F15" i="17"/>
  <c r="E15" i="17"/>
  <c r="G46" i="17"/>
  <c r="F46" i="17"/>
  <c r="I46" i="17" s="1"/>
  <c r="E46" i="17"/>
  <c r="G45" i="17"/>
  <c r="F45" i="17"/>
  <c r="I45" i="17" s="1"/>
  <c r="E45" i="17"/>
  <c r="F43" i="17"/>
  <c r="G43" i="17" s="1"/>
  <c r="F6" i="17"/>
  <c r="G6" i="17" s="1"/>
  <c r="H6" i="17" s="1"/>
  <c r="G13" i="22" l="1"/>
  <c r="F16" i="22"/>
  <c r="L8" i="24" s="1"/>
  <c r="H17" i="7"/>
  <c r="J15" i="24"/>
  <c r="J16" i="24" s="1"/>
  <c r="K12" i="23"/>
  <c r="K13" i="23"/>
  <c r="K9" i="23"/>
  <c r="K10" i="23" s="1"/>
  <c r="K14" i="23"/>
  <c r="I6" i="17"/>
  <c r="J6" i="17" s="1"/>
  <c r="K6" i="17" s="1"/>
  <c r="L6" i="17" s="1"/>
  <c r="M6" i="17" s="1"/>
  <c r="N6" i="17" s="1"/>
  <c r="O6" i="17" s="1"/>
  <c r="P6" i="17" s="1"/>
  <c r="Q6" i="17" s="1"/>
  <c r="R6" i="17" s="1"/>
  <c r="S6" i="17" s="1"/>
  <c r="T6" i="17" s="1"/>
  <c r="U6" i="17" s="1"/>
  <c r="V6" i="17" s="1"/>
  <c r="W6" i="17" s="1"/>
  <c r="X6" i="17" s="1"/>
  <c r="Y6" i="17" s="1"/>
  <c r="Z6" i="17" s="1"/>
  <c r="AA6" i="17" s="1"/>
  <c r="AB6" i="17" s="1"/>
  <c r="G5" i="22"/>
  <c r="F8" i="22"/>
  <c r="L8" i="17" s="1"/>
  <c r="G21" i="22"/>
  <c r="F24" i="22"/>
  <c r="L8" i="23" s="1"/>
  <c r="K14" i="24"/>
  <c r="K12" i="24"/>
  <c r="K13" i="24"/>
  <c r="K9" i="24"/>
  <c r="K10" i="24" s="1"/>
  <c r="J15" i="23"/>
  <c r="J16" i="23" s="1"/>
  <c r="V30" i="24"/>
  <c r="I30" i="24"/>
  <c r="L30" i="24"/>
  <c r="P30" i="24"/>
  <c r="M30" i="24"/>
  <c r="N30" i="24"/>
  <c r="K30" i="24"/>
  <c r="J30" i="24"/>
  <c r="O30" i="24"/>
  <c r="R30" i="24"/>
  <c r="Q30" i="24"/>
  <c r="U30" i="24"/>
  <c r="S30" i="24"/>
  <c r="W30" i="24"/>
  <c r="T30" i="24"/>
  <c r="X30" i="24"/>
  <c r="Y30" i="24"/>
  <c r="I30" i="23"/>
  <c r="J30" i="23"/>
  <c r="K30" i="23"/>
  <c r="L30" i="23"/>
  <c r="AB29" i="24"/>
  <c r="AB30" i="24" s="1"/>
  <c r="AA30" i="24"/>
  <c r="O29" i="23"/>
  <c r="N30" i="23"/>
  <c r="E16" i="17"/>
  <c r="E18" i="17" s="1"/>
  <c r="H18" i="21"/>
  <c r="H21" i="21" s="1"/>
  <c r="H25" i="21" s="1"/>
  <c r="H26" i="21" s="1"/>
  <c r="I32" i="7"/>
  <c r="I19" i="7"/>
  <c r="I24" i="7" s="1"/>
  <c r="H10" i="17"/>
  <c r="H32" i="7"/>
  <c r="H19" i="7"/>
  <c r="H24" i="7" s="1"/>
  <c r="AM9" i="21"/>
  <c r="I9" i="21" s="1"/>
  <c r="I10" i="21" s="1"/>
  <c r="I13" i="21"/>
  <c r="I12" i="21"/>
  <c r="J8" i="21"/>
  <c r="I10" i="17"/>
  <c r="G16" i="17"/>
  <c r="G18" i="17" s="1"/>
  <c r="P28" i="18"/>
  <c r="I9" i="18"/>
  <c r="I11" i="18" s="1"/>
  <c r="J9" i="18"/>
  <c r="K9" i="18"/>
  <c r="L8" i="18"/>
  <c r="M8" i="18" s="1"/>
  <c r="F16" i="17"/>
  <c r="F18" i="17" s="1"/>
  <c r="C16" i="16"/>
  <c r="C19" i="16" s="1"/>
  <c r="G55" i="11"/>
  <c r="H55" i="11"/>
  <c r="I55" i="11"/>
  <c r="H26" i="18"/>
  <c r="I12" i="18" l="1"/>
  <c r="K15" i="24"/>
  <c r="K16" i="24" s="1"/>
  <c r="K15" i="23"/>
  <c r="K16" i="23" s="1"/>
  <c r="L13" i="24"/>
  <c r="L14" i="24"/>
  <c r="L9" i="24"/>
  <c r="L10" i="24" s="1"/>
  <c r="L12" i="24"/>
  <c r="L15" i="24" s="1"/>
  <c r="L9" i="23"/>
  <c r="L10" i="23" s="1"/>
  <c r="L13" i="23"/>
  <c r="L12" i="23"/>
  <c r="L14" i="23"/>
  <c r="N8" i="18"/>
  <c r="M9" i="18"/>
  <c r="H21" i="22"/>
  <c r="G24" i="22"/>
  <c r="M8" i="23" s="1"/>
  <c r="H5" i="22"/>
  <c r="G8" i="22"/>
  <c r="M8" i="17" s="1"/>
  <c r="H13" i="22"/>
  <c r="G16" i="22"/>
  <c r="M8" i="24" s="1"/>
  <c r="P29" i="23"/>
  <c r="O30" i="23"/>
  <c r="H29" i="7"/>
  <c r="H33" i="7"/>
  <c r="I29" i="7"/>
  <c r="I33" i="7"/>
  <c r="J12" i="21"/>
  <c r="K8" i="21"/>
  <c r="J9" i="21"/>
  <c r="J10" i="21" s="1"/>
  <c r="J13" i="21"/>
  <c r="J9" i="17"/>
  <c r="J10" i="17" s="1"/>
  <c r="M29" i="18"/>
  <c r="J29" i="18"/>
  <c r="I29" i="18"/>
  <c r="H29" i="18"/>
  <c r="K29" i="18"/>
  <c r="L29" i="18"/>
  <c r="N29" i="18"/>
  <c r="O29" i="18"/>
  <c r="Q28" i="18"/>
  <c r="P29" i="18"/>
  <c r="J11" i="18"/>
  <c r="J12" i="18"/>
  <c r="L9" i="18"/>
  <c r="K12" i="18"/>
  <c r="K11" i="18"/>
  <c r="I27" i="17"/>
  <c r="M10" i="7"/>
  <c r="N10" i="7"/>
  <c r="O10" i="7"/>
  <c r="L10" i="7"/>
  <c r="L12" i="7"/>
  <c r="M12" i="7"/>
  <c r="N12" i="7"/>
  <c r="O12" i="7"/>
  <c r="P12" i="7"/>
  <c r="L13" i="7"/>
  <c r="M13" i="7"/>
  <c r="N13" i="7"/>
  <c r="O13" i="7"/>
  <c r="P13" i="7"/>
  <c r="M11" i="7"/>
  <c r="N11" i="7"/>
  <c r="O11" i="7"/>
  <c r="P11" i="7"/>
  <c r="L11" i="7"/>
  <c r="N15" i="7"/>
  <c r="O15" i="7"/>
  <c r="P15" i="7"/>
  <c r="M15" i="7"/>
  <c r="N18" i="7"/>
  <c r="N19" i="7" s="1"/>
  <c r="L18" i="7"/>
  <c r="L19" i="7" s="1"/>
  <c r="AG12" i="21" s="1"/>
  <c r="M16" i="7"/>
  <c r="M18" i="7" s="1"/>
  <c r="M19" i="7" s="1"/>
  <c r="AH12" i="21" s="1"/>
  <c r="N16" i="7"/>
  <c r="O16" i="7"/>
  <c r="O18" i="7" s="1"/>
  <c r="O19" i="7" s="1"/>
  <c r="P16" i="7"/>
  <c r="P18" i="7" s="1"/>
  <c r="P19" i="7" s="1"/>
  <c r="L16" i="7"/>
  <c r="M19" i="8"/>
  <c r="N19" i="8" s="1"/>
  <c r="O19" i="8" s="1"/>
  <c r="P19" i="8" s="1"/>
  <c r="Q19" i="8" s="1"/>
  <c r="M20" i="8"/>
  <c r="N20" i="8"/>
  <c r="O20" i="8"/>
  <c r="L20" i="8"/>
  <c r="D4" i="13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U4" i="13" s="1"/>
  <c r="V4" i="13" s="1"/>
  <c r="W4" i="13" s="1"/>
  <c r="G47" i="23" l="1"/>
  <c r="G47" i="24"/>
  <c r="AK12" i="21"/>
  <c r="I13" i="22"/>
  <c r="H16" i="22"/>
  <c r="N8" i="24" s="1"/>
  <c r="N9" i="18"/>
  <c r="O8" i="18"/>
  <c r="E47" i="24"/>
  <c r="E47" i="23"/>
  <c r="AI12" i="21"/>
  <c r="AM12" i="21" s="1"/>
  <c r="I5" i="22"/>
  <c r="H8" i="22"/>
  <c r="N8" i="17" s="1"/>
  <c r="L16" i="24"/>
  <c r="S11" i="7"/>
  <c r="M9" i="23"/>
  <c r="M10" i="23" s="1"/>
  <c r="M12" i="23"/>
  <c r="M13" i="23"/>
  <c r="M14" i="23"/>
  <c r="F47" i="24"/>
  <c r="F47" i="23"/>
  <c r="AJ12" i="21"/>
  <c r="M13" i="24"/>
  <c r="M12" i="24"/>
  <c r="M9" i="24"/>
  <c r="M10" i="24" s="1"/>
  <c r="M14" i="24"/>
  <c r="I21" i="22"/>
  <c r="H24" i="22"/>
  <c r="N8" i="23" s="1"/>
  <c r="M12" i="18"/>
  <c r="M11" i="18"/>
  <c r="L15" i="23"/>
  <c r="L16" i="23" s="1"/>
  <c r="Q29" i="23"/>
  <c r="P30" i="23"/>
  <c r="K13" i="17"/>
  <c r="K12" i="17"/>
  <c r="K14" i="17"/>
  <c r="L30" i="17"/>
  <c r="P30" i="17"/>
  <c r="T30" i="17"/>
  <c r="X30" i="17"/>
  <c r="AB30" i="17"/>
  <c r="M30" i="17"/>
  <c r="Q30" i="17"/>
  <c r="U30" i="17"/>
  <c r="Y30" i="17"/>
  <c r="J30" i="17"/>
  <c r="N30" i="17"/>
  <c r="R30" i="17"/>
  <c r="V30" i="17"/>
  <c r="Z30" i="17"/>
  <c r="O30" i="17"/>
  <c r="S30" i="17"/>
  <c r="K30" i="17"/>
  <c r="W30" i="17"/>
  <c r="AA30" i="17"/>
  <c r="L8" i="21"/>
  <c r="M8" i="21" s="1"/>
  <c r="K9" i="21"/>
  <c r="K10" i="21" s="1"/>
  <c r="K13" i="21"/>
  <c r="K12" i="21"/>
  <c r="K9" i="17"/>
  <c r="K10" i="17" s="1"/>
  <c r="BW11" i="18"/>
  <c r="G47" i="17"/>
  <c r="BV11" i="18"/>
  <c r="F47" i="17"/>
  <c r="I47" i="17" s="1"/>
  <c r="BS11" i="18"/>
  <c r="BT11" i="18"/>
  <c r="BU11" i="18"/>
  <c r="E47" i="17"/>
  <c r="Q29" i="18"/>
  <c r="R28" i="18"/>
  <c r="L12" i="18"/>
  <c r="L11" i="18"/>
  <c r="I30" i="17"/>
  <c r="M21" i="8"/>
  <c r="M22" i="8" s="1"/>
  <c r="N21" i="8"/>
  <c r="O21" i="8"/>
  <c r="O22" i="8" s="1"/>
  <c r="P21" i="8"/>
  <c r="P22" i="8" s="1"/>
  <c r="L21" i="8"/>
  <c r="I14" i="21" l="1"/>
  <c r="I15" i="21" s="1"/>
  <c r="I16" i="21" s="1"/>
  <c r="J14" i="21"/>
  <c r="J15" i="21" s="1"/>
  <c r="J16" i="21" s="1"/>
  <c r="N12" i="24"/>
  <c r="N15" i="24" s="1"/>
  <c r="N16" i="24" s="1"/>
  <c r="N14" i="24"/>
  <c r="N13" i="24"/>
  <c r="N9" i="24"/>
  <c r="N10" i="24" s="1"/>
  <c r="K14" i="21"/>
  <c r="I47" i="23"/>
  <c r="M15" i="23"/>
  <c r="M16" i="23" s="1"/>
  <c r="J13" i="22"/>
  <c r="I16" i="22"/>
  <c r="O8" i="24" s="1"/>
  <c r="J21" i="22"/>
  <c r="I24" i="22"/>
  <c r="O8" i="23" s="1"/>
  <c r="N11" i="18"/>
  <c r="N12" i="18"/>
  <c r="N14" i="23"/>
  <c r="N12" i="23"/>
  <c r="N15" i="23" s="1"/>
  <c r="N13" i="23"/>
  <c r="N9" i="23"/>
  <c r="N10" i="23" s="1"/>
  <c r="M15" i="24"/>
  <c r="M16" i="24" s="1"/>
  <c r="I47" i="24"/>
  <c r="J5" i="22"/>
  <c r="I8" i="22"/>
  <c r="O8" i="17" s="1"/>
  <c r="O9" i="18"/>
  <c r="P8" i="18"/>
  <c r="Q30" i="23"/>
  <c r="R29" i="23"/>
  <c r="L13" i="17"/>
  <c r="L12" i="17"/>
  <c r="L14" i="17"/>
  <c r="N8" i="21"/>
  <c r="M13" i="21"/>
  <c r="M12" i="21"/>
  <c r="M14" i="21"/>
  <c r="M9" i="21"/>
  <c r="M10" i="21" s="1"/>
  <c r="L9" i="21"/>
  <c r="L10" i="21" s="1"/>
  <c r="L13" i="21"/>
  <c r="L12" i="21"/>
  <c r="L14" i="21"/>
  <c r="AC8" i="21"/>
  <c r="K15" i="21"/>
  <c r="K16" i="21" s="1"/>
  <c r="M9" i="17"/>
  <c r="M10" i="17" s="1"/>
  <c r="L9" i="17"/>
  <c r="L10" i="17" s="1"/>
  <c r="BX11" i="18"/>
  <c r="M13" i="18" s="1"/>
  <c r="M14" i="18" s="1"/>
  <c r="M15" i="18" s="1"/>
  <c r="H13" i="18"/>
  <c r="H14" i="18" s="1"/>
  <c r="H15" i="18" s="1"/>
  <c r="I13" i="18"/>
  <c r="I14" i="18" s="1"/>
  <c r="I15" i="18" s="1"/>
  <c r="K13" i="18"/>
  <c r="K14" i="18" s="1"/>
  <c r="K15" i="18" s="1"/>
  <c r="O13" i="18"/>
  <c r="L13" i="18"/>
  <c r="L14" i="18" s="1"/>
  <c r="L15" i="18" s="1"/>
  <c r="S28" i="18"/>
  <c r="R29" i="18"/>
  <c r="N22" i="8"/>
  <c r="M23" i="8" s="1"/>
  <c r="K13" i="22" l="1"/>
  <c r="J16" i="22"/>
  <c r="P8" i="24" s="1"/>
  <c r="O12" i="18"/>
  <c r="O14" i="18" s="1"/>
  <c r="O15" i="18" s="1"/>
  <c r="O11" i="18"/>
  <c r="N16" i="23"/>
  <c r="K21" i="22"/>
  <c r="J24" i="22"/>
  <c r="P8" i="23" s="1"/>
  <c r="Q8" i="18"/>
  <c r="P9" i="18"/>
  <c r="O14" i="23"/>
  <c r="O9" i="23"/>
  <c r="O10" i="23" s="1"/>
  <c r="O13" i="23"/>
  <c r="O12" i="23"/>
  <c r="J13" i="18"/>
  <c r="J14" i="18" s="1"/>
  <c r="J15" i="18" s="1"/>
  <c r="N13" i="18"/>
  <c r="N14" i="18" s="1"/>
  <c r="N15" i="18" s="1"/>
  <c r="K5" i="22"/>
  <c r="J8" i="22"/>
  <c r="P8" i="17" s="1"/>
  <c r="O14" i="24"/>
  <c r="O13" i="24"/>
  <c r="O12" i="24"/>
  <c r="O9" i="24"/>
  <c r="O10" i="24" s="1"/>
  <c r="S29" i="23"/>
  <c r="R30" i="23"/>
  <c r="M12" i="17"/>
  <c r="M14" i="17"/>
  <c r="M13" i="17"/>
  <c r="M15" i="21"/>
  <c r="M16" i="21"/>
  <c r="O8" i="21"/>
  <c r="N9" i="21"/>
  <c r="N12" i="21"/>
  <c r="N14" i="21"/>
  <c r="N13" i="21"/>
  <c r="N10" i="21"/>
  <c r="AC13" i="21"/>
  <c r="AC12" i="21"/>
  <c r="AC15" i="21" s="1"/>
  <c r="AC14" i="21"/>
  <c r="AC9" i="21"/>
  <c r="AC10" i="21" s="1"/>
  <c r="L15" i="21"/>
  <c r="L16" i="21" s="1"/>
  <c r="I15" i="17"/>
  <c r="I16" i="17" s="1"/>
  <c r="J15" i="17"/>
  <c r="J16" i="17" s="1"/>
  <c r="K15" i="17"/>
  <c r="K16" i="17" s="1"/>
  <c r="H15" i="17"/>
  <c r="H16" i="17" s="1"/>
  <c r="H16" i="18"/>
  <c r="D5" i="13"/>
  <c r="D6" i="13" s="1"/>
  <c r="T28" i="18"/>
  <c r="S29" i="18"/>
  <c r="L32" i="18"/>
  <c r="P12" i="18" l="1"/>
  <c r="P11" i="18"/>
  <c r="P13" i="18"/>
  <c r="P14" i="18" s="1"/>
  <c r="P15" i="18" s="1"/>
  <c r="L21" i="22"/>
  <c r="K24" i="22"/>
  <c r="Q8" i="23" s="1"/>
  <c r="O15" i="23"/>
  <c r="O16" i="23" s="1"/>
  <c r="R8" i="18"/>
  <c r="Q9" i="18"/>
  <c r="P14" i="24"/>
  <c r="P13" i="24"/>
  <c r="P12" i="24"/>
  <c r="P15" i="24" s="1"/>
  <c r="P16" i="24" s="1"/>
  <c r="P9" i="24"/>
  <c r="P10" i="24" s="1"/>
  <c r="I17" i="21"/>
  <c r="I17" i="24"/>
  <c r="I17" i="23"/>
  <c r="O15" i="24"/>
  <c r="O16" i="24" s="1"/>
  <c r="L5" i="22"/>
  <c r="K8" i="22"/>
  <c r="Q8" i="17" s="1"/>
  <c r="P12" i="23"/>
  <c r="P15" i="23" s="1"/>
  <c r="P14" i="23"/>
  <c r="P9" i="23"/>
  <c r="P10" i="23" s="1"/>
  <c r="P13" i="23"/>
  <c r="L13" i="22"/>
  <c r="K16" i="22"/>
  <c r="Q8" i="24" s="1"/>
  <c r="T29" i="23"/>
  <c r="S30" i="23"/>
  <c r="M15" i="17"/>
  <c r="M16" i="17" s="1"/>
  <c r="N14" i="17"/>
  <c r="N12" i="17"/>
  <c r="N13" i="17"/>
  <c r="N9" i="17"/>
  <c r="N10" i="17" s="1"/>
  <c r="I22" i="21"/>
  <c r="I18" i="21"/>
  <c r="I21" i="21" s="1"/>
  <c r="I25" i="21" s="1"/>
  <c r="I26" i="21" s="1"/>
  <c r="N15" i="21"/>
  <c r="N16" i="21" s="1"/>
  <c r="O12" i="21"/>
  <c r="O14" i="21"/>
  <c r="O13" i="21"/>
  <c r="P8" i="21"/>
  <c r="O9" i="21"/>
  <c r="O10" i="21" s="1"/>
  <c r="AC16" i="21"/>
  <c r="I16" i="18"/>
  <c r="I17" i="17"/>
  <c r="H18" i="17"/>
  <c r="H21" i="18"/>
  <c r="H17" i="18"/>
  <c r="H20" i="18" s="1"/>
  <c r="U28" i="18"/>
  <c r="T29" i="18"/>
  <c r="L15" i="17"/>
  <c r="L16" i="17" s="1"/>
  <c r="D7" i="13"/>
  <c r="E5" i="13" s="1"/>
  <c r="E6" i="13" s="1"/>
  <c r="M13" i="22" l="1"/>
  <c r="L16" i="22"/>
  <c r="R8" i="24" s="1"/>
  <c r="M21" i="22"/>
  <c r="L24" i="22"/>
  <c r="R8" i="23" s="1"/>
  <c r="I22" i="24"/>
  <c r="I18" i="24"/>
  <c r="I21" i="24" s="1"/>
  <c r="I25" i="24" s="1"/>
  <c r="I26" i="24" s="1"/>
  <c r="I32" i="24" s="1"/>
  <c r="I34" i="24" s="1"/>
  <c r="J17" i="21"/>
  <c r="J17" i="24"/>
  <c r="J17" i="23"/>
  <c r="P16" i="23"/>
  <c r="M5" i="22"/>
  <c r="L8" i="22"/>
  <c r="R8" i="17" s="1"/>
  <c r="I22" i="23"/>
  <c r="I18" i="23"/>
  <c r="I21" i="23" s="1"/>
  <c r="I25" i="23" s="1"/>
  <c r="I26" i="23" s="1"/>
  <c r="I32" i="23" s="1"/>
  <c r="I34" i="23" s="1"/>
  <c r="S8" i="18"/>
  <c r="R9" i="18"/>
  <c r="Q9" i="24"/>
  <c r="Q10" i="24" s="1"/>
  <c r="Q14" i="24"/>
  <c r="Q12" i="24"/>
  <c r="Q13" i="24"/>
  <c r="Q11" i="18"/>
  <c r="Q14" i="18" s="1"/>
  <c r="Q15" i="18" s="1"/>
  <c r="Q12" i="18"/>
  <c r="Q13" i="18"/>
  <c r="Q13" i="23"/>
  <c r="Q14" i="23"/>
  <c r="Q9" i="23"/>
  <c r="Q10" i="23" s="1"/>
  <c r="Q12" i="23"/>
  <c r="U29" i="23"/>
  <c r="T30" i="23"/>
  <c r="N15" i="17"/>
  <c r="N16" i="17" s="1"/>
  <c r="O13" i="17"/>
  <c r="O12" i="17"/>
  <c r="O14" i="17"/>
  <c r="O9" i="17"/>
  <c r="O10" i="17" s="1"/>
  <c r="J22" i="21"/>
  <c r="J18" i="21"/>
  <c r="J21" i="21" s="1"/>
  <c r="J25" i="21" s="1"/>
  <c r="J26" i="21" s="1"/>
  <c r="O15" i="21"/>
  <c r="O16" i="21" s="1"/>
  <c r="Q8" i="21"/>
  <c r="P12" i="21"/>
  <c r="P9" i="21"/>
  <c r="P10" i="21" s="1"/>
  <c r="P14" i="21"/>
  <c r="P13" i="21"/>
  <c r="H24" i="18"/>
  <c r="H25" i="18" s="1"/>
  <c r="H31" i="18" s="1"/>
  <c r="H33" i="18" s="1"/>
  <c r="J16" i="18"/>
  <c r="J17" i="17"/>
  <c r="I22" i="17"/>
  <c r="I18" i="17"/>
  <c r="I21" i="17" s="1"/>
  <c r="I21" i="18"/>
  <c r="I17" i="18"/>
  <c r="I20" i="18" s="1"/>
  <c r="U29" i="18"/>
  <c r="V28" i="18"/>
  <c r="E7" i="13"/>
  <c r="F5" i="13" s="1"/>
  <c r="F6" i="13" s="1"/>
  <c r="K17" i="21" l="1"/>
  <c r="K22" i="21" s="1"/>
  <c r="K17" i="23"/>
  <c r="K17" i="24"/>
  <c r="Q15" i="23"/>
  <c r="Q16" i="23" s="1"/>
  <c r="R12" i="18"/>
  <c r="R11" i="18"/>
  <c r="R14" i="18" s="1"/>
  <c r="R15" i="18" s="1"/>
  <c r="R13" i="18"/>
  <c r="J22" i="24"/>
  <c r="J18" i="24"/>
  <c r="J21" i="24" s="1"/>
  <c r="J25" i="24" s="1"/>
  <c r="R14" i="24"/>
  <c r="R13" i="24"/>
  <c r="R12" i="24"/>
  <c r="R9" i="24"/>
  <c r="R10" i="24" s="1"/>
  <c r="N21" i="22"/>
  <c r="M24" i="22"/>
  <c r="S8" i="23" s="1"/>
  <c r="J22" i="23"/>
  <c r="J18" i="23"/>
  <c r="J21" i="23" s="1"/>
  <c r="J25" i="23" s="1"/>
  <c r="Q15" i="24"/>
  <c r="Q16" i="24" s="1"/>
  <c r="S9" i="18"/>
  <c r="T8" i="18"/>
  <c r="N5" i="22"/>
  <c r="M8" i="22"/>
  <c r="S8" i="17" s="1"/>
  <c r="R13" i="23"/>
  <c r="R14" i="23"/>
  <c r="R9" i="23"/>
  <c r="R10" i="23" s="1"/>
  <c r="R12" i="23"/>
  <c r="R15" i="23" s="1"/>
  <c r="R16" i="23" s="1"/>
  <c r="N13" i="22"/>
  <c r="M16" i="22"/>
  <c r="S8" i="24" s="1"/>
  <c r="U30" i="23"/>
  <c r="V29" i="23"/>
  <c r="P13" i="17"/>
  <c r="P12" i="17"/>
  <c r="P14" i="17"/>
  <c r="P9" i="17"/>
  <c r="P10" i="17" s="1"/>
  <c r="O15" i="17"/>
  <c r="O16" i="17" s="1"/>
  <c r="I25" i="17"/>
  <c r="I26" i="17" s="1"/>
  <c r="I32" i="17" s="1"/>
  <c r="K18" i="21"/>
  <c r="K21" i="21" s="1"/>
  <c r="Q9" i="21"/>
  <c r="Q10" i="21" s="1"/>
  <c r="Q14" i="21"/>
  <c r="Q13" i="21"/>
  <c r="Q12" i="21"/>
  <c r="R8" i="21"/>
  <c r="P15" i="21"/>
  <c r="P16" i="21" s="1"/>
  <c r="I24" i="18"/>
  <c r="J22" i="17"/>
  <c r="J18" i="17"/>
  <c r="J21" i="17" s="1"/>
  <c r="K16" i="18"/>
  <c r="K17" i="17"/>
  <c r="J21" i="18"/>
  <c r="J17" i="18"/>
  <c r="J20" i="18" s="1"/>
  <c r="W28" i="18"/>
  <c r="V29" i="18"/>
  <c r="F7" i="13"/>
  <c r="O5" i="22" l="1"/>
  <c r="N8" i="22"/>
  <c r="T8" i="17" s="1"/>
  <c r="J26" i="23"/>
  <c r="J32" i="23"/>
  <c r="J34" i="23" s="1"/>
  <c r="J26" i="24"/>
  <c r="J32" i="24"/>
  <c r="J34" i="24" s="1"/>
  <c r="S13" i="24"/>
  <c r="S14" i="24"/>
  <c r="S12" i="24"/>
  <c r="S15" i="24" s="1"/>
  <c r="S9" i="24"/>
  <c r="S10" i="24" s="1"/>
  <c r="U8" i="18"/>
  <c r="T9" i="18"/>
  <c r="R15" i="24"/>
  <c r="R16" i="24" s="1"/>
  <c r="O21" i="22"/>
  <c r="N24" i="22"/>
  <c r="T8" i="23" s="1"/>
  <c r="K22" i="23"/>
  <c r="K18" i="23"/>
  <c r="K21" i="23" s="1"/>
  <c r="O13" i="22"/>
  <c r="N16" i="22"/>
  <c r="T8" i="24" s="1"/>
  <c r="S12" i="18"/>
  <c r="S11" i="18"/>
  <c r="S13" i="18"/>
  <c r="S13" i="23"/>
  <c r="S14" i="23"/>
  <c r="S12" i="23"/>
  <c r="S9" i="23"/>
  <c r="S10" i="23" s="1"/>
  <c r="K22" i="24"/>
  <c r="K18" i="24"/>
  <c r="K21" i="24" s="1"/>
  <c r="K25" i="24" s="1"/>
  <c r="W29" i="23"/>
  <c r="V30" i="23"/>
  <c r="P15" i="17"/>
  <c r="P16" i="17" s="1"/>
  <c r="Q13" i="17"/>
  <c r="Q12" i="17"/>
  <c r="Q14" i="17"/>
  <c r="Q9" i="17"/>
  <c r="Q10" i="17" s="1"/>
  <c r="I34" i="17"/>
  <c r="K25" i="21"/>
  <c r="K26" i="21" s="1"/>
  <c r="R13" i="21"/>
  <c r="S8" i="21"/>
  <c r="R9" i="21"/>
  <c r="R10" i="21" s="1"/>
  <c r="R12" i="21"/>
  <c r="R14" i="21"/>
  <c r="Q15" i="21"/>
  <c r="Q16" i="21" s="1"/>
  <c r="K22" i="17"/>
  <c r="K18" i="17"/>
  <c r="K21" i="17" s="1"/>
  <c r="I31" i="18"/>
  <c r="I33" i="18" s="1"/>
  <c r="I25" i="18"/>
  <c r="K21" i="18"/>
  <c r="K17" i="18"/>
  <c r="K20" i="18" s="1"/>
  <c r="G5" i="13"/>
  <c r="G6" i="13" s="1"/>
  <c r="J24" i="18"/>
  <c r="J25" i="17"/>
  <c r="X28" i="18"/>
  <c r="W29" i="18"/>
  <c r="T12" i="24" l="1"/>
  <c r="T14" i="24"/>
  <c r="T9" i="24"/>
  <c r="T10" i="24" s="1"/>
  <c r="T13" i="24"/>
  <c r="P13" i="22"/>
  <c r="O16" i="22"/>
  <c r="U8" i="24" s="1"/>
  <c r="T11" i="18"/>
  <c r="T12" i="18"/>
  <c r="T13" i="18"/>
  <c r="O8" i="22"/>
  <c r="U8" i="17" s="1"/>
  <c r="P5" i="22"/>
  <c r="K26" i="24"/>
  <c r="K32" i="24"/>
  <c r="K34" i="24" s="1"/>
  <c r="T14" i="23"/>
  <c r="T12" i="23"/>
  <c r="T9" i="23"/>
  <c r="T10" i="23" s="1"/>
  <c r="T13" i="23"/>
  <c r="S16" i="24"/>
  <c r="P21" i="22"/>
  <c r="O24" i="22"/>
  <c r="U8" i="23" s="1"/>
  <c r="L17" i="21"/>
  <c r="AC17" i="21" s="1"/>
  <c r="L17" i="23"/>
  <c r="L17" i="24"/>
  <c r="S15" i="23"/>
  <c r="S16" i="23" s="1"/>
  <c r="S14" i="18"/>
  <c r="S15" i="18" s="1"/>
  <c r="K25" i="23"/>
  <c r="U9" i="18"/>
  <c r="V8" i="18"/>
  <c r="X29" i="23"/>
  <c r="W30" i="23"/>
  <c r="R14" i="17"/>
  <c r="R12" i="17"/>
  <c r="R13" i="17"/>
  <c r="R9" i="17"/>
  <c r="R10" i="17" s="1"/>
  <c r="Q15" i="17"/>
  <c r="Q16" i="17" s="1"/>
  <c r="L22" i="21"/>
  <c r="R15" i="21"/>
  <c r="R16" i="21" s="1"/>
  <c r="S12" i="21"/>
  <c r="S9" i="21"/>
  <c r="S10" i="21" s="1"/>
  <c r="T8" i="21"/>
  <c r="S13" i="21"/>
  <c r="S14" i="21"/>
  <c r="K24" i="18"/>
  <c r="K31" i="18" s="1"/>
  <c r="K33" i="18" s="1"/>
  <c r="K25" i="17"/>
  <c r="K26" i="17" s="1"/>
  <c r="L16" i="18"/>
  <c r="L17" i="17"/>
  <c r="M17" i="17" s="1"/>
  <c r="N17" i="17" s="1"/>
  <c r="G7" i="13"/>
  <c r="H5" i="13" s="1"/>
  <c r="J26" i="17"/>
  <c r="J32" i="17"/>
  <c r="J34" i="17" s="1"/>
  <c r="J31" i="18"/>
  <c r="J33" i="18" s="1"/>
  <c r="J25" i="18"/>
  <c r="Y28" i="18"/>
  <c r="X29" i="18"/>
  <c r="Y29" i="18" l="1"/>
  <c r="Z28" i="18"/>
  <c r="K26" i="23"/>
  <c r="K32" i="23"/>
  <c r="K34" i="23" s="1"/>
  <c r="L22" i="23"/>
  <c r="M17" i="23"/>
  <c r="L18" i="23"/>
  <c r="L21" i="23" s="1"/>
  <c r="L25" i="23" s="1"/>
  <c r="U9" i="24"/>
  <c r="U10" i="24" s="1"/>
  <c r="U14" i="24"/>
  <c r="U13" i="24"/>
  <c r="U12" i="24"/>
  <c r="U15" i="24" s="1"/>
  <c r="U16" i="24" s="1"/>
  <c r="Q13" i="22"/>
  <c r="P16" i="22"/>
  <c r="V8" i="24" s="1"/>
  <c r="O17" i="17"/>
  <c r="N22" i="17"/>
  <c r="N18" i="17"/>
  <c r="N21" i="17" s="1"/>
  <c r="N25" i="17" s="1"/>
  <c r="L18" i="21"/>
  <c r="L21" i="21" s="1"/>
  <c r="L25" i="21" s="1"/>
  <c r="L26" i="21" s="1"/>
  <c r="W8" i="18"/>
  <c r="V9" i="18"/>
  <c r="U14" i="23"/>
  <c r="U12" i="23"/>
  <c r="U13" i="23"/>
  <c r="U9" i="23"/>
  <c r="U10" i="23" s="1"/>
  <c r="T16" i="23"/>
  <c r="T15" i="24"/>
  <c r="T16" i="24" s="1"/>
  <c r="U12" i="18"/>
  <c r="U13" i="18"/>
  <c r="U11" i="18"/>
  <c r="U14" i="18" s="1"/>
  <c r="U15" i="18" s="1"/>
  <c r="L22" i="24"/>
  <c r="M17" i="24"/>
  <c r="L18" i="24"/>
  <c r="L21" i="24" s="1"/>
  <c r="L25" i="24" s="1"/>
  <c r="Q21" i="22"/>
  <c r="P24" i="22"/>
  <c r="V8" i="23" s="1"/>
  <c r="T15" i="23"/>
  <c r="Q5" i="22"/>
  <c r="P8" i="22"/>
  <c r="V8" i="17" s="1"/>
  <c r="T14" i="18"/>
  <c r="T15" i="18" s="1"/>
  <c r="Y29" i="23"/>
  <c r="X30" i="23"/>
  <c r="R15" i="17"/>
  <c r="R16" i="17" s="1"/>
  <c r="S13" i="17"/>
  <c r="S12" i="17"/>
  <c r="S14" i="17"/>
  <c r="S9" i="17"/>
  <c r="S10" i="17" s="1"/>
  <c r="AC22" i="21"/>
  <c r="AC18" i="21"/>
  <c r="AC21" i="21" s="1"/>
  <c r="K25" i="18"/>
  <c r="S15" i="21"/>
  <c r="S16" i="21" s="1"/>
  <c r="U8" i="21"/>
  <c r="T12" i="21"/>
  <c r="T9" i="21"/>
  <c r="T10" i="21" s="1"/>
  <c r="T13" i="21"/>
  <c r="T14" i="21"/>
  <c r="M22" i="17"/>
  <c r="M18" i="17"/>
  <c r="M21" i="17" s="1"/>
  <c r="K32" i="17"/>
  <c r="K34" i="17" s="1"/>
  <c r="L22" i="17"/>
  <c r="L18" i="17"/>
  <c r="L21" i="17" s="1"/>
  <c r="H6" i="13"/>
  <c r="L21" i="18"/>
  <c r="L17" i="18"/>
  <c r="L20" i="18" s="1"/>
  <c r="R5" i="22" l="1"/>
  <c r="Q8" i="22"/>
  <c r="W8" i="17" s="1"/>
  <c r="L26" i="24"/>
  <c r="L32" i="24"/>
  <c r="L34" i="24" s="1"/>
  <c r="N32" i="17"/>
  <c r="N34" i="17" s="1"/>
  <c r="N26" i="17"/>
  <c r="R13" i="22"/>
  <c r="Q16" i="22"/>
  <c r="W8" i="24" s="1"/>
  <c r="L26" i="23"/>
  <c r="L32" i="23"/>
  <c r="L34" i="23" s="1"/>
  <c r="N17" i="24"/>
  <c r="M22" i="24"/>
  <c r="M18" i="24"/>
  <c r="M21" i="24" s="1"/>
  <c r="M25" i="24" s="1"/>
  <c r="V12" i="18"/>
  <c r="V13" i="18"/>
  <c r="V11" i="18"/>
  <c r="N17" i="23"/>
  <c r="M22" i="23"/>
  <c r="M18" i="23"/>
  <c r="M21" i="23" s="1"/>
  <c r="AA28" i="18"/>
  <c r="Z29" i="18"/>
  <c r="R21" i="22"/>
  <c r="Q24" i="22"/>
  <c r="W8" i="23" s="1"/>
  <c r="V14" i="24"/>
  <c r="V13" i="24"/>
  <c r="V12" i="24"/>
  <c r="V9" i="24"/>
  <c r="V10" i="24" s="1"/>
  <c r="V13" i="23"/>
  <c r="V9" i="23"/>
  <c r="V10" i="23" s="1"/>
  <c r="V12" i="23"/>
  <c r="V14" i="23"/>
  <c r="U15" i="23"/>
  <c r="U16" i="23" s="1"/>
  <c r="X8" i="18"/>
  <c r="W9" i="18"/>
  <c r="P17" i="17"/>
  <c r="O22" i="17"/>
  <c r="O18" i="17"/>
  <c r="O21" i="17" s="1"/>
  <c r="Y30" i="23"/>
  <c r="Z29" i="23"/>
  <c r="T13" i="17"/>
  <c r="T12" i="17"/>
  <c r="T14" i="17"/>
  <c r="T9" i="17"/>
  <c r="T10" i="17" s="1"/>
  <c r="S15" i="17"/>
  <c r="S16" i="17" s="1"/>
  <c r="M16" i="18"/>
  <c r="M17" i="18" s="1"/>
  <c r="M20" i="18" s="1"/>
  <c r="M17" i="21"/>
  <c r="AC25" i="21"/>
  <c r="AC26" i="21" s="1"/>
  <c r="T15" i="21"/>
  <c r="T16" i="21" s="1"/>
  <c r="U9" i="21"/>
  <c r="U10" i="21" s="1"/>
  <c r="U14" i="21"/>
  <c r="U13" i="21"/>
  <c r="U12" i="21"/>
  <c r="M25" i="17"/>
  <c r="L25" i="17"/>
  <c r="L26" i="17" s="1"/>
  <c r="H7" i="13"/>
  <c r="I5" i="13" s="1"/>
  <c r="I6" i="13" s="1"/>
  <c r="L24" i="18"/>
  <c r="K15" i="10"/>
  <c r="J9" i="10"/>
  <c r="J10" i="10"/>
  <c r="J11" i="10"/>
  <c r="J12" i="10"/>
  <c r="J13" i="10"/>
  <c r="J8" i="10"/>
  <c r="J43" i="11"/>
  <c r="I43" i="11"/>
  <c r="H43" i="11"/>
  <c r="G43" i="11"/>
  <c r="F43" i="11"/>
  <c r="J35" i="11"/>
  <c r="I35" i="11"/>
  <c r="H35" i="11"/>
  <c r="G35" i="11"/>
  <c r="F35" i="11"/>
  <c r="J30" i="11"/>
  <c r="I30" i="11"/>
  <c r="H30" i="11"/>
  <c r="G30" i="11"/>
  <c r="F30" i="11"/>
  <c r="G27" i="11"/>
  <c r="H27" i="11" s="1"/>
  <c r="I27" i="11" s="1"/>
  <c r="J27" i="11" s="1"/>
  <c r="O17" i="23" l="1"/>
  <c r="N22" i="23"/>
  <c r="N18" i="23"/>
  <c r="N21" i="23" s="1"/>
  <c r="N25" i="23" s="1"/>
  <c r="W11" i="18"/>
  <c r="W14" i="18" s="1"/>
  <c r="W15" i="18" s="1"/>
  <c r="W12" i="18"/>
  <c r="W13" i="18"/>
  <c r="V15" i="23"/>
  <c r="V16" i="23" s="1"/>
  <c r="AB28" i="18"/>
  <c r="AA29" i="18"/>
  <c r="V14" i="18"/>
  <c r="V15" i="18" s="1"/>
  <c r="W14" i="24"/>
  <c r="W13" i="24"/>
  <c r="W12" i="24"/>
  <c r="W9" i="24"/>
  <c r="W10" i="24" s="1"/>
  <c r="S21" i="22"/>
  <c r="R24" i="22"/>
  <c r="X8" i="23" s="1"/>
  <c r="Q17" i="17"/>
  <c r="P22" i="17"/>
  <c r="P18" i="17"/>
  <c r="P21" i="17" s="1"/>
  <c r="P25" i="17" s="1"/>
  <c r="M26" i="24"/>
  <c r="M32" i="24"/>
  <c r="M34" i="24" s="1"/>
  <c r="R8" i="22"/>
  <c r="X8" i="17" s="1"/>
  <c r="S5" i="22"/>
  <c r="H36" i="11"/>
  <c r="H38" i="11" s="1"/>
  <c r="H40" i="11" s="1"/>
  <c r="O25" i="17"/>
  <c r="Y8" i="18"/>
  <c r="X9" i="18"/>
  <c r="V15" i="24"/>
  <c r="V16" i="24" s="1"/>
  <c r="W12" i="23"/>
  <c r="W15" i="23" s="1"/>
  <c r="W16" i="23" s="1"/>
  <c r="W14" i="23"/>
  <c r="W9" i="23"/>
  <c r="W10" i="23" s="1"/>
  <c r="W13" i="23"/>
  <c r="M25" i="23"/>
  <c r="O17" i="24"/>
  <c r="N22" i="24"/>
  <c r="N18" i="24"/>
  <c r="N21" i="24" s="1"/>
  <c r="N25" i="24" s="1"/>
  <c r="S13" i="22"/>
  <c r="R16" i="22"/>
  <c r="X8" i="24" s="1"/>
  <c r="AA29" i="23"/>
  <c r="Z30" i="23"/>
  <c r="U13" i="17"/>
  <c r="U12" i="17"/>
  <c r="U14" i="17"/>
  <c r="U9" i="17"/>
  <c r="U10" i="17" s="1"/>
  <c r="T15" i="17"/>
  <c r="T16" i="17" s="1"/>
  <c r="M26" i="17"/>
  <c r="M32" i="17"/>
  <c r="M34" i="17" s="1"/>
  <c r="M21" i="18"/>
  <c r="N16" i="18"/>
  <c r="N17" i="18" s="1"/>
  <c r="N20" i="18" s="1"/>
  <c r="N17" i="21"/>
  <c r="M22" i="21"/>
  <c r="M18" i="21"/>
  <c r="M21" i="21" s="1"/>
  <c r="U15" i="21"/>
  <c r="U16" i="21"/>
  <c r="L32" i="17"/>
  <c r="L34" i="17" s="1"/>
  <c r="I7" i="13"/>
  <c r="J5" i="13" s="1"/>
  <c r="J6" i="13" s="1"/>
  <c r="M24" i="18"/>
  <c r="M31" i="18" s="1"/>
  <c r="M33" i="18" s="1"/>
  <c r="L60" i="8"/>
  <c r="M60" i="8" s="1"/>
  <c r="L25" i="18"/>
  <c r="L31" i="18"/>
  <c r="L33" i="18" s="1"/>
  <c r="F36" i="11"/>
  <c r="F38" i="11" s="1"/>
  <c r="F40" i="11" s="1"/>
  <c r="F44" i="11" s="1"/>
  <c r="J36" i="11"/>
  <c r="J38" i="11" s="1"/>
  <c r="J40" i="11" s="1"/>
  <c r="J44" i="11" s="1"/>
  <c r="H44" i="11"/>
  <c r="I36" i="11"/>
  <c r="I38" i="11" s="1"/>
  <c r="I40" i="11" s="1"/>
  <c r="I44" i="11" s="1"/>
  <c r="G36" i="11"/>
  <c r="G38" i="11" s="1"/>
  <c r="G40" i="11" s="1"/>
  <c r="G44" i="11" s="1"/>
  <c r="H20" i="10"/>
  <c r="T13" i="22" l="1"/>
  <c r="S16" i="22"/>
  <c r="Y8" i="24" s="1"/>
  <c r="M26" i="23"/>
  <c r="M32" i="23"/>
  <c r="M34" i="23" s="1"/>
  <c r="P26" i="17"/>
  <c r="P32" i="17"/>
  <c r="P34" i="17" s="1"/>
  <c r="T21" i="22"/>
  <c r="S24" i="22"/>
  <c r="Y8" i="23" s="1"/>
  <c r="AC28" i="18"/>
  <c r="AB29" i="18"/>
  <c r="O26" i="17"/>
  <c r="O32" i="17"/>
  <c r="O34" i="17" s="1"/>
  <c r="N26" i="23"/>
  <c r="N32" i="23"/>
  <c r="N34" i="23" s="1"/>
  <c r="R17" i="17"/>
  <c r="Q22" i="17"/>
  <c r="Q18" i="17"/>
  <c r="Q21" i="17" s="1"/>
  <c r="Q25" i="17" s="1"/>
  <c r="Y9" i="18"/>
  <c r="Z8" i="18"/>
  <c r="S8" i="22"/>
  <c r="Y8" i="17" s="1"/>
  <c r="T5" i="22"/>
  <c r="N26" i="24"/>
  <c r="N32" i="24"/>
  <c r="N34" i="24" s="1"/>
  <c r="X9" i="24"/>
  <c r="X10" i="24" s="1"/>
  <c r="X16" i="24" s="1"/>
  <c r="X13" i="24"/>
  <c r="X14" i="24"/>
  <c r="X12" i="24"/>
  <c r="X15" i="24" s="1"/>
  <c r="O22" i="24"/>
  <c r="P17" i="24"/>
  <c r="O18" i="24"/>
  <c r="O21" i="24" s="1"/>
  <c r="X11" i="18"/>
  <c r="X13" i="18"/>
  <c r="X12" i="18"/>
  <c r="X9" i="23"/>
  <c r="X10" i="23" s="1"/>
  <c r="X13" i="23"/>
  <c r="X12" i="23"/>
  <c r="X15" i="23" s="1"/>
  <c r="X16" i="23" s="1"/>
  <c r="X14" i="23"/>
  <c r="W15" i="24"/>
  <c r="W16" i="24" s="1"/>
  <c r="P17" i="23"/>
  <c r="O22" i="23"/>
  <c r="O18" i="23"/>
  <c r="O21" i="23" s="1"/>
  <c r="AB29" i="23"/>
  <c r="AB30" i="23" s="1"/>
  <c r="AA30" i="23"/>
  <c r="V14" i="17"/>
  <c r="V12" i="17"/>
  <c r="V13" i="17"/>
  <c r="V9" i="17"/>
  <c r="V10" i="17" s="1"/>
  <c r="U15" i="17"/>
  <c r="U16" i="17" s="1"/>
  <c r="M25" i="21"/>
  <c r="M26" i="21" s="1"/>
  <c r="N21" i="18"/>
  <c r="N24" i="18" s="1"/>
  <c r="N25" i="18" s="1"/>
  <c r="O16" i="18"/>
  <c r="O21" i="18" s="1"/>
  <c r="O17" i="21"/>
  <c r="M25" i="18"/>
  <c r="N22" i="21"/>
  <c r="N18" i="21"/>
  <c r="N21" i="21" s="1"/>
  <c r="J7" i="13"/>
  <c r="K5" i="13" s="1"/>
  <c r="K6" i="13" s="1"/>
  <c r="J15" i="10"/>
  <c r="D20" i="10" s="1"/>
  <c r="D23" i="10" s="1"/>
  <c r="D29" i="10" s="1"/>
  <c r="D18" i="10"/>
  <c r="J16" i="10"/>
  <c r="D19" i="10" s="1"/>
  <c r="D25" i="10" s="1"/>
  <c r="D31" i="10" s="1"/>
  <c r="E20" i="10"/>
  <c r="E23" i="10" s="1"/>
  <c r="B9" i="10"/>
  <c r="L11" i="8"/>
  <c r="M11" i="8"/>
  <c r="N11" i="8"/>
  <c r="K11" i="8"/>
  <c r="O8" i="8"/>
  <c r="M9" i="7"/>
  <c r="N9" i="7" s="1"/>
  <c r="O9" i="7" s="1"/>
  <c r="P9" i="7" s="1"/>
  <c r="Q9" i="7" s="1"/>
  <c r="C9" i="7"/>
  <c r="L14" i="7" s="1"/>
  <c r="D6" i="7"/>
  <c r="E6" i="7" s="1"/>
  <c r="F6" i="7" s="1"/>
  <c r="G6" i="7" s="1"/>
  <c r="H6" i="7" s="1"/>
  <c r="D14" i="7"/>
  <c r="E14" i="7"/>
  <c r="F14" i="7"/>
  <c r="G14" i="7"/>
  <c r="C14" i="7"/>
  <c r="E34" i="7"/>
  <c r="F34" i="7"/>
  <c r="G34" i="7"/>
  <c r="D34" i="7"/>
  <c r="D11" i="9"/>
  <c r="E11" i="9"/>
  <c r="F11" i="9"/>
  <c r="G11" i="9"/>
  <c r="C11" i="9"/>
  <c r="D53" i="9"/>
  <c r="E53" i="9"/>
  <c r="F53" i="9"/>
  <c r="G53" i="9"/>
  <c r="D45" i="9"/>
  <c r="E45" i="9"/>
  <c r="F45" i="9"/>
  <c r="G45" i="9"/>
  <c r="D10" i="9"/>
  <c r="E10" i="9"/>
  <c r="F10" i="9"/>
  <c r="G10" i="9"/>
  <c r="C10" i="9"/>
  <c r="D21" i="8"/>
  <c r="E21" i="8"/>
  <c r="D47" i="8"/>
  <c r="E47" i="8"/>
  <c r="E41" i="8"/>
  <c r="E60" i="8"/>
  <c r="D28" i="7"/>
  <c r="E28" i="7"/>
  <c r="F28" i="7"/>
  <c r="G28" i="7"/>
  <c r="C28" i="7"/>
  <c r="D9" i="7"/>
  <c r="M14" i="7" s="1"/>
  <c r="E9" i="7"/>
  <c r="N14" i="7" s="1"/>
  <c r="F9" i="7"/>
  <c r="O14" i="7" s="1"/>
  <c r="G9" i="7"/>
  <c r="P14" i="7" s="1"/>
  <c r="D41" i="8"/>
  <c r="C41" i="8"/>
  <c r="C47" i="8"/>
  <c r="D60" i="8"/>
  <c r="C60" i="8"/>
  <c r="C21" i="8"/>
  <c r="C53" i="9"/>
  <c r="C45" i="9"/>
  <c r="Q17" i="23" l="1"/>
  <c r="P22" i="23"/>
  <c r="P18" i="23"/>
  <c r="P21" i="23" s="1"/>
  <c r="P25" i="23" s="1"/>
  <c r="X14" i="18"/>
  <c r="X15" i="18" s="1"/>
  <c r="AA8" i="18"/>
  <c r="Z9" i="18"/>
  <c r="O25" i="24"/>
  <c r="Y12" i="18"/>
  <c r="Y13" i="18"/>
  <c r="Y11" i="18"/>
  <c r="Y14" i="18" s="1"/>
  <c r="Y15" i="18" s="1"/>
  <c r="S17" i="17"/>
  <c r="R22" i="17"/>
  <c r="R18" i="17"/>
  <c r="R21" i="17" s="1"/>
  <c r="R25" i="17" s="1"/>
  <c r="AC29" i="18"/>
  <c r="AD28" i="18"/>
  <c r="U13" i="22"/>
  <c r="T16" i="22"/>
  <c r="Z8" i="24" s="1"/>
  <c r="Q26" i="17"/>
  <c r="Q32" i="17"/>
  <c r="Q34" i="17" s="1"/>
  <c r="U21" i="22"/>
  <c r="T24" i="22"/>
  <c r="Z8" i="23" s="1"/>
  <c r="H43" i="24"/>
  <c r="H43" i="23"/>
  <c r="AL8" i="21"/>
  <c r="Y12" i="24"/>
  <c r="Y9" i="24"/>
  <c r="Y10" i="24" s="1"/>
  <c r="Y14" i="24"/>
  <c r="Y13" i="24"/>
  <c r="O25" i="23"/>
  <c r="Q17" i="24"/>
  <c r="P22" i="24"/>
  <c r="P18" i="24"/>
  <c r="P21" i="24" s="1"/>
  <c r="P25" i="24" s="1"/>
  <c r="U5" i="22"/>
  <c r="T8" i="22"/>
  <c r="Z8" i="17" s="1"/>
  <c r="Y13" i="23"/>
  <c r="Y9" i="23"/>
  <c r="Y10" i="23" s="1"/>
  <c r="Y14" i="23"/>
  <c r="Y12" i="23"/>
  <c r="Y15" i="23" s="1"/>
  <c r="Y16" i="23" s="1"/>
  <c r="V15" i="17"/>
  <c r="V16" i="17" s="1"/>
  <c r="W13" i="17"/>
  <c r="W12" i="17"/>
  <c r="W14" i="17"/>
  <c r="W9" i="17"/>
  <c r="W10" i="17" s="1"/>
  <c r="N31" i="18"/>
  <c r="N33" i="18" s="1"/>
  <c r="N10" i="8"/>
  <c r="P10" i="8"/>
  <c r="P12" i="8" s="1"/>
  <c r="K10" i="8"/>
  <c r="N25" i="21"/>
  <c r="N26" i="21" s="1"/>
  <c r="P16" i="18"/>
  <c r="P17" i="21"/>
  <c r="O22" i="21"/>
  <c r="O18" i="21"/>
  <c r="O21" i="21" s="1"/>
  <c r="O17" i="18"/>
  <c r="O20" i="18" s="1"/>
  <c r="H43" i="17"/>
  <c r="K7" i="13"/>
  <c r="L5" i="13" s="1"/>
  <c r="L6" i="13" s="1"/>
  <c r="M10" i="8"/>
  <c r="M12" i="8" s="1"/>
  <c r="K12" i="8"/>
  <c r="O10" i="8"/>
  <c r="P21" i="18"/>
  <c r="P17" i="18"/>
  <c r="P20" i="18" s="1"/>
  <c r="L10" i="8"/>
  <c r="L12" i="8" s="1"/>
  <c r="O13" i="8"/>
  <c r="O24" i="18"/>
  <c r="M13" i="8"/>
  <c r="N12" i="8"/>
  <c r="B10" i="10"/>
  <c r="B11" i="10" s="1"/>
  <c r="L15" i="10"/>
  <c r="D24" i="10"/>
  <c r="D30" i="10" s="1"/>
  <c r="K16" i="10"/>
  <c r="L16" i="10"/>
  <c r="D15" i="7"/>
  <c r="D17" i="7" s="1"/>
  <c r="D32" i="7" s="1"/>
  <c r="E15" i="7"/>
  <c r="F15" i="7"/>
  <c r="G15" i="7"/>
  <c r="I20" i="10" s="1"/>
  <c r="E29" i="10" s="1"/>
  <c r="E61" i="8"/>
  <c r="D61" i="8"/>
  <c r="C61" i="8"/>
  <c r="C15" i="7"/>
  <c r="P26" i="24" l="1"/>
  <c r="P32" i="24"/>
  <c r="P34" i="24" s="1"/>
  <c r="Y15" i="24"/>
  <c r="Y16" i="24" s="1"/>
  <c r="Z12" i="23"/>
  <c r="Z13" i="23"/>
  <c r="Z9" i="23"/>
  <c r="Z10" i="23" s="1"/>
  <c r="Z14" i="23"/>
  <c r="AE28" i="18"/>
  <c r="AD29" i="18"/>
  <c r="T17" i="17"/>
  <c r="S22" i="17"/>
  <c r="S18" i="17"/>
  <c r="S21" i="17" s="1"/>
  <c r="S25" i="17" s="1"/>
  <c r="O32" i="24"/>
  <c r="O34" i="24" s="1"/>
  <c r="O26" i="24"/>
  <c r="V21" i="22"/>
  <c r="V24" i="22" s="1"/>
  <c r="AB8" i="23" s="1"/>
  <c r="U24" i="22"/>
  <c r="AA8" i="23" s="1"/>
  <c r="P26" i="23"/>
  <c r="P32" i="23"/>
  <c r="P34" i="23" s="1"/>
  <c r="O12" i="8"/>
  <c r="P13" i="8"/>
  <c r="Q22" i="24"/>
  <c r="R17" i="24"/>
  <c r="Q18" i="24"/>
  <c r="Q21" i="24" s="1"/>
  <c r="Q25" i="24" s="1"/>
  <c r="Z9" i="24"/>
  <c r="Z10" i="24" s="1"/>
  <c r="Z13" i="24"/>
  <c r="Z14" i="24"/>
  <c r="Z12" i="24"/>
  <c r="Z15" i="24" s="1"/>
  <c r="Z16" i="24" s="1"/>
  <c r="R26" i="17"/>
  <c r="R32" i="17"/>
  <c r="R34" i="17" s="1"/>
  <c r="Z11" i="18"/>
  <c r="Z12" i="18"/>
  <c r="Z13" i="18"/>
  <c r="D31" i="7"/>
  <c r="U8" i="22"/>
  <c r="AA8" i="17" s="1"/>
  <c r="V5" i="22"/>
  <c r="V8" i="22" s="1"/>
  <c r="AB8" i="17" s="1"/>
  <c r="O26" i="23"/>
  <c r="O32" i="23"/>
  <c r="O34" i="23" s="1"/>
  <c r="V13" i="22"/>
  <c r="V16" i="22" s="1"/>
  <c r="AB8" i="24" s="1"/>
  <c r="U16" i="22"/>
  <c r="AA8" i="24" s="1"/>
  <c r="AA9" i="18"/>
  <c r="AB8" i="18"/>
  <c r="Q22" i="23"/>
  <c r="R17" i="23"/>
  <c r="Q18" i="23"/>
  <c r="Q21" i="23" s="1"/>
  <c r="X13" i="17"/>
  <c r="X12" i="17"/>
  <c r="X14" i="17"/>
  <c r="X9" i="17"/>
  <c r="X10" i="17" s="1"/>
  <c r="W15" i="17"/>
  <c r="W16" i="17" s="1"/>
  <c r="O25" i="21"/>
  <c r="O26" i="21" s="1"/>
  <c r="Q16" i="18"/>
  <c r="Q17" i="18" s="1"/>
  <c r="Q20" i="18" s="1"/>
  <c r="Q17" i="21"/>
  <c r="P22" i="21"/>
  <c r="P18" i="21"/>
  <c r="P21" i="21" s="1"/>
  <c r="P24" i="18"/>
  <c r="P25" i="18" s="1"/>
  <c r="L13" i="8"/>
  <c r="Q21" i="18"/>
  <c r="N13" i="8"/>
  <c r="O31" i="18"/>
  <c r="O33" i="18" s="1"/>
  <c r="O25" i="18"/>
  <c r="L7" i="13"/>
  <c r="M5" i="13" s="1"/>
  <c r="E19" i="10"/>
  <c r="E25" i="10" s="1"/>
  <c r="E24" i="10" s="1"/>
  <c r="E30" i="10" s="1"/>
  <c r="D19" i="7"/>
  <c r="D24" i="7" s="1"/>
  <c r="D33" i="7" s="1"/>
  <c r="E17" i="7"/>
  <c r="E31" i="7"/>
  <c r="G17" i="7"/>
  <c r="G31" i="7"/>
  <c r="F17" i="7"/>
  <c r="F31" i="7"/>
  <c r="C17" i="7"/>
  <c r="C31" i="7"/>
  <c r="AB14" i="24" l="1"/>
  <c r="AB12" i="24"/>
  <c r="AB15" i="24" s="1"/>
  <c r="AB16" i="24" s="1"/>
  <c r="AB13" i="24"/>
  <c r="AB9" i="24"/>
  <c r="AB10" i="24" s="1"/>
  <c r="R22" i="24"/>
  <c r="S17" i="24"/>
  <c r="R18" i="24"/>
  <c r="R21" i="24" s="1"/>
  <c r="R25" i="24" s="1"/>
  <c r="AB12" i="23"/>
  <c r="AB9" i="23"/>
  <c r="AB10" i="23" s="1"/>
  <c r="AB13" i="23"/>
  <c r="AB14" i="23"/>
  <c r="S26" i="17"/>
  <c r="S32" i="17"/>
  <c r="S34" i="17" s="1"/>
  <c r="AF28" i="18"/>
  <c r="AE29" i="18"/>
  <c r="Z15" i="23"/>
  <c r="Z16" i="23" s="1"/>
  <c r="AB9" i="18"/>
  <c r="AC8" i="18"/>
  <c r="Q25" i="23"/>
  <c r="AA11" i="18"/>
  <c r="AA12" i="18"/>
  <c r="AA13" i="18"/>
  <c r="AA14" i="18" s="1"/>
  <c r="AA15" i="18" s="1"/>
  <c r="Z14" i="18"/>
  <c r="Z15" i="18" s="1"/>
  <c r="U17" i="17"/>
  <c r="T22" i="17"/>
  <c r="T18" i="17"/>
  <c r="T21" i="17" s="1"/>
  <c r="T25" i="17" s="1"/>
  <c r="R22" i="23"/>
  <c r="S17" i="23"/>
  <c r="R18" i="23"/>
  <c r="R21" i="23" s="1"/>
  <c r="R25" i="23" s="1"/>
  <c r="AA9" i="24"/>
  <c r="AA10" i="24" s="1"/>
  <c r="AA12" i="24"/>
  <c r="AA13" i="24"/>
  <c r="AA14" i="24"/>
  <c r="Q26" i="24"/>
  <c r="Q32" i="24"/>
  <c r="Q34" i="24" s="1"/>
  <c r="AA13" i="23"/>
  <c r="AA9" i="23"/>
  <c r="AA10" i="23" s="1"/>
  <c r="AA12" i="23"/>
  <c r="AA14" i="23"/>
  <c r="Y13" i="17"/>
  <c r="Y12" i="17"/>
  <c r="Y14" i="17"/>
  <c r="Y9" i="17"/>
  <c r="Y10" i="17" s="1"/>
  <c r="X15" i="17"/>
  <c r="X16" i="17" s="1"/>
  <c r="P31" i="18"/>
  <c r="P33" i="18" s="1"/>
  <c r="P25" i="21"/>
  <c r="P26" i="21" s="1"/>
  <c r="Q22" i="21"/>
  <c r="Q18" i="21"/>
  <c r="Q21" i="21" s="1"/>
  <c r="Q24" i="18"/>
  <c r="Q25" i="18" s="1"/>
  <c r="M6" i="13"/>
  <c r="E31" i="10"/>
  <c r="D37" i="10"/>
  <c r="E37" i="10"/>
  <c r="F37" i="10"/>
  <c r="E32" i="10"/>
  <c r="F32" i="7"/>
  <c r="F19" i="7"/>
  <c r="E32" i="7"/>
  <c r="E19" i="7"/>
  <c r="G32" i="7"/>
  <c r="G19" i="7"/>
  <c r="G24" i="7" s="1"/>
  <c r="G33" i="7" s="1"/>
  <c r="C19" i="7"/>
  <c r="C32" i="7"/>
  <c r="D29" i="7"/>
  <c r="D8" i="9"/>
  <c r="D22" i="9" s="1"/>
  <c r="D33" i="9" s="1"/>
  <c r="D35" i="9" s="1"/>
  <c r="D55" i="9" s="1"/>
  <c r="G8" i="9"/>
  <c r="G22" i="9" s="1"/>
  <c r="G33" i="9" s="1"/>
  <c r="G35" i="9" s="1"/>
  <c r="G55" i="9" s="1"/>
  <c r="Q32" i="23" l="1"/>
  <c r="Q34" i="23" s="1"/>
  <c r="Q26" i="23"/>
  <c r="AB15" i="23"/>
  <c r="AB16" i="23" s="1"/>
  <c r="R26" i="23"/>
  <c r="R32" i="23"/>
  <c r="R34" i="23" s="1"/>
  <c r="T32" i="17"/>
  <c r="T34" i="17" s="1"/>
  <c r="T26" i="17"/>
  <c r="R26" i="24"/>
  <c r="R32" i="24"/>
  <c r="R34" i="24" s="1"/>
  <c r="Y15" i="17"/>
  <c r="Y16" i="17" s="1"/>
  <c r="T17" i="23"/>
  <c r="S22" i="23"/>
  <c r="S18" i="23"/>
  <c r="S21" i="23" s="1"/>
  <c r="S25" i="23" s="1"/>
  <c r="AC9" i="18"/>
  <c r="AD8" i="18"/>
  <c r="AF29" i="18"/>
  <c r="AG28" i="18"/>
  <c r="S22" i="24"/>
  <c r="T17" i="24"/>
  <c r="S18" i="24"/>
  <c r="S21" i="24" s="1"/>
  <c r="AA15" i="23"/>
  <c r="AA16" i="23" s="1"/>
  <c r="AA15" i="24"/>
  <c r="AA16" i="24" s="1"/>
  <c r="V17" i="17"/>
  <c r="U22" i="17"/>
  <c r="U18" i="17"/>
  <c r="U21" i="17" s="1"/>
  <c r="U25" i="17" s="1"/>
  <c r="AB11" i="18"/>
  <c r="AB12" i="18"/>
  <c r="AB13" i="18"/>
  <c r="AB14" i="18" s="1"/>
  <c r="AB15" i="18" s="1"/>
  <c r="Z13" i="17"/>
  <c r="Z14" i="17"/>
  <c r="Z9" i="17"/>
  <c r="Z10" i="17" s="1"/>
  <c r="Z12" i="17"/>
  <c r="Q25" i="21"/>
  <c r="Q26" i="21" s="1"/>
  <c r="R16" i="18"/>
  <c r="R21" i="18" s="1"/>
  <c r="R17" i="21"/>
  <c r="Q31" i="18"/>
  <c r="Q33" i="18" s="1"/>
  <c r="M7" i="13"/>
  <c r="N5" i="13" s="1"/>
  <c r="N6" i="13" s="1"/>
  <c r="R17" i="18"/>
  <c r="R20" i="18" s="1"/>
  <c r="D38" i="10"/>
  <c r="E38" i="10"/>
  <c r="F38" i="10"/>
  <c r="E8" i="9"/>
  <c r="E22" i="9" s="1"/>
  <c r="E33" i="9" s="1"/>
  <c r="E35" i="9" s="1"/>
  <c r="E55" i="9" s="1"/>
  <c r="E24" i="7"/>
  <c r="F24" i="7"/>
  <c r="F8" i="9"/>
  <c r="F22" i="9" s="1"/>
  <c r="F33" i="9" s="1"/>
  <c r="F35" i="9" s="1"/>
  <c r="F55" i="9" s="1"/>
  <c r="G29" i="7"/>
  <c r="C8" i="9"/>
  <c r="C22" i="9" s="1"/>
  <c r="C33" i="9" s="1"/>
  <c r="C35" i="9" s="1"/>
  <c r="C55" i="9" s="1"/>
  <c r="C57" i="9" s="1"/>
  <c r="C24" i="7"/>
  <c r="C33" i="7" s="1"/>
  <c r="S25" i="24" l="1"/>
  <c r="U26" i="17"/>
  <c r="U32" i="17"/>
  <c r="U34" i="17" s="1"/>
  <c r="T22" i="24"/>
  <c r="U17" i="24"/>
  <c r="T18" i="24"/>
  <c r="T21" i="24" s="1"/>
  <c r="T25" i="24" s="1"/>
  <c r="AE8" i="18"/>
  <c r="AD9" i="18"/>
  <c r="U17" i="23"/>
  <c r="T22" i="23"/>
  <c r="T18" i="23"/>
  <c r="T21" i="23" s="1"/>
  <c r="AC11" i="18"/>
  <c r="AC12" i="18"/>
  <c r="AC13" i="18"/>
  <c r="W17" i="17"/>
  <c r="V22" i="17"/>
  <c r="V18" i="17"/>
  <c r="V21" i="17" s="1"/>
  <c r="V25" i="17" s="1"/>
  <c r="AH28" i="18"/>
  <c r="AG29" i="18"/>
  <c r="S26" i="23"/>
  <c r="S32" i="23"/>
  <c r="S34" i="23" s="1"/>
  <c r="Z15" i="17"/>
  <c r="Z16" i="17" s="1"/>
  <c r="AA13" i="17"/>
  <c r="AA12" i="17"/>
  <c r="AA14" i="17"/>
  <c r="AA9" i="17"/>
  <c r="AA10" i="17" s="1"/>
  <c r="R22" i="21"/>
  <c r="R18" i="21"/>
  <c r="R21" i="21" s="1"/>
  <c r="S16" i="18"/>
  <c r="S17" i="21"/>
  <c r="R24" i="18"/>
  <c r="R25" i="18" s="1"/>
  <c r="N7" i="13"/>
  <c r="O5" i="13" s="1"/>
  <c r="S21" i="18"/>
  <c r="S17" i="18"/>
  <c r="S20" i="18" s="1"/>
  <c r="F33" i="7"/>
  <c r="F29" i="7"/>
  <c r="E33" i="7"/>
  <c r="E29" i="7"/>
  <c r="D56" i="9"/>
  <c r="D57" i="9" s="1"/>
  <c r="C28" i="8"/>
  <c r="C33" i="8" s="1"/>
  <c r="C34" i="8" s="1"/>
  <c r="C63" i="8" s="1"/>
  <c r="C29" i="7"/>
  <c r="X17" i="17" l="1"/>
  <c r="W22" i="17"/>
  <c r="W18" i="17"/>
  <c r="W21" i="17" s="1"/>
  <c r="W25" i="17" s="1"/>
  <c r="T32" i="24"/>
  <c r="T34" i="24" s="1"/>
  <c r="T26" i="24"/>
  <c r="AI28" i="18"/>
  <c r="AH29" i="18"/>
  <c r="AC14" i="18"/>
  <c r="AC15" i="18" s="1"/>
  <c r="AC17" i="18" s="1"/>
  <c r="AC20" i="18" s="1"/>
  <c r="AC24" i="18" s="1"/>
  <c r="U22" i="23"/>
  <c r="V17" i="23"/>
  <c r="U18" i="23"/>
  <c r="U21" i="23" s="1"/>
  <c r="U25" i="23" s="1"/>
  <c r="U22" i="24"/>
  <c r="V17" i="24"/>
  <c r="U18" i="24"/>
  <c r="U21" i="24" s="1"/>
  <c r="U25" i="24" s="1"/>
  <c r="V26" i="17"/>
  <c r="V32" i="17"/>
  <c r="V34" i="17" s="1"/>
  <c r="AD11" i="18"/>
  <c r="AD12" i="18"/>
  <c r="AD13" i="18"/>
  <c r="S32" i="24"/>
  <c r="S34" i="24" s="1"/>
  <c r="S26" i="24"/>
  <c r="R25" i="21"/>
  <c r="R26" i="21" s="1"/>
  <c r="T25" i="23"/>
  <c r="AF8" i="18"/>
  <c r="AE9" i="18"/>
  <c r="AA15" i="17"/>
  <c r="AA16" i="17" s="1"/>
  <c r="AB12" i="17"/>
  <c r="AB13" i="17"/>
  <c r="AB9" i="17"/>
  <c r="AB10" i="17" s="1"/>
  <c r="AB14" i="17"/>
  <c r="S22" i="21"/>
  <c r="S18" i="21"/>
  <c r="S21" i="21" s="1"/>
  <c r="S25" i="21" s="1"/>
  <c r="S26" i="21" s="1"/>
  <c r="R31" i="18"/>
  <c r="R33" i="18" s="1"/>
  <c r="O6" i="13"/>
  <c r="S24" i="18"/>
  <c r="E56" i="9"/>
  <c r="E57" i="9" s="1"/>
  <c r="D28" i="8"/>
  <c r="D33" i="8" s="1"/>
  <c r="D34" i="8" s="1"/>
  <c r="D63" i="8" s="1"/>
  <c r="U26" i="23" l="1"/>
  <c r="U32" i="23"/>
  <c r="U34" i="23" s="1"/>
  <c r="V22" i="23"/>
  <c r="W17" i="23"/>
  <c r="V18" i="23"/>
  <c r="V21" i="23" s="1"/>
  <c r="W26" i="17"/>
  <c r="W32" i="17"/>
  <c r="W34" i="17" s="1"/>
  <c r="U32" i="24"/>
  <c r="U34" i="24" s="1"/>
  <c r="U26" i="24"/>
  <c r="AI29" i="18"/>
  <c r="AJ28" i="18"/>
  <c r="AE13" i="18"/>
  <c r="AE11" i="18"/>
  <c r="AE12" i="18"/>
  <c r="AD14" i="18"/>
  <c r="AD15" i="18" s="1"/>
  <c r="AD17" i="18" s="1"/>
  <c r="AD20" i="18" s="1"/>
  <c r="AD24" i="18" s="1"/>
  <c r="V22" i="24"/>
  <c r="W17" i="24"/>
  <c r="V18" i="24"/>
  <c r="V21" i="24" s="1"/>
  <c r="V25" i="24" s="1"/>
  <c r="T26" i="23"/>
  <c r="T32" i="23"/>
  <c r="T34" i="23" s="1"/>
  <c r="AG8" i="18"/>
  <c r="AF9" i="18"/>
  <c r="AC25" i="18"/>
  <c r="AC31" i="18"/>
  <c r="AC33" i="18" s="1"/>
  <c r="Y17" i="17"/>
  <c r="X22" i="17"/>
  <c r="X18" i="17"/>
  <c r="X21" i="17" s="1"/>
  <c r="AB15" i="17"/>
  <c r="AB16" i="17" s="1"/>
  <c r="T16" i="18"/>
  <c r="T17" i="18" s="1"/>
  <c r="T20" i="18" s="1"/>
  <c r="T17" i="21"/>
  <c r="O7" i="13"/>
  <c r="P5" i="13" s="1"/>
  <c r="P6" i="13" s="1"/>
  <c r="S31" i="18"/>
  <c r="S33" i="18" s="1"/>
  <c r="S25" i="18"/>
  <c r="F56" i="9"/>
  <c r="F57" i="9" s="1"/>
  <c r="E28" i="8"/>
  <c r="E33" i="8" s="1"/>
  <c r="E34" i="8" s="1"/>
  <c r="E63" i="8" s="1"/>
  <c r="X25" i="17" l="1"/>
  <c r="X17" i="23"/>
  <c r="W22" i="23"/>
  <c r="W18" i="23"/>
  <c r="W21" i="23" s="1"/>
  <c r="W25" i="23" s="1"/>
  <c r="AF13" i="18"/>
  <c r="AF12" i="18"/>
  <c r="AF11" i="18"/>
  <c r="AF14" i="18" s="1"/>
  <c r="AF15" i="18" s="1"/>
  <c r="AF17" i="18" s="1"/>
  <c r="AF20" i="18" s="1"/>
  <c r="AF24" i="18" s="1"/>
  <c r="AD25" i="18"/>
  <c r="AD31" i="18"/>
  <c r="AD33" i="18" s="1"/>
  <c r="AK28" i="18"/>
  <c r="AJ29" i="18"/>
  <c r="Z17" i="17"/>
  <c r="Y22" i="17"/>
  <c r="Y18" i="17"/>
  <c r="Y21" i="17" s="1"/>
  <c r="Y25" i="17" s="1"/>
  <c r="AH8" i="18"/>
  <c r="AG9" i="18"/>
  <c r="V32" i="24"/>
  <c r="V34" i="24" s="1"/>
  <c r="V26" i="24"/>
  <c r="W22" i="24"/>
  <c r="X17" i="24"/>
  <c r="W18" i="24"/>
  <c r="W21" i="24" s="1"/>
  <c r="AE14" i="18"/>
  <c r="AE15" i="18" s="1"/>
  <c r="AE17" i="18" s="1"/>
  <c r="AE20" i="18" s="1"/>
  <c r="AE24" i="18" s="1"/>
  <c r="V25" i="23"/>
  <c r="T21" i="18"/>
  <c r="T22" i="21"/>
  <c r="T18" i="21"/>
  <c r="T21" i="21" s="1"/>
  <c r="U16" i="18"/>
  <c r="U17" i="18" s="1"/>
  <c r="U20" i="18" s="1"/>
  <c r="U17" i="21"/>
  <c r="T24" i="18"/>
  <c r="T25" i="18" s="1"/>
  <c r="P7" i="13"/>
  <c r="Q5" i="13" s="1"/>
  <c r="Q6" i="13" s="1"/>
  <c r="V16" i="18" s="1"/>
  <c r="U21" i="18"/>
  <c r="G56" i="9"/>
  <c r="G57" i="9" s="1"/>
  <c r="B12" i="10"/>
  <c r="B13" i="10" s="1"/>
  <c r="V26" i="23" l="1"/>
  <c r="V32" i="23"/>
  <c r="V34" i="23" s="1"/>
  <c r="AG11" i="18"/>
  <c r="AG14" i="18" s="1"/>
  <c r="AG15" i="18" s="1"/>
  <c r="AG17" i="18" s="1"/>
  <c r="AG20" i="18" s="1"/>
  <c r="AG24" i="18" s="1"/>
  <c r="AG13" i="18"/>
  <c r="AG12" i="18"/>
  <c r="AA17" i="17"/>
  <c r="Z22" i="17"/>
  <c r="Z18" i="17"/>
  <c r="Z21" i="17" s="1"/>
  <c r="W26" i="23"/>
  <c r="W32" i="23"/>
  <c r="W34" i="23" s="1"/>
  <c r="AF25" i="18"/>
  <c r="AF31" i="18"/>
  <c r="AF33" i="18" s="1"/>
  <c r="W25" i="24"/>
  <c r="Y26" i="17"/>
  <c r="Y32" i="17"/>
  <c r="Y34" i="17" s="1"/>
  <c r="AK29" i="18"/>
  <c r="AL28" i="18"/>
  <c r="X22" i="23"/>
  <c r="Y17" i="23"/>
  <c r="X18" i="23"/>
  <c r="X21" i="23" s="1"/>
  <c r="X25" i="23" s="1"/>
  <c r="AE31" i="18"/>
  <c r="AE33" i="18" s="1"/>
  <c r="AE25" i="18"/>
  <c r="AI8" i="18"/>
  <c r="AH9" i="18"/>
  <c r="T25" i="21"/>
  <c r="T26" i="21" s="1"/>
  <c r="X22" i="24"/>
  <c r="Y17" i="24"/>
  <c r="X18" i="24"/>
  <c r="X21" i="24" s="1"/>
  <c r="X25" i="24" s="1"/>
  <c r="X26" i="17"/>
  <c r="X32" i="17"/>
  <c r="X34" i="17" s="1"/>
  <c r="U22" i="21"/>
  <c r="U18" i="21"/>
  <c r="U21" i="21" s="1"/>
  <c r="U25" i="21" s="1"/>
  <c r="U26" i="21" s="1"/>
  <c r="T31" i="18"/>
  <c r="T33" i="18" s="1"/>
  <c r="U24" i="18"/>
  <c r="Q7" i="13"/>
  <c r="R5" i="13" s="1"/>
  <c r="V21" i="18"/>
  <c r="V17" i="18"/>
  <c r="V20" i="18" s="1"/>
  <c r="X26" i="23" l="1"/>
  <c r="X32" i="23"/>
  <c r="X34" i="23" s="1"/>
  <c r="Z25" i="17"/>
  <c r="X26" i="24"/>
  <c r="X32" i="24"/>
  <c r="X34" i="24" s="1"/>
  <c r="AI9" i="18"/>
  <c r="AJ8" i="18"/>
  <c r="AG31" i="18"/>
  <c r="AG33" i="18" s="1"/>
  <c r="AG25" i="18"/>
  <c r="Y22" i="24"/>
  <c r="Z17" i="24"/>
  <c r="Y18" i="24"/>
  <c r="Y21" i="24" s="1"/>
  <c r="Y25" i="24" s="1"/>
  <c r="AB17" i="17"/>
  <c r="AA22" i="17"/>
  <c r="AA18" i="17"/>
  <c r="AA21" i="17" s="1"/>
  <c r="AA25" i="17" s="1"/>
  <c r="AH13" i="18"/>
  <c r="AH12" i="18"/>
  <c r="AH11" i="18"/>
  <c r="Y22" i="23"/>
  <c r="Z17" i="23"/>
  <c r="Y18" i="23"/>
  <c r="Y21" i="23" s="1"/>
  <c r="AL29" i="18"/>
  <c r="AM28" i="18"/>
  <c r="W26" i="24"/>
  <c r="W32" i="24"/>
  <c r="W34" i="24" s="1"/>
  <c r="V24" i="18"/>
  <c r="V25" i="18" s="1"/>
  <c r="R6" i="13"/>
  <c r="W16" i="18" s="1"/>
  <c r="U25" i="18"/>
  <c r="U31" i="18"/>
  <c r="U33" i="18" s="1"/>
  <c r="Z22" i="23" l="1"/>
  <c r="AA17" i="23"/>
  <c r="Z18" i="23"/>
  <c r="Z21" i="23" s="1"/>
  <c r="Z25" i="23" s="1"/>
  <c r="Y32" i="24"/>
  <c r="Y34" i="24" s="1"/>
  <c r="Y26" i="24"/>
  <c r="AN28" i="18"/>
  <c r="AM29" i="18"/>
  <c r="AA26" i="17"/>
  <c r="AA32" i="17"/>
  <c r="AA34" i="17" s="1"/>
  <c r="Z22" i="24"/>
  <c r="AA17" i="24"/>
  <c r="Z18" i="24"/>
  <c r="Z21" i="24" s="1"/>
  <c r="Z25" i="24" s="1"/>
  <c r="AJ9" i="18"/>
  <c r="AK8" i="18"/>
  <c r="Z26" i="17"/>
  <c r="Z32" i="17"/>
  <c r="Z34" i="17" s="1"/>
  <c r="AH14" i="18"/>
  <c r="AH15" i="18" s="1"/>
  <c r="AH17" i="18" s="1"/>
  <c r="AH20" i="18" s="1"/>
  <c r="AH24" i="18" s="1"/>
  <c r="AI12" i="18"/>
  <c r="AI13" i="18"/>
  <c r="AI11" i="18"/>
  <c r="AI14" i="18" s="1"/>
  <c r="AI15" i="18" s="1"/>
  <c r="AI17" i="18" s="1"/>
  <c r="AI20" i="18" s="1"/>
  <c r="AI24" i="18" s="1"/>
  <c r="Y25" i="23"/>
  <c r="AB22" i="17"/>
  <c r="AB18" i="17"/>
  <c r="AB21" i="17" s="1"/>
  <c r="AB25" i="17" s="1"/>
  <c r="V31" i="18"/>
  <c r="V33" i="18" s="1"/>
  <c r="R7" i="13"/>
  <c r="S5" i="13" s="1"/>
  <c r="W21" i="18"/>
  <c r="W17" i="18"/>
  <c r="W20" i="18" s="1"/>
  <c r="W24" i="18" s="1"/>
  <c r="Z26" i="24" l="1"/>
  <c r="Z32" i="24"/>
  <c r="Z34" i="24" s="1"/>
  <c r="AA22" i="24"/>
  <c r="AB17" i="24"/>
  <c r="AA18" i="24"/>
  <c r="AA21" i="24" s="1"/>
  <c r="Z32" i="23"/>
  <c r="Z34" i="23" s="1"/>
  <c r="Z26" i="23"/>
  <c r="AB26" i="17"/>
  <c r="AB32" i="17"/>
  <c r="AK9" i="18"/>
  <c r="AL8" i="18"/>
  <c r="AO28" i="18"/>
  <c r="AO29" i="18" s="1"/>
  <c r="AN29" i="18"/>
  <c r="AA22" i="23"/>
  <c r="AB17" i="23"/>
  <c r="AA18" i="23"/>
  <c r="AA21" i="23" s="1"/>
  <c r="AA25" i="23" s="1"/>
  <c r="AI31" i="18"/>
  <c r="AI33" i="18" s="1"/>
  <c r="AI25" i="18"/>
  <c r="Y26" i="23"/>
  <c r="Y32" i="23"/>
  <c r="Y34" i="23" s="1"/>
  <c r="AH25" i="18"/>
  <c r="AH31" i="18"/>
  <c r="AH33" i="18" s="1"/>
  <c r="AJ11" i="18"/>
  <c r="AJ12" i="18"/>
  <c r="AJ13" i="18"/>
  <c r="W31" i="18"/>
  <c r="W33" i="18" s="1"/>
  <c r="W25" i="18"/>
  <c r="S6" i="13"/>
  <c r="X16" i="18" s="1"/>
  <c r="AB22" i="24" l="1"/>
  <c r="AB18" i="24"/>
  <c r="AB21" i="24" s="1"/>
  <c r="AB25" i="24" s="1"/>
  <c r="AJ14" i="18"/>
  <c r="AJ15" i="18" s="1"/>
  <c r="AJ17" i="18" s="1"/>
  <c r="AJ20" i="18" s="1"/>
  <c r="AJ24" i="18" s="1"/>
  <c r="AL9" i="18"/>
  <c r="AM8" i="18"/>
  <c r="AB22" i="23"/>
  <c r="AB18" i="23"/>
  <c r="AB21" i="23" s="1"/>
  <c r="AB25" i="23" s="1"/>
  <c r="AK12" i="18"/>
  <c r="AK11" i="18"/>
  <c r="AK13" i="18"/>
  <c r="AA26" i="23"/>
  <c r="AA32" i="23"/>
  <c r="AA34" i="23" s="1"/>
  <c r="AA25" i="24"/>
  <c r="X17" i="18"/>
  <c r="X20" i="18" s="1"/>
  <c r="X21" i="18"/>
  <c r="S7" i="13"/>
  <c r="T5" i="13" s="1"/>
  <c r="AL12" i="18" l="1"/>
  <c r="AL13" i="18"/>
  <c r="AL11" i="18"/>
  <c r="AJ25" i="18"/>
  <c r="AJ31" i="18"/>
  <c r="AJ33" i="18" s="1"/>
  <c r="AB32" i="24"/>
  <c r="AB26" i="24"/>
  <c r="AB26" i="23"/>
  <c r="AB32" i="23"/>
  <c r="AA26" i="24"/>
  <c r="AA32" i="24"/>
  <c r="AA34" i="24" s="1"/>
  <c r="AK14" i="18"/>
  <c r="AK15" i="18" s="1"/>
  <c r="AK17" i="18" s="1"/>
  <c r="AK20" i="18" s="1"/>
  <c r="AK24" i="18" s="1"/>
  <c r="AM9" i="18"/>
  <c r="AN8" i="18"/>
  <c r="X24" i="18"/>
  <c r="X31" i="18" s="1"/>
  <c r="X33" i="18" s="1"/>
  <c r="T6" i="13"/>
  <c r="Y16" i="18" s="1"/>
  <c r="AK25" i="18" l="1"/>
  <c r="AK31" i="18"/>
  <c r="AK33" i="18" s="1"/>
  <c r="AL14" i="18"/>
  <c r="AL15" i="18" s="1"/>
  <c r="AL17" i="18" s="1"/>
  <c r="AL20" i="18" s="1"/>
  <c r="AL24" i="18" s="1"/>
  <c r="AN9" i="18"/>
  <c r="AO8" i="18"/>
  <c r="AO9" i="18" s="1"/>
  <c r="AM11" i="18"/>
  <c r="AM12" i="18"/>
  <c r="AM13" i="18"/>
  <c r="X25" i="18"/>
  <c r="T7" i="13"/>
  <c r="U5" i="13" s="1"/>
  <c r="U6" i="13" s="1"/>
  <c r="Y21" i="18"/>
  <c r="Y17" i="18"/>
  <c r="Y20" i="18" s="1"/>
  <c r="AL25" i="18" l="1"/>
  <c r="AL31" i="18"/>
  <c r="AL33" i="18" s="1"/>
  <c r="U7" i="13"/>
  <c r="V5" i="13" s="1"/>
  <c r="V6" i="13" s="1"/>
  <c r="Z16" i="18"/>
  <c r="AM14" i="18"/>
  <c r="AM15" i="18" s="1"/>
  <c r="AM17" i="18" s="1"/>
  <c r="AM20" i="18" s="1"/>
  <c r="AM24" i="18" s="1"/>
  <c r="AO13" i="18"/>
  <c r="AO12" i="18"/>
  <c r="AO11" i="18"/>
  <c r="AO14" i="18" s="1"/>
  <c r="AO15" i="18" s="1"/>
  <c r="AO17" i="18" s="1"/>
  <c r="AO20" i="18" s="1"/>
  <c r="AO24" i="18" s="1"/>
  <c r="AN12" i="18"/>
  <c r="AN13" i="18"/>
  <c r="AN11" i="18"/>
  <c r="AN14" i="18" s="1"/>
  <c r="AN15" i="18" s="1"/>
  <c r="AN17" i="18" s="1"/>
  <c r="AN20" i="18" s="1"/>
  <c r="AN24" i="18" s="1"/>
  <c r="Y24" i="18"/>
  <c r="Y25" i="18" s="1"/>
  <c r="Z21" i="18" l="1"/>
  <c r="Z17" i="18"/>
  <c r="Z20" i="18" s="1"/>
  <c r="Z24" i="18" s="1"/>
  <c r="AN25" i="18"/>
  <c r="AN31" i="18"/>
  <c r="AN33" i="18" s="1"/>
  <c r="V7" i="13"/>
  <c r="W5" i="13" s="1"/>
  <c r="AA16" i="18"/>
  <c r="AO31" i="18"/>
  <c r="AO33" i="18" s="1"/>
  <c r="AO25" i="18"/>
  <c r="AM25" i="18"/>
  <c r="AM31" i="18"/>
  <c r="AM33" i="18" s="1"/>
  <c r="Y31" i="18"/>
  <c r="Y33" i="18" s="1"/>
  <c r="AA21" i="18" l="1"/>
  <c r="AA17" i="18"/>
  <c r="AA20" i="18" s="1"/>
  <c r="AA24" i="18" s="1"/>
  <c r="Z31" i="18"/>
  <c r="Z33" i="18" s="1"/>
  <c r="Z25" i="18"/>
  <c r="W6" i="13"/>
  <c r="AB16" i="18" s="1"/>
  <c r="W7" i="13"/>
  <c r="AB31" i="23" l="1"/>
  <c r="AB33" i="23" s="1"/>
  <c r="AB34" i="23" s="1"/>
  <c r="I35" i="23" s="1"/>
  <c r="AB31" i="24"/>
  <c r="AB33" i="24" s="1"/>
  <c r="AB34" i="24" s="1"/>
  <c r="I35" i="24" s="1"/>
  <c r="AB31" i="17"/>
  <c r="AB33" i="17" s="1"/>
  <c r="AB34" i="17" s="1"/>
  <c r="I35" i="17" s="1"/>
  <c r="AA25" i="18"/>
  <c r="AA31" i="18"/>
  <c r="AA33" i="18" s="1"/>
  <c r="AB21" i="18"/>
  <c r="AB17" i="18"/>
  <c r="AB20" i="18" s="1"/>
  <c r="AB24" i="18" s="1"/>
  <c r="AB25" i="18" l="1"/>
  <c r="AB31" i="18"/>
  <c r="AB33" i="18" s="1"/>
  <c r="H34" i="18" s="1"/>
</calcChain>
</file>

<file path=xl/sharedStrings.xml><?xml version="1.0" encoding="utf-8"?>
<sst xmlns="http://schemas.openxmlformats.org/spreadsheetml/2006/main" count="620" uniqueCount="262">
  <si>
    <t>b) Other equity</t>
  </si>
  <si>
    <t>b) Provisions</t>
  </si>
  <si>
    <t>b) Financial assets</t>
  </si>
  <si>
    <t>a) Property, plant and equipment</t>
  </si>
  <si>
    <t>b) Capital work-in-progress</t>
  </si>
  <si>
    <t>d) Intangible assets</t>
  </si>
  <si>
    <t>-</t>
  </si>
  <si>
    <t>i) Investments</t>
  </si>
  <si>
    <t>c) Other current assets</t>
  </si>
  <si>
    <t>a) Equity share capital</t>
  </si>
  <si>
    <t>a) Financial liabilities</t>
  </si>
  <si>
    <t>i) Borrowings</t>
  </si>
  <si>
    <t>ii) Lease liabilities</t>
  </si>
  <si>
    <t>ii) Trade payables</t>
  </si>
  <si>
    <t>- Dues to micro and small enterprises</t>
  </si>
  <si>
    <t>- Dues to other than micro and small enterprises</t>
  </si>
  <si>
    <t>iii)  Other financial liabilities</t>
  </si>
  <si>
    <t>b) Other current liabilities</t>
  </si>
  <si>
    <t>Cost of fuel consumed</t>
  </si>
  <si>
    <t>Employee benefits expenses</t>
  </si>
  <si>
    <t>Finance costs</t>
  </si>
  <si>
    <t>Other expenses</t>
  </si>
  <si>
    <t>Depreciation and amortisation expenses</t>
  </si>
  <si>
    <t>Total expenses</t>
  </si>
  <si>
    <t>Total tax expenses / (income)</t>
  </si>
  <si>
    <t>Adjustment for</t>
  </si>
  <si>
    <t>Finance cost</t>
  </si>
  <si>
    <t>Interest income</t>
  </si>
  <si>
    <t>Others</t>
  </si>
  <si>
    <t>Working capital changes</t>
  </si>
  <si>
    <t>(Increase) / decrease in financial and other asset</t>
  </si>
  <si>
    <t>(Increase) / decrease in trade receivables</t>
  </si>
  <si>
    <t>(Increase) / decrease in inventories</t>
  </si>
  <si>
    <t>Tax refund / (paid)</t>
  </si>
  <si>
    <t>Net cash from / (used in) operating activities</t>
  </si>
  <si>
    <t>Purchase of fixed assets including capital work-in-progress, net</t>
  </si>
  <si>
    <t>Interest received</t>
  </si>
  <si>
    <t>Net cash from / (used in) investing activities</t>
  </si>
  <si>
    <t>Finance cost paid</t>
  </si>
  <si>
    <t>Cash and cash equivalent - opening balance</t>
  </si>
  <si>
    <t>Cash and cash equivalent - closing balance</t>
  </si>
  <si>
    <t>Particulars</t>
  </si>
  <si>
    <t>Deferred tax</t>
  </si>
  <si>
    <t>VII. Profit / (loss) after tax ( V - VI )</t>
  </si>
  <si>
    <t>VIII. Other comprehensive income</t>
  </si>
  <si>
    <t>As on Mar 31,
2018</t>
  </si>
  <si>
    <t>As on Mar 31,
2019</t>
  </si>
  <si>
    <t>ASSETS</t>
  </si>
  <si>
    <t>ii) Loans</t>
  </si>
  <si>
    <t>iii) Other financial assets</t>
  </si>
  <si>
    <t>a) Inventories</t>
  </si>
  <si>
    <t>ii) Trade receivables</t>
  </si>
  <si>
    <t>iii) Cash and cash equivalents</t>
  </si>
  <si>
    <t>iv) Other bank balances</t>
  </si>
  <si>
    <t>v)  Loans</t>
  </si>
  <si>
    <t>vi) Other financial assets</t>
  </si>
  <si>
    <t>TOTAL (1+2)</t>
  </si>
  <si>
    <t>EQUITY AND LIABILITIES</t>
  </si>
  <si>
    <t>2. Non-current liabilities</t>
  </si>
  <si>
    <t>3. Current liabilities</t>
  </si>
  <si>
    <t>c) Short-term provisions</t>
  </si>
  <si>
    <t>d) Current tax liabilities (net)</t>
  </si>
  <si>
    <t>TOTAL (1 + 2 + 3)</t>
  </si>
  <si>
    <t>Year Ended Mar 31,
2018</t>
  </si>
  <si>
    <t>Year Ended Mar 31,
2019</t>
  </si>
  <si>
    <t>A.  Cash flow from operating activities</t>
  </si>
  <si>
    <t>Profit / (loss) before tax</t>
  </si>
  <si>
    <t>(Profit) / loss on sale of asset</t>
  </si>
  <si>
    <t>Gain on derivative instruments</t>
  </si>
  <si>
    <t>Unrealised foreign exchange</t>
  </si>
  <si>
    <t>Dividend income</t>
  </si>
  <si>
    <t>Unwinding of discount on deposits</t>
  </si>
  <si>
    <t>Provision for doubtful debts/advances</t>
  </si>
  <si>
    <t>Net gain on sale of investments</t>
  </si>
  <si>
    <t>Net gain on financial assets FVPL</t>
  </si>
  <si>
    <t>Operating profit before working capital changes</t>
  </si>
  <si>
    <t>(Increase) / decrease in other financial assets</t>
  </si>
  <si>
    <t>(Increase) / decrease in other assets</t>
  </si>
  <si>
    <t>Increase / (decrease) in trade payables</t>
  </si>
  <si>
    <t>Increase / (decrease) in other financial liabilities</t>
  </si>
  <si>
    <t>Increase / (decrease) in financial and other liabilities</t>
  </si>
  <si>
    <t>Cash generated from / (used in) operating activities</t>
  </si>
  <si>
    <t>B.  Cash flow from investing activities</t>
  </si>
  <si>
    <t>Inter corporate deposits - (given) / refund</t>
  </si>
  <si>
    <t>Sale of fixed assets</t>
  </si>
  <si>
    <t>(Investment) / redemption of bank deposit (held as margin money or security against guarantees or borrowings)</t>
  </si>
  <si>
    <t>Dividend received</t>
  </si>
  <si>
    <t>(Purchase) / sale of current investment, net</t>
  </si>
  <si>
    <t>C.  Cash flow from financing activities</t>
  </si>
  <si>
    <t>Proceeds from long-term borrowings</t>
  </si>
  <si>
    <t>Repayment of long-term borrowings</t>
  </si>
  <si>
    <t>Proceeds from / (repayment) of short-term borrowings, net</t>
  </si>
  <si>
    <t>Payment of derivative liabilities</t>
  </si>
  <si>
    <t>Net cash generated from financing 
activities</t>
  </si>
  <si>
    <t>Net increase / (decrease) in cash and cash equivalents (A + B + C)</t>
  </si>
  <si>
    <t>Year Ended Mar 31,
2020</t>
  </si>
  <si>
    <t>Year Ended Mar 31,
2021</t>
  </si>
  <si>
    <t>Year Ended Mar 31,
2022</t>
  </si>
  <si>
    <t>BALANCE SHEET</t>
  </si>
  <si>
    <t>M/s KSK MAHANADI POWER COMPANY LIMITED</t>
  </si>
  <si>
    <t>1.  Non-current assets</t>
  </si>
  <si>
    <t>2. Current assets</t>
  </si>
  <si>
    <t>1. Equity</t>
  </si>
  <si>
    <t>As on Mar 31,
2020</t>
  </si>
  <si>
    <t>As on Mar 31,
2021</t>
  </si>
  <si>
    <t>As on Mar 31,
2022</t>
  </si>
  <si>
    <t>CASH FLOW STATEMENT</t>
  </si>
  <si>
    <t>PROFIT AND LOSS ACCOUNT</t>
  </si>
  <si>
    <t>check</t>
  </si>
  <si>
    <t>c) Right to Use Assets</t>
  </si>
  <si>
    <t>e) Intangible assets under development</t>
  </si>
  <si>
    <t>f) Financial assets</t>
  </si>
  <si>
    <t>g) Deferred tax assets, net</t>
  </si>
  <si>
    <t>h) Other non-current assets</t>
  </si>
  <si>
    <t>(i) Items that will not be reclassified to profit &amp; loss</t>
  </si>
  <si>
    <t>(ii) Income tax relating to items that will not be reclassified to profit &amp; loss</t>
  </si>
  <si>
    <t>IX. Total comprehensive income for the year ( VII + VIII )</t>
  </si>
  <si>
    <t>EBITDA Margin %</t>
  </si>
  <si>
    <t>EBIT Margin %</t>
  </si>
  <si>
    <t>Net Profit Margin %</t>
  </si>
  <si>
    <t>Revenue Growth Rate (Y.O.Y.)</t>
  </si>
  <si>
    <t>EBITDA</t>
  </si>
  <si>
    <t>EBIT</t>
  </si>
  <si>
    <t>Revenue from operations</t>
  </si>
  <si>
    <t>Other income</t>
  </si>
  <si>
    <t>Total revenue</t>
  </si>
  <si>
    <t>Expenses</t>
  </si>
  <si>
    <t>Tax expense / (income)</t>
  </si>
  <si>
    <t xml:space="preserve">Cost of Fuel </t>
  </si>
  <si>
    <t>Land Value</t>
  </si>
  <si>
    <t>EV/EBITDA</t>
  </si>
  <si>
    <t>India Power Corp Ltd</t>
  </si>
  <si>
    <t>GMR Power and Urban Infra Limited</t>
  </si>
  <si>
    <t>Relative Valuation</t>
  </si>
  <si>
    <t>Particular</t>
  </si>
  <si>
    <t xml:space="preserve">Market Data </t>
  </si>
  <si>
    <t>Financial Data</t>
  </si>
  <si>
    <t>Valuation</t>
  </si>
  <si>
    <t>Company Name</t>
  </si>
  <si>
    <t>Price (Per Share) Previous Close</t>
  </si>
  <si>
    <t>Market Cap (Crore)</t>
  </si>
  <si>
    <t>EV</t>
  </si>
  <si>
    <t xml:space="preserve">Sales </t>
  </si>
  <si>
    <t>Earnings Per Share (Basic)</t>
  </si>
  <si>
    <t>EV/Sales</t>
  </si>
  <si>
    <t>P/E</t>
  </si>
  <si>
    <t>Average</t>
  </si>
  <si>
    <t>Median</t>
  </si>
  <si>
    <t>Mean</t>
  </si>
  <si>
    <t xml:space="preserve">Optimistic Case </t>
  </si>
  <si>
    <t>Base Case</t>
  </si>
  <si>
    <t>Pessimistic Case</t>
  </si>
  <si>
    <t>Enterprise Value</t>
  </si>
  <si>
    <t>In Crore</t>
  </si>
  <si>
    <t>S.No.</t>
  </si>
  <si>
    <t>Reliance Infra</t>
  </si>
  <si>
    <t>NAVA Limited</t>
  </si>
  <si>
    <t>Gujarat Industries Power Company Ltd.</t>
  </si>
  <si>
    <t>RattanIndia Power Ltd.</t>
  </si>
  <si>
    <t>SBICAP trustee company limited</t>
  </si>
  <si>
    <t>KSK Energy Ventures Limited</t>
  </si>
  <si>
    <t>No. of shares held 35.86 35.86</t>
  </si>
  <si>
    <t>% of shares held 9.94% 9.94%</t>
  </si>
  <si>
    <t>KSK Energy Company Private Limited</t>
  </si>
  <si>
    <t>No. of shares held 25.00 25.00</t>
  </si>
  <si>
    <t>% of shares held 6.93% 6.93%</t>
  </si>
  <si>
    <t>Name of the shareholder</t>
  </si>
  <si>
    <t xml:space="preserve">No. of shares held </t>
  </si>
  <si>
    <t xml:space="preserve">% of shares held </t>
  </si>
  <si>
    <t xml:space="preserve">S.No. </t>
  </si>
  <si>
    <t xml:space="preserve">Location </t>
  </si>
  <si>
    <t>Nariyara Village, Chattisgarh</t>
  </si>
  <si>
    <t xml:space="preserve">Factory Area </t>
  </si>
  <si>
    <t>Approx 2132 Acres</t>
  </si>
  <si>
    <t xml:space="preserve">Number of Units </t>
  </si>
  <si>
    <t>6 units of 600 MW each</t>
  </si>
  <si>
    <t>Operational Status</t>
  </si>
  <si>
    <t>Details</t>
  </si>
  <si>
    <t>3 units commissioned</t>
  </si>
  <si>
    <t>Lack of Marketability Discount</t>
  </si>
  <si>
    <t>Only EV/EBITDA</t>
  </si>
  <si>
    <t>Average Base</t>
  </si>
  <si>
    <t>Sensitivity Analysis</t>
  </si>
  <si>
    <t>Revenue</t>
  </si>
  <si>
    <t>Data as per ABS 2022</t>
  </si>
  <si>
    <t>Tax Rate (T)</t>
  </si>
  <si>
    <t>(1-T)</t>
  </si>
  <si>
    <t>NOPAT= EBIT*(1-T)</t>
  </si>
  <si>
    <t>Add: Depreciation &amp; Amortization</t>
  </si>
  <si>
    <t>Less: Changes in Working Capital</t>
  </si>
  <si>
    <t>Less: CAPEX</t>
  </si>
  <si>
    <t>Free Cash Flow to Firm (FCFF)</t>
  </si>
  <si>
    <t>Discount Rate (WACC)</t>
  </si>
  <si>
    <t>Period</t>
  </si>
  <si>
    <t>Discount Factor</t>
  </si>
  <si>
    <t>PV of FCFF</t>
  </si>
  <si>
    <t>Growth Rate</t>
  </si>
  <si>
    <t>Terminal Value</t>
  </si>
  <si>
    <t>PV of terminal Value</t>
  </si>
  <si>
    <t>PV of FCFF + PV of TV</t>
  </si>
  <si>
    <t>Enterprise Value Of the Firm</t>
  </si>
  <si>
    <t>Perpetuity</t>
  </si>
  <si>
    <t>Net PP&amp;E</t>
  </si>
  <si>
    <t>Less: Depreciation</t>
  </si>
  <si>
    <t>% OTHER EXPENSES W/O PROV.</t>
  </si>
  <si>
    <t>OTHER EXPENSES W/O PROV.</t>
  </si>
  <si>
    <t>PROV</t>
  </si>
  <si>
    <t>OTHER EXPENSEs</t>
  </si>
  <si>
    <t>Other Expenses W/O Prov.</t>
  </si>
  <si>
    <t>https://kunaldesai.blog/nifty-returns/</t>
  </si>
  <si>
    <t>Company Risk Premium</t>
  </si>
  <si>
    <t>Appropriate Discount Rate</t>
  </si>
  <si>
    <t>Discount Rate</t>
  </si>
  <si>
    <t>Revenue Growth Rate (for first 5 years)</t>
  </si>
  <si>
    <t>Crores</t>
  </si>
  <si>
    <t>Profit / (loss) after tax</t>
  </si>
  <si>
    <t xml:space="preserve">Gross Opening PP&amp;E </t>
  </si>
  <si>
    <t>TOTAL</t>
  </si>
  <si>
    <t>Other Creditors/Stakeholders</t>
  </si>
  <si>
    <t>Operational Creditors (only Workmen and Employees)</t>
  </si>
  <si>
    <t>Operational Creditors (other than Workmen and Employees)</t>
  </si>
  <si>
    <t>Financial Creditors (Related Party)</t>
  </si>
  <si>
    <t>Financial Creditors</t>
  </si>
  <si>
    <r>
      <t xml:space="preserve">Contingent Claim
</t>
    </r>
    <r>
      <rPr>
        <b/>
        <sz val="11"/>
        <color theme="0"/>
        <rFont val="Calibri"/>
        <family val="2"/>
      </rPr>
      <t>(in INR)</t>
    </r>
  </si>
  <si>
    <r>
      <t xml:space="preserve">Amount of Claims admitted
</t>
    </r>
    <r>
      <rPr>
        <b/>
        <sz val="11"/>
        <color theme="0"/>
        <rFont val="Calibri"/>
        <family val="2"/>
      </rPr>
      <t>(in INR)</t>
    </r>
  </si>
  <si>
    <r>
      <t xml:space="preserve">Amount Claimed
</t>
    </r>
    <r>
      <rPr>
        <b/>
        <sz val="11"/>
        <color theme="0"/>
        <rFont val="Calibri"/>
        <family val="2"/>
      </rPr>
      <t>(in INR)</t>
    </r>
  </si>
  <si>
    <t>Category of Creditors</t>
  </si>
  <si>
    <t>Cost per MW</t>
  </si>
  <si>
    <t>Operational Capacity of the Plant</t>
  </si>
  <si>
    <t>MW</t>
  </si>
  <si>
    <t xml:space="preserve">Total Cost </t>
  </si>
  <si>
    <t xml:space="preserve">Estimation of FGD Cost </t>
  </si>
  <si>
    <t>0%-0.25%</t>
  </si>
  <si>
    <t>1.5%-1.75%</t>
  </si>
  <si>
    <t>3%-3.25%</t>
  </si>
  <si>
    <t>Depreciation Schedule</t>
  </si>
  <si>
    <t>Expected Market Return (Rm) Nifty Fifty 10-year return 2022</t>
  </si>
  <si>
    <t>FCFF for Remaining Year</t>
  </si>
  <si>
    <t>No. of Months</t>
  </si>
  <si>
    <t>Operational Revenue</t>
  </si>
  <si>
    <t>Other Income</t>
  </si>
  <si>
    <t>Income Tax Expense</t>
  </si>
  <si>
    <t>Payback Period</t>
  </si>
  <si>
    <t>Cost of Project</t>
  </si>
  <si>
    <t>9328.88 Crores</t>
  </si>
  <si>
    <t xml:space="preserve">Year </t>
  </si>
  <si>
    <t>Cash Flow</t>
  </si>
  <si>
    <t>Sep. 2023 P</t>
  </si>
  <si>
    <t>As on Mar 31,
2023</t>
  </si>
  <si>
    <t>As on Sep 30,
2023</t>
  </si>
  <si>
    <t>Unit No.</t>
  </si>
  <si>
    <t>Date of Contractual Schedule</t>
  </si>
  <si>
    <t>COD Achieved</t>
  </si>
  <si>
    <t>Unit-2</t>
  </si>
  <si>
    <t>Unit-3</t>
  </si>
  <si>
    <t>Unit-4</t>
  </si>
  <si>
    <t>Valuation Date</t>
  </si>
  <si>
    <t>Case 1</t>
  </si>
  <si>
    <t>Case 2</t>
  </si>
  <si>
    <t>Case 3</t>
  </si>
  <si>
    <t>Add: Cash Balance as on 31.03.2024</t>
  </si>
  <si>
    <t>EV +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</si>
</sst>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FY&quot;\ 0\ &quot;A&quot;"/>
    <numFmt numFmtId="165" formatCode="0.0%"/>
    <numFmt numFmtId="166" formatCode="0.00\ &quot;xx&quot;"/>
    <numFmt numFmtId="167" formatCode="&quot;FY&quot;\ 0\ &quot;E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7">
    <xf numFmtId="0" fontId="0" fillId="0" borderId="0" xfId="0"/>
    <xf numFmtId="0" fontId="1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shrinkToFit="1"/>
    </xf>
    <xf numFmtId="4" fontId="3" fillId="0" borderId="3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4" fontId="5" fillId="0" borderId="5" xfId="0" applyNumberFormat="1" applyFont="1" applyBorder="1" applyAlignment="1">
      <alignment horizontal="center" vertical="center" shrinkToFit="1"/>
    </xf>
    <xf numFmtId="4" fontId="3" fillId="0" borderId="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shrinkToFit="1"/>
    </xf>
    <xf numFmtId="0" fontId="0" fillId="0" borderId="5" xfId="0" applyBorder="1"/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3"/>
    </xf>
    <xf numFmtId="2" fontId="5" fillId="0" borderId="5" xfId="0" applyNumberFormat="1" applyFont="1" applyBorder="1" applyAlignment="1">
      <alignment horizontal="center" vertical="center" shrinkToFit="1"/>
    </xf>
    <xf numFmtId="4" fontId="3" fillId="3" borderId="5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top" wrapText="1" inden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horizontal="center" vertical="center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165" fontId="0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0" fontId="0" fillId="0" borderId="5" xfId="1" applyNumberFormat="1" applyFont="1" applyBorder="1"/>
    <xf numFmtId="4" fontId="0" fillId="0" borderId="0" xfId="0" applyNumberFormat="1" applyAlignment="1">
      <alignment vertical="center"/>
    </xf>
    <xf numFmtId="0" fontId="8" fillId="0" borderId="0" xfId="2"/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2" fontId="0" fillId="7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9" fillId="4" borderId="0" xfId="0" applyFont="1" applyFill="1"/>
    <xf numFmtId="0" fontId="1" fillId="2" borderId="0" xfId="0" applyFont="1" applyFill="1" applyAlignment="1">
      <alignment horizontal="center" vertical="center"/>
    </xf>
    <xf numFmtId="0" fontId="9" fillId="0" borderId="0" xfId="0" applyFont="1"/>
    <xf numFmtId="166" fontId="0" fillId="0" borderId="0" xfId="0" applyNumberFormat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9" borderId="5" xfId="0" applyFont="1" applyFill="1" applyBorder="1"/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4" borderId="0" xfId="0" applyFont="1" applyFill="1"/>
    <xf numFmtId="0" fontId="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9" fillId="7" borderId="0" xfId="0" applyFont="1" applyFill="1"/>
    <xf numFmtId="2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0" xfId="0" applyNumberFormat="1"/>
    <xf numFmtId="4" fontId="9" fillId="0" borderId="5" xfId="0" applyNumberFormat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0" fillId="7" borderId="0" xfId="0" applyFill="1"/>
    <xf numFmtId="4" fontId="0" fillId="0" borderId="5" xfId="0" applyNumberForma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 shrinkToFit="1"/>
    </xf>
    <xf numFmtId="9" fontId="0" fillId="0" borderId="0" xfId="1" applyFont="1"/>
    <xf numFmtId="4" fontId="3" fillId="3" borderId="11" xfId="0" applyNumberFormat="1" applyFont="1" applyFill="1" applyBorder="1" applyAlignment="1">
      <alignment horizontal="center" vertical="center" shrinkToFit="1"/>
    </xf>
    <xf numFmtId="9" fontId="0" fillId="0" borderId="5" xfId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12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vertical="center"/>
    </xf>
    <xf numFmtId="0" fontId="12" fillId="0" borderId="12" xfId="0" applyFont="1" applyBorder="1"/>
    <xf numFmtId="4" fontId="5" fillId="0" borderId="12" xfId="0" applyNumberFormat="1" applyFont="1" applyBorder="1" applyAlignment="1">
      <alignment horizontal="center" vertical="center" shrinkToFit="1"/>
    </xf>
    <xf numFmtId="0" fontId="13" fillId="3" borderId="5" xfId="0" applyFont="1" applyFill="1" applyBorder="1"/>
    <xf numFmtId="0" fontId="0" fillId="3" borderId="5" xfId="0" applyFill="1" applyBorder="1"/>
    <xf numFmtId="4" fontId="5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4" fillId="2" borderId="5" xfId="0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/>
    </xf>
    <xf numFmtId="164" fontId="2" fillId="2" borderId="5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0" fillId="0" borderId="0" xfId="0" applyAlignment="1">
      <alignment horizontal="left" vertical="center" wrapText="1"/>
    </xf>
    <xf numFmtId="10" fontId="9" fillId="0" borderId="13" xfId="0" applyNumberFormat="1" applyFont="1" applyBorder="1" applyAlignment="1">
      <alignment horizontal="center" vertical="center"/>
    </xf>
    <xf numFmtId="10" fontId="0" fillId="10" borderId="5" xfId="0" applyNumberFormat="1" applyFill="1" applyBorder="1" applyAlignment="1">
      <alignment horizontal="center" vertical="center"/>
    </xf>
    <xf numFmtId="43" fontId="0" fillId="11" borderId="5" xfId="3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vertical="center" shrinkToFit="1"/>
    </xf>
    <xf numFmtId="4" fontId="1" fillId="2" borderId="14" xfId="0" applyNumberFormat="1" applyFont="1" applyFill="1" applyBorder="1" applyAlignment="1">
      <alignment vertical="center" shrinkToFit="1"/>
    </xf>
    <xf numFmtId="4" fontId="1" fillId="2" borderId="7" xfId="0" applyNumberFormat="1" applyFont="1" applyFill="1" applyBorder="1" applyAlignment="1">
      <alignment horizontal="center" vertical="center" shrinkToFit="1"/>
    </xf>
    <xf numFmtId="4" fontId="9" fillId="13" borderId="5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10" fontId="0" fillId="0" borderId="0" xfId="0" applyNumberFormat="1"/>
    <xf numFmtId="43" fontId="9" fillId="5" borderId="5" xfId="3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9" fillId="14" borderId="5" xfId="0" applyFont="1" applyFill="1" applyBorder="1" applyAlignment="1">
      <alignment horizontal="left" vertical="center"/>
    </xf>
    <xf numFmtId="4" fontId="9" fillId="14" borderId="5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2" fontId="2" fillId="2" borderId="17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shrinkToFit="1"/>
    </xf>
    <xf numFmtId="4" fontId="3" fillId="3" borderId="0" xfId="0" applyNumberFormat="1" applyFont="1" applyFill="1" applyAlignment="1">
      <alignment horizontal="center" vertical="center" shrinkToFit="1"/>
    </xf>
    <xf numFmtId="9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shrinkToFit="1"/>
    </xf>
    <xf numFmtId="4" fontId="3" fillId="0" borderId="7" xfId="0" applyNumberFormat="1" applyFont="1" applyBorder="1" applyAlignment="1">
      <alignment horizontal="center" vertical="center" shrinkToFit="1"/>
    </xf>
    <xf numFmtId="4" fontId="3" fillId="3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2" fontId="3" fillId="3" borderId="5" xfId="0" applyNumberFormat="1" applyFont="1" applyFill="1" applyBorder="1" applyAlignment="1">
      <alignment horizontal="center" vertical="center" shrinkToFit="1"/>
    </xf>
    <xf numFmtId="2" fontId="3" fillId="0" borderId="5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vertical="center"/>
    </xf>
    <xf numFmtId="167" fontId="2" fillId="2" borderId="9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43" fontId="0" fillId="0" borderId="5" xfId="3" applyNumberFormat="1" applyFont="1" applyFill="1" applyBorder="1" applyAlignment="1">
      <alignment horizontal="center" vertical="center"/>
    </xf>
    <xf numFmtId="167" fontId="2" fillId="2" borderId="19" xfId="0" applyNumberFormat="1" applyFont="1" applyFill="1" applyBorder="1" applyAlignment="1">
      <alignment horizontal="center" vertical="center" wrapText="1"/>
    </xf>
    <xf numFmtId="2" fontId="9" fillId="15" borderId="0" xfId="0" applyNumberFormat="1" applyFont="1" applyFill="1"/>
    <xf numFmtId="0" fontId="16" fillId="2" borderId="20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5" fontId="18" fillId="0" borderId="23" xfId="0" applyNumberFormat="1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10" fontId="0" fillId="0" borderId="0" xfId="1" applyNumberFormat="1" applyFont="1"/>
    <xf numFmtId="4" fontId="0" fillId="0" borderId="5" xfId="0" applyNumberFormat="1" applyBorder="1"/>
    <xf numFmtId="0" fontId="18" fillId="0" borderId="22" xfId="0" applyFont="1" applyBorder="1" applyAlignment="1">
      <alignment horizontal="center" vertical="center"/>
    </xf>
    <xf numFmtId="2" fontId="9" fillId="0" borderId="0" xfId="0" applyNumberFormat="1" applyFont="1"/>
    <xf numFmtId="0" fontId="1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0" fontId="5" fillId="0" borderId="7" xfId="1" applyNumberFormat="1" applyFont="1" applyBorder="1" applyAlignment="1">
      <alignment horizontal="center" vertical="center" shrinkToFit="1"/>
    </xf>
    <xf numFmtId="10" fontId="5" fillId="0" borderId="13" xfId="1" applyNumberFormat="1" applyFont="1" applyBorder="1" applyAlignment="1">
      <alignment horizontal="center" vertical="center" shrinkToFit="1"/>
    </xf>
    <xf numFmtId="10" fontId="5" fillId="0" borderId="14" xfId="1" applyNumberFormat="1" applyFont="1" applyBorder="1" applyAlignment="1">
      <alignment horizontal="center" vertical="center" shrinkToFi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4" fontId="9" fillId="13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4" fontId="5" fillId="0" borderId="7" xfId="1" applyNumberFormat="1" applyFont="1" applyBorder="1" applyAlignment="1">
      <alignment horizontal="center" vertical="center" shrinkToFit="1"/>
    </xf>
    <xf numFmtId="14" fontId="5" fillId="0" borderId="13" xfId="1" applyNumberFormat="1" applyFont="1" applyBorder="1" applyAlignment="1">
      <alignment horizontal="center" vertical="center" shrinkToFit="1"/>
    </xf>
    <xf numFmtId="14" fontId="5" fillId="0" borderId="14" xfId="1" applyNumberFormat="1" applyFont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3" fontId="0" fillId="0" borderId="0" xfId="4" applyFont="1"/>
  </cellXfs>
  <cellStyles count="5">
    <cellStyle name="Comma" xfId="4" builtinId="3"/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'P&amp;L'!$B$31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'P&amp;L'!$C$6:$H$6</c:f>
              <c:numCache>
                <c:formatCode>"FY"\ 0\ "A"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'P&amp;L'!$C$31:$H$31</c:f>
              <c:numCache>
                <c:formatCode>0.00%</c:formatCode>
                <c:ptCount val="6"/>
                <c:pt idx="0">
                  <c:v>0.22950198963858848</c:v>
                </c:pt>
                <c:pt idx="1">
                  <c:v>5.9647022003293033E-2</c:v>
                </c:pt>
                <c:pt idx="2">
                  <c:v>8.7674438566452739E-2</c:v>
                </c:pt>
                <c:pt idx="3">
                  <c:v>0.22654355203487608</c:v>
                </c:pt>
                <c:pt idx="4">
                  <c:v>0.35549009552658889</c:v>
                </c:pt>
                <c:pt idx="5">
                  <c:v>0.28145162708968979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3-4147-89E3-E8C8A4A58E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9063784"/>
        <c:axId val="116932056"/>
      </c:barChart>
      <c:catAx>
        <c:axId val="249063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Financial</a:t>
                </a:r>
                <a:r>
                  <a:rPr lang="en-US" b="1" baseline="0"/>
                  <a:t> Year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32056"/>
        <c:crosses val="autoZero"/>
        <c:auto val="1"/>
        <c:lblAlgn val="ctr"/>
        <c:lblOffset val="100"/>
        <c:noMultiLvlLbl val="0"/>
      </c:catAx>
      <c:valAx>
        <c:axId val="11693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06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'P&amp;L'!$B$32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'P&amp;L'!$C$6:$H$6</c:f>
              <c:numCache>
                <c:formatCode>"FY"\ 0\ "A"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'P&amp;L'!$C$32:$H$32</c:f>
              <c:numCache>
                <c:formatCode>0.00%</c:formatCode>
                <c:ptCount val="6"/>
                <c:pt idx="0">
                  <c:v>4.0615568330341918E-2</c:v>
                </c:pt>
                <c:pt idx="1">
                  <c:v>-0.13028888677216996</c:v>
                </c:pt>
                <c:pt idx="2">
                  <c:v>-6.9362059696502804E-2</c:v>
                </c:pt>
                <c:pt idx="3">
                  <c:v>6.764288337087096E-2</c:v>
                </c:pt>
                <c:pt idx="4">
                  <c:v>0.19511514472099326</c:v>
                </c:pt>
                <c:pt idx="5">
                  <c:v>0.15136849882432046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A-42DE-8609-6671E0F79C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9633392"/>
        <c:axId val="31423336"/>
      </c:barChart>
      <c:catAx>
        <c:axId val="24963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Financial</a:t>
                </a:r>
                <a:r>
                  <a:rPr lang="en-US" b="1" baseline="0"/>
                  <a:t> Year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23336"/>
        <c:crosses val="autoZero"/>
        <c:auto val="1"/>
        <c:lblAlgn val="ctr"/>
        <c:lblOffset val="100"/>
        <c:noMultiLvlLbl val="0"/>
      </c:catAx>
      <c:valAx>
        <c:axId val="3142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63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'P&amp;L'!$B$34</c:f>
              <c:strCache>
                <c:ptCount val="1"/>
                <c:pt idx="0">
                  <c:v>Revenue Growth Rate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'P&amp;L'!$C$6:$H$6</c:f>
              <c:numCache>
                <c:formatCode>"FY"\ 0\ "A"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'P&amp;L'!$C$34:$H$34</c:f>
              <c:numCache>
                <c:formatCode>0.00%</c:formatCode>
                <c:ptCount val="6"/>
                <c:pt idx="1">
                  <c:v>0.33775434789731773</c:v>
                </c:pt>
                <c:pt idx="2">
                  <c:v>0.2048224904407463</c:v>
                </c:pt>
                <c:pt idx="3">
                  <c:v>-3.4191991976616709E-2</c:v>
                </c:pt>
                <c:pt idx="4">
                  <c:v>-1.9444814755045225E-2</c:v>
                </c:pt>
                <c:pt idx="5">
                  <c:v>0.22030506493661361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F-4E73-B061-6C16E5F8BF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0515720"/>
        <c:axId val="251779824"/>
      </c:barChart>
      <c:catAx>
        <c:axId val="25051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Financial</a:t>
                </a:r>
                <a:r>
                  <a:rPr lang="en-US" b="1" baseline="0"/>
                  <a:t> Year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79824"/>
        <c:crosses val="autoZero"/>
        <c:auto val="1"/>
        <c:lblAlgn val="ctr"/>
        <c:lblOffset val="100"/>
        <c:noMultiLvlLbl val="0"/>
      </c:catAx>
      <c:valAx>
        <c:axId val="25177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51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'P&amp;L'!$B$33</c:f>
              <c:strCache>
                <c:ptCount val="1"/>
                <c:pt idx="0">
                  <c:v>Net Profit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'P&amp;L'!$C$6:$H$6</c:f>
              <c:numCache>
                <c:formatCode>"FY"\ 0\ "A"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'P&amp;L'!$C$33:$H$33</c:f>
              <c:numCache>
                <c:formatCode>0.00%</c:formatCode>
                <c:ptCount val="6"/>
                <c:pt idx="0">
                  <c:v>-0.56836674882496641</c:v>
                </c:pt>
                <c:pt idx="1">
                  <c:v>-0.19308740083549916</c:v>
                </c:pt>
                <c:pt idx="2">
                  <c:v>-0.11839234164434179</c:v>
                </c:pt>
                <c:pt idx="3">
                  <c:v>2.010201862155564E-2</c:v>
                </c:pt>
                <c:pt idx="4">
                  <c:v>7.9049742996505787E-2</c:v>
                </c:pt>
                <c:pt idx="5">
                  <c:v>0.12078714824898999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1-4070-B114-F0ACFAE28E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510976"/>
        <c:axId val="308511368"/>
      </c:barChart>
      <c:catAx>
        <c:axId val="30851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Financial</a:t>
                </a:r>
                <a:r>
                  <a:rPr lang="en-US" b="1" baseline="0"/>
                  <a:t> Year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11368"/>
        <c:crosses val="autoZero"/>
        <c:auto val="1"/>
        <c:lblAlgn val="ctr"/>
        <c:lblOffset val="100"/>
        <c:noMultiLvlLbl val="0"/>
      </c:catAx>
      <c:valAx>
        <c:axId val="30851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51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35</xdr:row>
      <xdr:rowOff>76200</xdr:rowOff>
    </xdr:from>
    <xdr:to>
      <xdr:col>6</xdr:col>
      <xdr:colOff>419100</xdr:colOff>
      <xdr:row>49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35</xdr:row>
      <xdr:rowOff>76200</xdr:rowOff>
    </xdr:from>
    <xdr:to>
      <xdr:col>13</xdr:col>
      <xdr:colOff>514350</xdr:colOff>
      <xdr:row>49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51</xdr:row>
      <xdr:rowOff>19050</xdr:rowOff>
    </xdr:from>
    <xdr:to>
      <xdr:col>13</xdr:col>
      <xdr:colOff>533400</xdr:colOff>
      <xdr:row>65</xdr:row>
      <xdr:rowOff>95250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752475</xdr:colOff>
      <xdr:row>51</xdr:row>
      <xdr:rowOff>9525</xdr:rowOff>
    </xdr:from>
    <xdr:to>
      <xdr:col>6</xdr:col>
      <xdr:colOff>419100</xdr:colOff>
      <xdr:row>65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Rachit/KSK/RK%20Working%20Mar%2024/VIS(2022-23)-PL656-555-928_KSK%20Exc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Payback"/>
      <sheetName val="Payback"/>
      <sheetName val="Historical P&amp;L"/>
      <sheetName val="Sheet1"/>
      <sheetName val="BS"/>
      <sheetName val="CFS"/>
      <sheetName val="Sheet2"/>
      <sheetName val="Depreciation"/>
      <sheetName val="DCF Valuation (1)"/>
      <sheetName val="DCF Valuation (2)"/>
      <sheetName val="DCF Valuation (3)"/>
      <sheetName val="Discount Rate"/>
      <sheetName val="Relative Valuation RK"/>
    </sheetNames>
    <sheetDataSet>
      <sheetData sheetId="0" refreshError="1"/>
      <sheetData sheetId="1" refreshError="1"/>
      <sheetData sheetId="2">
        <row r="16">
          <cell r="H16">
            <v>665.53</v>
          </cell>
        </row>
      </sheetData>
      <sheetData sheetId="3" refreshError="1"/>
      <sheetData sheetId="4" refreshError="1"/>
      <sheetData sheetId="5">
        <row r="57">
          <cell r="F57">
            <v>2872.3899999999994</v>
          </cell>
          <cell r="G57">
            <v>2950.5599999999995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BX39"/>
  <sheetViews>
    <sheetView showGridLines="0" topLeftCell="A10" workbookViewId="0">
      <selection activeCell="B37" sqref="B37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customWidth="1"/>
    <col min="9" max="12" width="12.5703125" bestFit="1" customWidth="1"/>
    <col min="13" max="67" width="10.42578125" customWidth="1"/>
    <col min="69" max="69" width="0" hidden="1" customWidth="1"/>
    <col min="70" max="70" width="26.5703125" customWidth="1"/>
  </cols>
  <sheetData>
    <row r="1" spans="1:76" x14ac:dyDescent="0.25">
      <c r="A1" s="2"/>
      <c r="B1" s="2"/>
      <c r="C1" s="2"/>
      <c r="D1" s="2"/>
      <c r="E1" s="2"/>
      <c r="F1" s="2"/>
      <c r="G1" s="2"/>
    </row>
    <row r="2" spans="1:76" x14ac:dyDescent="0.25">
      <c r="A2" s="2"/>
      <c r="B2" s="178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</row>
    <row r="3" spans="1:76" ht="10.5" customHeight="1" x14ac:dyDescent="0.25">
      <c r="A3" s="2"/>
      <c r="B3" s="2"/>
      <c r="C3" s="2"/>
      <c r="D3" s="2"/>
      <c r="E3" s="2"/>
      <c r="F3" s="2"/>
      <c r="G3" s="2"/>
    </row>
    <row r="4" spans="1:76" x14ac:dyDescent="0.25">
      <c r="A4" s="2"/>
      <c r="B4" s="179" t="s">
        <v>107</v>
      </c>
      <c r="C4" s="179"/>
      <c r="D4" s="179"/>
      <c r="E4" s="179"/>
      <c r="F4" s="179"/>
      <c r="G4" s="17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</row>
    <row r="5" spans="1:76" x14ac:dyDescent="0.25">
      <c r="A5" s="2"/>
      <c r="B5" s="2"/>
      <c r="C5" s="2"/>
      <c r="D5" s="2"/>
      <c r="E5" s="2"/>
      <c r="F5" s="2"/>
      <c r="G5" s="2"/>
      <c r="H5" s="123">
        <v>1.4999999999999999E-2</v>
      </c>
      <c r="I5" s="123">
        <v>1.4999999999999999E-2</v>
      </c>
      <c r="J5" s="123">
        <v>1.7500000000000002E-2</v>
      </c>
      <c r="K5" s="123">
        <v>1.7500000000000002E-2</v>
      </c>
      <c r="L5" s="123">
        <v>1.7500000000000002E-2</v>
      </c>
      <c r="M5" s="123">
        <v>1.7500000000000002E-2</v>
      </c>
      <c r="N5" s="123">
        <v>1.7500000000000002E-2</v>
      </c>
      <c r="O5" s="123">
        <v>1.7500000000000002E-2</v>
      </c>
      <c r="P5" s="123">
        <v>1.7500000000000002E-2</v>
      </c>
      <c r="Q5" s="123">
        <v>1.7500000000000002E-2</v>
      </c>
      <c r="R5" s="123">
        <v>1.7500000000000002E-2</v>
      </c>
      <c r="S5" s="123">
        <v>1.7500000000000002E-2</v>
      </c>
      <c r="T5" s="123">
        <v>1.7500000000000002E-2</v>
      </c>
      <c r="U5" s="123">
        <v>1.7500000000000002E-2</v>
      </c>
      <c r="V5" s="123">
        <v>1.7500000000000002E-2</v>
      </c>
      <c r="W5" s="123">
        <v>1.7500000000000002E-2</v>
      </c>
      <c r="X5" s="123">
        <v>1.7500000000000002E-2</v>
      </c>
      <c r="Y5" s="123">
        <v>1.7500000000000002E-2</v>
      </c>
      <c r="Z5" s="123">
        <v>1.7500000000000002E-2</v>
      </c>
      <c r="AA5" s="123">
        <v>1.7500000000000002E-2</v>
      </c>
      <c r="AB5" s="123">
        <v>1.7500000000000002E-2</v>
      </c>
      <c r="AC5" s="123">
        <v>1.7500000000000002E-2</v>
      </c>
      <c r="AD5" s="123">
        <v>1.7500000000000002E-2</v>
      </c>
      <c r="AE5" s="123">
        <v>1.7500000000000002E-2</v>
      </c>
      <c r="AF5" s="123">
        <v>1.7500000000000002E-2</v>
      </c>
      <c r="AG5" s="123">
        <v>1.7500000000000002E-2</v>
      </c>
      <c r="AH5" s="123">
        <v>1.7500000000000002E-2</v>
      </c>
      <c r="AI5" s="123">
        <v>1.7500000000000002E-2</v>
      </c>
      <c r="AJ5" s="123">
        <v>1.7500000000000002E-2</v>
      </c>
      <c r="AK5" s="123">
        <v>1.7500000000000002E-2</v>
      </c>
      <c r="AL5" s="123">
        <v>1.7500000000000002E-2</v>
      </c>
      <c r="AM5" s="123">
        <v>1.7500000000000002E-2</v>
      </c>
      <c r="AN5" s="123">
        <v>1.7500000000000002E-2</v>
      </c>
      <c r="AO5" s="123">
        <v>1.7500000000000002E-2</v>
      </c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</row>
    <row r="6" spans="1:76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52">
        <f t="shared" si="0"/>
        <v>2023</v>
      </c>
      <c r="I6" s="52">
        <f t="shared" si="0"/>
        <v>2024</v>
      </c>
      <c r="J6" s="52">
        <f t="shared" si="0"/>
        <v>2025</v>
      </c>
      <c r="K6" s="52">
        <f t="shared" si="0"/>
        <v>2026</v>
      </c>
      <c r="L6" s="52">
        <f t="shared" si="0"/>
        <v>2027</v>
      </c>
      <c r="M6" s="52">
        <f t="shared" ref="M6" si="1">L6+1</f>
        <v>2028</v>
      </c>
      <c r="N6" s="52">
        <f t="shared" ref="N6" si="2">M6+1</f>
        <v>2029</v>
      </c>
      <c r="O6" s="52">
        <f t="shared" ref="O6" si="3">N6+1</f>
        <v>2030</v>
      </c>
      <c r="P6" s="52">
        <f t="shared" ref="P6" si="4">O6+1</f>
        <v>2031</v>
      </c>
      <c r="Q6" s="52">
        <f t="shared" ref="Q6" si="5">P6+1</f>
        <v>2032</v>
      </c>
      <c r="R6" s="52">
        <f t="shared" ref="R6" si="6">Q6+1</f>
        <v>2033</v>
      </c>
      <c r="S6" s="52">
        <f t="shared" ref="S6" si="7">R6+1</f>
        <v>2034</v>
      </c>
      <c r="T6" s="52">
        <f t="shared" ref="T6" si="8">S6+1</f>
        <v>2035</v>
      </c>
      <c r="U6" s="52">
        <f t="shared" ref="U6" si="9">T6+1</f>
        <v>2036</v>
      </c>
      <c r="V6" s="52">
        <f t="shared" ref="V6" si="10">U6+1</f>
        <v>2037</v>
      </c>
      <c r="W6" s="52">
        <f t="shared" ref="W6" si="11">V6+1</f>
        <v>2038</v>
      </c>
      <c r="X6" s="52">
        <f t="shared" ref="X6" si="12">W6+1</f>
        <v>2039</v>
      </c>
      <c r="Y6" s="52">
        <f t="shared" ref="Y6" si="13">X6+1</f>
        <v>2040</v>
      </c>
      <c r="Z6" s="52">
        <f t="shared" ref="Z6" si="14">Y6+1</f>
        <v>2041</v>
      </c>
      <c r="AA6" s="52">
        <f t="shared" ref="AA6" si="15">Z6+1</f>
        <v>2042</v>
      </c>
      <c r="AB6" s="52">
        <f t="shared" ref="AB6" si="16">AA6+1</f>
        <v>2043</v>
      </c>
      <c r="AC6" s="52">
        <f t="shared" ref="AC6" si="17">AB6+1</f>
        <v>2044</v>
      </c>
      <c r="AD6" s="52">
        <f t="shared" ref="AD6" si="18">AC6+1</f>
        <v>2045</v>
      </c>
      <c r="AE6" s="52">
        <f t="shared" ref="AE6" si="19">AD6+1</f>
        <v>2046</v>
      </c>
      <c r="AF6" s="52">
        <f t="shared" ref="AF6" si="20">AE6+1</f>
        <v>2047</v>
      </c>
      <c r="AG6" s="52">
        <f t="shared" ref="AG6" si="21">AF6+1</f>
        <v>2048</v>
      </c>
      <c r="AH6" s="52">
        <f t="shared" ref="AH6" si="22">AG6+1</f>
        <v>2049</v>
      </c>
      <c r="AI6" s="52">
        <f t="shared" ref="AI6" si="23">AH6+1</f>
        <v>2050</v>
      </c>
      <c r="AJ6" s="52">
        <f t="shared" ref="AJ6" si="24">AI6+1</f>
        <v>2051</v>
      </c>
      <c r="AK6" s="52">
        <f t="shared" ref="AK6" si="25">AJ6+1</f>
        <v>2052</v>
      </c>
      <c r="AL6" s="52">
        <f t="shared" ref="AL6" si="26">AK6+1</f>
        <v>2053</v>
      </c>
      <c r="AM6" s="52">
        <f t="shared" ref="AM6" si="27">AL6+1</f>
        <v>2054</v>
      </c>
      <c r="AN6" s="52">
        <f t="shared" ref="AN6" si="28">AM6+1</f>
        <v>2055</v>
      </c>
      <c r="AO6" s="52">
        <f t="shared" ref="AO6" si="29">AN6+1</f>
        <v>2056</v>
      </c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</row>
    <row r="7" spans="1:76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>
        <v>12</v>
      </c>
      <c r="W7" s="149">
        <v>12</v>
      </c>
      <c r="X7" s="149">
        <v>12</v>
      </c>
      <c r="Y7" s="149">
        <v>12</v>
      </c>
      <c r="Z7" s="149">
        <v>12</v>
      </c>
      <c r="AA7" s="149">
        <v>12</v>
      </c>
      <c r="AB7" s="149">
        <v>12</v>
      </c>
      <c r="AC7" s="149">
        <v>12</v>
      </c>
      <c r="AD7" s="149">
        <v>12</v>
      </c>
      <c r="AE7" s="149">
        <v>12</v>
      </c>
      <c r="AF7" s="149">
        <v>12</v>
      </c>
      <c r="AG7" s="149">
        <v>12</v>
      </c>
      <c r="AH7" s="149">
        <v>12</v>
      </c>
      <c r="AI7" s="149">
        <v>12</v>
      </c>
      <c r="AJ7" s="149">
        <v>12</v>
      </c>
      <c r="AK7" s="149">
        <v>12</v>
      </c>
      <c r="AL7" s="149">
        <v>12</v>
      </c>
      <c r="AM7" s="149">
        <v>12</v>
      </c>
      <c r="AN7" s="149">
        <v>12</v>
      </c>
      <c r="AO7" s="149">
        <v>12</v>
      </c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</row>
    <row r="8" spans="1:76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G8*(1+H5)</f>
        <v>4255.4382500000002</v>
      </c>
      <c r="I8" s="27">
        <f t="shared" ref="I8:L8" si="30">H8*(1+I5)</f>
        <v>4319.2698237499999</v>
      </c>
      <c r="J8" s="27">
        <f t="shared" si="30"/>
        <v>4394.8570456656253</v>
      </c>
      <c r="K8" s="27">
        <f t="shared" si="30"/>
        <v>4471.7670439647736</v>
      </c>
      <c r="L8" s="27">
        <f t="shared" si="30"/>
        <v>4550.0229672341575</v>
      </c>
      <c r="M8" s="27">
        <f t="shared" ref="M8" si="31">L8*(1+M5)</f>
        <v>4629.6483691607555</v>
      </c>
      <c r="N8" s="27">
        <f t="shared" ref="N8" si="32">M8*(1+N5)</f>
        <v>4710.6672156210689</v>
      </c>
      <c r="O8" s="27">
        <f t="shared" ref="O8" si="33">N8*(1+O5)</f>
        <v>4793.1038918944378</v>
      </c>
      <c r="P8" s="27">
        <f t="shared" ref="P8" si="34">O8*(1+P5)</f>
        <v>4876.9832100025906</v>
      </c>
      <c r="Q8" s="27">
        <f t="shared" ref="Q8" si="35">P8*(1+Q5)</f>
        <v>4962.3304161776359</v>
      </c>
      <c r="R8" s="27">
        <f t="shared" ref="R8" si="36">Q8*(1+R5)</f>
        <v>5049.1711984607446</v>
      </c>
      <c r="S8" s="27">
        <f t="shared" ref="S8" si="37">R8*(1+S5)</f>
        <v>5137.5316944338083</v>
      </c>
      <c r="T8" s="27">
        <f t="shared" ref="T8" si="38">S8*(1+T5)</f>
        <v>5227.4384990864</v>
      </c>
      <c r="U8" s="27">
        <f t="shared" ref="U8" si="39">T8*(1+U5)</f>
        <v>5318.9186728204122</v>
      </c>
      <c r="V8" s="27">
        <f t="shared" ref="V8" si="40">U8*(1+V5)</f>
        <v>5411.99974959477</v>
      </c>
      <c r="W8" s="27">
        <f t="shared" ref="W8" si="41">V8*(1+W5)</f>
        <v>5506.7097452126791</v>
      </c>
      <c r="X8" s="27">
        <f t="shared" ref="X8" si="42">W8*(1+X5)</f>
        <v>5603.0771657539017</v>
      </c>
      <c r="Y8" s="27">
        <f t="shared" ref="Y8" si="43">X8*(1+Y5)</f>
        <v>5701.1310161545953</v>
      </c>
      <c r="Z8" s="27">
        <f t="shared" ref="Z8" si="44">Y8*(1+Z5)</f>
        <v>5800.900808937301</v>
      </c>
      <c r="AA8" s="27">
        <f t="shared" ref="AA8" si="45">Z8*(1+AA5)</f>
        <v>5902.4165730937038</v>
      </c>
      <c r="AB8" s="27">
        <f t="shared" ref="AB8" si="46">AA8*(1+AB5)</f>
        <v>6005.7088631228444</v>
      </c>
      <c r="AC8" s="27">
        <f t="shared" ref="AC8" si="47">AB8*(1+AC5)</f>
        <v>6110.8087682274945</v>
      </c>
      <c r="AD8" s="27">
        <f t="shared" ref="AD8" si="48">AC8*(1+AD5)</f>
        <v>6217.7479216714764</v>
      </c>
      <c r="AE8" s="27">
        <f t="shared" ref="AE8" si="49">AD8*(1+AE5)</f>
        <v>6326.5585103007279</v>
      </c>
      <c r="AF8" s="27">
        <f t="shared" ref="AF8" si="50">AE8*(1+AF5)</f>
        <v>6437.2732842309915</v>
      </c>
      <c r="AG8" s="27">
        <f t="shared" ref="AG8" si="51">AF8*(1+AG5)</f>
        <v>6549.9255667050347</v>
      </c>
      <c r="AH8" s="27">
        <f t="shared" ref="AH8" si="52">AG8*(1+AH5)</f>
        <v>6664.5492641223736</v>
      </c>
      <c r="AI8" s="27">
        <f t="shared" ref="AI8" si="53">AH8*(1+AI5)</f>
        <v>6781.1788762445158</v>
      </c>
      <c r="AJ8" s="27">
        <f t="shared" ref="AJ8" si="54">AI8*(1+AJ5)</f>
        <v>6899.8495065787956</v>
      </c>
      <c r="AK8" s="27">
        <f t="shared" ref="AK8" si="55">AJ8*(1+AK5)</f>
        <v>7020.5968729439246</v>
      </c>
      <c r="AL8" s="27">
        <f t="shared" ref="AL8" si="56">AK8*(1+AL5)</f>
        <v>7143.457318220444</v>
      </c>
      <c r="AM8" s="27">
        <f t="shared" ref="AM8" si="57">AL8*(1+AM5)</f>
        <v>7268.4678212893023</v>
      </c>
      <c r="AN8" s="27">
        <f t="shared" ref="AN8" si="58">AM8*(1+AN5)</f>
        <v>7395.6660081618656</v>
      </c>
      <c r="AO8" s="27">
        <f t="shared" ref="AO8" si="59">AN8*(1+AO5)</f>
        <v>7525.0901633046988</v>
      </c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R8" s="58" t="s">
        <v>41</v>
      </c>
      <c r="BS8" s="59">
        <v>2018</v>
      </c>
      <c r="BT8" s="59">
        <f>BS8+1</f>
        <v>2019</v>
      </c>
      <c r="BU8" s="59">
        <f t="shared" ref="BU8:BW8" si="60">BT8+1</f>
        <v>2020</v>
      </c>
      <c r="BV8" s="59">
        <f t="shared" si="60"/>
        <v>2021</v>
      </c>
      <c r="BW8" s="60">
        <f t="shared" si="60"/>
        <v>2022</v>
      </c>
      <c r="BX8" s="60" t="s">
        <v>146</v>
      </c>
    </row>
    <row r="9" spans="1:76" x14ac:dyDescent="0.25">
      <c r="B9" s="44" t="s">
        <v>125</v>
      </c>
      <c r="C9" s="14">
        <f t="shared" ref="C9:L9" si="61">SUM(C8:C8)</f>
        <v>2746.73</v>
      </c>
      <c r="D9" s="14">
        <f t="shared" si="61"/>
        <v>3674.45</v>
      </c>
      <c r="E9" s="36">
        <f t="shared" si="61"/>
        <v>4427.0600000000004</v>
      </c>
      <c r="F9" s="36">
        <f t="shared" si="61"/>
        <v>4275.6899999999996</v>
      </c>
      <c r="G9" s="36">
        <f t="shared" si="61"/>
        <v>4192.55</v>
      </c>
      <c r="H9" s="36">
        <f t="shared" si="61"/>
        <v>4255.4382500000002</v>
      </c>
      <c r="I9" s="36">
        <f t="shared" si="61"/>
        <v>4319.2698237499999</v>
      </c>
      <c r="J9" s="36">
        <f t="shared" si="61"/>
        <v>4394.8570456656253</v>
      </c>
      <c r="K9" s="36">
        <f t="shared" si="61"/>
        <v>4471.7670439647736</v>
      </c>
      <c r="L9" s="36">
        <f t="shared" si="61"/>
        <v>4550.0229672341575</v>
      </c>
      <c r="M9" s="36">
        <f t="shared" ref="M9:Y9" si="62">SUM(M8:M8)</f>
        <v>4629.6483691607555</v>
      </c>
      <c r="N9" s="36">
        <f t="shared" si="62"/>
        <v>4710.6672156210689</v>
      </c>
      <c r="O9" s="36">
        <f t="shared" si="62"/>
        <v>4793.1038918944378</v>
      </c>
      <c r="P9" s="36">
        <f t="shared" si="62"/>
        <v>4876.9832100025906</v>
      </c>
      <c r="Q9" s="36">
        <f t="shared" si="62"/>
        <v>4962.3304161776359</v>
      </c>
      <c r="R9" s="36">
        <f t="shared" si="62"/>
        <v>5049.1711984607446</v>
      </c>
      <c r="S9" s="36">
        <f t="shared" si="62"/>
        <v>5137.5316944338083</v>
      </c>
      <c r="T9" s="36">
        <f t="shared" si="62"/>
        <v>5227.4384990864</v>
      </c>
      <c r="U9" s="36">
        <f t="shared" si="62"/>
        <v>5318.9186728204122</v>
      </c>
      <c r="V9" s="36">
        <f t="shared" si="62"/>
        <v>5411.99974959477</v>
      </c>
      <c r="W9" s="36">
        <f t="shared" si="62"/>
        <v>5506.7097452126791</v>
      </c>
      <c r="X9" s="36">
        <f t="shared" si="62"/>
        <v>5603.0771657539017</v>
      </c>
      <c r="Y9" s="36">
        <f t="shared" si="62"/>
        <v>5701.1310161545953</v>
      </c>
      <c r="Z9" s="36">
        <f t="shared" ref="Z9:AO9" si="63">SUM(Z8:Z8)</f>
        <v>5800.900808937301</v>
      </c>
      <c r="AA9" s="36">
        <f t="shared" si="63"/>
        <v>5902.4165730937038</v>
      </c>
      <c r="AB9" s="36">
        <f t="shared" si="63"/>
        <v>6005.7088631228444</v>
      </c>
      <c r="AC9" s="36">
        <f t="shared" si="63"/>
        <v>6110.8087682274945</v>
      </c>
      <c r="AD9" s="36">
        <f t="shared" si="63"/>
        <v>6217.7479216714764</v>
      </c>
      <c r="AE9" s="36">
        <f t="shared" si="63"/>
        <v>6326.5585103007279</v>
      </c>
      <c r="AF9" s="36">
        <f t="shared" si="63"/>
        <v>6437.2732842309915</v>
      </c>
      <c r="AG9" s="36">
        <f t="shared" si="63"/>
        <v>6549.9255667050347</v>
      </c>
      <c r="AH9" s="36">
        <f t="shared" si="63"/>
        <v>6664.5492641223736</v>
      </c>
      <c r="AI9" s="36">
        <f t="shared" si="63"/>
        <v>6781.1788762445158</v>
      </c>
      <c r="AJ9" s="36">
        <f t="shared" si="63"/>
        <v>6899.8495065787956</v>
      </c>
      <c r="AK9" s="36">
        <f t="shared" si="63"/>
        <v>7020.5968729439246</v>
      </c>
      <c r="AL9" s="36">
        <f t="shared" si="63"/>
        <v>7143.457318220444</v>
      </c>
      <c r="AM9" s="36">
        <f t="shared" si="63"/>
        <v>7268.4678212893023</v>
      </c>
      <c r="AN9" s="36">
        <f t="shared" si="63"/>
        <v>7395.6660081618656</v>
      </c>
      <c r="AO9" s="36">
        <f t="shared" si="63"/>
        <v>7525.0901633046988</v>
      </c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R9" s="32" t="s">
        <v>128</v>
      </c>
      <c r="BS9" s="61">
        <f>C11/C$8</f>
        <v>0.63896706265268155</v>
      </c>
      <c r="BT9" s="61">
        <f>D11/D$8</f>
        <v>0.46975193566384082</v>
      </c>
      <c r="BU9" s="61">
        <f>E11/E$8</f>
        <v>0.63260493420012376</v>
      </c>
      <c r="BV9" s="61">
        <f>F11/F$8</f>
        <v>0.49314379667375335</v>
      </c>
      <c r="BW9" s="61">
        <f>G11/G$8</f>
        <v>0.48004436440829562</v>
      </c>
      <c r="BX9" s="61">
        <f>AVERAGE(BS9:BW9)</f>
        <v>0.54290241871973899</v>
      </c>
    </row>
    <row r="10" spans="1:76" ht="15.75" customHeight="1" x14ac:dyDescent="0.25">
      <c r="B10" s="16" t="s">
        <v>126</v>
      </c>
      <c r="C10" s="9"/>
      <c r="D10" s="105">
        <f>D9/C9-1</f>
        <v>0.33775434789731773</v>
      </c>
      <c r="E10" s="105">
        <f t="shared" ref="E10:G10" si="64">E9/D9-1</f>
        <v>0.2048224904407463</v>
      </c>
      <c r="F10" s="105">
        <f t="shared" si="64"/>
        <v>-3.4191991976616709E-2</v>
      </c>
      <c r="G10" s="105">
        <f t="shared" si="64"/>
        <v>-1.9444814755045225E-2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R10" s="62" t="s">
        <v>19</v>
      </c>
      <c r="BS10" s="61">
        <f t="shared" ref="BS10" si="65">C12/C$8</f>
        <v>2.0358753863685183E-2</v>
      </c>
      <c r="BT10" s="61">
        <f>D12/D$8</f>
        <v>2.1178679802419408E-2</v>
      </c>
      <c r="BU10" s="61">
        <f>E12/E$8</f>
        <v>1.4777301414482748E-2</v>
      </c>
      <c r="BV10" s="61">
        <f>F12/F$8</f>
        <v>1.7840395351393579E-2</v>
      </c>
      <c r="BW10" s="61">
        <f>G12/G$8</f>
        <v>1.8997984520160761E-2</v>
      </c>
      <c r="BX10" s="61">
        <f t="shared" ref="BX10" si="66">AVERAGE(BS10:BW10)</f>
        <v>1.8630622990428333E-2</v>
      </c>
    </row>
    <row r="11" spans="1:76" ht="17.25" customHeight="1" x14ac:dyDescent="0.25">
      <c r="B11" s="50" t="s">
        <v>18</v>
      </c>
      <c r="C11" s="9">
        <v>1755.07</v>
      </c>
      <c r="D11" s="9">
        <v>1726.08</v>
      </c>
      <c r="E11" s="27">
        <v>2800.58</v>
      </c>
      <c r="F11" s="27">
        <v>2108.5300000000002</v>
      </c>
      <c r="G11" s="27">
        <v>2012.61</v>
      </c>
      <c r="H11" s="27">
        <f>H9*$BX$9</f>
        <v>2310.2877186374935</v>
      </c>
      <c r="I11" s="27">
        <f>I9*$BX$9</f>
        <v>2344.9420344170558</v>
      </c>
      <c r="J11" s="27">
        <f>J9*$BX$9</f>
        <v>2385.9785200193542</v>
      </c>
      <c r="K11" s="27">
        <f>K9*$BX$9</f>
        <v>2427.733144119693</v>
      </c>
      <c r="L11" s="27">
        <f>L9*$BX$9</f>
        <v>2470.2184741417877</v>
      </c>
      <c r="M11" s="27">
        <f t="shared" ref="M11:Y11" si="67">M9*$BX$9</f>
        <v>2513.4472974392693</v>
      </c>
      <c r="N11" s="27">
        <f t="shared" si="67"/>
        <v>2557.4326251444563</v>
      </c>
      <c r="O11" s="27">
        <f t="shared" si="67"/>
        <v>2602.1876960844847</v>
      </c>
      <c r="P11" s="27">
        <f t="shared" si="67"/>
        <v>2647.725980765963</v>
      </c>
      <c r="Q11" s="27">
        <f t="shared" si="67"/>
        <v>2694.0611854293675</v>
      </c>
      <c r="R11" s="27">
        <f t="shared" si="67"/>
        <v>2741.2072561743817</v>
      </c>
      <c r="S11" s="27">
        <f t="shared" si="67"/>
        <v>2789.1783831574335</v>
      </c>
      <c r="T11" s="27">
        <f t="shared" si="67"/>
        <v>2837.9890048626885</v>
      </c>
      <c r="U11" s="27">
        <f t="shared" si="67"/>
        <v>2887.6538124477856</v>
      </c>
      <c r="V11" s="27">
        <f t="shared" si="67"/>
        <v>2938.1877541656222</v>
      </c>
      <c r="W11" s="27">
        <f t="shared" si="67"/>
        <v>2989.6060398635209</v>
      </c>
      <c r="X11" s="27">
        <f t="shared" si="67"/>
        <v>3041.9241455611332</v>
      </c>
      <c r="Y11" s="27">
        <f t="shared" si="67"/>
        <v>3095.1578181084533</v>
      </c>
      <c r="Z11" s="27">
        <f t="shared" ref="Z11:AO11" si="68">Z9*$BX$9</f>
        <v>3149.3230799253511</v>
      </c>
      <c r="AA11" s="27">
        <f t="shared" si="68"/>
        <v>3204.4362338240448</v>
      </c>
      <c r="AB11" s="27">
        <f t="shared" si="68"/>
        <v>3260.5138679159659</v>
      </c>
      <c r="AC11" s="27">
        <f t="shared" si="68"/>
        <v>3317.5728606044959</v>
      </c>
      <c r="AD11" s="27">
        <f t="shared" si="68"/>
        <v>3375.6303856650748</v>
      </c>
      <c r="AE11" s="27">
        <f t="shared" si="68"/>
        <v>3434.7039174142137</v>
      </c>
      <c r="AF11" s="27">
        <f t="shared" si="68"/>
        <v>3494.811235968963</v>
      </c>
      <c r="AG11" s="27">
        <f t="shared" si="68"/>
        <v>3555.9704325984203</v>
      </c>
      <c r="AH11" s="27">
        <f t="shared" si="68"/>
        <v>3618.1999151688933</v>
      </c>
      <c r="AI11" s="27">
        <f t="shared" si="68"/>
        <v>3681.5184136843491</v>
      </c>
      <c r="AJ11" s="27">
        <f t="shared" si="68"/>
        <v>3745.9449859238257</v>
      </c>
      <c r="AK11" s="27">
        <f t="shared" si="68"/>
        <v>3811.4990231774927</v>
      </c>
      <c r="AL11" s="27">
        <f t="shared" si="68"/>
        <v>3878.2002560830992</v>
      </c>
      <c r="AM11" s="27">
        <f t="shared" si="68"/>
        <v>3946.0687605645539</v>
      </c>
      <c r="AN11" s="27">
        <f t="shared" si="68"/>
        <v>4015.1249638744339</v>
      </c>
      <c r="AO11" s="27">
        <f t="shared" si="68"/>
        <v>4085.3896507422364</v>
      </c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R11" s="62" t="s">
        <v>208</v>
      </c>
      <c r="BS11" s="61">
        <f>'P&amp;L'!L19</f>
        <v>0.13240835466172504</v>
      </c>
      <c r="BT11" s="61">
        <f>'P&amp;L'!M19</f>
        <v>0.51105335492386617</v>
      </c>
      <c r="BU11" s="61">
        <f>'P&amp;L'!N19</f>
        <v>0.13213735526511949</v>
      </c>
      <c r="BV11" s="61">
        <f>'P&amp;L'!O19</f>
        <v>0.13100575579614054</v>
      </c>
      <c r="BW11" s="61">
        <f>'P&amp;L'!P19</f>
        <v>0.16449654744725761</v>
      </c>
      <c r="BX11" s="61">
        <f>AVERAGE(BU11:BW11)</f>
        <v>0.14254655283617254</v>
      </c>
    </row>
    <row r="12" spans="1:76" ht="16.5" customHeight="1" x14ac:dyDescent="0.25">
      <c r="B12" s="47" t="s">
        <v>19</v>
      </c>
      <c r="C12" s="9">
        <v>55.92</v>
      </c>
      <c r="D12" s="9">
        <v>77.819999999999993</v>
      </c>
      <c r="E12" s="27">
        <v>65.42</v>
      </c>
      <c r="F12" s="27">
        <v>76.28</v>
      </c>
      <c r="G12" s="27">
        <v>79.650000000000006</v>
      </c>
      <c r="H12" s="27">
        <f>H9*$BX$10</f>
        <v>79.281465694798115</v>
      </c>
      <c r="I12" s="27">
        <f>I9*$BX$10</f>
        <v>80.470687680220081</v>
      </c>
      <c r="J12" s="27">
        <f>J9*$BX$10</f>
        <v>81.878924714623935</v>
      </c>
      <c r="K12" s="27">
        <f>K9*$BX$10</f>
        <v>83.311805897129858</v>
      </c>
      <c r="L12" s="27">
        <f>L9*$BX$10</f>
        <v>84.769762500329634</v>
      </c>
      <c r="M12" s="27">
        <f t="shared" ref="M12:Y12" si="69">M9*$BX$10</f>
        <v>86.253233344085402</v>
      </c>
      <c r="N12" s="27">
        <f t="shared" si="69"/>
        <v>87.762664927606906</v>
      </c>
      <c r="O12" s="27">
        <f t="shared" si="69"/>
        <v>89.298511563840023</v>
      </c>
      <c r="P12" s="27">
        <f t="shared" si="69"/>
        <v>90.86123551620723</v>
      </c>
      <c r="Q12" s="27">
        <f t="shared" si="69"/>
        <v>92.451307137740855</v>
      </c>
      <c r="R12" s="27">
        <f t="shared" si="69"/>
        <v>94.069205012651324</v>
      </c>
      <c r="S12" s="27">
        <f t="shared" si="69"/>
        <v>95.715416100372735</v>
      </c>
      <c r="T12" s="27">
        <f t="shared" si="69"/>
        <v>97.390435882129267</v>
      </c>
      <c r="U12" s="27">
        <f t="shared" si="69"/>
        <v>99.09476851006653</v>
      </c>
      <c r="V12" s="27">
        <f t="shared" si="69"/>
        <v>100.8289269589927</v>
      </c>
      <c r="W12" s="27">
        <f t="shared" si="69"/>
        <v>102.59343318077508</v>
      </c>
      <c r="X12" s="27">
        <f t="shared" si="69"/>
        <v>104.38881826143866</v>
      </c>
      <c r="Y12" s="27">
        <f t="shared" si="69"/>
        <v>106.21562258101385</v>
      </c>
      <c r="Z12" s="27">
        <f t="shared" ref="Z12:AO12" si="70">Z9*$BX$10</f>
        <v>108.07439597618159</v>
      </c>
      <c r="AA12" s="27">
        <f t="shared" si="70"/>
        <v>109.96569790576477</v>
      </c>
      <c r="AB12" s="27">
        <f t="shared" si="70"/>
        <v>111.89009761911566</v>
      </c>
      <c r="AC12" s="27">
        <f t="shared" si="70"/>
        <v>113.8481743274502</v>
      </c>
      <c r="AD12" s="27">
        <f t="shared" si="70"/>
        <v>115.84051737818059</v>
      </c>
      <c r="AE12" s="27">
        <f t="shared" si="70"/>
        <v>117.86772643229877</v>
      </c>
      <c r="AF12" s="27">
        <f t="shared" si="70"/>
        <v>119.93041164486401</v>
      </c>
      <c r="AG12" s="27">
        <f t="shared" si="70"/>
        <v>122.02919384864914</v>
      </c>
      <c r="AH12" s="27">
        <f t="shared" si="70"/>
        <v>124.16470474100052</v>
      </c>
      <c r="AI12" s="27">
        <f t="shared" si="70"/>
        <v>126.33758707396804</v>
      </c>
      <c r="AJ12" s="27">
        <f t="shared" si="70"/>
        <v>128.5484948477625</v>
      </c>
      <c r="AK12" s="27">
        <f t="shared" si="70"/>
        <v>130.79809350759834</v>
      </c>
      <c r="AL12" s="27">
        <f t="shared" si="70"/>
        <v>133.08706014398132</v>
      </c>
      <c r="AM12" s="27">
        <f t="shared" si="70"/>
        <v>135.416083696501</v>
      </c>
      <c r="AN12" s="27">
        <f t="shared" si="70"/>
        <v>137.78586516118978</v>
      </c>
      <c r="AO12" s="27">
        <f t="shared" si="70"/>
        <v>140.19711780151061</v>
      </c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</row>
    <row r="13" spans="1:76" ht="15.75" customHeight="1" x14ac:dyDescent="0.25">
      <c r="B13" s="50" t="s">
        <v>21</v>
      </c>
      <c r="C13" s="9">
        <v>363.69</v>
      </c>
      <c r="D13" s="9">
        <v>1877.84</v>
      </c>
      <c r="E13" s="27">
        <v>1516.57</v>
      </c>
      <c r="F13" s="27">
        <v>1358.41</v>
      </c>
      <c r="G13" s="27">
        <v>689.66</v>
      </c>
      <c r="H13" s="27">
        <f>H9*$BX$11</f>
        <v>606.59805334469468</v>
      </c>
      <c r="I13" s="27">
        <f>I9*$BX$11</f>
        <v>615.69702414486505</v>
      </c>
      <c r="J13" s="27">
        <f>J9*$BX$11</f>
        <v>626.47172206740026</v>
      </c>
      <c r="K13" s="27">
        <f>K9*$BX$11</f>
        <v>637.43497720357971</v>
      </c>
      <c r="L13" s="27">
        <f>L9*$BX$11</f>
        <v>648.59008930464245</v>
      </c>
      <c r="M13" s="27">
        <f t="shared" ref="M13:Y13" si="71">M9*$BX$11</f>
        <v>659.94041586747369</v>
      </c>
      <c r="N13" s="27">
        <f t="shared" si="71"/>
        <v>671.48937314515445</v>
      </c>
      <c r="O13" s="27">
        <f t="shared" si="71"/>
        <v>683.24043717519476</v>
      </c>
      <c r="P13" s="27">
        <f t="shared" si="71"/>
        <v>695.19714482576069</v>
      </c>
      <c r="Q13" s="27">
        <f t="shared" si="71"/>
        <v>707.3630948602115</v>
      </c>
      <c r="R13" s="27">
        <f t="shared" si="71"/>
        <v>719.74194902026511</v>
      </c>
      <c r="S13" s="27">
        <f t="shared" si="71"/>
        <v>732.33743312811987</v>
      </c>
      <c r="T13" s="27">
        <f t="shared" si="71"/>
        <v>745.15333820786202</v>
      </c>
      <c r="U13" s="27">
        <f t="shared" si="71"/>
        <v>758.19352162649966</v>
      </c>
      <c r="V13" s="27">
        <f t="shared" si="71"/>
        <v>771.46190825496342</v>
      </c>
      <c r="W13" s="27">
        <f t="shared" si="71"/>
        <v>784.96249164942537</v>
      </c>
      <c r="X13" s="27">
        <f t="shared" si="71"/>
        <v>798.69933525329043</v>
      </c>
      <c r="Y13" s="27">
        <f t="shared" si="71"/>
        <v>812.67657362022305</v>
      </c>
      <c r="Z13" s="27">
        <f t="shared" ref="Z13:AO13" si="72">Z9*$BX$11</f>
        <v>826.89841365857706</v>
      </c>
      <c r="AA13" s="27">
        <f t="shared" si="72"/>
        <v>841.36913589760206</v>
      </c>
      <c r="AB13" s="27">
        <f t="shared" si="72"/>
        <v>856.0930957758103</v>
      </c>
      <c r="AC13" s="27">
        <f t="shared" si="72"/>
        <v>871.07472495188699</v>
      </c>
      <c r="AD13" s="27">
        <f t="shared" si="72"/>
        <v>886.31853263854509</v>
      </c>
      <c r="AE13" s="27">
        <f t="shared" si="72"/>
        <v>901.82910695971975</v>
      </c>
      <c r="AF13" s="27">
        <f t="shared" si="72"/>
        <v>917.61111633151495</v>
      </c>
      <c r="AG13" s="27">
        <f t="shared" si="72"/>
        <v>933.66931086731665</v>
      </c>
      <c r="AH13" s="27">
        <f t="shared" si="72"/>
        <v>950.00852380749473</v>
      </c>
      <c r="AI13" s="27">
        <f t="shared" si="72"/>
        <v>966.63367297412606</v>
      </c>
      <c r="AJ13" s="27">
        <f t="shared" si="72"/>
        <v>983.54976225117332</v>
      </c>
      <c r="AK13" s="27">
        <f t="shared" si="72"/>
        <v>1000.7618830905689</v>
      </c>
      <c r="AL13" s="27">
        <f t="shared" si="72"/>
        <v>1018.2752160446539</v>
      </c>
      <c r="AM13" s="27">
        <f t="shared" si="72"/>
        <v>1036.0950323254353</v>
      </c>
      <c r="AN13" s="27">
        <f t="shared" si="72"/>
        <v>1054.2266953911305</v>
      </c>
      <c r="AO13" s="27">
        <f t="shared" si="72"/>
        <v>1072.6756625604755</v>
      </c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</row>
    <row r="14" spans="1:76" x14ac:dyDescent="0.25">
      <c r="B14" s="44" t="s">
        <v>23</v>
      </c>
      <c r="C14" s="14">
        <f>SUM(C11:C13)</f>
        <v>2174.6799999999998</v>
      </c>
      <c r="D14" s="14">
        <f t="shared" ref="D14:L14" si="73">SUM(D11:D13)</f>
        <v>3681.74</v>
      </c>
      <c r="E14" s="14">
        <f t="shared" si="73"/>
        <v>4382.57</v>
      </c>
      <c r="F14" s="14">
        <f t="shared" si="73"/>
        <v>3543.2200000000003</v>
      </c>
      <c r="G14" s="53">
        <f t="shared" si="73"/>
        <v>2781.9199999999996</v>
      </c>
      <c r="H14" s="53">
        <f t="shared" si="73"/>
        <v>2996.1672376769861</v>
      </c>
      <c r="I14" s="53">
        <f t="shared" si="73"/>
        <v>3041.1097462421412</v>
      </c>
      <c r="J14" s="53">
        <f t="shared" si="73"/>
        <v>3094.3291668013781</v>
      </c>
      <c r="K14" s="53">
        <f t="shared" si="73"/>
        <v>3148.4799272204027</v>
      </c>
      <c r="L14" s="53">
        <f t="shared" si="73"/>
        <v>3203.5783259467598</v>
      </c>
      <c r="M14" s="53">
        <f t="shared" ref="M14:Y14" si="74">SUM(M11:M13)</f>
        <v>3259.6409466508285</v>
      </c>
      <c r="N14" s="53">
        <f t="shared" si="74"/>
        <v>3316.6846632172173</v>
      </c>
      <c r="O14" s="53">
        <f t="shared" si="74"/>
        <v>3374.7266448235196</v>
      </c>
      <c r="P14" s="53">
        <f t="shared" si="74"/>
        <v>3433.7843611079306</v>
      </c>
      <c r="Q14" s="53">
        <f t="shared" si="74"/>
        <v>3493.8755874273202</v>
      </c>
      <c r="R14" s="53">
        <f t="shared" si="74"/>
        <v>3555.0184102072981</v>
      </c>
      <c r="S14" s="53">
        <f t="shared" si="74"/>
        <v>3617.231232385926</v>
      </c>
      <c r="T14" s="53">
        <f t="shared" si="74"/>
        <v>3680.5327789526796</v>
      </c>
      <c r="U14" s="53">
        <f t="shared" si="74"/>
        <v>3744.9421025843517</v>
      </c>
      <c r="V14" s="53">
        <f t="shared" si="74"/>
        <v>3810.4785893795784</v>
      </c>
      <c r="W14" s="53">
        <f t="shared" si="74"/>
        <v>3877.1619646937215</v>
      </c>
      <c r="X14" s="53">
        <f t="shared" si="74"/>
        <v>3945.0122990758623</v>
      </c>
      <c r="Y14" s="53">
        <f t="shared" si="74"/>
        <v>4014.0500143096906</v>
      </c>
      <c r="Z14" s="53">
        <f t="shared" ref="Z14:AO14" si="75">SUM(Z11:Z13)</f>
        <v>4084.2958895601096</v>
      </c>
      <c r="AA14" s="53">
        <f t="shared" si="75"/>
        <v>4155.7710676274119</v>
      </c>
      <c r="AB14" s="53">
        <f t="shared" si="75"/>
        <v>4228.4970613108917</v>
      </c>
      <c r="AC14" s="53">
        <f t="shared" si="75"/>
        <v>4302.4957598838328</v>
      </c>
      <c r="AD14" s="53">
        <f t="shared" si="75"/>
        <v>4377.7894356818006</v>
      </c>
      <c r="AE14" s="53">
        <f t="shared" si="75"/>
        <v>4454.4007508062323</v>
      </c>
      <c r="AF14" s="53">
        <f t="shared" si="75"/>
        <v>4532.3527639453423</v>
      </c>
      <c r="AG14" s="53">
        <f t="shared" si="75"/>
        <v>4611.6689373143863</v>
      </c>
      <c r="AH14" s="53">
        <f t="shared" si="75"/>
        <v>4692.3731437173883</v>
      </c>
      <c r="AI14" s="53">
        <f t="shared" si="75"/>
        <v>4774.4896737324434</v>
      </c>
      <c r="AJ14" s="53">
        <f t="shared" si="75"/>
        <v>4858.0432430227611</v>
      </c>
      <c r="AK14" s="53">
        <f t="shared" si="75"/>
        <v>4943.0589997756597</v>
      </c>
      <c r="AL14" s="53">
        <f t="shared" si="75"/>
        <v>5029.5625322717351</v>
      </c>
      <c r="AM14" s="53">
        <f t="shared" si="75"/>
        <v>5117.5798765864902</v>
      </c>
      <c r="AN14" s="53">
        <f t="shared" si="75"/>
        <v>5207.1375244267538</v>
      </c>
      <c r="AO14" s="53">
        <f t="shared" si="75"/>
        <v>5298.2624311042227</v>
      </c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</row>
    <row r="15" spans="1:76" x14ac:dyDescent="0.25">
      <c r="B15" s="44" t="s">
        <v>121</v>
      </c>
      <c r="C15" s="14">
        <f>C9-C14</f>
        <v>572.05000000000018</v>
      </c>
      <c r="D15" s="14">
        <f>D9-D14</f>
        <v>-7.2899999999999636</v>
      </c>
      <c r="E15" s="14">
        <f>E9-E14</f>
        <v>44.490000000000691</v>
      </c>
      <c r="F15" s="14">
        <f>F9-F14</f>
        <v>732.46999999999935</v>
      </c>
      <c r="G15" s="53">
        <f>G9-G14</f>
        <v>1410.6300000000006</v>
      </c>
      <c r="H15" s="53">
        <f t="shared" ref="H15:L15" si="76">H9-H14</f>
        <v>1259.271012323014</v>
      </c>
      <c r="I15" s="53">
        <f t="shared" si="76"/>
        <v>1278.1600775078587</v>
      </c>
      <c r="J15" s="53">
        <f t="shared" si="76"/>
        <v>1300.5278788642472</v>
      </c>
      <c r="K15" s="53">
        <f t="shared" si="76"/>
        <v>1323.2871167443709</v>
      </c>
      <c r="L15" s="53">
        <f t="shared" si="76"/>
        <v>1346.4446412873976</v>
      </c>
      <c r="M15" s="53">
        <f t="shared" ref="M15:Y15" si="77">M9-M14</f>
        <v>1370.007422509927</v>
      </c>
      <c r="N15" s="53">
        <f t="shared" si="77"/>
        <v>1393.9825524038515</v>
      </c>
      <c r="O15" s="53">
        <f t="shared" si="77"/>
        <v>1418.3772470709182</v>
      </c>
      <c r="P15" s="53">
        <f t="shared" si="77"/>
        <v>1443.1988488946599</v>
      </c>
      <c r="Q15" s="53">
        <f t="shared" si="77"/>
        <v>1468.4548287503158</v>
      </c>
      <c r="R15" s="53">
        <f t="shared" si="77"/>
        <v>1494.1527882534465</v>
      </c>
      <c r="S15" s="53">
        <f t="shared" si="77"/>
        <v>1520.3004620478823</v>
      </c>
      <c r="T15" s="53">
        <f t="shared" si="77"/>
        <v>1546.9057201337205</v>
      </c>
      <c r="U15" s="53">
        <f t="shared" si="77"/>
        <v>1573.9765702360605</v>
      </c>
      <c r="V15" s="53">
        <f t="shared" si="77"/>
        <v>1601.5211602151917</v>
      </c>
      <c r="W15" s="53">
        <f t="shared" si="77"/>
        <v>1629.5477805189576</v>
      </c>
      <c r="X15" s="53">
        <f t="shared" si="77"/>
        <v>1658.0648666780394</v>
      </c>
      <c r="Y15" s="53">
        <f t="shared" si="77"/>
        <v>1687.0810018449047</v>
      </c>
      <c r="Z15" s="53">
        <f t="shared" ref="Z15:AO15" si="78">Z9-Z14</f>
        <v>1716.6049193771914</v>
      </c>
      <c r="AA15" s="53">
        <f t="shared" si="78"/>
        <v>1746.645505466292</v>
      </c>
      <c r="AB15" s="53">
        <f t="shared" si="78"/>
        <v>1777.2118018119527</v>
      </c>
      <c r="AC15" s="53">
        <f t="shared" si="78"/>
        <v>1808.3130083436617</v>
      </c>
      <c r="AD15" s="53">
        <f t="shared" si="78"/>
        <v>1839.9584859896759</v>
      </c>
      <c r="AE15" s="53">
        <f t="shared" si="78"/>
        <v>1872.1577594944956</v>
      </c>
      <c r="AF15" s="53">
        <f t="shared" si="78"/>
        <v>1904.9205202856492</v>
      </c>
      <c r="AG15" s="53">
        <f t="shared" si="78"/>
        <v>1938.2566293906484</v>
      </c>
      <c r="AH15" s="53">
        <f t="shared" si="78"/>
        <v>1972.1761204049853</v>
      </c>
      <c r="AI15" s="53">
        <f t="shared" si="78"/>
        <v>2006.6892025120724</v>
      </c>
      <c r="AJ15" s="53">
        <f t="shared" si="78"/>
        <v>2041.8062635560345</v>
      </c>
      <c r="AK15" s="53">
        <f t="shared" si="78"/>
        <v>2077.5378731682649</v>
      </c>
      <c r="AL15" s="53">
        <f t="shared" si="78"/>
        <v>2113.8947859487089</v>
      </c>
      <c r="AM15" s="53">
        <f t="shared" si="78"/>
        <v>2150.8879447028121</v>
      </c>
      <c r="AN15" s="53">
        <f t="shared" si="78"/>
        <v>2188.5284837351119</v>
      </c>
      <c r="AO15" s="53">
        <f t="shared" si="78"/>
        <v>2226.827732200476</v>
      </c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</row>
    <row r="16" spans="1:76" x14ac:dyDescent="0.25">
      <c r="B16" s="64" t="s">
        <v>22</v>
      </c>
      <c r="C16" s="9">
        <v>518.82000000000005</v>
      </c>
      <c r="D16" s="9">
        <v>697.91</v>
      </c>
      <c r="E16" s="27">
        <v>695.21</v>
      </c>
      <c r="F16" s="27">
        <v>679.41</v>
      </c>
      <c r="G16" s="27">
        <v>672.38</v>
      </c>
      <c r="H16" s="27">
        <f>Depreciation!C6</f>
        <v>0</v>
      </c>
      <c r="I16" s="27">
        <f>Depreciation!D6</f>
        <v>585.52756678604112</v>
      </c>
      <c r="J16" s="27">
        <f>Depreciation!E6</f>
        <v>555.22096429636542</v>
      </c>
      <c r="K16" s="27">
        <f>Depreciation!F6</f>
        <v>526.48301579766883</v>
      </c>
      <c r="L16" s="27">
        <f>Depreciation!G6</f>
        <v>499.23252857479122</v>
      </c>
      <c r="M16" s="27">
        <f>Depreciation!H6</f>
        <v>473.39251240530388</v>
      </c>
      <c r="N16" s="27">
        <f>Depreciation!I6</f>
        <v>448.88996204067013</v>
      </c>
      <c r="O16" s="27">
        <f>Depreciation!J6</f>
        <v>425.65565094606819</v>
      </c>
      <c r="P16" s="27">
        <f>Depreciation!K6</f>
        <v>403.62393571613347</v>
      </c>
      <c r="Q16" s="27">
        <f>Depreciation!L6</f>
        <v>382.73257061404053</v>
      </c>
      <c r="R16" s="27">
        <f>Depreciation!M6</f>
        <v>362.92253170994564</v>
      </c>
      <c r="S16" s="27">
        <f>Depreciation!N6</f>
        <v>344.13785012193222</v>
      </c>
      <c r="T16" s="27">
        <f>Depreciation!O6</f>
        <v>326.32545388831795</v>
      </c>
      <c r="U16" s="27">
        <f>Depreciation!P6</f>
        <v>309.43501802456962</v>
      </c>
      <c r="V16" s="27">
        <f>Depreciation!Q6</f>
        <v>293.41882234119356</v>
      </c>
      <c r="W16" s="27">
        <f>Depreciation!R6</f>
        <v>278.23161662089865</v>
      </c>
      <c r="X16" s="27">
        <f>Depreciation!S6</f>
        <v>263.8304927741188</v>
      </c>
      <c r="Y16" s="27">
        <f>Depreciation!T6</f>
        <v>250.17476361169963</v>
      </c>
      <c r="Z16" s="27">
        <f>Depreciation!U6</f>
        <v>237.22584789224743</v>
      </c>
      <c r="AA16" s="27">
        <f>Depreciation!V6</f>
        <v>224.94716131936784</v>
      </c>
      <c r="AB16" s="27">
        <f>Depreciation!W6</f>
        <v>213.30401318083074</v>
      </c>
      <c r="AC16" s="27">
        <f>Depreciation!X6</f>
        <v>0</v>
      </c>
      <c r="AD16" s="27">
        <f>Depreciation!Y6</f>
        <v>0</v>
      </c>
      <c r="AE16" s="27">
        <f>Depreciation!Z6</f>
        <v>0</v>
      </c>
      <c r="AF16" s="27">
        <f>Depreciation!AA6</f>
        <v>0</v>
      </c>
      <c r="AG16" s="27">
        <f>Depreciation!AB6</f>
        <v>0</v>
      </c>
      <c r="AH16" s="27">
        <f>Depreciation!AC6</f>
        <v>0</v>
      </c>
      <c r="AI16" s="27">
        <f>Depreciation!AD6</f>
        <v>0</v>
      </c>
      <c r="AJ16" s="27">
        <f>Depreciation!AE6</f>
        <v>0</v>
      </c>
      <c r="AK16" s="27">
        <f>Depreciation!AF6</f>
        <v>0</v>
      </c>
      <c r="AL16" s="27">
        <f>Depreciation!AG6</f>
        <v>0</v>
      </c>
      <c r="AM16" s="27">
        <f>Depreciation!AH6</f>
        <v>0</v>
      </c>
      <c r="AN16" s="27">
        <f>Depreciation!AI6</f>
        <v>0</v>
      </c>
      <c r="AO16" s="27">
        <f>Depreciation!AJ6</f>
        <v>0</v>
      </c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</row>
    <row r="17" spans="2:67" x14ac:dyDescent="0.25">
      <c r="B17" s="110" t="s">
        <v>122</v>
      </c>
      <c r="C17" s="14">
        <f>C15-C16</f>
        <v>53.230000000000132</v>
      </c>
      <c r="D17" s="14">
        <f t="shared" ref="D17:L17" si="79">D15-D16</f>
        <v>-705.19999999999993</v>
      </c>
      <c r="E17" s="14">
        <f t="shared" si="79"/>
        <v>-650.71999999999935</v>
      </c>
      <c r="F17" s="14">
        <f t="shared" si="79"/>
        <v>53.059999999999377</v>
      </c>
      <c r="G17" s="53">
        <f t="shared" si="79"/>
        <v>738.25000000000057</v>
      </c>
      <c r="H17" s="107">
        <f t="shared" si="79"/>
        <v>1259.271012323014</v>
      </c>
      <c r="I17" s="107">
        <f t="shared" si="79"/>
        <v>692.63251072181754</v>
      </c>
      <c r="J17" s="107">
        <f t="shared" si="79"/>
        <v>745.30691456788179</v>
      </c>
      <c r="K17" s="107">
        <f t="shared" si="79"/>
        <v>796.80410094670208</v>
      </c>
      <c r="L17" s="107">
        <f t="shared" si="79"/>
        <v>847.21211271260643</v>
      </c>
      <c r="M17" s="107">
        <f t="shared" ref="M17:Y17" si="80">M15-M16</f>
        <v>896.61491010462305</v>
      </c>
      <c r="N17" s="107">
        <f t="shared" si="80"/>
        <v>945.09259036318144</v>
      </c>
      <c r="O17" s="107">
        <f t="shared" si="80"/>
        <v>992.72159612485007</v>
      </c>
      <c r="P17" s="107">
        <f t="shared" si="80"/>
        <v>1039.5749131785265</v>
      </c>
      <c r="Q17" s="107">
        <f t="shared" si="80"/>
        <v>1085.7222581362753</v>
      </c>
      <c r="R17" s="107">
        <f t="shared" si="80"/>
        <v>1131.2302565435009</v>
      </c>
      <c r="S17" s="107">
        <f t="shared" si="80"/>
        <v>1176.1626119259502</v>
      </c>
      <c r="T17" s="107">
        <f t="shared" si="80"/>
        <v>1220.5802662454025</v>
      </c>
      <c r="U17" s="107">
        <f t="shared" si="80"/>
        <v>1264.5415522114909</v>
      </c>
      <c r="V17" s="107">
        <f t="shared" si="80"/>
        <v>1308.1023378739981</v>
      </c>
      <c r="W17" s="107">
        <f t="shared" si="80"/>
        <v>1351.3161638980589</v>
      </c>
      <c r="X17" s="107">
        <f t="shared" si="80"/>
        <v>1394.2343739039206</v>
      </c>
      <c r="Y17" s="107">
        <f t="shared" si="80"/>
        <v>1436.9062382332049</v>
      </c>
      <c r="Z17" s="107">
        <f t="shared" ref="Z17:AO17" si="81">Z15-Z16</f>
        <v>1479.379071484944</v>
      </c>
      <c r="AA17" s="107">
        <f t="shared" si="81"/>
        <v>1521.6983441469242</v>
      </c>
      <c r="AB17" s="107">
        <f t="shared" si="81"/>
        <v>1563.907788631122</v>
      </c>
      <c r="AC17" s="107">
        <f t="shared" si="81"/>
        <v>1808.3130083436617</v>
      </c>
      <c r="AD17" s="107">
        <f t="shared" si="81"/>
        <v>1839.9584859896759</v>
      </c>
      <c r="AE17" s="107">
        <f t="shared" si="81"/>
        <v>1872.1577594944956</v>
      </c>
      <c r="AF17" s="107">
        <f t="shared" si="81"/>
        <v>1904.9205202856492</v>
      </c>
      <c r="AG17" s="107">
        <f t="shared" si="81"/>
        <v>1938.2566293906484</v>
      </c>
      <c r="AH17" s="107">
        <f t="shared" si="81"/>
        <v>1972.1761204049853</v>
      </c>
      <c r="AI17" s="107">
        <f t="shared" si="81"/>
        <v>2006.6892025120724</v>
      </c>
      <c r="AJ17" s="107">
        <f t="shared" si="81"/>
        <v>2041.8062635560345</v>
      </c>
      <c r="AK17" s="107">
        <f t="shared" si="81"/>
        <v>2077.5378731682649</v>
      </c>
      <c r="AL17" s="107">
        <f t="shared" si="81"/>
        <v>2113.8947859487089</v>
      </c>
      <c r="AM17" s="107">
        <f t="shared" si="81"/>
        <v>2150.8879447028121</v>
      </c>
      <c r="AN17" s="107">
        <f t="shared" si="81"/>
        <v>2188.5284837351119</v>
      </c>
      <c r="AO17" s="107">
        <f t="shared" si="81"/>
        <v>2226.827732200476</v>
      </c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</row>
    <row r="18" spans="2:67" x14ac:dyDescent="0.25">
      <c r="B18" s="111" t="s">
        <v>185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</row>
    <row r="19" spans="2:67" x14ac:dyDescent="0.25">
      <c r="B19" s="111" t="s">
        <v>186</v>
      </c>
      <c r="H19" s="109">
        <f>1-H18</f>
        <v>1</v>
      </c>
      <c r="I19" s="109">
        <f t="shared" ref="I19:L19" si="82">1-I18</f>
        <v>1</v>
      </c>
      <c r="J19" s="109">
        <f t="shared" si="82"/>
        <v>1</v>
      </c>
      <c r="K19" s="109">
        <f t="shared" si="82"/>
        <v>1</v>
      </c>
      <c r="L19" s="109">
        <f t="shared" si="82"/>
        <v>1</v>
      </c>
      <c r="M19" s="109">
        <f t="shared" ref="M19:Y19" si="83">1-M18</f>
        <v>1</v>
      </c>
      <c r="N19" s="109">
        <f t="shared" si="83"/>
        <v>1</v>
      </c>
      <c r="O19" s="109">
        <f t="shared" si="83"/>
        <v>1</v>
      </c>
      <c r="P19" s="109">
        <f t="shared" si="83"/>
        <v>1</v>
      </c>
      <c r="Q19" s="109">
        <f t="shared" si="83"/>
        <v>1</v>
      </c>
      <c r="R19" s="109">
        <f t="shared" si="83"/>
        <v>1</v>
      </c>
      <c r="S19" s="109">
        <f t="shared" si="83"/>
        <v>1</v>
      </c>
      <c r="T19" s="109">
        <f t="shared" si="83"/>
        <v>1</v>
      </c>
      <c r="U19" s="109">
        <f t="shared" si="83"/>
        <v>1</v>
      </c>
      <c r="V19" s="109">
        <f t="shared" si="83"/>
        <v>1</v>
      </c>
      <c r="W19" s="109">
        <f t="shared" si="83"/>
        <v>1</v>
      </c>
      <c r="X19" s="109">
        <f t="shared" si="83"/>
        <v>1</v>
      </c>
      <c r="Y19" s="109">
        <f t="shared" si="83"/>
        <v>1</v>
      </c>
      <c r="Z19" s="109">
        <f t="shared" ref="Z19:AO19" si="84">1-Z18</f>
        <v>1</v>
      </c>
      <c r="AA19" s="109">
        <f t="shared" si="84"/>
        <v>1</v>
      </c>
      <c r="AB19" s="109">
        <f t="shared" si="84"/>
        <v>1</v>
      </c>
      <c r="AC19" s="109">
        <f t="shared" si="84"/>
        <v>1</v>
      </c>
      <c r="AD19" s="109">
        <f t="shared" si="84"/>
        <v>1</v>
      </c>
      <c r="AE19" s="109">
        <f t="shared" si="84"/>
        <v>1</v>
      </c>
      <c r="AF19" s="109">
        <f t="shared" si="84"/>
        <v>1</v>
      </c>
      <c r="AG19" s="109">
        <f t="shared" si="84"/>
        <v>1</v>
      </c>
      <c r="AH19" s="109">
        <f t="shared" si="84"/>
        <v>1</v>
      </c>
      <c r="AI19" s="109">
        <f t="shared" si="84"/>
        <v>1</v>
      </c>
      <c r="AJ19" s="109">
        <f t="shared" si="84"/>
        <v>1</v>
      </c>
      <c r="AK19" s="109">
        <f t="shared" si="84"/>
        <v>1</v>
      </c>
      <c r="AL19" s="109">
        <f t="shared" si="84"/>
        <v>1</v>
      </c>
      <c r="AM19" s="109">
        <f t="shared" si="84"/>
        <v>1</v>
      </c>
      <c r="AN19" s="109">
        <f t="shared" si="84"/>
        <v>1</v>
      </c>
      <c r="AO19" s="109">
        <f t="shared" si="84"/>
        <v>1</v>
      </c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</row>
    <row r="20" spans="2:67" x14ac:dyDescent="0.25">
      <c r="B20" s="112" t="s">
        <v>187</v>
      </c>
      <c r="H20" s="27">
        <f>H17*H19</f>
        <v>1259.271012323014</v>
      </c>
      <c r="I20" s="27">
        <f t="shared" ref="I20:L20" si="85">I17*I19</f>
        <v>692.63251072181754</v>
      </c>
      <c r="J20" s="27">
        <f t="shared" si="85"/>
        <v>745.30691456788179</v>
      </c>
      <c r="K20" s="27">
        <f t="shared" si="85"/>
        <v>796.80410094670208</v>
      </c>
      <c r="L20" s="27">
        <f t="shared" si="85"/>
        <v>847.21211271260643</v>
      </c>
      <c r="M20" s="27">
        <f t="shared" ref="M20:Y20" si="86">M17*M19</f>
        <v>896.61491010462305</v>
      </c>
      <c r="N20" s="27">
        <f t="shared" si="86"/>
        <v>945.09259036318144</v>
      </c>
      <c r="O20" s="27">
        <f t="shared" si="86"/>
        <v>992.72159612485007</v>
      </c>
      <c r="P20" s="27">
        <f t="shared" si="86"/>
        <v>1039.5749131785265</v>
      </c>
      <c r="Q20" s="27">
        <f t="shared" si="86"/>
        <v>1085.7222581362753</v>
      </c>
      <c r="R20" s="27">
        <f t="shared" si="86"/>
        <v>1131.2302565435009</v>
      </c>
      <c r="S20" s="27">
        <f t="shared" si="86"/>
        <v>1176.1626119259502</v>
      </c>
      <c r="T20" s="27">
        <f t="shared" si="86"/>
        <v>1220.5802662454025</v>
      </c>
      <c r="U20" s="27">
        <f t="shared" si="86"/>
        <v>1264.5415522114909</v>
      </c>
      <c r="V20" s="27">
        <f t="shared" si="86"/>
        <v>1308.1023378739981</v>
      </c>
      <c r="W20" s="27">
        <f t="shared" si="86"/>
        <v>1351.3161638980589</v>
      </c>
      <c r="X20" s="27">
        <f t="shared" si="86"/>
        <v>1394.2343739039206</v>
      </c>
      <c r="Y20" s="27">
        <f t="shared" si="86"/>
        <v>1436.9062382332049</v>
      </c>
      <c r="Z20" s="27">
        <f t="shared" ref="Z20:AO20" si="87">Z17*Z19</f>
        <v>1479.379071484944</v>
      </c>
      <c r="AA20" s="27">
        <f t="shared" si="87"/>
        <v>1521.6983441469242</v>
      </c>
      <c r="AB20" s="27">
        <f t="shared" si="87"/>
        <v>1563.907788631122</v>
      </c>
      <c r="AC20" s="27">
        <f t="shared" si="87"/>
        <v>1808.3130083436617</v>
      </c>
      <c r="AD20" s="27">
        <f t="shared" si="87"/>
        <v>1839.9584859896759</v>
      </c>
      <c r="AE20" s="27">
        <f t="shared" si="87"/>
        <v>1872.1577594944956</v>
      </c>
      <c r="AF20" s="27">
        <f t="shared" si="87"/>
        <v>1904.9205202856492</v>
      </c>
      <c r="AG20" s="27">
        <f t="shared" si="87"/>
        <v>1938.2566293906484</v>
      </c>
      <c r="AH20" s="27">
        <f t="shared" si="87"/>
        <v>1972.1761204049853</v>
      </c>
      <c r="AI20" s="27">
        <f t="shared" si="87"/>
        <v>2006.6892025120724</v>
      </c>
      <c r="AJ20" s="27">
        <f t="shared" si="87"/>
        <v>2041.8062635560345</v>
      </c>
      <c r="AK20" s="27">
        <f t="shared" si="87"/>
        <v>2077.5378731682649</v>
      </c>
      <c r="AL20" s="27">
        <f t="shared" si="87"/>
        <v>2113.8947859487089</v>
      </c>
      <c r="AM20" s="27">
        <f t="shared" si="87"/>
        <v>2150.8879447028121</v>
      </c>
      <c r="AN20" s="27">
        <f t="shared" si="87"/>
        <v>2188.5284837351119</v>
      </c>
      <c r="AO20" s="27">
        <f t="shared" si="87"/>
        <v>2226.827732200476</v>
      </c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</row>
    <row r="21" spans="2:67" x14ac:dyDescent="0.25">
      <c r="B21" s="111" t="s">
        <v>188</v>
      </c>
      <c r="H21" s="27">
        <f>H16</f>
        <v>0</v>
      </c>
      <c r="I21" s="27">
        <f t="shared" ref="I21:L21" si="88">I16</f>
        <v>585.52756678604112</v>
      </c>
      <c r="J21" s="27">
        <f t="shared" si="88"/>
        <v>555.22096429636542</v>
      </c>
      <c r="K21" s="27">
        <f t="shared" si="88"/>
        <v>526.48301579766883</v>
      </c>
      <c r="L21" s="27">
        <f t="shared" si="88"/>
        <v>499.23252857479122</v>
      </c>
      <c r="M21" s="27">
        <f t="shared" ref="M21:Y21" si="89">M16</f>
        <v>473.39251240530388</v>
      </c>
      <c r="N21" s="27">
        <f t="shared" si="89"/>
        <v>448.88996204067013</v>
      </c>
      <c r="O21" s="27">
        <f t="shared" si="89"/>
        <v>425.65565094606819</v>
      </c>
      <c r="P21" s="27">
        <f t="shared" si="89"/>
        <v>403.62393571613347</v>
      </c>
      <c r="Q21" s="27">
        <f t="shared" si="89"/>
        <v>382.73257061404053</v>
      </c>
      <c r="R21" s="27">
        <f t="shared" si="89"/>
        <v>362.92253170994564</v>
      </c>
      <c r="S21" s="27">
        <f t="shared" si="89"/>
        <v>344.13785012193222</v>
      </c>
      <c r="T21" s="27">
        <f t="shared" si="89"/>
        <v>326.32545388831795</v>
      </c>
      <c r="U21" s="27">
        <f t="shared" si="89"/>
        <v>309.43501802456962</v>
      </c>
      <c r="V21" s="27">
        <f t="shared" si="89"/>
        <v>293.41882234119356</v>
      </c>
      <c r="W21" s="27">
        <f t="shared" si="89"/>
        <v>278.23161662089865</v>
      </c>
      <c r="X21" s="27">
        <f t="shared" si="89"/>
        <v>263.8304927741188</v>
      </c>
      <c r="Y21" s="27">
        <f t="shared" si="89"/>
        <v>250.17476361169963</v>
      </c>
      <c r="Z21" s="27">
        <f t="shared" ref="Z21:AO21" si="90">Z16</f>
        <v>237.22584789224743</v>
      </c>
      <c r="AA21" s="27">
        <f t="shared" si="90"/>
        <v>224.94716131936784</v>
      </c>
      <c r="AB21" s="27">
        <f t="shared" si="90"/>
        <v>213.30401318083074</v>
      </c>
      <c r="AC21" s="27">
        <f t="shared" si="90"/>
        <v>0</v>
      </c>
      <c r="AD21" s="27">
        <f t="shared" si="90"/>
        <v>0</v>
      </c>
      <c r="AE21" s="27">
        <f t="shared" si="90"/>
        <v>0</v>
      </c>
      <c r="AF21" s="27">
        <f t="shared" si="90"/>
        <v>0</v>
      </c>
      <c r="AG21" s="27">
        <f t="shared" si="90"/>
        <v>0</v>
      </c>
      <c r="AH21" s="27">
        <f t="shared" si="90"/>
        <v>0</v>
      </c>
      <c r="AI21" s="27">
        <f t="shared" si="90"/>
        <v>0</v>
      </c>
      <c r="AJ21" s="27">
        <f t="shared" si="90"/>
        <v>0</v>
      </c>
      <c r="AK21" s="27">
        <f t="shared" si="90"/>
        <v>0</v>
      </c>
      <c r="AL21" s="27">
        <f t="shared" si="90"/>
        <v>0</v>
      </c>
      <c r="AM21" s="27">
        <f t="shared" si="90"/>
        <v>0</v>
      </c>
      <c r="AN21" s="27">
        <f t="shared" si="90"/>
        <v>0</v>
      </c>
      <c r="AO21" s="27">
        <f t="shared" si="90"/>
        <v>0</v>
      </c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</row>
    <row r="22" spans="2:67" x14ac:dyDescent="0.25">
      <c r="B22" s="111" t="s">
        <v>189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</row>
    <row r="23" spans="2:67" ht="15" customHeight="1" x14ac:dyDescent="0.25">
      <c r="B23" s="111" t="s">
        <v>190</v>
      </c>
      <c r="H23" s="27">
        <v>0</v>
      </c>
      <c r="I23" s="27">
        <v>0</v>
      </c>
      <c r="J23" s="27">
        <v>0</v>
      </c>
      <c r="K23" s="27">
        <v>1026</v>
      </c>
      <c r="L23" s="27">
        <f>K23</f>
        <v>1026</v>
      </c>
      <c r="M23" s="27">
        <v>0</v>
      </c>
      <c r="N23" s="27">
        <f t="shared" ref="N23:Y23" si="91">M23</f>
        <v>0</v>
      </c>
      <c r="O23" s="27">
        <f t="shared" si="91"/>
        <v>0</v>
      </c>
      <c r="P23" s="27">
        <f t="shared" si="91"/>
        <v>0</v>
      </c>
      <c r="Q23" s="27">
        <f t="shared" si="91"/>
        <v>0</v>
      </c>
      <c r="R23" s="27">
        <f t="shared" si="91"/>
        <v>0</v>
      </c>
      <c r="S23" s="27">
        <f t="shared" si="91"/>
        <v>0</v>
      </c>
      <c r="T23" s="27">
        <f t="shared" si="91"/>
        <v>0</v>
      </c>
      <c r="U23" s="27">
        <f t="shared" si="91"/>
        <v>0</v>
      </c>
      <c r="V23" s="27">
        <f t="shared" si="91"/>
        <v>0</v>
      </c>
      <c r="W23" s="27">
        <f t="shared" si="91"/>
        <v>0</v>
      </c>
      <c r="X23" s="27">
        <f t="shared" si="91"/>
        <v>0</v>
      </c>
      <c r="Y23" s="27">
        <f t="shared" si="91"/>
        <v>0</v>
      </c>
      <c r="Z23" s="27">
        <f t="shared" ref="Z23:AO23" si="92">Y23</f>
        <v>0</v>
      </c>
      <c r="AA23" s="27">
        <f t="shared" si="92"/>
        <v>0</v>
      </c>
      <c r="AB23" s="27">
        <f t="shared" si="92"/>
        <v>0</v>
      </c>
      <c r="AC23" s="27">
        <f t="shared" si="92"/>
        <v>0</v>
      </c>
      <c r="AD23" s="27">
        <f t="shared" si="92"/>
        <v>0</v>
      </c>
      <c r="AE23" s="27">
        <f t="shared" si="92"/>
        <v>0</v>
      </c>
      <c r="AF23" s="27">
        <f t="shared" si="92"/>
        <v>0</v>
      </c>
      <c r="AG23" s="27">
        <f t="shared" si="92"/>
        <v>0</v>
      </c>
      <c r="AH23" s="27">
        <f t="shared" si="92"/>
        <v>0</v>
      </c>
      <c r="AI23" s="27">
        <f t="shared" si="92"/>
        <v>0</v>
      </c>
      <c r="AJ23" s="27">
        <f t="shared" si="92"/>
        <v>0</v>
      </c>
      <c r="AK23" s="27">
        <f t="shared" si="92"/>
        <v>0</v>
      </c>
      <c r="AL23" s="27">
        <f t="shared" si="92"/>
        <v>0</v>
      </c>
      <c r="AM23" s="27">
        <f t="shared" si="92"/>
        <v>0</v>
      </c>
      <c r="AN23" s="27">
        <f t="shared" si="92"/>
        <v>0</v>
      </c>
      <c r="AO23" s="27">
        <f t="shared" si="92"/>
        <v>0</v>
      </c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</row>
    <row r="24" spans="2:67" x14ac:dyDescent="0.25">
      <c r="B24" s="113" t="s">
        <v>191</v>
      </c>
      <c r="H24" s="27">
        <f t="shared" ref="H24:I24" si="93">H20+H21-H22-H23</f>
        <v>1259.271012323014</v>
      </c>
      <c r="I24" s="27">
        <f t="shared" si="93"/>
        <v>1278.1600775078587</v>
      </c>
      <c r="J24" s="27">
        <f>J20+J21-J22-J23</f>
        <v>1300.5278788642472</v>
      </c>
      <c r="K24" s="27">
        <f>K20+K21-K22-K23</f>
        <v>297.28711674437091</v>
      </c>
      <c r="L24" s="27">
        <f>L20+L21-L22-L23</f>
        <v>320.44464128739764</v>
      </c>
      <c r="M24" s="27">
        <f t="shared" ref="M24:Y24" si="94">M20+M21-M22-M23</f>
        <v>1370.007422509927</v>
      </c>
      <c r="N24" s="27">
        <f t="shared" si="94"/>
        <v>1393.9825524038515</v>
      </c>
      <c r="O24" s="27">
        <f t="shared" si="94"/>
        <v>1418.3772470709182</v>
      </c>
      <c r="P24" s="27">
        <f t="shared" si="94"/>
        <v>1443.1988488946599</v>
      </c>
      <c r="Q24" s="27">
        <f t="shared" si="94"/>
        <v>1468.4548287503158</v>
      </c>
      <c r="R24" s="27">
        <f t="shared" si="94"/>
        <v>1494.1527882534465</v>
      </c>
      <c r="S24" s="27">
        <f t="shared" si="94"/>
        <v>1520.3004620478823</v>
      </c>
      <c r="T24" s="27">
        <f t="shared" si="94"/>
        <v>1546.9057201337205</v>
      </c>
      <c r="U24" s="27">
        <f t="shared" si="94"/>
        <v>1573.9765702360605</v>
      </c>
      <c r="V24" s="27">
        <f t="shared" si="94"/>
        <v>1601.5211602151917</v>
      </c>
      <c r="W24" s="27">
        <f t="shared" si="94"/>
        <v>1629.5477805189576</v>
      </c>
      <c r="X24" s="27">
        <f t="shared" si="94"/>
        <v>1658.0648666780394</v>
      </c>
      <c r="Y24" s="27">
        <f t="shared" si="94"/>
        <v>1687.0810018449047</v>
      </c>
      <c r="Z24" s="27">
        <f t="shared" ref="Z24" si="95">Z20+Z21-Z22-Z23</f>
        <v>1716.6049193771914</v>
      </c>
      <c r="AA24" s="27">
        <f t="shared" ref="AA24" si="96">AA20+AA21-AA22-AA23</f>
        <v>1746.645505466292</v>
      </c>
      <c r="AB24" s="27">
        <f t="shared" ref="AB24" si="97">AB20+AB21-AB22-AB23</f>
        <v>1777.2118018119527</v>
      </c>
      <c r="AC24" s="27">
        <f t="shared" ref="AC24" si="98">AC20+AC21-AC22-AC23</f>
        <v>1808.3130083436617</v>
      </c>
      <c r="AD24" s="27">
        <f t="shared" ref="AD24" si="99">AD20+AD21-AD22-AD23</f>
        <v>1839.9584859896759</v>
      </c>
      <c r="AE24" s="27">
        <f t="shared" ref="AE24" si="100">AE20+AE21-AE22-AE23</f>
        <v>1872.1577594944956</v>
      </c>
      <c r="AF24" s="27">
        <f t="shared" ref="AF24" si="101">AF20+AF21-AF22-AF23</f>
        <v>1904.9205202856492</v>
      </c>
      <c r="AG24" s="27">
        <f t="shared" ref="AG24" si="102">AG20+AG21-AG22-AG23</f>
        <v>1938.2566293906484</v>
      </c>
      <c r="AH24" s="27">
        <f t="shared" ref="AH24" si="103">AH20+AH21-AH22-AH23</f>
        <v>1972.1761204049853</v>
      </c>
      <c r="AI24" s="27">
        <f t="shared" ref="AI24" si="104">AI20+AI21-AI22-AI23</f>
        <v>2006.6892025120724</v>
      </c>
      <c r="AJ24" s="27">
        <f t="shared" ref="AJ24" si="105">AJ20+AJ21-AJ22-AJ23</f>
        <v>2041.8062635560345</v>
      </c>
      <c r="AK24" s="27">
        <f t="shared" ref="AK24" si="106">AK20+AK21-AK22-AK23</f>
        <v>2077.5378731682649</v>
      </c>
      <c r="AL24" s="27">
        <f t="shared" ref="AL24" si="107">AL20+AL21-AL22-AL23</f>
        <v>2113.8947859487089</v>
      </c>
      <c r="AM24" s="27">
        <f t="shared" ref="AM24" si="108">AM20+AM21-AM22-AM23</f>
        <v>2150.8879447028121</v>
      </c>
      <c r="AN24" s="27">
        <f t="shared" ref="AN24" si="109">AN20+AN21-AN22-AN23</f>
        <v>2188.5284837351119</v>
      </c>
      <c r="AO24" s="27">
        <f t="shared" ref="AO24" si="110">AO20+AO21-AO22-AO23</f>
        <v>2226.827732200476</v>
      </c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</row>
    <row r="25" spans="2:67" x14ac:dyDescent="0.25">
      <c r="B25" s="113" t="s">
        <v>237</v>
      </c>
      <c r="H25" s="27">
        <f>H24*H28</f>
        <v>104.93925102691783</v>
      </c>
      <c r="I25" s="27">
        <f>I24</f>
        <v>1278.1600775078587</v>
      </c>
      <c r="J25" s="27">
        <f t="shared" ref="J25:L25" si="111">J24</f>
        <v>1300.5278788642472</v>
      </c>
      <c r="K25" s="27">
        <f t="shared" si="111"/>
        <v>297.28711674437091</v>
      </c>
      <c r="L25" s="27">
        <f t="shared" si="111"/>
        <v>320.44464128739764</v>
      </c>
      <c r="M25" s="27">
        <f t="shared" ref="M25:Y25" si="112">M24</f>
        <v>1370.007422509927</v>
      </c>
      <c r="N25" s="27">
        <f t="shared" si="112"/>
        <v>1393.9825524038515</v>
      </c>
      <c r="O25" s="27">
        <f t="shared" si="112"/>
        <v>1418.3772470709182</v>
      </c>
      <c r="P25" s="27">
        <f t="shared" si="112"/>
        <v>1443.1988488946599</v>
      </c>
      <c r="Q25" s="27">
        <f t="shared" si="112"/>
        <v>1468.4548287503158</v>
      </c>
      <c r="R25" s="27">
        <f t="shared" si="112"/>
        <v>1494.1527882534465</v>
      </c>
      <c r="S25" s="27">
        <f t="shared" si="112"/>
        <v>1520.3004620478823</v>
      </c>
      <c r="T25" s="27">
        <f t="shared" si="112"/>
        <v>1546.9057201337205</v>
      </c>
      <c r="U25" s="27">
        <f t="shared" si="112"/>
        <v>1573.9765702360605</v>
      </c>
      <c r="V25" s="27">
        <f t="shared" si="112"/>
        <v>1601.5211602151917</v>
      </c>
      <c r="W25" s="27">
        <f t="shared" si="112"/>
        <v>1629.5477805189576</v>
      </c>
      <c r="X25" s="27">
        <f t="shared" si="112"/>
        <v>1658.0648666780394</v>
      </c>
      <c r="Y25" s="27">
        <f t="shared" si="112"/>
        <v>1687.0810018449047</v>
      </c>
      <c r="Z25" s="27">
        <f t="shared" ref="Z25:AO25" si="113">Z24</f>
        <v>1716.6049193771914</v>
      </c>
      <c r="AA25" s="27">
        <f t="shared" si="113"/>
        <v>1746.645505466292</v>
      </c>
      <c r="AB25" s="27">
        <f t="shared" si="113"/>
        <v>1777.2118018119527</v>
      </c>
      <c r="AC25" s="27">
        <f t="shared" si="113"/>
        <v>1808.3130083436617</v>
      </c>
      <c r="AD25" s="27">
        <f t="shared" si="113"/>
        <v>1839.9584859896759</v>
      </c>
      <c r="AE25" s="27">
        <f t="shared" si="113"/>
        <v>1872.1577594944956</v>
      </c>
      <c r="AF25" s="27">
        <f t="shared" si="113"/>
        <v>1904.9205202856492</v>
      </c>
      <c r="AG25" s="27">
        <f t="shared" si="113"/>
        <v>1938.2566293906484</v>
      </c>
      <c r="AH25" s="27">
        <f t="shared" si="113"/>
        <v>1972.1761204049853</v>
      </c>
      <c r="AI25" s="27">
        <f t="shared" si="113"/>
        <v>2006.6892025120724</v>
      </c>
      <c r="AJ25" s="27">
        <f t="shared" si="113"/>
        <v>2041.8062635560345</v>
      </c>
      <c r="AK25" s="27">
        <f t="shared" si="113"/>
        <v>2077.5378731682649</v>
      </c>
      <c r="AL25" s="27">
        <f t="shared" si="113"/>
        <v>2113.8947859487089</v>
      </c>
      <c r="AM25" s="27">
        <f t="shared" si="113"/>
        <v>2150.8879447028121</v>
      </c>
      <c r="AN25" s="27">
        <f t="shared" si="113"/>
        <v>2188.5284837351119</v>
      </c>
      <c r="AO25" s="27">
        <f t="shared" si="113"/>
        <v>2226.827732200476</v>
      </c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</row>
    <row r="26" spans="2:67" x14ac:dyDescent="0.25">
      <c r="B26" s="112" t="s">
        <v>192</v>
      </c>
      <c r="H26" s="180">
        <f>'Discount Rate'!C7</f>
        <v>0.14279999999999998</v>
      </c>
      <c r="I26" s="181"/>
      <c r="J26" s="181"/>
      <c r="K26" s="181"/>
      <c r="L26" s="181"/>
      <c r="M26" s="182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</row>
    <row r="27" spans="2:67" x14ac:dyDescent="0.25">
      <c r="B27" s="112" t="s">
        <v>196</v>
      </c>
      <c r="H27" s="180">
        <v>1.2500000000000001E-2</v>
      </c>
      <c r="I27" s="181"/>
      <c r="J27" s="181"/>
      <c r="K27" s="181"/>
      <c r="L27" s="181"/>
      <c r="M27" s="182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</row>
    <row r="28" spans="2:67" ht="15.75" customHeight="1" x14ac:dyDescent="0.25">
      <c r="B28" s="114" t="s">
        <v>193</v>
      </c>
      <c r="H28" s="115">
        <f>1/12</f>
        <v>8.3333333333333329E-2</v>
      </c>
      <c r="I28" s="115">
        <f>H28+1</f>
        <v>1.0833333333333333</v>
      </c>
      <c r="J28" s="115">
        <f t="shared" ref="J28:L28" si="114">I28+1</f>
        <v>2.083333333333333</v>
      </c>
      <c r="K28" s="115">
        <f t="shared" si="114"/>
        <v>3.083333333333333</v>
      </c>
      <c r="L28" s="115">
        <f t="shared" si="114"/>
        <v>4.083333333333333</v>
      </c>
      <c r="M28" s="115">
        <f t="shared" ref="M28" si="115">L28+1</f>
        <v>5.083333333333333</v>
      </c>
      <c r="N28" s="115">
        <f t="shared" ref="N28" si="116">M28+1</f>
        <v>6.083333333333333</v>
      </c>
      <c r="O28" s="115">
        <f t="shared" ref="O28" si="117">N28+1</f>
        <v>7.083333333333333</v>
      </c>
      <c r="P28" s="115">
        <f t="shared" ref="P28" si="118">O28+1</f>
        <v>8.0833333333333321</v>
      </c>
      <c r="Q28" s="115">
        <f t="shared" ref="Q28" si="119">P28+1</f>
        <v>9.0833333333333321</v>
      </c>
      <c r="R28" s="115">
        <f t="shared" ref="R28" si="120">Q28+1</f>
        <v>10.083333333333332</v>
      </c>
      <c r="S28" s="115">
        <f t="shared" ref="S28" si="121">R28+1</f>
        <v>11.083333333333332</v>
      </c>
      <c r="T28" s="115">
        <f t="shared" ref="T28" si="122">S28+1</f>
        <v>12.083333333333332</v>
      </c>
      <c r="U28" s="115">
        <f t="shared" ref="U28" si="123">T28+1</f>
        <v>13.083333333333332</v>
      </c>
      <c r="V28" s="115">
        <f t="shared" ref="V28" si="124">U28+1</f>
        <v>14.083333333333332</v>
      </c>
      <c r="W28" s="115">
        <f t="shared" ref="W28" si="125">V28+1</f>
        <v>15.083333333333332</v>
      </c>
      <c r="X28" s="115">
        <f t="shared" ref="X28" si="126">W28+1</f>
        <v>16.083333333333332</v>
      </c>
      <c r="Y28" s="115">
        <f t="shared" ref="Y28" si="127">X28+1</f>
        <v>17.083333333333332</v>
      </c>
      <c r="Z28" s="115">
        <f t="shared" ref="Z28" si="128">Y28+1</f>
        <v>18.083333333333332</v>
      </c>
      <c r="AA28" s="115">
        <f t="shared" ref="AA28" si="129">Z28+1</f>
        <v>19.083333333333332</v>
      </c>
      <c r="AB28" s="115">
        <f t="shared" ref="AB28" si="130">AA28+1</f>
        <v>20.083333333333332</v>
      </c>
      <c r="AC28" s="115">
        <f t="shared" ref="AC28" si="131">AB28+1</f>
        <v>21.083333333333332</v>
      </c>
      <c r="AD28" s="115">
        <f t="shared" ref="AD28" si="132">AC28+1</f>
        <v>22.083333333333332</v>
      </c>
      <c r="AE28" s="115">
        <f t="shared" ref="AE28" si="133">AD28+1</f>
        <v>23.083333333333332</v>
      </c>
      <c r="AF28" s="115">
        <f t="shared" ref="AF28" si="134">AE28+1</f>
        <v>24.083333333333332</v>
      </c>
      <c r="AG28" s="115">
        <f t="shared" ref="AG28" si="135">AF28+1</f>
        <v>25.083333333333332</v>
      </c>
      <c r="AH28" s="115">
        <f t="shared" ref="AH28" si="136">AG28+1</f>
        <v>26.083333333333332</v>
      </c>
      <c r="AI28" s="115">
        <f t="shared" ref="AI28" si="137">AH28+1</f>
        <v>27.083333333333332</v>
      </c>
      <c r="AJ28" s="115">
        <f t="shared" ref="AJ28" si="138">AI28+1</f>
        <v>28.083333333333332</v>
      </c>
      <c r="AK28" s="115">
        <f t="shared" ref="AK28" si="139">AJ28+1</f>
        <v>29.083333333333332</v>
      </c>
      <c r="AL28" s="115">
        <f t="shared" ref="AL28" si="140">AK28+1</f>
        <v>30.083333333333332</v>
      </c>
      <c r="AM28" s="115">
        <f t="shared" ref="AM28" si="141">AL28+1</f>
        <v>31.083333333333332</v>
      </c>
      <c r="AN28" s="115">
        <f t="shared" ref="AN28" si="142">AM28+1</f>
        <v>32.083333333333329</v>
      </c>
      <c r="AO28" s="115">
        <f t="shared" ref="AO28" si="143">AN28+1</f>
        <v>33.083333333333329</v>
      </c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</row>
    <row r="29" spans="2:67" ht="15.75" customHeight="1" x14ac:dyDescent="0.25">
      <c r="B29" s="111" t="s">
        <v>194</v>
      </c>
      <c r="C29" s="32"/>
      <c r="D29" s="32"/>
      <c r="E29" s="32"/>
      <c r="F29" s="32"/>
      <c r="G29" s="32"/>
      <c r="H29" s="27">
        <f>1/(1+$H$26)^H28</f>
        <v>0.98893818753107698</v>
      </c>
      <c r="I29" s="27">
        <f t="shared" ref="I29:L29" si="144">1/(1+$H$26)^I28</f>
        <v>0.86536418229880729</v>
      </c>
      <c r="J29" s="27">
        <f t="shared" si="144"/>
        <v>0.75723152108751079</v>
      </c>
      <c r="K29" s="27">
        <f t="shared" si="144"/>
        <v>0.66261071148714623</v>
      </c>
      <c r="L29" s="27">
        <f t="shared" si="144"/>
        <v>0.57981336321941401</v>
      </c>
      <c r="M29" s="27">
        <f t="shared" ref="M29:Y29" si="145">1/(1+$H$26)^M28</f>
        <v>0.50736206092003322</v>
      </c>
      <c r="N29" s="27">
        <f t="shared" si="145"/>
        <v>0.44396400150510423</v>
      </c>
      <c r="O29" s="27">
        <f t="shared" si="145"/>
        <v>0.38848792571325191</v>
      </c>
      <c r="P29" s="27">
        <f t="shared" si="145"/>
        <v>0.33994393219570523</v>
      </c>
      <c r="Q29" s="27">
        <f t="shared" si="145"/>
        <v>0.29746581396194016</v>
      </c>
      <c r="R29" s="27">
        <f t="shared" si="145"/>
        <v>0.26029560199679747</v>
      </c>
      <c r="S29" s="27">
        <f t="shared" si="145"/>
        <v>0.22777004024921024</v>
      </c>
      <c r="T29" s="27">
        <f t="shared" si="145"/>
        <v>0.19930875065559173</v>
      </c>
      <c r="U29" s="27">
        <f t="shared" si="145"/>
        <v>0.17440387701749363</v>
      </c>
      <c r="V29" s="27">
        <f t="shared" si="145"/>
        <v>0.15261102294145398</v>
      </c>
      <c r="W29" s="27">
        <f t="shared" si="145"/>
        <v>0.13354132213987926</v>
      </c>
      <c r="X29" s="27">
        <f t="shared" si="145"/>
        <v>0.11685449959737421</v>
      </c>
      <c r="Y29" s="27">
        <f t="shared" si="145"/>
        <v>0.10225279978769182</v>
      </c>
      <c r="Z29" s="27">
        <f t="shared" ref="Z29:AO29" si="146">1/(1+$H$26)^Z28</f>
        <v>8.9475673597910227E-2</v>
      </c>
      <c r="AA29" s="27">
        <f t="shared" si="146"/>
        <v>7.8295129154629189E-2</v>
      </c>
      <c r="AB29" s="27">
        <f t="shared" si="146"/>
        <v>6.851166359348021E-2</v>
      </c>
      <c r="AC29" s="27">
        <f t="shared" si="146"/>
        <v>5.9950703179454147E-2</v>
      </c>
      <c r="AD29" s="27">
        <f t="shared" si="146"/>
        <v>5.2459488256435198E-2</v>
      </c>
      <c r="AE29" s="27">
        <f t="shared" si="146"/>
        <v>4.5904347441752889E-2</v>
      </c>
      <c r="AF29" s="27">
        <f t="shared" si="146"/>
        <v>4.0168312427155128E-2</v>
      </c>
      <c r="AG29" s="27">
        <f t="shared" si="146"/>
        <v>3.5149030825301998E-2</v>
      </c>
      <c r="AH29" s="27">
        <f t="shared" si="146"/>
        <v>3.0756939819130205E-2</v>
      </c>
      <c r="AI29" s="27">
        <f t="shared" si="146"/>
        <v>2.6913668025140187E-2</v>
      </c>
      <c r="AJ29" s="27">
        <f t="shared" si="146"/>
        <v>2.3550637053850354E-2</v>
      </c>
      <c r="AK29" s="27">
        <f t="shared" si="146"/>
        <v>2.060783781400977E-2</v>
      </c>
      <c r="AL29" s="27">
        <f t="shared" si="146"/>
        <v>1.8032759725244808E-2</v>
      </c>
      <c r="AM29" s="27">
        <f t="shared" si="146"/>
        <v>1.5779453732275819E-2</v>
      </c>
      <c r="AN29" s="27">
        <f t="shared" si="146"/>
        <v>1.3807712401361411E-2</v>
      </c>
      <c r="AO29" s="27">
        <f t="shared" si="146"/>
        <v>1.2082352468814674E-2</v>
      </c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</row>
    <row r="30" spans="2:67" x14ac:dyDescent="0.25">
      <c r="B30" s="32" t="s">
        <v>197</v>
      </c>
      <c r="L30" s="118"/>
      <c r="M30" s="95" t="s">
        <v>6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</row>
    <row r="31" spans="2:67" x14ac:dyDescent="0.25">
      <c r="B31" s="116" t="s">
        <v>195</v>
      </c>
      <c r="C31" s="117"/>
      <c r="D31" s="117"/>
      <c r="E31" s="117"/>
      <c r="F31" s="117"/>
      <c r="G31" s="117"/>
      <c r="H31" s="53">
        <f>H25*H29</f>
        <v>103.77843271142883</v>
      </c>
      <c r="I31" s="53">
        <f>I24*I29</f>
        <v>1106.0739503195682</v>
      </c>
      <c r="J31" s="53">
        <f>J24*J29</f>
        <v>984.80070392908794</v>
      </c>
      <c r="K31" s="53">
        <f>K24*K29</f>
        <v>196.9856279419499</v>
      </c>
      <c r="L31" s="53">
        <f>L24*L29</f>
        <v>185.79808519048473</v>
      </c>
      <c r="M31" s="53">
        <f t="shared" ref="M31:Y31" si="147">M24*M29</f>
        <v>695.08978936037931</v>
      </c>
      <c r="N31" s="53">
        <f t="shared" si="147"/>
        <v>618.87807199351255</v>
      </c>
      <c r="O31" s="53">
        <f t="shared" si="147"/>
        <v>551.02243459345368</v>
      </c>
      <c r="P31" s="53">
        <f t="shared" si="147"/>
        <v>490.60669163356613</v>
      </c>
      <c r="Q31" s="53">
        <f t="shared" si="147"/>
        <v>436.81511090055415</v>
      </c>
      <c r="R31" s="53">
        <f t="shared" si="147"/>
        <v>388.92139949362428</v>
      </c>
      <c r="S31" s="53">
        <f t="shared" si="147"/>
        <v>346.27889743153906</v>
      </c>
      <c r="T31" s="53">
        <f t="shared" si="147"/>
        <v>308.31184646184028</v>
      </c>
      <c r="U31" s="53">
        <f t="shared" si="147"/>
        <v>274.50761618386633</v>
      </c>
      <c r="V31" s="53">
        <f t="shared" si="147"/>
        <v>244.40978252282463</v>
      </c>
      <c r="W31" s="53">
        <f t="shared" si="147"/>
        <v>217.61196510060739</v>
      </c>
      <c r="X31" s="53">
        <f t="shared" si="147"/>
        <v>193.75234029564928</v>
      </c>
      <c r="Y31" s="53">
        <f t="shared" si="147"/>
        <v>172.50875590726557</v>
      </c>
      <c r="Z31" s="53">
        <f t="shared" ref="Z31:AO31" si="148">Z24*Z29</f>
        <v>153.59438146276059</v>
      </c>
      <c r="AA31" s="53">
        <f t="shared" si="148"/>
        <v>136.7538354378359</v>
      </c>
      <c r="AB31" s="53">
        <f t="shared" si="148"/>
        <v>121.75973710010332</v>
      </c>
      <c r="AC31" s="53">
        <f t="shared" si="148"/>
        <v>108.40963641875666</v>
      </c>
      <c r="AD31" s="53">
        <f t="shared" si="148"/>
        <v>96.523280588103688</v>
      </c>
      <c r="AE31" s="53">
        <f t="shared" si="148"/>
        <v>85.940180257608972</v>
      </c>
      <c r="AF31" s="53">
        <f t="shared" si="148"/>
        <v>76.51744260773286</v>
      </c>
      <c r="AG31" s="53">
        <f t="shared" si="148"/>
        <v>68.127842013797846</v>
      </c>
      <c r="AH31" s="53">
        <f t="shared" si="148"/>
        <v>60.658102248021819</v>
      </c>
      <c r="AI31" s="53">
        <f t="shared" si="148"/>
        <v>54.007367026043227</v>
      </c>
      <c r="AJ31" s="53">
        <f t="shared" si="148"/>
        <v>48.085838247286489</v>
      </c>
      <c r="AK31" s="53">
        <f t="shared" si="148"/>
        <v>42.813563542714405</v>
      </c>
      <c r="AL31" s="53">
        <f t="shared" si="148"/>
        <v>38.119356759460871</v>
      </c>
      <c r="AM31" s="53">
        <f t="shared" si="148"/>
        <v>33.939836806747856</v>
      </c>
      <c r="AN31" s="53">
        <f t="shared" si="148"/>
        <v>30.218571885601989</v>
      </c>
      <c r="AO31" s="53">
        <f t="shared" si="148"/>
        <v>26.905317547777404</v>
      </c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</row>
    <row r="32" spans="2:67" x14ac:dyDescent="0.25">
      <c r="B32" s="112" t="s">
        <v>198</v>
      </c>
      <c r="L32" s="115">
        <f>L30*L29</f>
        <v>0</v>
      </c>
      <c r="M32" s="95">
        <v>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</row>
    <row r="33" spans="2:67" x14ac:dyDescent="0.25">
      <c r="B33" s="112" t="s">
        <v>199</v>
      </c>
      <c r="C33" s="32"/>
      <c r="D33" s="32"/>
      <c r="E33" s="32"/>
      <c r="F33" s="32"/>
      <c r="G33" s="32"/>
      <c r="H33" s="27">
        <f>H31+H32</f>
        <v>103.77843271142883</v>
      </c>
      <c r="I33" s="27">
        <f t="shared" ref="I33:Y33" si="149">I31+I32</f>
        <v>1106.0739503195682</v>
      </c>
      <c r="J33" s="27">
        <f t="shared" si="149"/>
        <v>984.80070392908794</v>
      </c>
      <c r="K33" s="27">
        <f t="shared" si="149"/>
        <v>196.9856279419499</v>
      </c>
      <c r="L33" s="27">
        <f t="shared" si="149"/>
        <v>185.79808519048473</v>
      </c>
      <c r="M33" s="27">
        <f t="shared" si="149"/>
        <v>695.08978936037931</v>
      </c>
      <c r="N33" s="27">
        <f t="shared" si="149"/>
        <v>618.87807199351255</v>
      </c>
      <c r="O33" s="27">
        <f t="shared" si="149"/>
        <v>551.02243459345368</v>
      </c>
      <c r="P33" s="27">
        <f t="shared" si="149"/>
        <v>490.60669163356613</v>
      </c>
      <c r="Q33" s="27">
        <f t="shared" si="149"/>
        <v>436.81511090055415</v>
      </c>
      <c r="R33" s="27">
        <f t="shared" si="149"/>
        <v>388.92139949362428</v>
      </c>
      <c r="S33" s="27">
        <f t="shared" si="149"/>
        <v>346.27889743153906</v>
      </c>
      <c r="T33" s="27">
        <f t="shared" si="149"/>
        <v>308.31184646184028</v>
      </c>
      <c r="U33" s="27">
        <f t="shared" si="149"/>
        <v>274.50761618386633</v>
      </c>
      <c r="V33" s="27">
        <f t="shared" si="149"/>
        <v>244.40978252282463</v>
      </c>
      <c r="W33" s="27">
        <f t="shared" si="149"/>
        <v>217.61196510060739</v>
      </c>
      <c r="X33" s="27">
        <f t="shared" si="149"/>
        <v>193.75234029564928</v>
      </c>
      <c r="Y33" s="27">
        <f t="shared" si="149"/>
        <v>172.50875590726557</v>
      </c>
      <c r="Z33" s="27">
        <f t="shared" ref="Z33:AO33" si="150">Z31+Z32</f>
        <v>153.59438146276059</v>
      </c>
      <c r="AA33" s="27">
        <f t="shared" si="150"/>
        <v>136.7538354378359</v>
      </c>
      <c r="AB33" s="27">
        <f t="shared" si="150"/>
        <v>121.75973710010332</v>
      </c>
      <c r="AC33" s="27">
        <f t="shared" si="150"/>
        <v>108.40963641875666</v>
      </c>
      <c r="AD33" s="27">
        <f t="shared" si="150"/>
        <v>96.523280588103688</v>
      </c>
      <c r="AE33" s="27">
        <f t="shared" si="150"/>
        <v>85.940180257608972</v>
      </c>
      <c r="AF33" s="27">
        <f t="shared" si="150"/>
        <v>76.51744260773286</v>
      </c>
      <c r="AG33" s="27">
        <f t="shared" si="150"/>
        <v>68.127842013797846</v>
      </c>
      <c r="AH33" s="27">
        <f t="shared" si="150"/>
        <v>60.658102248021819</v>
      </c>
      <c r="AI33" s="27">
        <f t="shared" si="150"/>
        <v>54.007367026043227</v>
      </c>
      <c r="AJ33" s="27">
        <f t="shared" si="150"/>
        <v>48.085838247286489</v>
      </c>
      <c r="AK33" s="27">
        <f t="shared" si="150"/>
        <v>42.813563542714405</v>
      </c>
      <c r="AL33" s="27">
        <f t="shared" si="150"/>
        <v>38.119356759460871</v>
      </c>
      <c r="AM33" s="27">
        <f t="shared" si="150"/>
        <v>33.939836806747856</v>
      </c>
      <c r="AN33" s="27">
        <f t="shared" si="150"/>
        <v>30.218571885601989</v>
      </c>
      <c r="AO33" s="27">
        <f t="shared" si="150"/>
        <v>26.905317547777404</v>
      </c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</row>
    <row r="34" spans="2:67" x14ac:dyDescent="0.25">
      <c r="B34" s="120" t="s">
        <v>200</v>
      </c>
      <c r="C34" s="81"/>
      <c r="D34" s="81"/>
      <c r="E34" s="81"/>
      <c r="F34" s="81"/>
      <c r="G34" s="81"/>
      <c r="H34" s="133">
        <f>SUM(H33:AO33)</f>
        <v>8698.5257919215564</v>
      </c>
      <c r="I34" s="131" t="s">
        <v>214</v>
      </c>
      <c r="J34" s="131"/>
      <c r="K34" s="131"/>
      <c r="L34" s="132"/>
      <c r="M34" s="143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</row>
    <row r="39" spans="2:67" x14ac:dyDescent="0.25">
      <c r="J39" s="102"/>
    </row>
  </sheetData>
  <mergeCells count="4">
    <mergeCell ref="B2:M2"/>
    <mergeCell ref="B4:G4"/>
    <mergeCell ref="H26:M26"/>
    <mergeCell ref="H27:M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AB47"/>
  <sheetViews>
    <sheetView showGridLines="0" topLeftCell="H18" zoomScaleNormal="100" workbookViewId="0">
      <selection activeCell="L5" sqref="L5"/>
    </sheetView>
  </sheetViews>
  <sheetFormatPr defaultRowHeight="15" x14ac:dyDescent="0.25"/>
  <cols>
    <col min="1" max="1" width="7" bestFit="1" customWidth="1"/>
    <col min="2" max="2" width="34.28515625" bestFit="1" customWidth="1"/>
    <col min="3" max="4" width="9" hidden="1" customWidth="1"/>
    <col min="5" max="8" width="9" bestFit="1" customWidth="1"/>
    <col min="9" max="13" width="8.7109375" bestFit="1" customWidth="1"/>
    <col min="14" max="14" width="9.28515625" customWidth="1"/>
    <col min="15" max="15" width="8.85546875" customWidth="1"/>
    <col min="16" max="16" width="9.28515625" customWidth="1"/>
    <col min="22" max="22" width="9.28515625" customWidth="1"/>
  </cols>
  <sheetData>
    <row r="1" spans="1:28" x14ac:dyDescent="0.25">
      <c r="A1" s="2"/>
      <c r="B1" s="2"/>
      <c r="C1" s="2"/>
      <c r="D1" s="2"/>
      <c r="E1" s="2"/>
      <c r="F1" s="2"/>
      <c r="G1" s="2"/>
    </row>
    <row r="2" spans="1:28" x14ac:dyDescent="0.25">
      <c r="A2" s="2"/>
      <c r="B2" s="178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28" ht="10.5" customHeight="1" x14ac:dyDescent="0.25">
      <c r="A3" s="2"/>
      <c r="B3" s="2"/>
      <c r="C3" s="2"/>
      <c r="D3" s="2"/>
      <c r="E3" s="2"/>
      <c r="F3" s="2"/>
      <c r="G3" s="2"/>
    </row>
    <row r="4" spans="1:28" x14ac:dyDescent="0.25">
      <c r="A4" s="2"/>
      <c r="B4" s="179" t="s">
        <v>107</v>
      </c>
      <c r="C4" s="179"/>
      <c r="D4" s="179"/>
      <c r="E4" s="179"/>
      <c r="F4" s="179"/>
      <c r="G4" s="17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x14ac:dyDescent="0.25">
      <c r="A5" s="2"/>
      <c r="B5" s="2"/>
      <c r="C5" s="2"/>
      <c r="D5" s="2"/>
      <c r="E5" s="2"/>
      <c r="F5" s="2"/>
      <c r="G5" s="2"/>
      <c r="H5" s="123"/>
      <c r="I5" s="123"/>
      <c r="J5" s="123">
        <v>0.03</v>
      </c>
      <c r="K5" s="123">
        <v>0.03</v>
      </c>
      <c r="L5" s="123">
        <v>3.2500000000000001E-2</v>
      </c>
      <c r="M5" s="123">
        <v>3.2500000000000001E-2</v>
      </c>
      <c r="N5" s="123">
        <v>3.2500000000000001E-2</v>
      </c>
      <c r="O5" s="123">
        <v>3.2500000000000001E-2</v>
      </c>
      <c r="P5" s="123">
        <v>3.2500000000000001E-2</v>
      </c>
      <c r="Q5" s="123">
        <v>3.2500000000000001E-2</v>
      </c>
      <c r="R5" s="123">
        <v>3.2500000000000001E-2</v>
      </c>
      <c r="S5" s="123">
        <v>3.2500000000000001E-2</v>
      </c>
      <c r="T5" s="123">
        <v>3.2500000000000001E-2</v>
      </c>
      <c r="U5" s="123">
        <v>3.2500000000000001E-2</v>
      </c>
      <c r="V5" s="123">
        <v>3.2500000000000001E-2</v>
      </c>
      <c r="W5" s="123">
        <v>3.2500000000000001E-2</v>
      </c>
      <c r="X5" s="123">
        <v>3.2500000000000001E-2</v>
      </c>
      <c r="Y5" s="123">
        <v>3.2500000000000001E-2</v>
      </c>
      <c r="Z5" s="123">
        <v>3.2500000000000001E-2</v>
      </c>
      <c r="AA5" s="123">
        <v>3.2500000000000001E-2</v>
      </c>
      <c r="AB5" s="123">
        <v>3.2500000000000001E-2</v>
      </c>
    </row>
    <row r="6" spans="1:28" ht="18" customHeight="1" x14ac:dyDescent="0.25">
      <c r="B6" s="3" t="s">
        <v>41</v>
      </c>
      <c r="C6" s="51"/>
      <c r="D6" s="51"/>
      <c r="E6" s="51">
        <v>2020</v>
      </c>
      <c r="F6" s="51">
        <f t="shared" ref="F6:AB6" si="0">E6+1</f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si="0"/>
        <v>2025</v>
      </c>
      <c r="K6" s="165">
        <f t="shared" si="0"/>
        <v>2026</v>
      </c>
      <c r="L6" s="165">
        <f t="shared" si="0"/>
        <v>2027</v>
      </c>
      <c r="M6" s="165">
        <f t="shared" si="0"/>
        <v>2028</v>
      </c>
      <c r="N6" s="165">
        <f t="shared" si="0"/>
        <v>2029</v>
      </c>
      <c r="O6" s="165">
        <f t="shared" si="0"/>
        <v>2030</v>
      </c>
      <c r="P6" s="165">
        <f t="shared" si="0"/>
        <v>2031</v>
      </c>
      <c r="Q6" s="165">
        <f t="shared" si="0"/>
        <v>2032</v>
      </c>
      <c r="R6" s="165">
        <f t="shared" si="0"/>
        <v>2033</v>
      </c>
      <c r="S6" s="165">
        <f t="shared" si="0"/>
        <v>2034</v>
      </c>
      <c r="T6" s="165">
        <f t="shared" si="0"/>
        <v>2035</v>
      </c>
      <c r="U6" s="165">
        <f t="shared" si="0"/>
        <v>2036</v>
      </c>
      <c r="V6" s="165">
        <f t="shared" si="0"/>
        <v>2037</v>
      </c>
      <c r="W6" s="165">
        <f t="shared" si="0"/>
        <v>2038</v>
      </c>
      <c r="X6" s="165">
        <f t="shared" si="0"/>
        <v>2039</v>
      </c>
      <c r="Y6" s="165">
        <f t="shared" si="0"/>
        <v>2040</v>
      </c>
      <c r="Z6" s="165">
        <f t="shared" si="0"/>
        <v>2041</v>
      </c>
      <c r="AA6" s="165">
        <f t="shared" si="0"/>
        <v>2042</v>
      </c>
      <c r="AB6" s="165">
        <f t="shared" si="0"/>
        <v>2043</v>
      </c>
    </row>
    <row r="7" spans="1:28" ht="18" customHeight="1" x14ac:dyDescent="0.25">
      <c r="B7" s="3" t="s">
        <v>238</v>
      </c>
      <c r="C7" s="146"/>
      <c r="D7" s="146"/>
      <c r="E7" s="147"/>
      <c r="F7" s="147"/>
      <c r="G7" s="148"/>
      <c r="H7" s="149"/>
      <c r="I7" s="149">
        <v>0.5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>
        <v>12</v>
      </c>
      <c r="W7" s="149">
        <v>12</v>
      </c>
      <c r="X7" s="149">
        <v>12</v>
      </c>
      <c r="Y7" s="149">
        <v>12</v>
      </c>
      <c r="Z7" s="149">
        <v>12</v>
      </c>
      <c r="AA7" s="149">
        <v>12</v>
      </c>
      <c r="AB7" s="149">
        <v>11</v>
      </c>
    </row>
    <row r="8" spans="1:28" x14ac:dyDescent="0.25">
      <c r="B8" s="15" t="s">
        <v>123</v>
      </c>
      <c r="C8" s="9"/>
      <c r="D8" s="9"/>
      <c r="E8" s="9">
        <f>'P&amp;L'!E7</f>
        <v>4427.0600000000004</v>
      </c>
      <c r="F8" s="9">
        <f>'P&amp;L'!F7</f>
        <v>4275.6899999999996</v>
      </c>
      <c r="G8" s="9">
        <f>'P&amp;L'!G7</f>
        <v>4192.55</v>
      </c>
      <c r="H8" s="9">
        <f>'P&amp;L'!H7</f>
        <v>5116.1899999999996</v>
      </c>
      <c r="I8" s="27">
        <f>'P&amp;L'!I7*2</f>
        <v>5388.42</v>
      </c>
      <c r="J8" s="27">
        <f>Sheet1!D16</f>
        <v>5550.0726000000004</v>
      </c>
      <c r="K8" s="27">
        <f>Sheet1!E16</f>
        <v>5716.5747780000002</v>
      </c>
      <c r="L8" s="27">
        <f>Sheet1!F16</f>
        <v>5888.07202134</v>
      </c>
      <c r="M8" s="27">
        <f>Sheet1!G16</f>
        <v>6079.4343620335503</v>
      </c>
      <c r="N8" s="27">
        <f>Sheet1!H16</f>
        <v>6277.0159787996399</v>
      </c>
      <c r="O8" s="27">
        <f>Sheet1!I16</f>
        <v>6481.0189981106287</v>
      </c>
      <c r="P8" s="27">
        <f>Sheet1!J16</f>
        <v>6691.6521155492237</v>
      </c>
      <c r="Q8" s="27">
        <f>Sheet1!K16</f>
        <v>6909.1308093045727</v>
      </c>
      <c r="R8" s="27">
        <f>Sheet1!L16</f>
        <v>7133.6775606069714</v>
      </c>
      <c r="S8" s="27">
        <f>Sheet1!M16</f>
        <v>7365.5220813266978</v>
      </c>
      <c r="T8" s="27">
        <f>Sheet1!N16</f>
        <v>7604.9015489698158</v>
      </c>
      <c r="U8" s="27">
        <f>Sheet1!O16</f>
        <v>7852.0608493113341</v>
      </c>
      <c r="V8" s="27">
        <f>Sheet1!P16</f>
        <v>8107.252826913952</v>
      </c>
      <c r="W8" s="27">
        <f>Sheet1!Q16</f>
        <v>8370.7385437886551</v>
      </c>
      <c r="X8" s="27">
        <f>Sheet1!R16</f>
        <v>6800.3531148966376</v>
      </c>
      <c r="Y8" s="27">
        <f>Sheet1!S16</f>
        <v>4195.9533150912739</v>
      </c>
      <c r="Z8" s="27">
        <f>Sheet1!T16</f>
        <v>3071.2325604425841</v>
      </c>
      <c r="AA8" s="27">
        <f>Sheet1!U16</f>
        <v>3171.0476186569681</v>
      </c>
      <c r="AB8" s="27">
        <f>Sheet1!V16</f>
        <v>3274.1066662633193</v>
      </c>
    </row>
    <row r="9" spans="1:28" x14ac:dyDescent="0.25">
      <c r="B9" s="15" t="s">
        <v>240</v>
      </c>
      <c r="C9" s="9"/>
      <c r="D9" s="9"/>
      <c r="E9" s="9">
        <f>'P&amp;L'!E8</f>
        <v>343.65</v>
      </c>
      <c r="F9" s="9">
        <f>'P&amp;L'!F8</f>
        <v>236.16</v>
      </c>
      <c r="G9" s="9">
        <f>'P&amp;L'!G8</f>
        <v>79.78</v>
      </c>
      <c r="H9" s="9">
        <f>'P&amp;L'!H8</f>
        <v>650.97</v>
      </c>
      <c r="I9" s="27">
        <f>'P&amp;L'!I8*2</f>
        <v>413.64</v>
      </c>
      <c r="J9" s="27">
        <f t="shared" ref="J9:AB9" si="1">J8*$I$44</f>
        <v>372.77884560398292</v>
      </c>
      <c r="K9" s="27">
        <f t="shared" si="1"/>
        <v>383.96221097210241</v>
      </c>
      <c r="L9" s="27">
        <f t="shared" si="1"/>
        <v>395.48107730126543</v>
      </c>
      <c r="M9" s="27">
        <f t="shared" si="1"/>
        <v>408.33421231355658</v>
      </c>
      <c r="N9" s="27">
        <f t="shared" si="1"/>
        <v>421.60507421374712</v>
      </c>
      <c r="O9" s="27">
        <f t="shared" si="1"/>
        <v>435.30723912569397</v>
      </c>
      <c r="P9" s="27">
        <f t="shared" si="1"/>
        <v>449.45472439727899</v>
      </c>
      <c r="Q9" s="27">
        <f t="shared" si="1"/>
        <v>464.0620029401905</v>
      </c>
      <c r="R9" s="27">
        <f t="shared" si="1"/>
        <v>479.14401803574668</v>
      </c>
      <c r="S9" s="27">
        <f t="shared" si="1"/>
        <v>494.71619862190846</v>
      </c>
      <c r="T9" s="27">
        <f t="shared" si="1"/>
        <v>510.79447507712047</v>
      </c>
      <c r="U9" s="27">
        <f t="shared" si="1"/>
        <v>527.3952955171269</v>
      </c>
      <c r="V9" s="27">
        <f t="shared" si="1"/>
        <v>544.53564262143345</v>
      </c>
      <c r="W9" s="27">
        <f t="shared" si="1"/>
        <v>562.23305100663003</v>
      </c>
      <c r="X9" s="27">
        <f t="shared" si="1"/>
        <v>456.75578800007372</v>
      </c>
      <c r="Y9" s="27">
        <f t="shared" si="1"/>
        <v>281.82741843916244</v>
      </c>
      <c r="Z9" s="27">
        <f t="shared" si="1"/>
        <v>206.28388328886925</v>
      </c>
      <c r="AA9" s="27">
        <f t="shared" si="1"/>
        <v>212.9881094957575</v>
      </c>
      <c r="AB9" s="27">
        <f t="shared" si="1"/>
        <v>219.9102230543696</v>
      </c>
    </row>
    <row r="10" spans="1:28" x14ac:dyDescent="0.25">
      <c r="B10" s="44" t="s">
        <v>239</v>
      </c>
      <c r="C10" s="14"/>
      <c r="D10" s="14"/>
      <c r="E10" s="14">
        <f t="shared" ref="E10:M10" si="2">SUM(E8:E9)</f>
        <v>4770.71</v>
      </c>
      <c r="F10" s="14">
        <f t="shared" si="2"/>
        <v>4511.8499999999995</v>
      </c>
      <c r="G10" s="14">
        <f t="shared" si="2"/>
        <v>4272.33</v>
      </c>
      <c r="H10" s="14">
        <f t="shared" si="2"/>
        <v>5767.16</v>
      </c>
      <c r="I10" s="14">
        <f t="shared" si="2"/>
        <v>5802.06</v>
      </c>
      <c r="J10" s="14">
        <f t="shared" si="2"/>
        <v>5922.8514456039829</v>
      </c>
      <c r="K10" s="14">
        <f t="shared" si="2"/>
        <v>6100.5369889721023</v>
      </c>
      <c r="L10" s="14">
        <f t="shared" si="2"/>
        <v>6283.553098641265</v>
      </c>
      <c r="M10" s="14">
        <f t="shared" si="2"/>
        <v>6487.7685743471066</v>
      </c>
      <c r="N10" s="14">
        <f t="shared" ref="N10:AB10" si="3">SUM(N8:N9)</f>
        <v>6698.6210530133867</v>
      </c>
      <c r="O10" s="14">
        <f t="shared" si="3"/>
        <v>6916.3262372363224</v>
      </c>
      <c r="P10" s="14">
        <f t="shared" si="3"/>
        <v>7141.106839946503</v>
      </c>
      <c r="Q10" s="14">
        <f t="shared" si="3"/>
        <v>7373.1928122447634</v>
      </c>
      <c r="R10" s="14">
        <f t="shared" si="3"/>
        <v>7612.8215786427181</v>
      </c>
      <c r="S10" s="14">
        <f t="shared" si="3"/>
        <v>7860.2382799486059</v>
      </c>
      <c r="T10" s="14">
        <f t="shared" si="3"/>
        <v>8115.6960240469361</v>
      </c>
      <c r="U10" s="14">
        <f t="shared" si="3"/>
        <v>8379.4561448284603</v>
      </c>
      <c r="V10" s="14">
        <f t="shared" si="3"/>
        <v>8651.788469535386</v>
      </c>
      <c r="W10" s="14">
        <f t="shared" si="3"/>
        <v>8932.9715947952845</v>
      </c>
      <c r="X10" s="14">
        <f t="shared" si="3"/>
        <v>7257.1089028967117</v>
      </c>
      <c r="Y10" s="14">
        <f t="shared" si="3"/>
        <v>4477.780733530436</v>
      </c>
      <c r="Z10" s="14">
        <f t="shared" si="3"/>
        <v>3277.5164437314534</v>
      </c>
      <c r="AA10" s="14">
        <f t="shared" si="3"/>
        <v>3384.0357281527258</v>
      </c>
      <c r="AB10" s="14">
        <f t="shared" si="3"/>
        <v>3494.0168893176888</v>
      </c>
    </row>
    <row r="11" spans="1:28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7.25" customHeight="1" x14ac:dyDescent="0.25">
      <c r="B12" s="50" t="s">
        <v>18</v>
      </c>
      <c r="C12" s="9"/>
      <c r="D12" s="9"/>
      <c r="E12" s="9">
        <f>'P&amp;L'!E11</f>
        <v>2800.58</v>
      </c>
      <c r="F12" s="9">
        <f>'P&amp;L'!F11</f>
        <v>2108.5300000000002</v>
      </c>
      <c r="G12" s="9">
        <f>'P&amp;L'!G11</f>
        <v>2012.61</v>
      </c>
      <c r="H12" s="9">
        <f>'P&amp;L'!H11</f>
        <v>3181.98</v>
      </c>
      <c r="I12" s="27">
        <f>'P&amp;L'!I11*2</f>
        <v>1955.8</v>
      </c>
      <c r="J12" s="27">
        <f>J8*$J$45</f>
        <v>2886.0377520000002</v>
      </c>
      <c r="K12" s="27">
        <f t="shared" ref="K12:AB12" si="4">K8*$J$45</f>
        <v>2972.61888456</v>
      </c>
      <c r="L12" s="27">
        <f t="shared" si="4"/>
        <v>3061.7974510968002</v>
      </c>
      <c r="M12" s="27">
        <f t="shared" si="4"/>
        <v>3161.3058682574465</v>
      </c>
      <c r="N12" s="27">
        <f t="shared" si="4"/>
        <v>3264.0483089758127</v>
      </c>
      <c r="O12" s="27">
        <f t="shared" si="4"/>
        <v>3370.1298790175269</v>
      </c>
      <c r="P12" s="27">
        <f t="shared" si="4"/>
        <v>3479.6591000855965</v>
      </c>
      <c r="Q12" s="27">
        <f t="shared" si="4"/>
        <v>3592.7480208383781</v>
      </c>
      <c r="R12" s="27">
        <f t="shared" si="4"/>
        <v>3709.5123315156252</v>
      </c>
      <c r="S12" s="27">
        <f t="shared" si="4"/>
        <v>3830.0714822898831</v>
      </c>
      <c r="T12" s="27">
        <f t="shared" si="4"/>
        <v>3954.5488054643042</v>
      </c>
      <c r="U12" s="27">
        <f t="shared" si="4"/>
        <v>4083.0716416418941</v>
      </c>
      <c r="V12" s="27">
        <f t="shared" si="4"/>
        <v>4215.7714699952548</v>
      </c>
      <c r="W12" s="27">
        <f t="shared" si="4"/>
        <v>4352.7840427701012</v>
      </c>
      <c r="X12" s="27">
        <f t="shared" si="4"/>
        <v>3536.1836197462517</v>
      </c>
      <c r="Y12" s="27">
        <f t="shared" si="4"/>
        <v>2181.8957238474627</v>
      </c>
      <c r="Z12" s="27">
        <f t="shared" si="4"/>
        <v>1597.0409314301437</v>
      </c>
      <c r="AA12" s="27">
        <f t="shared" si="4"/>
        <v>1648.9447617016235</v>
      </c>
      <c r="AB12" s="27">
        <f t="shared" si="4"/>
        <v>1702.5354664569261</v>
      </c>
    </row>
    <row r="13" spans="1:28" ht="16.5" customHeight="1" x14ac:dyDescent="0.25">
      <c r="B13" s="47" t="s">
        <v>19</v>
      </c>
      <c r="C13" s="9"/>
      <c r="D13" s="9"/>
      <c r="E13" s="9">
        <f>'P&amp;L'!E12</f>
        <v>65.42</v>
      </c>
      <c r="F13" s="9">
        <f>'P&amp;L'!F12</f>
        <v>76.28</v>
      </c>
      <c r="G13" s="9">
        <f>'P&amp;L'!G12</f>
        <v>79.650000000000006</v>
      </c>
      <c r="H13" s="9">
        <f>'P&amp;L'!H12</f>
        <v>81.209999999999994</v>
      </c>
      <c r="I13" s="27">
        <f>'P&amp;L'!I12*2</f>
        <v>81.040000000000006</v>
      </c>
      <c r="J13" s="27">
        <f>J8*$J$46</f>
        <v>83.251089000000007</v>
      </c>
      <c r="K13" s="27">
        <f t="shared" ref="K13:AB13" si="5">K8*$J$46</f>
        <v>85.748621670000006</v>
      </c>
      <c r="L13" s="27">
        <f t="shared" si="5"/>
        <v>88.321080320099995</v>
      </c>
      <c r="M13" s="27">
        <f t="shared" si="5"/>
        <v>91.191515430503244</v>
      </c>
      <c r="N13" s="27">
        <f t="shared" si="5"/>
        <v>94.155239681994601</v>
      </c>
      <c r="O13" s="27">
        <f t="shared" si="5"/>
        <v>97.215284971659429</v>
      </c>
      <c r="P13" s="27">
        <f t="shared" si="5"/>
        <v>100.37478173323835</v>
      </c>
      <c r="Q13" s="27">
        <f t="shared" si="5"/>
        <v>103.63696213956858</v>
      </c>
      <c r="R13" s="27">
        <f t="shared" si="5"/>
        <v>107.00516340910457</v>
      </c>
      <c r="S13" s="27">
        <f t="shared" si="5"/>
        <v>110.48283121990046</v>
      </c>
      <c r="T13" s="27">
        <f t="shared" si="5"/>
        <v>114.07352323454724</v>
      </c>
      <c r="U13" s="27">
        <f t="shared" si="5"/>
        <v>117.78091273967</v>
      </c>
      <c r="V13" s="27">
        <f t="shared" si="5"/>
        <v>121.60879240370927</v>
      </c>
      <c r="W13" s="27">
        <f t="shared" si="5"/>
        <v>125.56107815682982</v>
      </c>
      <c r="X13" s="27">
        <f t="shared" si="5"/>
        <v>102.00529672344956</v>
      </c>
      <c r="Y13" s="27">
        <f t="shared" si="5"/>
        <v>62.939299726369107</v>
      </c>
      <c r="Z13" s="27">
        <f t="shared" si="5"/>
        <v>46.068488406638764</v>
      </c>
      <c r="AA13" s="27">
        <f t="shared" si="5"/>
        <v>47.565714279854518</v>
      </c>
      <c r="AB13" s="27">
        <f t="shared" si="5"/>
        <v>49.111599993949788</v>
      </c>
    </row>
    <row r="14" spans="1:28" ht="15.75" customHeight="1" x14ac:dyDescent="0.25">
      <c r="B14" s="50" t="s">
        <v>21</v>
      </c>
      <c r="C14" s="9"/>
      <c r="D14" s="9"/>
      <c r="E14" s="9">
        <f>'P&amp;L'!E13</f>
        <v>1516.57</v>
      </c>
      <c r="F14" s="9">
        <f>'P&amp;L'!F13</f>
        <v>1358.41</v>
      </c>
      <c r="G14" s="9">
        <f>'P&amp;L'!G13</f>
        <v>689.66</v>
      </c>
      <c r="H14" s="9">
        <f>'P&amp;L'!H13</f>
        <v>1064.01</v>
      </c>
      <c r="I14" s="27">
        <f>'P&amp;L'!I13*2</f>
        <v>641.6</v>
      </c>
      <c r="J14" s="27">
        <f>J8*$J$47</f>
        <v>832.51089000000002</v>
      </c>
      <c r="K14" s="27">
        <f t="shared" ref="K14:AB14" si="6">K8*$J$47</f>
        <v>857.4862167</v>
      </c>
      <c r="L14" s="27">
        <f t="shared" si="6"/>
        <v>883.21080320099998</v>
      </c>
      <c r="M14" s="27">
        <f t="shared" si="6"/>
        <v>911.9151543050325</v>
      </c>
      <c r="N14" s="27">
        <f t="shared" si="6"/>
        <v>941.5523968199459</v>
      </c>
      <c r="O14" s="27">
        <f t="shared" si="6"/>
        <v>972.15284971659423</v>
      </c>
      <c r="P14" s="27">
        <f t="shared" si="6"/>
        <v>1003.7478173323835</v>
      </c>
      <c r="Q14" s="27">
        <f t="shared" si="6"/>
        <v>1036.369621395686</v>
      </c>
      <c r="R14" s="27">
        <f t="shared" si="6"/>
        <v>1070.0516340910456</v>
      </c>
      <c r="S14" s="27">
        <f t="shared" si="6"/>
        <v>1104.8283121990046</v>
      </c>
      <c r="T14" s="27">
        <f t="shared" si="6"/>
        <v>1140.7352323454722</v>
      </c>
      <c r="U14" s="27">
        <f t="shared" si="6"/>
        <v>1177.8091273967</v>
      </c>
      <c r="V14" s="27">
        <f t="shared" si="6"/>
        <v>1216.0879240370928</v>
      </c>
      <c r="W14" s="27">
        <f t="shared" si="6"/>
        <v>1255.6107815682983</v>
      </c>
      <c r="X14" s="27">
        <f t="shared" si="6"/>
        <v>1020.0529672344956</v>
      </c>
      <c r="Y14" s="27">
        <f t="shared" si="6"/>
        <v>629.39299726369109</v>
      </c>
      <c r="Z14" s="27">
        <f t="shared" si="6"/>
        <v>460.68488406638761</v>
      </c>
      <c r="AA14" s="27">
        <f t="shared" si="6"/>
        <v>475.65714279854518</v>
      </c>
      <c r="AB14" s="27">
        <f t="shared" si="6"/>
        <v>491.1159999394979</v>
      </c>
    </row>
    <row r="15" spans="1:28" x14ac:dyDescent="0.25">
      <c r="B15" s="44" t="s">
        <v>23</v>
      </c>
      <c r="C15" s="14"/>
      <c r="D15" s="14"/>
      <c r="E15" s="14">
        <f t="shared" ref="E15:AB15" si="7">SUM(E12:E14)</f>
        <v>4382.57</v>
      </c>
      <c r="F15" s="14">
        <f t="shared" si="7"/>
        <v>3543.2200000000003</v>
      </c>
      <c r="G15" s="53">
        <f t="shared" si="7"/>
        <v>2781.9199999999996</v>
      </c>
      <c r="H15" s="53">
        <f t="shared" si="7"/>
        <v>4327.2</v>
      </c>
      <c r="I15" s="53">
        <f t="shared" si="7"/>
        <v>2678.44</v>
      </c>
      <c r="J15" s="53">
        <f t="shared" si="7"/>
        <v>3801.7997310000001</v>
      </c>
      <c r="K15" s="53">
        <f t="shared" si="7"/>
        <v>3915.85372293</v>
      </c>
      <c r="L15" s="53">
        <f t="shared" si="7"/>
        <v>4033.3293346179003</v>
      </c>
      <c r="M15" s="53">
        <f t="shared" si="7"/>
        <v>4164.4125379929828</v>
      </c>
      <c r="N15" s="53">
        <f t="shared" si="7"/>
        <v>4299.7559454777529</v>
      </c>
      <c r="O15" s="53">
        <f t="shared" si="7"/>
        <v>4439.498013705781</v>
      </c>
      <c r="P15" s="53">
        <f t="shared" si="7"/>
        <v>4583.7816991512182</v>
      </c>
      <c r="Q15" s="53">
        <f t="shared" si="7"/>
        <v>4732.7546043736329</v>
      </c>
      <c r="R15" s="53">
        <f t="shared" si="7"/>
        <v>4886.5691290157756</v>
      </c>
      <c r="S15" s="53">
        <f t="shared" si="7"/>
        <v>5045.3826257087885</v>
      </c>
      <c r="T15" s="53">
        <f t="shared" si="7"/>
        <v>5209.357561044324</v>
      </c>
      <c r="U15" s="53">
        <f t="shared" si="7"/>
        <v>5378.6616817782642</v>
      </c>
      <c r="V15" s="53">
        <f t="shared" si="7"/>
        <v>5553.4681864360573</v>
      </c>
      <c r="W15" s="53">
        <f t="shared" si="7"/>
        <v>5733.9559024952296</v>
      </c>
      <c r="X15" s="53">
        <f t="shared" si="7"/>
        <v>4658.2418837041969</v>
      </c>
      <c r="Y15" s="53">
        <f t="shared" si="7"/>
        <v>2874.2280208375228</v>
      </c>
      <c r="Z15" s="53">
        <f t="shared" si="7"/>
        <v>2103.7943039031702</v>
      </c>
      <c r="AA15" s="53">
        <f t="shared" si="7"/>
        <v>2172.1676187800231</v>
      </c>
      <c r="AB15" s="53">
        <f t="shared" si="7"/>
        <v>2242.7630663903738</v>
      </c>
    </row>
    <row r="16" spans="1:28" x14ac:dyDescent="0.25">
      <c r="B16" s="44" t="s">
        <v>121</v>
      </c>
      <c r="C16" s="14"/>
      <c r="D16" s="14"/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AB16" si="8">H10-H15</f>
        <v>1439.96</v>
      </c>
      <c r="I16" s="53">
        <f t="shared" si="8"/>
        <v>3123.6200000000003</v>
      </c>
      <c r="J16" s="53">
        <f t="shared" si="8"/>
        <v>2121.0517146039829</v>
      </c>
      <c r="K16" s="53">
        <f t="shared" si="8"/>
        <v>2184.6832660421023</v>
      </c>
      <c r="L16" s="53">
        <f t="shared" si="8"/>
        <v>2250.2237640233648</v>
      </c>
      <c r="M16" s="53">
        <f t="shared" si="8"/>
        <v>2323.3560363541237</v>
      </c>
      <c r="N16" s="53">
        <f t="shared" si="8"/>
        <v>2398.8651075356338</v>
      </c>
      <c r="O16" s="53">
        <f t="shared" si="8"/>
        <v>2476.8282235305414</v>
      </c>
      <c r="P16" s="53">
        <f t="shared" si="8"/>
        <v>2557.3251407952848</v>
      </c>
      <c r="Q16" s="53">
        <f t="shared" si="8"/>
        <v>2640.4382078711305</v>
      </c>
      <c r="R16" s="53">
        <f t="shared" si="8"/>
        <v>2726.2524496269425</v>
      </c>
      <c r="S16" s="53">
        <f t="shared" si="8"/>
        <v>2814.8556542398173</v>
      </c>
      <c r="T16" s="53">
        <f t="shared" si="8"/>
        <v>2906.3384630026121</v>
      </c>
      <c r="U16" s="53">
        <f t="shared" si="8"/>
        <v>3000.7944630501961</v>
      </c>
      <c r="V16" s="53">
        <f t="shared" si="8"/>
        <v>3098.3202830993287</v>
      </c>
      <c r="W16" s="53">
        <f t="shared" si="8"/>
        <v>3199.015692300055</v>
      </c>
      <c r="X16" s="53">
        <f t="shared" si="8"/>
        <v>2598.8670191925148</v>
      </c>
      <c r="Y16" s="53">
        <f t="shared" si="8"/>
        <v>1603.5527126929132</v>
      </c>
      <c r="Z16" s="53">
        <f t="shared" si="8"/>
        <v>1173.7221398282832</v>
      </c>
      <c r="AA16" s="53">
        <f t="shared" si="8"/>
        <v>1211.8681093727027</v>
      </c>
      <c r="AB16" s="53">
        <f t="shared" si="8"/>
        <v>1251.253822927315</v>
      </c>
    </row>
    <row r="17" spans="1:28" ht="30" x14ac:dyDescent="0.25">
      <c r="B17" s="64" t="s">
        <v>22</v>
      </c>
      <c r="C17" s="9"/>
      <c r="D17" s="9"/>
      <c r="E17" s="9">
        <f>'P&amp;L'!E16</f>
        <v>695.21</v>
      </c>
      <c r="F17" s="9">
        <f>'P&amp;L'!F16</f>
        <v>679.41</v>
      </c>
      <c r="G17" s="9">
        <f>'P&amp;L'!G16</f>
        <v>672.38</v>
      </c>
      <c r="H17" s="9">
        <f>'P&amp;L'!H16</f>
        <v>665.53</v>
      </c>
      <c r="I17" s="27">
        <f>Depreciation!D6</f>
        <v>585.52756678604112</v>
      </c>
      <c r="J17" s="27">
        <f>Depreciation!E6</f>
        <v>555.22096429636542</v>
      </c>
      <c r="K17" s="27">
        <f>Depreciation!F6</f>
        <v>526.48301579766883</v>
      </c>
      <c r="L17" s="27">
        <f>Depreciation!G6</f>
        <v>499.23252857479122</v>
      </c>
      <c r="M17" s="27">
        <f>L17</f>
        <v>499.23252857479122</v>
      </c>
      <c r="N17" s="27">
        <f t="shared" ref="N17:AB17" si="9">M17</f>
        <v>499.23252857479122</v>
      </c>
      <c r="O17" s="27">
        <f t="shared" si="9"/>
        <v>499.23252857479122</v>
      </c>
      <c r="P17" s="27">
        <f t="shared" si="9"/>
        <v>499.23252857479122</v>
      </c>
      <c r="Q17" s="27">
        <f t="shared" si="9"/>
        <v>499.23252857479122</v>
      </c>
      <c r="R17" s="27">
        <f t="shared" si="9"/>
        <v>499.23252857479122</v>
      </c>
      <c r="S17" s="27">
        <f t="shared" si="9"/>
        <v>499.23252857479122</v>
      </c>
      <c r="T17" s="27">
        <f t="shared" si="9"/>
        <v>499.23252857479122</v>
      </c>
      <c r="U17" s="27">
        <f t="shared" si="9"/>
        <v>499.23252857479122</v>
      </c>
      <c r="V17" s="27">
        <f t="shared" si="9"/>
        <v>499.23252857479122</v>
      </c>
      <c r="W17" s="27">
        <f t="shared" si="9"/>
        <v>499.23252857479122</v>
      </c>
      <c r="X17" s="27">
        <f t="shared" si="9"/>
        <v>499.23252857479122</v>
      </c>
      <c r="Y17" s="27">
        <f t="shared" si="9"/>
        <v>499.23252857479122</v>
      </c>
      <c r="Z17" s="27">
        <f t="shared" si="9"/>
        <v>499.23252857479122</v>
      </c>
      <c r="AA17" s="27">
        <f t="shared" si="9"/>
        <v>499.23252857479122</v>
      </c>
      <c r="AB17" s="27">
        <f t="shared" si="9"/>
        <v>499.23252857479122</v>
      </c>
    </row>
    <row r="18" spans="1:28" x14ac:dyDescent="0.25">
      <c r="B18" s="110" t="s">
        <v>122</v>
      </c>
      <c r="C18" s="14"/>
      <c r="D18" s="14"/>
      <c r="E18" s="14">
        <f t="shared" ref="E18:AB18" si="10">E16-E17</f>
        <v>-307.06999999999971</v>
      </c>
      <c r="F18" s="14">
        <f t="shared" si="10"/>
        <v>289.21999999999923</v>
      </c>
      <c r="G18" s="53">
        <f t="shared" si="10"/>
        <v>818.03000000000031</v>
      </c>
      <c r="H18" s="107">
        <f t="shared" si="10"/>
        <v>774.43000000000006</v>
      </c>
      <c r="I18" s="107">
        <f t="shared" si="10"/>
        <v>2538.0924332139593</v>
      </c>
      <c r="J18" s="107">
        <f t="shared" si="10"/>
        <v>1565.8307503076176</v>
      </c>
      <c r="K18" s="107">
        <f t="shared" si="10"/>
        <v>1658.2002502444334</v>
      </c>
      <c r="L18" s="107">
        <f t="shared" si="10"/>
        <v>1750.9912354485737</v>
      </c>
      <c r="M18" s="107">
        <f t="shared" si="10"/>
        <v>1824.1235077793326</v>
      </c>
      <c r="N18" s="107">
        <f t="shared" si="10"/>
        <v>1899.6325789608427</v>
      </c>
      <c r="O18" s="107">
        <f t="shared" si="10"/>
        <v>1977.5956949557503</v>
      </c>
      <c r="P18" s="107">
        <f t="shared" si="10"/>
        <v>2058.0926122204937</v>
      </c>
      <c r="Q18" s="107">
        <f t="shared" si="10"/>
        <v>2141.2056792963394</v>
      </c>
      <c r="R18" s="107">
        <f t="shared" si="10"/>
        <v>2227.0199210521514</v>
      </c>
      <c r="S18" s="107">
        <f t="shared" si="10"/>
        <v>2315.6231256650262</v>
      </c>
      <c r="T18" s="107">
        <f t="shared" si="10"/>
        <v>2407.105934427821</v>
      </c>
      <c r="U18" s="107">
        <f t="shared" si="10"/>
        <v>2501.561934475405</v>
      </c>
      <c r="V18" s="107">
        <f t="shared" si="10"/>
        <v>2599.0877545245376</v>
      </c>
      <c r="W18" s="107">
        <f t="shared" si="10"/>
        <v>2699.7831637252639</v>
      </c>
      <c r="X18" s="107">
        <f t="shared" si="10"/>
        <v>2099.6344906177237</v>
      </c>
      <c r="Y18" s="107">
        <f t="shared" si="10"/>
        <v>1104.3201841181221</v>
      </c>
      <c r="Z18" s="107">
        <f t="shared" si="10"/>
        <v>674.48961125349194</v>
      </c>
      <c r="AA18" s="107">
        <f t="shared" si="10"/>
        <v>712.63558079791153</v>
      </c>
      <c r="AB18" s="107">
        <f t="shared" si="10"/>
        <v>752.0212943525238</v>
      </c>
    </row>
    <row r="19" spans="1:28" x14ac:dyDescent="0.25">
      <c r="A19" s="174">
        <f>30%*1.04*1.12</f>
        <v>0.34944000000000003</v>
      </c>
      <c r="B19" s="111" t="s">
        <v>185</v>
      </c>
      <c r="I19" s="61">
        <f t="shared" ref="I19:AB19" si="11">$A$19</f>
        <v>0.34944000000000003</v>
      </c>
      <c r="J19" s="61">
        <f t="shared" si="11"/>
        <v>0.34944000000000003</v>
      </c>
      <c r="K19" s="61">
        <f t="shared" si="11"/>
        <v>0.34944000000000003</v>
      </c>
      <c r="L19" s="61">
        <f t="shared" si="11"/>
        <v>0.34944000000000003</v>
      </c>
      <c r="M19" s="61">
        <f t="shared" si="11"/>
        <v>0.34944000000000003</v>
      </c>
      <c r="N19" s="61">
        <f t="shared" si="11"/>
        <v>0.34944000000000003</v>
      </c>
      <c r="O19" s="61">
        <f t="shared" si="11"/>
        <v>0.34944000000000003</v>
      </c>
      <c r="P19" s="61">
        <f t="shared" si="11"/>
        <v>0.34944000000000003</v>
      </c>
      <c r="Q19" s="61">
        <f t="shared" si="11"/>
        <v>0.34944000000000003</v>
      </c>
      <c r="R19" s="61">
        <f t="shared" si="11"/>
        <v>0.34944000000000003</v>
      </c>
      <c r="S19" s="61">
        <f t="shared" si="11"/>
        <v>0.34944000000000003</v>
      </c>
      <c r="T19" s="61">
        <f t="shared" si="11"/>
        <v>0.34944000000000003</v>
      </c>
      <c r="U19" s="61">
        <f t="shared" si="11"/>
        <v>0.34944000000000003</v>
      </c>
      <c r="V19" s="61">
        <f t="shared" si="11"/>
        <v>0.34944000000000003</v>
      </c>
      <c r="W19" s="61">
        <f t="shared" si="11"/>
        <v>0.34944000000000003</v>
      </c>
      <c r="X19" s="61">
        <f t="shared" si="11"/>
        <v>0.34944000000000003</v>
      </c>
      <c r="Y19" s="61">
        <f t="shared" si="11"/>
        <v>0.34944000000000003</v>
      </c>
      <c r="Z19" s="61">
        <f t="shared" si="11"/>
        <v>0.34944000000000003</v>
      </c>
      <c r="AA19" s="61">
        <f t="shared" si="11"/>
        <v>0.34944000000000003</v>
      </c>
      <c r="AB19" s="61">
        <f t="shared" si="11"/>
        <v>0.34944000000000003</v>
      </c>
    </row>
    <row r="20" spans="1:28" x14ac:dyDescent="0.25">
      <c r="B20" s="111" t="s">
        <v>186</v>
      </c>
      <c r="I20" s="97">
        <f t="shared" ref="I20:AB20" si="12">1-I19</f>
        <v>0.65056000000000003</v>
      </c>
      <c r="J20" s="97">
        <f t="shared" si="12"/>
        <v>0.65056000000000003</v>
      </c>
      <c r="K20" s="97">
        <f t="shared" si="12"/>
        <v>0.65056000000000003</v>
      </c>
      <c r="L20" s="97">
        <f t="shared" si="12"/>
        <v>0.65056000000000003</v>
      </c>
      <c r="M20" s="97">
        <f t="shared" si="12"/>
        <v>0.65056000000000003</v>
      </c>
      <c r="N20" s="97">
        <f t="shared" si="12"/>
        <v>0.65056000000000003</v>
      </c>
      <c r="O20" s="97">
        <f t="shared" si="12"/>
        <v>0.65056000000000003</v>
      </c>
      <c r="P20" s="97">
        <f t="shared" si="12"/>
        <v>0.65056000000000003</v>
      </c>
      <c r="Q20" s="97">
        <f t="shared" si="12"/>
        <v>0.65056000000000003</v>
      </c>
      <c r="R20" s="97">
        <f t="shared" si="12"/>
        <v>0.65056000000000003</v>
      </c>
      <c r="S20" s="97">
        <f t="shared" si="12"/>
        <v>0.65056000000000003</v>
      </c>
      <c r="T20" s="97">
        <f t="shared" si="12"/>
        <v>0.65056000000000003</v>
      </c>
      <c r="U20" s="97">
        <f t="shared" si="12"/>
        <v>0.65056000000000003</v>
      </c>
      <c r="V20" s="97">
        <f t="shared" si="12"/>
        <v>0.65056000000000003</v>
      </c>
      <c r="W20" s="97">
        <f t="shared" si="12"/>
        <v>0.65056000000000003</v>
      </c>
      <c r="X20" s="97">
        <f t="shared" si="12"/>
        <v>0.65056000000000003</v>
      </c>
      <c r="Y20" s="97">
        <f t="shared" si="12"/>
        <v>0.65056000000000003</v>
      </c>
      <c r="Z20" s="97">
        <f t="shared" si="12"/>
        <v>0.65056000000000003</v>
      </c>
      <c r="AA20" s="97">
        <f t="shared" si="12"/>
        <v>0.65056000000000003</v>
      </c>
      <c r="AB20" s="97">
        <f t="shared" si="12"/>
        <v>0.65056000000000003</v>
      </c>
    </row>
    <row r="21" spans="1:28" x14ac:dyDescent="0.25">
      <c r="B21" s="112" t="s">
        <v>187</v>
      </c>
      <c r="I21" s="27">
        <f t="shared" ref="I21:AB21" si="13">I18*I20</f>
        <v>1651.1814133516734</v>
      </c>
      <c r="J21" s="27">
        <f t="shared" si="13"/>
        <v>1018.6668529201237</v>
      </c>
      <c r="K21" s="27">
        <f t="shared" si="13"/>
        <v>1078.7587547990186</v>
      </c>
      <c r="L21" s="27">
        <f t="shared" si="13"/>
        <v>1139.1248581334241</v>
      </c>
      <c r="M21" s="27">
        <f t="shared" si="13"/>
        <v>1186.7017892209226</v>
      </c>
      <c r="N21" s="27">
        <f t="shared" si="13"/>
        <v>1235.8249705687658</v>
      </c>
      <c r="O21" s="27">
        <f t="shared" si="13"/>
        <v>1286.544655310413</v>
      </c>
      <c r="P21" s="27">
        <f t="shared" si="13"/>
        <v>1338.9127298061644</v>
      </c>
      <c r="Q21" s="27">
        <f t="shared" si="13"/>
        <v>1392.9827667230265</v>
      </c>
      <c r="R21" s="27">
        <f t="shared" si="13"/>
        <v>1448.8100798396877</v>
      </c>
      <c r="S21" s="27">
        <f t="shared" si="13"/>
        <v>1506.4517806326396</v>
      </c>
      <c r="T21" s="27">
        <f t="shared" si="13"/>
        <v>1565.9668367013633</v>
      </c>
      <c r="U21" s="27">
        <f t="shared" si="13"/>
        <v>1627.4161320923195</v>
      </c>
      <c r="V21" s="27">
        <f t="shared" si="13"/>
        <v>1690.8625295834831</v>
      </c>
      <c r="W21" s="27">
        <f t="shared" si="13"/>
        <v>1756.3709349931078</v>
      </c>
      <c r="X21" s="27">
        <f t="shared" si="13"/>
        <v>1365.9382142162665</v>
      </c>
      <c r="Y21" s="27">
        <f t="shared" si="13"/>
        <v>718.42653897988555</v>
      </c>
      <c r="Z21" s="27">
        <f t="shared" si="13"/>
        <v>438.79596149707174</v>
      </c>
      <c r="AA21" s="27">
        <f t="shared" si="13"/>
        <v>463.61220344388937</v>
      </c>
      <c r="AB21" s="27">
        <f t="shared" si="13"/>
        <v>489.2349732539779</v>
      </c>
    </row>
    <row r="22" spans="1:28" x14ac:dyDescent="0.25">
      <c r="B22" s="111" t="s">
        <v>188</v>
      </c>
      <c r="I22" s="27">
        <f t="shared" ref="I22:AB22" si="14">I17</f>
        <v>585.52756678604112</v>
      </c>
      <c r="J22" s="27">
        <f t="shared" si="14"/>
        <v>555.22096429636542</v>
      </c>
      <c r="K22" s="27">
        <f t="shared" si="14"/>
        <v>526.48301579766883</v>
      </c>
      <c r="L22" s="27">
        <f t="shared" si="14"/>
        <v>499.23252857479122</v>
      </c>
      <c r="M22" s="27">
        <f t="shared" si="14"/>
        <v>499.23252857479122</v>
      </c>
      <c r="N22" s="27">
        <f t="shared" si="14"/>
        <v>499.23252857479122</v>
      </c>
      <c r="O22" s="27">
        <f t="shared" si="14"/>
        <v>499.23252857479122</v>
      </c>
      <c r="P22" s="27">
        <f t="shared" si="14"/>
        <v>499.23252857479122</v>
      </c>
      <c r="Q22" s="27">
        <f t="shared" si="14"/>
        <v>499.23252857479122</v>
      </c>
      <c r="R22" s="27">
        <f t="shared" si="14"/>
        <v>499.23252857479122</v>
      </c>
      <c r="S22" s="27">
        <f t="shared" si="14"/>
        <v>499.23252857479122</v>
      </c>
      <c r="T22" s="27">
        <f t="shared" si="14"/>
        <v>499.23252857479122</v>
      </c>
      <c r="U22" s="27">
        <f t="shared" si="14"/>
        <v>499.23252857479122</v>
      </c>
      <c r="V22" s="27">
        <f t="shared" si="14"/>
        <v>499.23252857479122</v>
      </c>
      <c r="W22" s="27">
        <f t="shared" si="14"/>
        <v>499.23252857479122</v>
      </c>
      <c r="X22" s="27">
        <f t="shared" si="14"/>
        <v>499.23252857479122</v>
      </c>
      <c r="Y22" s="27">
        <f t="shared" si="14"/>
        <v>499.23252857479122</v>
      </c>
      <c r="Z22" s="27">
        <f t="shared" si="14"/>
        <v>499.23252857479122</v>
      </c>
      <c r="AA22" s="27">
        <f t="shared" si="14"/>
        <v>499.23252857479122</v>
      </c>
      <c r="AB22" s="27">
        <f t="shared" si="14"/>
        <v>499.23252857479122</v>
      </c>
    </row>
    <row r="23" spans="1:28" x14ac:dyDescent="0.25">
      <c r="B23" s="111" t="s">
        <v>189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</row>
    <row r="24" spans="1:28" ht="15" customHeight="1" x14ac:dyDescent="0.25">
      <c r="B24" s="111" t="s">
        <v>190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</row>
    <row r="25" spans="1:28" x14ac:dyDescent="0.25">
      <c r="B25" s="113" t="s">
        <v>191</v>
      </c>
      <c r="I25" s="27">
        <f t="shared" ref="I25" si="15">I21+I22-I23-I24</f>
        <v>2236.7089801377147</v>
      </c>
      <c r="J25" s="27">
        <f>J21+J22-J23-J24</f>
        <v>1573.8878172164891</v>
      </c>
      <c r="K25" s="27">
        <f>K21+K22-K23-K24</f>
        <v>579.24177059668727</v>
      </c>
      <c r="L25" s="27">
        <f>L21+L22-L23-L24</f>
        <v>612.35738670821547</v>
      </c>
      <c r="M25" s="27">
        <f>M21+M22-M23-M24</f>
        <v>1685.9343177957139</v>
      </c>
      <c r="N25" s="27">
        <f t="shared" ref="N25:AB25" si="16">N21+N22-N23-N24</f>
        <v>1735.0574991435569</v>
      </c>
      <c r="O25" s="27">
        <f t="shared" si="16"/>
        <v>1785.7771838852041</v>
      </c>
      <c r="P25" s="27">
        <f t="shared" si="16"/>
        <v>1838.1452583809555</v>
      </c>
      <c r="Q25" s="27">
        <f t="shared" si="16"/>
        <v>1892.2152952978176</v>
      </c>
      <c r="R25" s="27">
        <f t="shared" si="16"/>
        <v>1948.0426084144788</v>
      </c>
      <c r="S25" s="27">
        <f t="shared" si="16"/>
        <v>2005.6843092074309</v>
      </c>
      <c r="T25" s="27">
        <f t="shared" si="16"/>
        <v>2065.1993652761544</v>
      </c>
      <c r="U25" s="27">
        <f t="shared" si="16"/>
        <v>2126.6486606671106</v>
      </c>
      <c r="V25" s="27">
        <f t="shared" si="16"/>
        <v>2190.0950581582742</v>
      </c>
      <c r="W25" s="27">
        <f t="shared" si="16"/>
        <v>2255.6034635678989</v>
      </c>
      <c r="X25" s="27">
        <f t="shared" si="16"/>
        <v>1865.1707427910578</v>
      </c>
      <c r="Y25" s="27">
        <f t="shared" si="16"/>
        <v>1217.6590675546768</v>
      </c>
      <c r="Z25" s="27">
        <f t="shared" si="16"/>
        <v>938.02849007186296</v>
      </c>
      <c r="AA25" s="27">
        <f t="shared" si="16"/>
        <v>962.84473201868059</v>
      </c>
      <c r="AB25" s="27">
        <f t="shared" si="16"/>
        <v>988.46750182876917</v>
      </c>
    </row>
    <row r="26" spans="1:28" x14ac:dyDescent="0.25">
      <c r="B26" s="113" t="s">
        <v>237</v>
      </c>
      <c r="I26" s="27">
        <f>I25*0.5/12</f>
        <v>93.196207505738116</v>
      </c>
      <c r="J26" s="27">
        <f t="shared" ref="J26:AB26" si="17">J25</f>
        <v>1573.8878172164891</v>
      </c>
      <c r="K26" s="27">
        <f t="shared" si="17"/>
        <v>579.24177059668727</v>
      </c>
      <c r="L26" s="27">
        <f t="shared" si="17"/>
        <v>612.35738670821547</v>
      </c>
      <c r="M26" s="27">
        <f t="shared" si="17"/>
        <v>1685.9343177957139</v>
      </c>
      <c r="N26" s="27">
        <f t="shared" si="17"/>
        <v>1735.0574991435569</v>
      </c>
      <c r="O26" s="27">
        <f t="shared" si="17"/>
        <v>1785.7771838852041</v>
      </c>
      <c r="P26" s="27">
        <f t="shared" si="17"/>
        <v>1838.1452583809555</v>
      </c>
      <c r="Q26" s="27">
        <f t="shared" si="17"/>
        <v>1892.2152952978176</v>
      </c>
      <c r="R26" s="27">
        <f t="shared" si="17"/>
        <v>1948.0426084144788</v>
      </c>
      <c r="S26" s="27">
        <f t="shared" si="17"/>
        <v>2005.6843092074309</v>
      </c>
      <c r="T26" s="27">
        <f t="shared" si="17"/>
        <v>2065.1993652761544</v>
      </c>
      <c r="U26" s="27">
        <f t="shared" si="17"/>
        <v>2126.6486606671106</v>
      </c>
      <c r="V26" s="27">
        <f t="shared" si="17"/>
        <v>2190.0950581582742</v>
      </c>
      <c r="W26" s="27">
        <f t="shared" si="17"/>
        <v>2255.6034635678989</v>
      </c>
      <c r="X26" s="27">
        <f t="shared" si="17"/>
        <v>1865.1707427910578</v>
      </c>
      <c r="Y26" s="27">
        <f t="shared" si="17"/>
        <v>1217.6590675546768</v>
      </c>
      <c r="Z26" s="27">
        <f t="shared" si="17"/>
        <v>938.02849007186296</v>
      </c>
      <c r="AA26" s="27">
        <f t="shared" si="17"/>
        <v>962.84473201868059</v>
      </c>
      <c r="AB26" s="27">
        <f t="shared" si="17"/>
        <v>988.46750182876917</v>
      </c>
    </row>
    <row r="27" spans="1:28" x14ac:dyDescent="0.25">
      <c r="B27" s="112" t="s">
        <v>192</v>
      </c>
      <c r="I27" s="180">
        <f>'Discount Rate'!C7</f>
        <v>0.14279999999999998</v>
      </c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2"/>
    </row>
    <row r="28" spans="1:28" x14ac:dyDescent="0.25">
      <c r="B28" s="112" t="s">
        <v>256</v>
      </c>
      <c r="I28" s="187">
        <v>45366</v>
      </c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9"/>
    </row>
    <row r="29" spans="1:28" ht="15.75" customHeight="1" x14ac:dyDescent="0.25">
      <c r="B29" s="114" t="s">
        <v>193</v>
      </c>
      <c r="I29" s="115">
        <f>0.5/12</f>
        <v>4.1666666666666664E-2</v>
      </c>
      <c r="J29" s="115">
        <f t="shared" ref="J29:AB29" si="18">I29+1</f>
        <v>1.0416666666666667</v>
      </c>
      <c r="K29" s="115">
        <f t="shared" si="18"/>
        <v>2.041666666666667</v>
      </c>
      <c r="L29" s="115">
        <f t="shared" si="18"/>
        <v>3.041666666666667</v>
      </c>
      <c r="M29" s="115">
        <f t="shared" si="18"/>
        <v>4.041666666666667</v>
      </c>
      <c r="N29" s="115">
        <f t="shared" si="18"/>
        <v>5.041666666666667</v>
      </c>
      <c r="O29" s="115">
        <f t="shared" si="18"/>
        <v>6.041666666666667</v>
      </c>
      <c r="P29" s="115">
        <f t="shared" si="18"/>
        <v>7.041666666666667</v>
      </c>
      <c r="Q29" s="115">
        <f t="shared" si="18"/>
        <v>8.0416666666666679</v>
      </c>
      <c r="R29" s="115">
        <f t="shared" si="18"/>
        <v>9.0416666666666679</v>
      </c>
      <c r="S29" s="115">
        <f t="shared" si="18"/>
        <v>10.041666666666668</v>
      </c>
      <c r="T29" s="115">
        <f t="shared" si="18"/>
        <v>11.041666666666668</v>
      </c>
      <c r="U29" s="115">
        <f t="shared" si="18"/>
        <v>12.041666666666668</v>
      </c>
      <c r="V29" s="115">
        <f t="shared" si="18"/>
        <v>13.041666666666668</v>
      </c>
      <c r="W29" s="115">
        <f t="shared" si="18"/>
        <v>14.041666666666668</v>
      </c>
      <c r="X29" s="115">
        <f t="shared" si="18"/>
        <v>15.041666666666668</v>
      </c>
      <c r="Y29" s="115">
        <f t="shared" si="18"/>
        <v>16.041666666666668</v>
      </c>
      <c r="Z29" s="115">
        <f t="shared" si="18"/>
        <v>17.041666666666668</v>
      </c>
      <c r="AA29" s="115">
        <f t="shared" si="18"/>
        <v>18.041666666666668</v>
      </c>
      <c r="AB29" s="115">
        <f t="shared" si="18"/>
        <v>19.041666666666668</v>
      </c>
    </row>
    <row r="30" spans="1:28" ht="15.75" customHeight="1" x14ac:dyDescent="0.25">
      <c r="B30" s="111" t="s">
        <v>194</v>
      </c>
      <c r="I30" s="27">
        <f t="shared" ref="I30:AB30" si="19">1/(1+$I$27)^I29</f>
        <v>0.99445371311644104</v>
      </c>
      <c r="J30" s="27">
        <f t="shared" si="19"/>
        <v>0.87019050850231094</v>
      </c>
      <c r="K30" s="27">
        <f t="shared" si="19"/>
        <v>0.7614547676779061</v>
      </c>
      <c r="L30" s="27">
        <f t="shared" si="19"/>
        <v>0.66630623703001923</v>
      </c>
      <c r="M30" s="27">
        <f t="shared" si="19"/>
        <v>0.58304710975675467</v>
      </c>
      <c r="N30" s="27">
        <f t="shared" si="19"/>
        <v>0.5101917306236915</v>
      </c>
      <c r="O30" s="27">
        <f t="shared" si="19"/>
        <v>0.44644008630004511</v>
      </c>
      <c r="P30" s="27">
        <f t="shared" si="19"/>
        <v>0.39065460824295156</v>
      </c>
      <c r="Q30" s="27">
        <f t="shared" si="19"/>
        <v>0.34183987420629292</v>
      </c>
      <c r="R30" s="27">
        <f t="shared" si="19"/>
        <v>0.29912484617281493</v>
      </c>
      <c r="S30" s="27">
        <f t="shared" si="19"/>
        <v>0.26174732776760146</v>
      </c>
      <c r="T30" s="27">
        <f t="shared" si="19"/>
        <v>0.22904036381484197</v>
      </c>
      <c r="U30" s="27">
        <f t="shared" si="19"/>
        <v>0.20042033935495446</v>
      </c>
      <c r="V30" s="27">
        <f t="shared" si="19"/>
        <v>0.17537656576387334</v>
      </c>
      <c r="W30" s="27">
        <f t="shared" si="19"/>
        <v>0.15346216815179678</v>
      </c>
      <c r="X30" s="27">
        <f t="shared" si="19"/>
        <v>0.13428611143839408</v>
      </c>
      <c r="Y30" s="27">
        <f t="shared" si="19"/>
        <v>0.11750622281973579</v>
      </c>
      <c r="Z30" s="27">
        <f t="shared" si="19"/>
        <v>0.1028230861215749</v>
      </c>
      <c r="AA30" s="27">
        <f t="shared" si="19"/>
        <v>8.9974699091332599E-2</v>
      </c>
      <c r="AB30" s="27">
        <f t="shared" si="19"/>
        <v>7.873179829483079E-2</v>
      </c>
    </row>
    <row r="31" spans="1:28" x14ac:dyDescent="0.25">
      <c r="B31" s="32" t="s">
        <v>197</v>
      </c>
      <c r="I31" s="32"/>
      <c r="J31" s="32"/>
      <c r="K31" s="32"/>
      <c r="L31" s="27"/>
      <c r="M31" s="9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75">
        <f>Depreciation!W7*0.75</f>
        <v>2930.8182910033456</v>
      </c>
    </row>
    <row r="32" spans="1:28" x14ac:dyDescent="0.25">
      <c r="B32" s="116" t="s">
        <v>195</v>
      </c>
      <c r="I32" s="36">
        <f>I26*I30</f>
        <v>92.679314602451598</v>
      </c>
      <c r="J32" s="36">
        <f>J25*J30</f>
        <v>1369.5822399892088</v>
      </c>
      <c r="K32" s="36">
        <f>K25*K30</f>
        <v>441.06640785903949</v>
      </c>
      <c r="L32" s="36">
        <f>L25*L30</f>
        <v>408.01754605508739</v>
      </c>
      <c r="M32" s="36">
        <f t="shared" ref="M32:AB32" si="20">M25*M30</f>
        <v>982.97913123051694</v>
      </c>
      <c r="N32" s="36">
        <f t="shared" si="20"/>
        <v>885.21198821966539</v>
      </c>
      <c r="O32" s="36">
        <f t="shared" si="20"/>
        <v>797.24252008636199</v>
      </c>
      <c r="P32" s="36">
        <f t="shared" si="20"/>
        <v>718.07991580645114</v>
      </c>
      <c r="Q32" s="36">
        <f t="shared" si="20"/>
        <v>646.8346385158294</v>
      </c>
      <c r="R32" s="36">
        <f t="shared" si="20"/>
        <v>582.70794558007015</v>
      </c>
      <c r="S32" s="36">
        <f t="shared" si="20"/>
        <v>524.98250828045275</v>
      </c>
      <c r="T32" s="36">
        <f t="shared" si="20"/>
        <v>473.01401397303113</v>
      </c>
      <c r="U32" s="36">
        <f t="shared" si="20"/>
        <v>426.22364625966168</v>
      </c>
      <c r="V32" s="36">
        <f t="shared" si="20"/>
        <v>384.09134999622859</v>
      </c>
      <c r="W32" s="36">
        <f t="shared" si="20"/>
        <v>346.14979800983212</v>
      </c>
      <c r="X32" s="36">
        <f t="shared" si="20"/>
        <v>250.46652621807226</v>
      </c>
      <c r="Y32" s="36">
        <f t="shared" si="20"/>
        <v>143.08251771055157</v>
      </c>
      <c r="Z32" s="36">
        <f t="shared" si="20"/>
        <v>96.45098421915003</v>
      </c>
      <c r="AA32" s="36">
        <f t="shared" si="20"/>
        <v>86.631665035055562</v>
      </c>
      <c r="AB32" s="36">
        <f t="shared" si="20"/>
        <v>77.823823974977941</v>
      </c>
    </row>
    <row r="33" spans="2:28" x14ac:dyDescent="0.25">
      <c r="B33" s="112" t="s">
        <v>198</v>
      </c>
      <c r="I33" s="32"/>
      <c r="J33" s="32"/>
      <c r="K33" s="32"/>
      <c r="L33" s="27"/>
      <c r="M33" s="95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98">
        <f>AB30*AB31</f>
        <v>230.74859452607609</v>
      </c>
    </row>
    <row r="34" spans="2:28" x14ac:dyDescent="0.25">
      <c r="B34" s="112" t="s">
        <v>199</v>
      </c>
      <c r="I34" s="27">
        <f t="shared" ref="I34:AB34" si="21">I32+I33</f>
        <v>92.679314602451598</v>
      </c>
      <c r="J34" s="27">
        <f t="shared" si="21"/>
        <v>1369.5822399892088</v>
      </c>
      <c r="K34" s="27">
        <f t="shared" si="21"/>
        <v>441.06640785903949</v>
      </c>
      <c r="L34" s="27">
        <f t="shared" si="21"/>
        <v>408.01754605508739</v>
      </c>
      <c r="M34" s="27">
        <f t="shared" si="21"/>
        <v>982.97913123051694</v>
      </c>
      <c r="N34" s="27">
        <f t="shared" si="21"/>
        <v>885.21198821966539</v>
      </c>
      <c r="O34" s="27">
        <f t="shared" si="21"/>
        <v>797.24252008636199</v>
      </c>
      <c r="P34" s="27">
        <f t="shared" si="21"/>
        <v>718.07991580645114</v>
      </c>
      <c r="Q34" s="27">
        <f t="shared" si="21"/>
        <v>646.8346385158294</v>
      </c>
      <c r="R34" s="27">
        <f t="shared" si="21"/>
        <v>582.70794558007015</v>
      </c>
      <c r="S34" s="27">
        <f t="shared" si="21"/>
        <v>524.98250828045275</v>
      </c>
      <c r="T34" s="27">
        <f t="shared" si="21"/>
        <v>473.01401397303113</v>
      </c>
      <c r="U34" s="27">
        <f t="shared" si="21"/>
        <v>426.22364625966168</v>
      </c>
      <c r="V34" s="27">
        <f t="shared" si="21"/>
        <v>384.09134999622859</v>
      </c>
      <c r="W34" s="27">
        <f t="shared" si="21"/>
        <v>346.14979800983212</v>
      </c>
      <c r="X34" s="27">
        <f t="shared" si="21"/>
        <v>250.46652621807226</v>
      </c>
      <c r="Y34" s="27">
        <f t="shared" si="21"/>
        <v>143.08251771055157</v>
      </c>
      <c r="Z34" s="27">
        <f t="shared" si="21"/>
        <v>96.45098421915003</v>
      </c>
      <c r="AA34" s="27">
        <f t="shared" si="21"/>
        <v>86.631665035055562</v>
      </c>
      <c r="AB34" s="27">
        <f t="shared" si="21"/>
        <v>308.57241850105402</v>
      </c>
    </row>
    <row r="35" spans="2:28" x14ac:dyDescent="0.25">
      <c r="B35" s="120" t="s">
        <v>200</v>
      </c>
      <c r="C35" s="81"/>
      <c r="D35" s="81"/>
      <c r="E35" s="81"/>
      <c r="F35" s="81"/>
      <c r="G35" s="81"/>
      <c r="H35" s="81"/>
      <c r="I35" s="133">
        <f>SUM(I34:AB34)</f>
        <v>9964.0670761477704</v>
      </c>
      <c r="J35" s="131" t="s">
        <v>214</v>
      </c>
      <c r="K35" s="131"/>
      <c r="L35" s="132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</row>
    <row r="40" spans="2:28" x14ac:dyDescent="0.25">
      <c r="J40" s="102"/>
    </row>
    <row r="43" spans="2:28" x14ac:dyDescent="0.25">
      <c r="B43" s="58" t="s">
        <v>41</v>
      </c>
      <c r="C43" s="59"/>
      <c r="D43" s="59"/>
      <c r="E43" s="59">
        <v>2020</v>
      </c>
      <c r="F43" s="59">
        <f t="shared" ref="F43:G43" si="22">E43+1</f>
        <v>2021</v>
      </c>
      <c r="G43" s="60">
        <f t="shared" si="22"/>
        <v>2022</v>
      </c>
      <c r="H43" s="60">
        <f>'P&amp;L'!Q9</f>
        <v>2023</v>
      </c>
      <c r="I43" s="60" t="s">
        <v>146</v>
      </c>
    </row>
    <row r="44" spans="2:28" x14ac:dyDescent="0.25">
      <c r="B44" s="62" t="s">
        <v>124</v>
      </c>
      <c r="C44" s="61"/>
      <c r="D44" s="61"/>
      <c r="E44" s="61">
        <f>E9/E8</f>
        <v>7.7624879717013082E-2</v>
      </c>
      <c r="F44" s="61">
        <f>F9/F8</f>
        <v>5.523319043242144E-2</v>
      </c>
      <c r="G44" s="61">
        <f>G9/G8</f>
        <v>1.9028991902302894E-2</v>
      </c>
      <c r="H44" s="61">
        <f>H9/H8</f>
        <v>0.12723726053958123</v>
      </c>
      <c r="I44" s="61">
        <f>AVERAGE(F44:H44)</f>
        <v>6.7166480958101862E-2</v>
      </c>
      <c r="J44" s="61">
        <v>6.5000000000000002E-2</v>
      </c>
    </row>
    <row r="45" spans="2:28" x14ac:dyDescent="0.25">
      <c r="B45" s="32" t="s">
        <v>128</v>
      </c>
      <c r="C45" s="61"/>
      <c r="D45" s="61"/>
      <c r="E45" s="61">
        <f t="shared" ref="E45:G46" si="23">E12/E$8</f>
        <v>0.63260493420012376</v>
      </c>
      <c r="F45" s="61">
        <f t="shared" si="23"/>
        <v>0.49314379667375335</v>
      </c>
      <c r="G45" s="61">
        <f t="shared" si="23"/>
        <v>0.48004436440829562</v>
      </c>
      <c r="H45" s="61">
        <f>'P&amp;L'!Q11</f>
        <v>0.62194328201259141</v>
      </c>
      <c r="I45" s="61">
        <f>AVERAGE(F45:H45)</f>
        <v>0.53171048103154683</v>
      </c>
      <c r="J45" s="61">
        <v>0.52</v>
      </c>
    </row>
    <row r="46" spans="2:28" x14ac:dyDescent="0.25">
      <c r="B46" s="62" t="s">
        <v>19</v>
      </c>
      <c r="C46" s="61"/>
      <c r="D46" s="61"/>
      <c r="E46" s="61">
        <f t="shared" si="23"/>
        <v>1.4777301414482748E-2</v>
      </c>
      <c r="F46" s="61">
        <f t="shared" si="23"/>
        <v>1.7840395351393579E-2</v>
      </c>
      <c r="G46" s="61">
        <f t="shared" si="23"/>
        <v>1.8997984520160761E-2</v>
      </c>
      <c r="H46" s="61">
        <f>'P&amp;L'!Q12</f>
        <v>1.5873139973300445E-2</v>
      </c>
      <c r="I46" s="61">
        <f>AVERAGE(F46:H46)</f>
        <v>1.7570506614951593E-2</v>
      </c>
      <c r="J46" s="61">
        <v>1.4999999999999999E-2</v>
      </c>
    </row>
    <row r="47" spans="2:28" x14ac:dyDescent="0.25">
      <c r="B47" s="62" t="s">
        <v>208</v>
      </c>
      <c r="C47" s="61"/>
      <c r="D47" s="61"/>
      <c r="E47" s="61">
        <f>'P&amp;L'!N19</f>
        <v>0.13213735526511949</v>
      </c>
      <c r="F47" s="61">
        <f>'P&amp;L'!O19</f>
        <v>0.13100575579614054</v>
      </c>
      <c r="G47" s="61">
        <f>'P&amp;L'!P19</f>
        <v>0.16449654744725761</v>
      </c>
      <c r="H47" s="61">
        <f>'P&amp;L'!Q13</f>
        <v>0.2079692114639996</v>
      </c>
      <c r="I47" s="61">
        <f>AVERAGE(F47:H47)</f>
        <v>0.16782383823579927</v>
      </c>
      <c r="J47" s="61">
        <v>0.15</v>
      </c>
    </row>
  </sheetData>
  <mergeCells count="4">
    <mergeCell ref="B2:M2"/>
    <mergeCell ref="B4:G4"/>
    <mergeCell ref="I27:AB27"/>
    <mergeCell ref="I28:AB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V24"/>
  <sheetViews>
    <sheetView topLeftCell="A2" workbookViewId="0">
      <selection activeCell="F3" sqref="F3"/>
    </sheetView>
  </sheetViews>
  <sheetFormatPr defaultRowHeight="15" x14ac:dyDescent="0.25"/>
  <cols>
    <col min="4" max="4" width="11" bestFit="1" customWidth="1"/>
  </cols>
  <sheetData>
    <row r="2" spans="1:22" x14ac:dyDescent="0.25">
      <c r="A2" t="s">
        <v>257</v>
      </c>
    </row>
    <row r="3" spans="1:22" x14ac:dyDescent="0.25">
      <c r="B3" t="s">
        <v>183</v>
      </c>
      <c r="D3" s="123">
        <v>1.4999999999999999E-2</v>
      </c>
      <c r="E3" s="123">
        <v>1.4999999999999999E-2</v>
      </c>
      <c r="F3" s="123">
        <v>1.4999999999999999E-2</v>
      </c>
      <c r="G3" s="123">
        <v>1.7500000000000002E-2</v>
      </c>
      <c r="H3" s="123">
        <v>1.7500000000000002E-2</v>
      </c>
      <c r="I3" s="123">
        <v>1.7500000000000002E-2</v>
      </c>
      <c r="J3" s="123">
        <v>1.7500000000000002E-2</v>
      </c>
      <c r="K3" s="123">
        <v>1.7500000000000002E-2</v>
      </c>
      <c r="L3" s="123">
        <v>1.7500000000000002E-2</v>
      </c>
      <c r="M3" s="123">
        <v>1.7500000000000002E-2</v>
      </c>
      <c r="N3" s="123">
        <v>1.7500000000000002E-2</v>
      </c>
      <c r="O3" s="123">
        <v>1.7500000000000002E-2</v>
      </c>
      <c r="P3" s="123">
        <v>1.7500000000000002E-2</v>
      </c>
      <c r="Q3" s="123">
        <v>1.7500000000000002E-2</v>
      </c>
      <c r="R3" s="123">
        <v>1.7500000000000002E-2</v>
      </c>
      <c r="S3" s="123">
        <v>1.7500000000000002E-2</v>
      </c>
      <c r="T3" s="123">
        <v>1.7500000000000002E-2</v>
      </c>
      <c r="U3" s="123">
        <v>1.7500000000000002E-2</v>
      </c>
      <c r="V3" s="123">
        <v>1.7500000000000002E-2</v>
      </c>
    </row>
    <row r="4" spans="1:22" x14ac:dyDescent="0.25">
      <c r="C4" s="165">
        <v>2024</v>
      </c>
      <c r="D4" s="165">
        <f t="shared" ref="D4:V4" si="0">C4+1</f>
        <v>2025</v>
      </c>
      <c r="E4" s="165">
        <f t="shared" si="0"/>
        <v>2026</v>
      </c>
      <c r="F4" s="165">
        <f t="shared" si="0"/>
        <v>2027</v>
      </c>
      <c r="G4" s="165">
        <f t="shared" si="0"/>
        <v>2028</v>
      </c>
      <c r="H4" s="165">
        <f t="shared" si="0"/>
        <v>2029</v>
      </c>
      <c r="I4" s="165">
        <f t="shared" si="0"/>
        <v>2030</v>
      </c>
      <c r="J4" s="165">
        <f t="shared" si="0"/>
        <v>2031</v>
      </c>
      <c r="K4" s="165">
        <f t="shared" si="0"/>
        <v>2032</v>
      </c>
      <c r="L4" s="165">
        <f t="shared" si="0"/>
        <v>2033</v>
      </c>
      <c r="M4" s="165">
        <f t="shared" si="0"/>
        <v>2034</v>
      </c>
      <c r="N4" s="165">
        <f t="shared" si="0"/>
        <v>2035</v>
      </c>
      <c r="O4" s="165">
        <f t="shared" si="0"/>
        <v>2036</v>
      </c>
      <c r="P4" s="165">
        <f t="shared" si="0"/>
        <v>2037</v>
      </c>
      <c r="Q4" s="165">
        <f t="shared" si="0"/>
        <v>2038</v>
      </c>
      <c r="R4" s="165">
        <f t="shared" si="0"/>
        <v>2039</v>
      </c>
      <c r="S4" s="165">
        <f t="shared" si="0"/>
        <v>2040</v>
      </c>
      <c r="T4" s="165">
        <f t="shared" si="0"/>
        <v>2041</v>
      </c>
      <c r="U4" s="165">
        <f t="shared" si="0"/>
        <v>2042</v>
      </c>
      <c r="V4" s="165">
        <f t="shared" si="0"/>
        <v>2043</v>
      </c>
    </row>
    <row r="5" spans="1:22" ht="15.75" thickBot="1" x14ac:dyDescent="0.3">
      <c r="B5" s="176" t="s">
        <v>253</v>
      </c>
      <c r="C5" s="93">
        <f>$C$8/3</f>
        <v>1796.14</v>
      </c>
      <c r="D5" s="93">
        <f>C5*(1+D$3)</f>
        <v>1823.0820999999999</v>
      </c>
      <c r="E5" s="93">
        <f t="shared" ref="E5:N5" si="1">D5*(1+E$3)</f>
        <v>1850.4283314999998</v>
      </c>
      <c r="F5" s="93">
        <f t="shared" si="1"/>
        <v>1878.1847564724997</v>
      </c>
      <c r="G5" s="93">
        <f t="shared" si="1"/>
        <v>1911.0529897107685</v>
      </c>
      <c r="H5" s="93">
        <f t="shared" si="1"/>
        <v>1944.4964170307071</v>
      </c>
      <c r="I5" s="93">
        <f t="shared" si="1"/>
        <v>1978.5251043287446</v>
      </c>
      <c r="J5" s="93">
        <f t="shared" si="1"/>
        <v>2013.1492936544978</v>
      </c>
      <c r="K5" s="93">
        <f t="shared" si="1"/>
        <v>2048.3794062934517</v>
      </c>
      <c r="L5" s="93">
        <f t="shared" si="1"/>
        <v>2084.2260459035874</v>
      </c>
      <c r="M5" s="93">
        <f t="shared" si="1"/>
        <v>2120.7000017069004</v>
      </c>
      <c r="N5" s="93">
        <f t="shared" si="1"/>
        <v>2157.8122517367715</v>
      </c>
      <c r="O5" s="93">
        <f t="shared" ref="O5:U5" si="2">N5*(1+O$3)</f>
        <v>2195.5739661421653</v>
      </c>
      <c r="P5" s="93">
        <f t="shared" si="2"/>
        <v>2233.9965105496535</v>
      </c>
      <c r="Q5" s="93">
        <f t="shared" si="2"/>
        <v>2273.0914494842727</v>
      </c>
      <c r="R5" s="93">
        <f t="shared" si="2"/>
        <v>2312.8705498502477</v>
      </c>
      <c r="S5" s="93">
        <f t="shared" si="2"/>
        <v>2353.3457844726272</v>
      </c>
      <c r="T5" s="93">
        <f t="shared" si="2"/>
        <v>2394.5293357008982</v>
      </c>
      <c r="U5" s="93">
        <f t="shared" si="2"/>
        <v>2436.433599075664</v>
      </c>
      <c r="V5" s="93">
        <f>U5*(1+V$3)*(11/12)</f>
        <v>2272.4819214711974</v>
      </c>
    </row>
    <row r="6" spans="1:22" ht="15.75" thickBot="1" x14ac:dyDescent="0.3">
      <c r="B6" s="176" t="s">
        <v>254</v>
      </c>
      <c r="C6" s="93">
        <f t="shared" ref="C6:C7" si="3">$C$8/3</f>
        <v>1796.14</v>
      </c>
      <c r="D6" s="93">
        <f t="shared" ref="D6:N6" si="4">C6*(1+D$3)</f>
        <v>1823.0820999999999</v>
      </c>
      <c r="E6" s="93">
        <f t="shared" si="4"/>
        <v>1850.4283314999998</v>
      </c>
      <c r="F6" s="93">
        <f t="shared" si="4"/>
        <v>1878.1847564724997</v>
      </c>
      <c r="G6" s="93">
        <f t="shared" si="4"/>
        <v>1911.0529897107685</v>
      </c>
      <c r="H6" s="93">
        <f t="shared" si="4"/>
        <v>1944.4964170307071</v>
      </c>
      <c r="I6" s="93">
        <f t="shared" si="4"/>
        <v>1978.5251043287446</v>
      </c>
      <c r="J6" s="93">
        <f t="shared" si="4"/>
        <v>2013.1492936544978</v>
      </c>
      <c r="K6" s="93">
        <f t="shared" si="4"/>
        <v>2048.3794062934517</v>
      </c>
      <c r="L6" s="93">
        <f t="shared" si="4"/>
        <v>2084.2260459035874</v>
      </c>
      <c r="M6" s="93">
        <f t="shared" si="4"/>
        <v>2120.7000017069004</v>
      </c>
      <c r="N6" s="93">
        <f t="shared" si="4"/>
        <v>2157.8122517367715</v>
      </c>
      <c r="O6" s="93">
        <f t="shared" ref="O6:Q6" si="5">N6*(1+O$3)</f>
        <v>2195.5739661421653</v>
      </c>
      <c r="P6" s="93">
        <f t="shared" si="5"/>
        <v>2233.9965105496535</v>
      </c>
      <c r="Q6" s="93">
        <f t="shared" si="5"/>
        <v>2273.0914494842727</v>
      </c>
      <c r="R6" s="93">
        <f>Q6*(1+R$3)*(4.5/12)</f>
        <v>867.32645619384289</v>
      </c>
      <c r="S6" s="93"/>
      <c r="T6" s="93"/>
      <c r="U6" s="93"/>
      <c r="V6" s="93"/>
    </row>
    <row r="7" spans="1:22" ht="15.75" thickBot="1" x14ac:dyDescent="0.3">
      <c r="B7" s="176" t="s">
        <v>255</v>
      </c>
      <c r="C7" s="93">
        <f t="shared" si="3"/>
        <v>1796.14</v>
      </c>
      <c r="D7" s="93">
        <f t="shared" ref="D7:N7" si="6">C7*(1+D$3)</f>
        <v>1823.0820999999999</v>
      </c>
      <c r="E7" s="93">
        <f t="shared" si="6"/>
        <v>1850.4283314999998</v>
      </c>
      <c r="F7" s="93">
        <f t="shared" si="6"/>
        <v>1878.1847564724997</v>
      </c>
      <c r="G7" s="93">
        <f t="shared" si="6"/>
        <v>1911.0529897107685</v>
      </c>
      <c r="H7" s="93">
        <f t="shared" si="6"/>
        <v>1944.4964170307071</v>
      </c>
      <c r="I7" s="93">
        <f t="shared" si="6"/>
        <v>1978.5251043287446</v>
      </c>
      <c r="J7" s="93">
        <f t="shared" si="6"/>
        <v>2013.1492936544978</v>
      </c>
      <c r="K7" s="93">
        <f t="shared" si="6"/>
        <v>2048.3794062934517</v>
      </c>
      <c r="L7" s="93">
        <f t="shared" si="6"/>
        <v>2084.2260459035874</v>
      </c>
      <c r="M7" s="93">
        <f t="shared" si="6"/>
        <v>2120.7000017069004</v>
      </c>
      <c r="N7" s="93">
        <f t="shared" si="6"/>
        <v>2157.8122517367715</v>
      </c>
      <c r="O7" s="93">
        <f t="shared" ref="O7:R7" si="7">N7*(1+O$3)</f>
        <v>2195.5739661421653</v>
      </c>
      <c r="P7" s="93">
        <f t="shared" si="7"/>
        <v>2233.9965105496535</v>
      </c>
      <c r="Q7" s="93">
        <f t="shared" si="7"/>
        <v>2273.0914494842727</v>
      </c>
      <c r="R7" s="93">
        <f t="shared" si="7"/>
        <v>2312.8705498502477</v>
      </c>
      <c r="S7" s="93">
        <f>R7*(1+S$3)*(5/12)</f>
        <v>980.56074353026133</v>
      </c>
      <c r="T7" s="93"/>
      <c r="U7" s="93"/>
      <c r="V7" s="93"/>
    </row>
    <row r="8" spans="1:22" x14ac:dyDescent="0.25">
      <c r="C8" s="177">
        <f>'DCF Valuation (1)'!I8</f>
        <v>5388.42</v>
      </c>
      <c r="D8" s="177">
        <f>SUM(D5:D7)</f>
        <v>5469.2462999999998</v>
      </c>
      <c r="E8" s="177">
        <f t="shared" ref="E8:N8" si="8">SUM(E5:E7)</f>
        <v>5551.2849944999998</v>
      </c>
      <c r="F8" s="177">
        <f t="shared" si="8"/>
        <v>5634.5542694174992</v>
      </c>
      <c r="G8" s="177">
        <f t="shared" si="8"/>
        <v>5733.1589691323061</v>
      </c>
      <c r="H8" s="177">
        <f t="shared" si="8"/>
        <v>5833.4892510921218</v>
      </c>
      <c r="I8" s="177">
        <f t="shared" si="8"/>
        <v>5935.5753129862342</v>
      </c>
      <c r="J8" s="177">
        <f t="shared" si="8"/>
        <v>6039.4478809634929</v>
      </c>
      <c r="K8" s="177">
        <f t="shared" si="8"/>
        <v>6145.1382188803545</v>
      </c>
      <c r="L8" s="177">
        <f t="shared" si="8"/>
        <v>6252.6781377107618</v>
      </c>
      <c r="M8" s="177">
        <f t="shared" si="8"/>
        <v>6362.1000051207011</v>
      </c>
      <c r="N8" s="177">
        <f t="shared" si="8"/>
        <v>6473.436755210314</v>
      </c>
      <c r="O8" s="177">
        <f t="shared" ref="O8" si="9">SUM(O5:O7)</f>
        <v>6586.7218984264964</v>
      </c>
      <c r="P8" s="177">
        <f t="shared" ref="P8" si="10">SUM(P5:P7)</f>
        <v>6701.9895316489601</v>
      </c>
      <c r="Q8" s="177">
        <f t="shared" ref="Q8" si="11">SUM(Q5:Q7)</f>
        <v>6819.2743484528182</v>
      </c>
      <c r="R8" s="177">
        <f t="shared" ref="R8" si="12">SUM(R5:R7)</f>
        <v>5493.0675558943385</v>
      </c>
      <c r="S8" s="177">
        <f t="shared" ref="S8" si="13">SUM(S5:S7)</f>
        <v>3333.9065280028885</v>
      </c>
      <c r="T8" s="177">
        <f t="shared" ref="T8" si="14">SUM(T5:T7)</f>
        <v>2394.5293357008982</v>
      </c>
      <c r="U8" s="177">
        <f t="shared" ref="U8" si="15">SUM(U5:U7)</f>
        <v>2436.433599075664</v>
      </c>
      <c r="V8" s="177">
        <f t="shared" ref="V8" si="16">SUM(V5:V7)</f>
        <v>2272.4819214711974</v>
      </c>
    </row>
    <row r="10" spans="1:22" x14ac:dyDescent="0.25">
      <c r="A10" t="s">
        <v>258</v>
      </c>
    </row>
    <row r="11" spans="1:22" x14ac:dyDescent="0.25">
      <c r="B11" t="s">
        <v>183</v>
      </c>
      <c r="D11" s="123">
        <v>0.03</v>
      </c>
      <c r="E11" s="123">
        <v>0.03</v>
      </c>
      <c r="F11" s="123">
        <v>0.03</v>
      </c>
      <c r="G11" s="123">
        <v>3.2500000000000001E-2</v>
      </c>
      <c r="H11" s="123">
        <v>3.2500000000000001E-2</v>
      </c>
      <c r="I11" s="123">
        <v>3.2500000000000001E-2</v>
      </c>
      <c r="J11" s="123">
        <v>3.2500000000000001E-2</v>
      </c>
      <c r="K11" s="123">
        <v>3.2500000000000001E-2</v>
      </c>
      <c r="L11" s="123">
        <v>3.2500000000000001E-2</v>
      </c>
      <c r="M11" s="123">
        <v>3.2500000000000001E-2</v>
      </c>
      <c r="N11" s="123">
        <v>3.2500000000000001E-2</v>
      </c>
      <c r="O11" s="123">
        <v>3.2500000000000001E-2</v>
      </c>
      <c r="P11" s="123">
        <v>3.2500000000000001E-2</v>
      </c>
      <c r="Q11" s="123">
        <v>3.2500000000000001E-2</v>
      </c>
      <c r="R11" s="123">
        <v>3.2500000000000001E-2</v>
      </c>
      <c r="S11" s="123">
        <v>3.2500000000000001E-2</v>
      </c>
      <c r="T11" s="123">
        <v>3.2500000000000001E-2</v>
      </c>
      <c r="U11" s="123">
        <v>3.2500000000000001E-2</v>
      </c>
      <c r="V11" s="123">
        <v>3.2500000000000001E-2</v>
      </c>
    </row>
    <row r="12" spans="1:22" x14ac:dyDescent="0.25">
      <c r="C12" s="165">
        <v>2024</v>
      </c>
      <c r="D12" s="165">
        <f t="shared" ref="D12" si="17">C12+1</f>
        <v>2025</v>
      </c>
      <c r="E12" s="165">
        <f t="shared" ref="E12" si="18">D12+1</f>
        <v>2026</v>
      </c>
      <c r="F12" s="165">
        <f t="shared" ref="F12" si="19">E12+1</f>
        <v>2027</v>
      </c>
      <c r="G12" s="165">
        <f t="shared" ref="G12" si="20">F12+1</f>
        <v>2028</v>
      </c>
      <c r="H12" s="165">
        <f t="shared" ref="H12" si="21">G12+1</f>
        <v>2029</v>
      </c>
      <c r="I12" s="165">
        <f t="shared" ref="I12" si="22">H12+1</f>
        <v>2030</v>
      </c>
      <c r="J12" s="165">
        <f t="shared" ref="J12" si="23">I12+1</f>
        <v>2031</v>
      </c>
      <c r="K12" s="165">
        <f t="shared" ref="K12" si="24">J12+1</f>
        <v>2032</v>
      </c>
      <c r="L12" s="165">
        <f t="shared" ref="L12" si="25">K12+1</f>
        <v>2033</v>
      </c>
      <c r="M12" s="165">
        <f t="shared" ref="M12" si="26">L12+1</f>
        <v>2034</v>
      </c>
      <c r="N12" s="165">
        <f t="shared" ref="N12" si="27">M12+1</f>
        <v>2035</v>
      </c>
      <c r="O12" s="165">
        <f t="shared" ref="O12" si="28">N12+1</f>
        <v>2036</v>
      </c>
      <c r="P12" s="165">
        <f t="shared" ref="P12" si="29">O12+1</f>
        <v>2037</v>
      </c>
      <c r="Q12" s="165">
        <f t="shared" ref="Q12" si="30">P12+1</f>
        <v>2038</v>
      </c>
      <c r="R12" s="165">
        <f t="shared" ref="R12" si="31">Q12+1</f>
        <v>2039</v>
      </c>
      <c r="S12" s="165">
        <f t="shared" ref="S12" si="32">R12+1</f>
        <v>2040</v>
      </c>
      <c r="T12" s="165">
        <f t="shared" ref="T12" si="33">S12+1</f>
        <v>2041</v>
      </c>
      <c r="U12" s="165">
        <f t="shared" ref="U12" si="34">T12+1</f>
        <v>2042</v>
      </c>
      <c r="V12" s="165">
        <f t="shared" ref="V12" si="35">U12+1</f>
        <v>2043</v>
      </c>
    </row>
    <row r="13" spans="1:22" ht="15.75" thickBot="1" x14ac:dyDescent="0.3">
      <c r="B13" s="176" t="s">
        <v>253</v>
      </c>
      <c r="C13" s="93">
        <f>$C$8/3</f>
        <v>1796.14</v>
      </c>
      <c r="D13" s="93">
        <f>C13*(1+D$11)</f>
        <v>1850.0242000000001</v>
      </c>
      <c r="E13" s="93">
        <f t="shared" ref="E13:V13" si="36">D13*(1+E$11)</f>
        <v>1905.5249260000001</v>
      </c>
      <c r="F13" s="93">
        <f t="shared" si="36"/>
        <v>1962.69067378</v>
      </c>
      <c r="G13" s="93">
        <f t="shared" si="36"/>
        <v>2026.47812067785</v>
      </c>
      <c r="H13" s="93">
        <f t="shared" si="36"/>
        <v>2092.33865959988</v>
      </c>
      <c r="I13" s="93">
        <f t="shared" si="36"/>
        <v>2160.3396660368762</v>
      </c>
      <c r="J13" s="93">
        <f t="shared" si="36"/>
        <v>2230.5507051830746</v>
      </c>
      <c r="K13" s="93">
        <f t="shared" si="36"/>
        <v>2303.0436031015242</v>
      </c>
      <c r="L13" s="93">
        <f t="shared" si="36"/>
        <v>2377.8925202023238</v>
      </c>
      <c r="M13" s="93">
        <f t="shared" si="36"/>
        <v>2455.1740271088993</v>
      </c>
      <c r="N13" s="93">
        <f t="shared" si="36"/>
        <v>2534.9671829899385</v>
      </c>
      <c r="O13" s="93">
        <f t="shared" si="36"/>
        <v>2617.3536164371112</v>
      </c>
      <c r="P13" s="93">
        <f t="shared" si="36"/>
        <v>2702.4176089713173</v>
      </c>
      <c r="Q13" s="93">
        <f t="shared" si="36"/>
        <v>2790.2461812628849</v>
      </c>
      <c r="R13" s="93">
        <f t="shared" si="36"/>
        <v>2880.9291821539287</v>
      </c>
      <c r="S13" s="93">
        <f t="shared" si="36"/>
        <v>2974.5593805739313</v>
      </c>
      <c r="T13" s="93">
        <f t="shared" si="36"/>
        <v>3071.2325604425841</v>
      </c>
      <c r="U13" s="93">
        <f t="shared" si="36"/>
        <v>3171.0476186569681</v>
      </c>
      <c r="V13" s="93">
        <f t="shared" si="36"/>
        <v>3274.1066662633193</v>
      </c>
    </row>
    <row r="14" spans="1:22" ht="15.75" thickBot="1" x14ac:dyDescent="0.3">
      <c r="B14" s="176" t="s">
        <v>254</v>
      </c>
      <c r="C14" s="93">
        <f t="shared" ref="C14:C15" si="37">$C$8/3</f>
        <v>1796.14</v>
      </c>
      <c r="D14" s="93">
        <f t="shared" ref="D14:Q14" si="38">C14*(1+D$11)</f>
        <v>1850.0242000000001</v>
      </c>
      <c r="E14" s="93">
        <f t="shared" si="38"/>
        <v>1905.5249260000001</v>
      </c>
      <c r="F14" s="93">
        <f t="shared" si="38"/>
        <v>1962.69067378</v>
      </c>
      <c r="G14" s="93">
        <f t="shared" si="38"/>
        <v>2026.47812067785</v>
      </c>
      <c r="H14" s="93">
        <f t="shared" si="38"/>
        <v>2092.33865959988</v>
      </c>
      <c r="I14" s="93">
        <f t="shared" si="38"/>
        <v>2160.3396660368762</v>
      </c>
      <c r="J14" s="93">
        <f t="shared" si="38"/>
        <v>2230.5507051830746</v>
      </c>
      <c r="K14" s="93">
        <f t="shared" si="38"/>
        <v>2303.0436031015242</v>
      </c>
      <c r="L14" s="93">
        <f t="shared" si="38"/>
        <v>2377.8925202023238</v>
      </c>
      <c r="M14" s="93">
        <f t="shared" si="38"/>
        <v>2455.1740271088993</v>
      </c>
      <c r="N14" s="93">
        <f t="shared" si="38"/>
        <v>2534.9671829899385</v>
      </c>
      <c r="O14" s="93">
        <f t="shared" si="38"/>
        <v>2617.3536164371112</v>
      </c>
      <c r="P14" s="93">
        <f t="shared" si="38"/>
        <v>2702.4176089713173</v>
      </c>
      <c r="Q14" s="93">
        <f t="shared" si="38"/>
        <v>2790.2461812628849</v>
      </c>
      <c r="R14" s="93">
        <f>Q14*(1+R$11)*(4.5/12)</f>
        <v>1080.3484433077233</v>
      </c>
      <c r="S14" s="93"/>
      <c r="T14" s="93"/>
      <c r="U14" s="93"/>
      <c r="V14" s="93"/>
    </row>
    <row r="15" spans="1:22" ht="15.75" thickBot="1" x14ac:dyDescent="0.3">
      <c r="B15" s="176" t="s">
        <v>255</v>
      </c>
      <c r="C15" s="93">
        <f t="shared" si="37"/>
        <v>1796.14</v>
      </c>
      <c r="D15" s="93">
        <f t="shared" ref="D15:Q15" si="39">C15*(1+D$11)</f>
        <v>1850.0242000000001</v>
      </c>
      <c r="E15" s="93">
        <f t="shared" si="39"/>
        <v>1905.5249260000001</v>
      </c>
      <c r="F15" s="93">
        <f t="shared" si="39"/>
        <v>1962.69067378</v>
      </c>
      <c r="G15" s="93">
        <f t="shared" si="39"/>
        <v>2026.47812067785</v>
      </c>
      <c r="H15" s="93">
        <f t="shared" si="39"/>
        <v>2092.33865959988</v>
      </c>
      <c r="I15" s="93">
        <f t="shared" si="39"/>
        <v>2160.3396660368762</v>
      </c>
      <c r="J15" s="93">
        <f t="shared" si="39"/>
        <v>2230.5507051830746</v>
      </c>
      <c r="K15" s="93">
        <f t="shared" si="39"/>
        <v>2303.0436031015242</v>
      </c>
      <c r="L15" s="93">
        <f t="shared" si="39"/>
        <v>2377.8925202023238</v>
      </c>
      <c r="M15" s="93">
        <f t="shared" si="39"/>
        <v>2455.1740271088993</v>
      </c>
      <c r="N15" s="93">
        <f t="shared" si="39"/>
        <v>2534.9671829899385</v>
      </c>
      <c r="O15" s="93">
        <f t="shared" si="39"/>
        <v>2617.3536164371112</v>
      </c>
      <c r="P15" s="93">
        <f t="shared" si="39"/>
        <v>2702.4176089713173</v>
      </c>
      <c r="Q15" s="93">
        <f t="shared" si="39"/>
        <v>2790.2461812628849</v>
      </c>
      <c r="R15" s="93">
        <f t="shared" ref="R15" si="40">Q15*(1+R$3)</f>
        <v>2839.0754894349857</v>
      </c>
      <c r="S15" s="93">
        <f>R15*(1+S$11)*(5/12)</f>
        <v>1221.3939345173428</v>
      </c>
      <c r="T15" s="93"/>
      <c r="U15" s="93"/>
      <c r="V15" s="93"/>
    </row>
    <row r="16" spans="1:22" x14ac:dyDescent="0.25">
      <c r="C16" s="177">
        <f>C8</f>
        <v>5388.42</v>
      </c>
      <c r="D16" s="177">
        <f>SUM(D13:D15)</f>
        <v>5550.0726000000004</v>
      </c>
      <c r="E16" s="177">
        <f t="shared" ref="E16:V16" si="41">SUM(E13:E15)</f>
        <v>5716.5747780000002</v>
      </c>
      <c r="F16" s="177">
        <f t="shared" si="41"/>
        <v>5888.07202134</v>
      </c>
      <c r="G16" s="177">
        <f t="shared" si="41"/>
        <v>6079.4343620335503</v>
      </c>
      <c r="H16" s="177">
        <f t="shared" si="41"/>
        <v>6277.0159787996399</v>
      </c>
      <c r="I16" s="177">
        <f t="shared" si="41"/>
        <v>6481.0189981106287</v>
      </c>
      <c r="J16" s="177">
        <f t="shared" si="41"/>
        <v>6691.6521155492237</v>
      </c>
      <c r="K16" s="177">
        <f t="shared" si="41"/>
        <v>6909.1308093045727</v>
      </c>
      <c r="L16" s="177">
        <f t="shared" si="41"/>
        <v>7133.6775606069714</v>
      </c>
      <c r="M16" s="177">
        <f t="shared" si="41"/>
        <v>7365.5220813266978</v>
      </c>
      <c r="N16" s="177">
        <f t="shared" si="41"/>
        <v>7604.9015489698158</v>
      </c>
      <c r="O16" s="177">
        <f t="shared" si="41"/>
        <v>7852.0608493113341</v>
      </c>
      <c r="P16" s="177">
        <f t="shared" si="41"/>
        <v>8107.252826913952</v>
      </c>
      <c r="Q16" s="177">
        <f t="shared" si="41"/>
        <v>8370.7385437886551</v>
      </c>
      <c r="R16" s="177">
        <f t="shared" si="41"/>
        <v>6800.3531148966376</v>
      </c>
      <c r="S16" s="177">
        <f t="shared" si="41"/>
        <v>4195.9533150912739</v>
      </c>
      <c r="T16" s="177">
        <f t="shared" si="41"/>
        <v>3071.2325604425841</v>
      </c>
      <c r="U16" s="177">
        <f t="shared" si="41"/>
        <v>3171.0476186569681</v>
      </c>
      <c r="V16" s="177">
        <f t="shared" si="41"/>
        <v>3274.1066662633193</v>
      </c>
    </row>
    <row r="18" spans="1:22" x14ac:dyDescent="0.25">
      <c r="A18" t="s">
        <v>259</v>
      </c>
    </row>
    <row r="19" spans="1:22" x14ac:dyDescent="0.25">
      <c r="B19" t="s">
        <v>183</v>
      </c>
      <c r="D19" s="123">
        <v>0</v>
      </c>
      <c r="E19" s="123">
        <v>0</v>
      </c>
      <c r="F19" s="123">
        <v>0</v>
      </c>
      <c r="G19" s="123">
        <v>2.5000000000000001E-3</v>
      </c>
      <c r="H19" s="123">
        <v>2.5000000000000001E-3</v>
      </c>
      <c r="I19" s="123">
        <v>2.5000000000000001E-3</v>
      </c>
      <c r="J19" s="123">
        <v>2.5000000000000001E-3</v>
      </c>
      <c r="K19" s="123">
        <v>2.5000000000000001E-3</v>
      </c>
      <c r="L19" s="123">
        <v>2.5000000000000001E-3</v>
      </c>
      <c r="M19" s="123">
        <v>2.5000000000000001E-3</v>
      </c>
      <c r="N19" s="123">
        <v>2.5000000000000001E-3</v>
      </c>
      <c r="O19" s="123">
        <v>2.5000000000000001E-3</v>
      </c>
      <c r="P19" s="123">
        <v>2.5000000000000001E-3</v>
      </c>
      <c r="Q19" s="123">
        <v>2.5000000000000001E-3</v>
      </c>
      <c r="R19" s="123">
        <v>2.5000000000000001E-3</v>
      </c>
      <c r="S19" s="123">
        <v>2.5000000000000001E-3</v>
      </c>
      <c r="T19" s="123">
        <v>2.5000000000000001E-3</v>
      </c>
      <c r="U19" s="123">
        <v>2.5000000000000001E-3</v>
      </c>
      <c r="V19" s="123">
        <v>2.5000000000000001E-3</v>
      </c>
    </row>
    <row r="20" spans="1:22" x14ac:dyDescent="0.25">
      <c r="C20" s="165">
        <v>2024</v>
      </c>
      <c r="D20" s="165">
        <f t="shared" ref="D20" si="42">C20+1</f>
        <v>2025</v>
      </c>
      <c r="E20" s="165">
        <f t="shared" ref="E20" si="43">D20+1</f>
        <v>2026</v>
      </c>
      <c r="F20" s="165">
        <f t="shared" ref="F20" si="44">E20+1</f>
        <v>2027</v>
      </c>
      <c r="G20" s="165">
        <f t="shared" ref="G20" si="45">F20+1</f>
        <v>2028</v>
      </c>
      <c r="H20" s="165">
        <f t="shared" ref="H20" si="46">G20+1</f>
        <v>2029</v>
      </c>
      <c r="I20" s="165">
        <f t="shared" ref="I20" si="47">H20+1</f>
        <v>2030</v>
      </c>
      <c r="J20" s="165">
        <f t="shared" ref="J20" si="48">I20+1</f>
        <v>2031</v>
      </c>
      <c r="K20" s="165">
        <f t="shared" ref="K20" si="49">J20+1</f>
        <v>2032</v>
      </c>
      <c r="L20" s="165">
        <f t="shared" ref="L20" si="50">K20+1</f>
        <v>2033</v>
      </c>
      <c r="M20" s="165">
        <f t="shared" ref="M20" si="51">L20+1</f>
        <v>2034</v>
      </c>
      <c r="N20" s="165">
        <f t="shared" ref="N20" si="52">M20+1</f>
        <v>2035</v>
      </c>
      <c r="O20" s="165">
        <f t="shared" ref="O20" si="53">N20+1</f>
        <v>2036</v>
      </c>
      <c r="P20" s="165">
        <f t="shared" ref="P20" si="54">O20+1</f>
        <v>2037</v>
      </c>
      <c r="Q20" s="165">
        <f t="shared" ref="Q20" si="55">P20+1</f>
        <v>2038</v>
      </c>
      <c r="R20" s="165">
        <f t="shared" ref="R20" si="56">Q20+1</f>
        <v>2039</v>
      </c>
      <c r="S20" s="165">
        <f t="shared" ref="S20" si="57">R20+1</f>
        <v>2040</v>
      </c>
      <c r="T20" s="165">
        <f t="shared" ref="T20" si="58">S20+1</f>
        <v>2041</v>
      </c>
      <c r="U20" s="165">
        <f t="shared" ref="U20" si="59">T20+1</f>
        <v>2042</v>
      </c>
      <c r="V20" s="165">
        <f t="shared" ref="V20" si="60">U20+1</f>
        <v>2043</v>
      </c>
    </row>
    <row r="21" spans="1:22" ht="15.75" thickBot="1" x14ac:dyDescent="0.3">
      <c r="B21" s="176" t="s">
        <v>253</v>
      </c>
      <c r="C21" s="93">
        <f>$C$8/3</f>
        <v>1796.14</v>
      </c>
      <c r="D21" s="93">
        <f>C21*(1+D$19)</f>
        <v>1796.14</v>
      </c>
      <c r="E21" s="93">
        <f t="shared" ref="E21:V21" si="61">D21*(1+E$19)</f>
        <v>1796.14</v>
      </c>
      <c r="F21" s="93">
        <f t="shared" si="61"/>
        <v>1796.14</v>
      </c>
      <c r="G21" s="93">
        <f t="shared" si="61"/>
        <v>1800.6303499999999</v>
      </c>
      <c r="H21" s="93">
        <f t="shared" si="61"/>
        <v>1805.1319258749998</v>
      </c>
      <c r="I21" s="93">
        <f t="shared" si="61"/>
        <v>1809.6447556896871</v>
      </c>
      <c r="J21" s="93">
        <f t="shared" si="61"/>
        <v>1814.1688675789112</v>
      </c>
      <c r="K21" s="93">
        <f t="shared" si="61"/>
        <v>1818.7042897478584</v>
      </c>
      <c r="L21" s="93">
        <f t="shared" si="61"/>
        <v>1823.2510504722279</v>
      </c>
      <c r="M21" s="93">
        <f t="shared" si="61"/>
        <v>1827.8091780984084</v>
      </c>
      <c r="N21" s="93">
        <f t="shared" si="61"/>
        <v>1832.3787010436545</v>
      </c>
      <c r="O21" s="93">
        <f t="shared" si="61"/>
        <v>1836.9596477962634</v>
      </c>
      <c r="P21" s="93">
        <f t="shared" si="61"/>
        <v>1841.5520469157541</v>
      </c>
      <c r="Q21" s="93">
        <f t="shared" si="61"/>
        <v>1846.1559270330433</v>
      </c>
      <c r="R21" s="93">
        <f t="shared" si="61"/>
        <v>1850.7713168506259</v>
      </c>
      <c r="S21" s="93">
        <f t="shared" si="61"/>
        <v>1855.3982451427523</v>
      </c>
      <c r="T21" s="93">
        <f t="shared" si="61"/>
        <v>1860.0367407556091</v>
      </c>
      <c r="U21" s="93">
        <f t="shared" si="61"/>
        <v>1864.686832607498</v>
      </c>
      <c r="V21" s="93">
        <f t="shared" si="61"/>
        <v>1869.3485496890166</v>
      </c>
    </row>
    <row r="22" spans="1:22" ht="15.75" thickBot="1" x14ac:dyDescent="0.3">
      <c r="B22" s="176" t="s">
        <v>254</v>
      </c>
      <c r="C22" s="93">
        <f t="shared" ref="C22:C23" si="62">$C$8/3</f>
        <v>1796.14</v>
      </c>
      <c r="D22" s="93">
        <f t="shared" ref="D22:Q22" si="63">C22*(1+D$19)</f>
        <v>1796.14</v>
      </c>
      <c r="E22" s="93">
        <f t="shared" si="63"/>
        <v>1796.14</v>
      </c>
      <c r="F22" s="93">
        <f t="shared" si="63"/>
        <v>1796.14</v>
      </c>
      <c r="G22" s="93">
        <f t="shared" si="63"/>
        <v>1800.6303499999999</v>
      </c>
      <c r="H22" s="93">
        <f t="shared" si="63"/>
        <v>1805.1319258749998</v>
      </c>
      <c r="I22" s="93">
        <f t="shared" si="63"/>
        <v>1809.6447556896871</v>
      </c>
      <c r="J22" s="93">
        <f t="shared" si="63"/>
        <v>1814.1688675789112</v>
      </c>
      <c r="K22" s="93">
        <f t="shared" si="63"/>
        <v>1818.7042897478584</v>
      </c>
      <c r="L22" s="93">
        <f t="shared" si="63"/>
        <v>1823.2510504722279</v>
      </c>
      <c r="M22" s="93">
        <f t="shared" si="63"/>
        <v>1827.8091780984084</v>
      </c>
      <c r="N22" s="93">
        <f t="shared" si="63"/>
        <v>1832.3787010436545</v>
      </c>
      <c r="O22" s="93">
        <f t="shared" si="63"/>
        <v>1836.9596477962634</v>
      </c>
      <c r="P22" s="93">
        <f t="shared" si="63"/>
        <v>1841.5520469157541</v>
      </c>
      <c r="Q22" s="93">
        <f t="shared" si="63"/>
        <v>1846.1559270330433</v>
      </c>
      <c r="R22" s="93">
        <f>Q22*(1+R$19)*(4.5/12)</f>
        <v>694.03924381898469</v>
      </c>
      <c r="S22" s="93"/>
      <c r="T22" s="93"/>
      <c r="U22" s="93"/>
      <c r="V22" s="93"/>
    </row>
    <row r="23" spans="1:22" ht="15.75" thickBot="1" x14ac:dyDescent="0.3">
      <c r="B23" s="176" t="s">
        <v>255</v>
      </c>
      <c r="C23" s="93">
        <f t="shared" si="62"/>
        <v>1796.14</v>
      </c>
      <c r="D23" s="93">
        <f t="shared" ref="D23:Q23" si="64">C23*(1+D$19)</f>
        <v>1796.14</v>
      </c>
      <c r="E23" s="93">
        <f t="shared" si="64"/>
        <v>1796.14</v>
      </c>
      <c r="F23" s="93">
        <f t="shared" si="64"/>
        <v>1796.14</v>
      </c>
      <c r="G23" s="93">
        <f t="shared" si="64"/>
        <v>1800.6303499999999</v>
      </c>
      <c r="H23" s="93">
        <f t="shared" si="64"/>
        <v>1805.1319258749998</v>
      </c>
      <c r="I23" s="93">
        <f t="shared" si="64"/>
        <v>1809.6447556896871</v>
      </c>
      <c r="J23" s="93">
        <f t="shared" si="64"/>
        <v>1814.1688675789112</v>
      </c>
      <c r="K23" s="93">
        <f t="shared" si="64"/>
        <v>1818.7042897478584</v>
      </c>
      <c r="L23" s="93">
        <f t="shared" si="64"/>
        <v>1823.2510504722279</v>
      </c>
      <c r="M23" s="93">
        <f t="shared" si="64"/>
        <v>1827.8091780984084</v>
      </c>
      <c r="N23" s="93">
        <f t="shared" si="64"/>
        <v>1832.3787010436545</v>
      </c>
      <c r="O23" s="93">
        <f t="shared" si="64"/>
        <v>1836.9596477962634</v>
      </c>
      <c r="P23" s="93">
        <f t="shared" si="64"/>
        <v>1841.5520469157541</v>
      </c>
      <c r="Q23" s="93">
        <f t="shared" si="64"/>
        <v>1846.1559270330433</v>
      </c>
      <c r="R23" s="93">
        <f t="shared" ref="R23" si="65">Q23*(1+R$3)</f>
        <v>1878.4636557561216</v>
      </c>
      <c r="S23" s="93">
        <f>R23*(1+S$19)*(5/12)</f>
        <v>784.64992287312998</v>
      </c>
      <c r="T23" s="93"/>
      <c r="U23" s="93"/>
      <c r="V23" s="93"/>
    </row>
    <row r="24" spans="1:22" x14ac:dyDescent="0.25">
      <c r="C24" s="177">
        <f>C8</f>
        <v>5388.42</v>
      </c>
      <c r="D24" s="177">
        <f>SUM(D21:D23)</f>
        <v>5388.42</v>
      </c>
      <c r="E24" s="177">
        <f t="shared" ref="E24:V24" si="66">SUM(E21:E23)</f>
        <v>5388.42</v>
      </c>
      <c r="F24" s="177">
        <f t="shared" si="66"/>
        <v>5388.42</v>
      </c>
      <c r="G24" s="177">
        <f t="shared" si="66"/>
        <v>5401.8910500000002</v>
      </c>
      <c r="H24" s="177">
        <f t="shared" si="66"/>
        <v>5415.395777624999</v>
      </c>
      <c r="I24" s="177">
        <f t="shared" si="66"/>
        <v>5428.9342670690612</v>
      </c>
      <c r="J24" s="177">
        <f t="shared" si="66"/>
        <v>5442.5066027367338</v>
      </c>
      <c r="K24" s="177">
        <f t="shared" si="66"/>
        <v>5456.112869243575</v>
      </c>
      <c r="L24" s="177">
        <f t="shared" si="66"/>
        <v>5469.753151416684</v>
      </c>
      <c r="M24" s="177">
        <f t="shared" si="66"/>
        <v>5483.4275342952251</v>
      </c>
      <c r="N24" s="177">
        <f t="shared" si="66"/>
        <v>5497.1361031309634</v>
      </c>
      <c r="O24" s="177">
        <f t="shared" si="66"/>
        <v>5510.8789433887905</v>
      </c>
      <c r="P24" s="177">
        <f t="shared" si="66"/>
        <v>5524.6561407472618</v>
      </c>
      <c r="Q24" s="177">
        <f t="shared" si="66"/>
        <v>5538.4677810991298</v>
      </c>
      <c r="R24" s="177">
        <f t="shared" si="66"/>
        <v>4423.2742164257324</v>
      </c>
      <c r="S24" s="177">
        <f t="shared" si="66"/>
        <v>2640.0481680158823</v>
      </c>
      <c r="T24" s="177">
        <f t="shared" si="66"/>
        <v>1860.0367407556091</v>
      </c>
      <c r="U24" s="177">
        <f t="shared" si="66"/>
        <v>1864.686832607498</v>
      </c>
      <c r="V24" s="177">
        <f t="shared" si="66"/>
        <v>1869.3485496890166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3:M25"/>
  <sheetViews>
    <sheetView showGridLines="0" workbookViewId="0">
      <selection activeCell="C7" sqref="C7"/>
    </sheetView>
  </sheetViews>
  <sheetFormatPr defaultRowHeight="15" x14ac:dyDescent="0.25"/>
  <cols>
    <col min="2" max="2" width="33" customWidth="1"/>
    <col min="3" max="3" width="15.140625" customWidth="1"/>
    <col min="7" max="7" width="11.140625" bestFit="1" customWidth="1"/>
    <col min="8" max="9" width="10.5703125" bestFit="1" customWidth="1"/>
    <col min="10" max="10" width="11.5703125" bestFit="1" customWidth="1"/>
  </cols>
  <sheetData>
    <row r="3" spans="1:13" x14ac:dyDescent="0.25">
      <c r="B3" s="1" t="s">
        <v>99</v>
      </c>
      <c r="C3" s="1"/>
    </row>
    <row r="4" spans="1:13" x14ac:dyDescent="0.25">
      <c r="G4" s="190" t="s">
        <v>182</v>
      </c>
      <c r="H4" s="190"/>
      <c r="I4" s="190"/>
      <c r="J4" s="190"/>
    </row>
    <row r="5" spans="1:13" ht="31.5" customHeight="1" x14ac:dyDescent="0.25">
      <c r="A5" s="67" t="s">
        <v>209</v>
      </c>
      <c r="B5" s="127" t="s">
        <v>236</v>
      </c>
      <c r="C5" s="123">
        <v>0.1278</v>
      </c>
      <c r="G5" s="191" t="s">
        <v>212</v>
      </c>
      <c r="H5" s="192" t="s">
        <v>213</v>
      </c>
      <c r="I5" s="192"/>
      <c r="J5" s="192"/>
    </row>
    <row r="6" spans="1:13" x14ac:dyDescent="0.25">
      <c r="B6" t="s">
        <v>210</v>
      </c>
      <c r="C6" s="123">
        <v>1.4999999999999999E-2</v>
      </c>
      <c r="G6" s="191"/>
      <c r="H6" s="129" t="s">
        <v>232</v>
      </c>
      <c r="I6" s="129" t="s">
        <v>233</v>
      </c>
      <c r="J6" s="129" t="s">
        <v>234</v>
      </c>
    </row>
    <row r="7" spans="1:13" x14ac:dyDescent="0.25">
      <c r="B7" s="126" t="s">
        <v>211</v>
      </c>
      <c r="C7" s="128">
        <f>SUM(C5:C6)</f>
        <v>0.14279999999999998</v>
      </c>
      <c r="D7" s="139"/>
      <c r="G7" s="129">
        <v>0.1328</v>
      </c>
      <c r="H7" s="130">
        <v>8828.18</v>
      </c>
      <c r="I7" s="130">
        <v>9671.6200000000008</v>
      </c>
      <c r="J7" s="130">
        <v>10636.37</v>
      </c>
    </row>
    <row r="8" spans="1:13" x14ac:dyDescent="0.25">
      <c r="G8" s="129">
        <f>G7+1%</f>
        <v>0.14280000000000001</v>
      </c>
      <c r="H8" s="130">
        <v>8299.02</v>
      </c>
      <c r="I8" s="140">
        <v>9077.08</v>
      </c>
      <c r="J8" s="130">
        <v>9964.07</v>
      </c>
    </row>
    <row r="9" spans="1:13" x14ac:dyDescent="0.25">
      <c r="G9" s="129">
        <f>G8+1%</f>
        <v>0.15280000000000002</v>
      </c>
      <c r="H9" s="130">
        <v>7819.6</v>
      </c>
      <c r="I9" s="130">
        <v>8538.9</v>
      </c>
      <c r="J9" s="130">
        <v>9356.2099999999991</v>
      </c>
    </row>
    <row r="12" spans="1:13" x14ac:dyDescent="0.25">
      <c r="M12" s="141"/>
    </row>
    <row r="13" spans="1:13" x14ac:dyDescent="0.25">
      <c r="B13" s="193" t="s">
        <v>231</v>
      </c>
      <c r="C13" s="193"/>
      <c r="D13" s="193"/>
    </row>
    <row r="14" spans="1:13" x14ac:dyDescent="0.25">
      <c r="B14" s="32" t="s">
        <v>227</v>
      </c>
      <c r="C14" s="167">
        <v>1.1399999999999999</v>
      </c>
      <c r="D14" s="32" t="s">
        <v>214</v>
      </c>
      <c r="H14" s="142"/>
    </row>
    <row r="15" spans="1:13" x14ac:dyDescent="0.25">
      <c r="B15" s="32" t="s">
        <v>228</v>
      </c>
      <c r="C15" s="32">
        <v>1800</v>
      </c>
      <c r="D15" s="32" t="s">
        <v>229</v>
      </c>
      <c r="H15" s="142"/>
      <c r="L15" s="141"/>
    </row>
    <row r="16" spans="1:13" x14ac:dyDescent="0.25">
      <c r="B16" s="32" t="s">
        <v>230</v>
      </c>
      <c r="C16" s="167">
        <f>C15*C14</f>
        <v>2052</v>
      </c>
      <c r="D16" s="32" t="s">
        <v>214</v>
      </c>
      <c r="H16" s="142"/>
    </row>
    <row r="19" spans="3:8" x14ac:dyDescent="0.25">
      <c r="C19">
        <f>C16/2</f>
        <v>1026</v>
      </c>
    </row>
    <row r="25" spans="3:8" x14ac:dyDescent="0.25">
      <c r="H25" s="141"/>
    </row>
  </sheetData>
  <mergeCells count="4">
    <mergeCell ref="G4:J4"/>
    <mergeCell ref="G5:G6"/>
    <mergeCell ref="H5:J5"/>
    <mergeCell ref="B13:D13"/>
  </mergeCells>
  <hyperlinks>
    <hyperlink ref="A5" r:id="rId1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B2:L38"/>
  <sheetViews>
    <sheetView showGridLines="0" workbookViewId="0">
      <selection activeCell="I19" sqref="I19"/>
    </sheetView>
  </sheetViews>
  <sheetFormatPr defaultRowHeight="15" x14ac:dyDescent="0.25"/>
  <cols>
    <col min="1" max="1" width="4.5703125" customWidth="1"/>
    <col min="2" max="2" width="5.5703125" customWidth="1"/>
    <col min="3" max="3" width="35.85546875" customWidth="1"/>
    <col min="4" max="4" width="14.7109375" customWidth="1"/>
    <col min="5" max="5" width="11.42578125" customWidth="1"/>
    <col min="6" max="6" width="11.85546875" customWidth="1"/>
    <col min="7" max="7" width="4.42578125" customWidth="1"/>
    <col min="9" max="9" width="12.42578125" customWidth="1"/>
    <col min="10" max="10" width="11.28515625" bestFit="1" customWidth="1"/>
    <col min="11" max="11" width="12.5703125" customWidth="1"/>
    <col min="12" max="12" width="11.28515625" customWidth="1"/>
  </cols>
  <sheetData>
    <row r="2" spans="2:12" x14ac:dyDescent="0.25">
      <c r="B2" s="90" t="s">
        <v>99</v>
      </c>
      <c r="C2" s="90"/>
      <c r="D2" s="91"/>
      <c r="E2" s="89"/>
      <c r="F2" s="89"/>
      <c r="G2" s="89"/>
      <c r="H2" s="89"/>
      <c r="I2" s="89"/>
      <c r="J2" s="89"/>
      <c r="K2" s="89"/>
      <c r="L2" s="89"/>
    </row>
    <row r="3" spans="2:12" ht="10.5" customHeight="1" x14ac:dyDescent="0.25"/>
    <row r="4" spans="2:12" x14ac:dyDescent="0.25">
      <c r="B4" s="179" t="s">
        <v>133</v>
      </c>
      <c r="C4" s="179"/>
      <c r="D4" s="69"/>
      <c r="E4" s="69"/>
      <c r="F4" s="69"/>
      <c r="G4" s="69"/>
      <c r="H4" s="69"/>
      <c r="I4" s="69"/>
      <c r="J4" s="69"/>
      <c r="K4" s="69"/>
      <c r="L4" s="69"/>
    </row>
    <row r="5" spans="2:12" ht="8.25" customHeight="1" x14ac:dyDescent="0.25"/>
    <row r="6" spans="2:12" x14ac:dyDescent="0.25">
      <c r="B6" s="78"/>
      <c r="C6" s="78" t="s">
        <v>134</v>
      </c>
      <c r="D6" s="194" t="s">
        <v>135</v>
      </c>
      <c r="E6" s="194"/>
      <c r="F6" s="194"/>
      <c r="G6" s="88"/>
      <c r="H6" s="194" t="s">
        <v>136</v>
      </c>
      <c r="I6" s="194"/>
      <c r="J6" s="195" t="s">
        <v>137</v>
      </c>
      <c r="K6" s="195"/>
      <c r="L6" s="195"/>
    </row>
    <row r="7" spans="2:12" ht="43.5" customHeight="1" x14ac:dyDescent="0.25">
      <c r="B7" s="78" t="s">
        <v>154</v>
      </c>
      <c r="C7" s="70" t="s">
        <v>138</v>
      </c>
      <c r="D7" s="87" t="s">
        <v>139</v>
      </c>
      <c r="E7" s="87" t="s">
        <v>140</v>
      </c>
      <c r="F7" s="78" t="s">
        <v>141</v>
      </c>
      <c r="G7" s="87"/>
      <c r="H7" s="78" t="s">
        <v>142</v>
      </c>
      <c r="I7" s="87" t="s">
        <v>143</v>
      </c>
      <c r="J7" s="78" t="s">
        <v>144</v>
      </c>
      <c r="K7" s="78" t="s">
        <v>130</v>
      </c>
      <c r="L7" s="78" t="s">
        <v>145</v>
      </c>
    </row>
    <row r="8" spans="2:12" ht="15.95" customHeight="1" x14ac:dyDescent="0.25">
      <c r="B8" s="71">
        <v>1</v>
      </c>
      <c r="C8" s="92" t="s">
        <v>157</v>
      </c>
      <c r="D8" s="73">
        <v>87.2</v>
      </c>
      <c r="E8" s="73">
        <v>1318.91</v>
      </c>
      <c r="F8" s="73">
        <v>1554.19</v>
      </c>
      <c r="G8" s="103"/>
      <c r="H8" s="73">
        <v>1166.9000000000001</v>
      </c>
      <c r="I8" s="73">
        <v>11.38</v>
      </c>
      <c r="J8" s="74">
        <f>F8/H8</f>
        <v>1.3318964778472877</v>
      </c>
      <c r="K8" s="74">
        <v>3.49</v>
      </c>
      <c r="L8" s="74">
        <v>7.67</v>
      </c>
    </row>
    <row r="9" spans="2:12" ht="15.95" customHeight="1" x14ac:dyDescent="0.25">
      <c r="B9" s="71">
        <f>B8+1</f>
        <v>2</v>
      </c>
      <c r="C9" s="92" t="s">
        <v>158</v>
      </c>
      <c r="D9" s="73">
        <v>3.9</v>
      </c>
      <c r="E9" s="73">
        <v>2094.34</v>
      </c>
      <c r="F9" s="73">
        <v>6268.95</v>
      </c>
      <c r="G9" s="103"/>
      <c r="H9" s="76">
        <v>3259.52</v>
      </c>
      <c r="I9" s="76">
        <v>0.68</v>
      </c>
      <c r="J9" s="74">
        <f t="shared" ref="J9:J13" si="0">F9/H9</f>
        <v>1.9232739789907716</v>
      </c>
      <c r="K9" s="74">
        <v>5.49</v>
      </c>
      <c r="L9" s="74">
        <v>5.71</v>
      </c>
    </row>
    <row r="10" spans="2:12" ht="15.95" customHeight="1" x14ac:dyDescent="0.25">
      <c r="B10" s="71">
        <f>B9+1</f>
        <v>3</v>
      </c>
      <c r="C10" s="75" t="s">
        <v>131</v>
      </c>
      <c r="D10" s="76">
        <v>12.95</v>
      </c>
      <c r="E10" s="73">
        <v>1261.06</v>
      </c>
      <c r="F10" s="76">
        <v>1559.76</v>
      </c>
      <c r="G10" s="103"/>
      <c r="H10" s="76">
        <v>515.47</v>
      </c>
      <c r="I10" s="76">
        <v>0.19</v>
      </c>
      <c r="J10" s="74">
        <f t="shared" si="0"/>
        <v>3.0258986943954058</v>
      </c>
      <c r="K10" s="74">
        <v>17.71</v>
      </c>
      <c r="L10" s="74">
        <v>68.959999999999994</v>
      </c>
    </row>
    <row r="11" spans="2:12" ht="15.95" customHeight="1" x14ac:dyDescent="0.25">
      <c r="B11" s="71">
        <f>B10+1</f>
        <v>4</v>
      </c>
      <c r="C11" s="92" t="s">
        <v>132</v>
      </c>
      <c r="D11" s="73">
        <v>22.4</v>
      </c>
      <c r="E11" s="73">
        <v>1336.96</v>
      </c>
      <c r="F11" s="76">
        <v>5850.93</v>
      </c>
      <c r="G11" s="103"/>
      <c r="H11" s="76">
        <v>1179.6600000000001</v>
      </c>
      <c r="I11" s="76">
        <v>-0.81</v>
      </c>
      <c r="J11" s="74">
        <f t="shared" si="0"/>
        <v>4.9598443619347945</v>
      </c>
      <c r="K11" s="74">
        <v>13.56</v>
      </c>
      <c r="L11" s="74">
        <v>-41.48</v>
      </c>
    </row>
    <row r="12" spans="2:12" ht="15.95" customHeight="1" x14ac:dyDescent="0.25">
      <c r="B12" s="71">
        <f>B11+1</f>
        <v>5</v>
      </c>
      <c r="C12" s="72" t="s">
        <v>155</v>
      </c>
      <c r="D12" s="76">
        <v>133.85</v>
      </c>
      <c r="E12" s="73">
        <v>3844.04</v>
      </c>
      <c r="F12" s="76">
        <v>7558.99</v>
      </c>
      <c r="G12" s="103"/>
      <c r="H12" s="76">
        <v>1467.37</v>
      </c>
      <c r="I12" s="76">
        <v>-16.38</v>
      </c>
      <c r="J12" s="74">
        <f t="shared" si="0"/>
        <v>5.1513864942039165</v>
      </c>
      <c r="K12" s="74">
        <v>30.43</v>
      </c>
      <c r="L12" s="74">
        <v>0</v>
      </c>
    </row>
    <row r="13" spans="2:12" ht="17.25" customHeight="1" x14ac:dyDescent="0.25">
      <c r="B13" s="71">
        <f>B12+1</f>
        <v>6</v>
      </c>
      <c r="C13" s="72" t="s">
        <v>156</v>
      </c>
      <c r="D13" s="76">
        <v>255.75</v>
      </c>
      <c r="E13" s="73">
        <v>3710.95</v>
      </c>
      <c r="F13" s="76">
        <v>3692.08</v>
      </c>
      <c r="G13" s="103"/>
      <c r="H13" s="76">
        <v>1678.47</v>
      </c>
      <c r="I13" s="76">
        <v>31.4</v>
      </c>
      <c r="J13" s="74">
        <f t="shared" si="0"/>
        <v>2.1996699375026063</v>
      </c>
      <c r="K13" s="74">
        <v>5.41</v>
      </c>
      <c r="L13" s="74">
        <v>8.14</v>
      </c>
    </row>
    <row r="14" spans="2:12" x14ac:dyDescent="0.25">
      <c r="D14" s="68"/>
      <c r="E14" s="68"/>
      <c r="F14" s="68"/>
      <c r="G14" s="68"/>
      <c r="H14" s="68"/>
      <c r="I14" s="68"/>
      <c r="J14" s="68"/>
      <c r="K14" s="68"/>
      <c r="L14" s="68"/>
    </row>
    <row r="15" spans="2:12" x14ac:dyDescent="0.25">
      <c r="C15" s="77" t="s">
        <v>146</v>
      </c>
      <c r="D15" s="85"/>
      <c r="E15" s="85"/>
      <c r="F15" s="85"/>
      <c r="G15" s="85"/>
      <c r="H15" s="85"/>
      <c r="I15" s="85"/>
      <c r="J15" s="86">
        <f>AVERAGE(J8:J14)</f>
        <v>3.0986616574791301</v>
      </c>
      <c r="K15" s="86">
        <f>AVERAGE(K8:K13)</f>
        <v>12.681666666666667</v>
      </c>
      <c r="L15" s="86">
        <f>AVERAGE(L8:L13)</f>
        <v>8.1666666666666661</v>
      </c>
    </row>
    <row r="16" spans="2:12" x14ac:dyDescent="0.25">
      <c r="C16" s="77" t="s">
        <v>147</v>
      </c>
      <c r="D16" s="85"/>
      <c r="E16" s="85"/>
      <c r="F16" s="85"/>
      <c r="G16" s="85"/>
      <c r="H16" s="85"/>
      <c r="I16" s="85"/>
      <c r="J16" s="86">
        <f>MEDIAN(J8:J13)</f>
        <v>2.6127843159490061</v>
      </c>
      <c r="K16" s="86">
        <f>MEDIAN(K8:K13)</f>
        <v>9.5250000000000004</v>
      </c>
      <c r="L16" s="86">
        <f>MEDIAN(L8:L13)</f>
        <v>6.6899999999999995</v>
      </c>
    </row>
    <row r="18" spans="3:9" x14ac:dyDescent="0.25">
      <c r="C18" s="55" t="s">
        <v>134</v>
      </c>
      <c r="D18" s="78" t="str">
        <f>J7</f>
        <v>EV/Sales</v>
      </c>
      <c r="E18" s="78" t="s">
        <v>130</v>
      </c>
      <c r="H18" s="195" t="s">
        <v>184</v>
      </c>
      <c r="I18" s="195"/>
    </row>
    <row r="19" spans="3:9" x14ac:dyDescent="0.25">
      <c r="C19" s="79" t="s">
        <v>147</v>
      </c>
      <c r="D19" s="80">
        <f>J16</f>
        <v>2.6127843159490061</v>
      </c>
      <c r="E19" s="80">
        <f t="shared" ref="E19" si="1">K16</f>
        <v>9.5250000000000004</v>
      </c>
      <c r="H19" s="78" t="s">
        <v>183</v>
      </c>
      <c r="I19" s="78" t="s">
        <v>121</v>
      </c>
    </row>
    <row r="20" spans="3:9" x14ac:dyDescent="0.25">
      <c r="C20" s="79" t="s">
        <v>148</v>
      </c>
      <c r="D20" s="80">
        <f>J15</f>
        <v>3.0986616574791301</v>
      </c>
      <c r="E20" s="80">
        <f t="shared" ref="E20" si="2">K15</f>
        <v>12.681666666666667</v>
      </c>
      <c r="H20" s="104">
        <f>'P&amp;L'!G7</f>
        <v>4192.55</v>
      </c>
      <c r="I20" s="104">
        <f>'P&amp;L'!G15</f>
        <v>1490.4100000000003</v>
      </c>
    </row>
    <row r="22" spans="3:9" x14ac:dyDescent="0.25">
      <c r="C22" s="186" t="s">
        <v>182</v>
      </c>
      <c r="D22" s="186"/>
      <c r="E22" s="186"/>
    </row>
    <row r="23" spans="3:9" x14ac:dyDescent="0.25">
      <c r="C23" s="79" t="s">
        <v>149</v>
      </c>
      <c r="D23" s="80">
        <f>D20</f>
        <v>3.0986616574791301</v>
      </c>
      <c r="E23" s="80">
        <f t="shared" ref="E23" si="3">E20</f>
        <v>12.681666666666667</v>
      </c>
    </row>
    <row r="24" spans="3:9" x14ac:dyDescent="0.25">
      <c r="C24" s="79" t="s">
        <v>150</v>
      </c>
      <c r="D24" s="80">
        <f>AVERAGE(D23,D25)</f>
        <v>2.8557229867140679</v>
      </c>
      <c r="E24" s="80">
        <f t="shared" ref="E24" si="4">AVERAGE(E23,E25)</f>
        <v>11.103333333333333</v>
      </c>
    </row>
    <row r="25" spans="3:9" x14ac:dyDescent="0.25">
      <c r="C25" s="79" t="s">
        <v>151</v>
      </c>
      <c r="D25" s="80">
        <f>D19</f>
        <v>2.6127843159490061</v>
      </c>
      <c r="E25" s="80">
        <f t="shared" ref="E25" si="5">E19</f>
        <v>9.5250000000000004</v>
      </c>
    </row>
    <row r="28" spans="3:9" x14ac:dyDescent="0.25">
      <c r="C28" s="81" t="s">
        <v>152</v>
      </c>
      <c r="D28" s="82" t="s">
        <v>153</v>
      </c>
      <c r="E28" s="82" t="s">
        <v>153</v>
      </c>
    </row>
    <row r="29" spans="3:9" x14ac:dyDescent="0.25">
      <c r="C29" s="83" t="s">
        <v>149</v>
      </c>
      <c r="D29" s="100">
        <f>D23*$H$20</f>
        <v>12991.293932064127</v>
      </c>
      <c r="E29" s="100">
        <f>E23*I$20</f>
        <v>18900.882816666672</v>
      </c>
    </row>
    <row r="30" spans="3:9" x14ac:dyDescent="0.25">
      <c r="C30" s="84" t="s">
        <v>150</v>
      </c>
      <c r="D30" s="100">
        <f>D24*$H$20</f>
        <v>11972.761407948066</v>
      </c>
      <c r="E30" s="100">
        <f>E24*I$20</f>
        <v>16548.519033333338</v>
      </c>
      <c r="H30" s="102"/>
    </row>
    <row r="31" spans="3:9" x14ac:dyDescent="0.25">
      <c r="C31" s="83" t="s">
        <v>151</v>
      </c>
      <c r="D31" s="100">
        <f>D25*$H$20</f>
        <v>10954.228883832006</v>
      </c>
      <c r="E31" s="100">
        <f>E25*I$20</f>
        <v>14196.155250000003</v>
      </c>
    </row>
    <row r="32" spans="3:9" x14ac:dyDescent="0.25">
      <c r="C32" t="s">
        <v>181</v>
      </c>
      <c r="E32" s="100">
        <f>AVERAGE(D30:E30)</f>
        <v>14260.640220640702</v>
      </c>
    </row>
    <row r="36" spans="3:6" x14ac:dyDescent="0.25">
      <c r="C36" s="32" t="s">
        <v>179</v>
      </c>
      <c r="D36" s="101">
        <v>0.2</v>
      </c>
      <c r="E36" s="101">
        <v>0.25</v>
      </c>
      <c r="F36" s="101">
        <v>0.3</v>
      </c>
    </row>
    <row r="37" spans="3:6" x14ac:dyDescent="0.25">
      <c r="C37" s="32" t="s">
        <v>180</v>
      </c>
      <c r="D37" s="100">
        <f>$E$30*(1-D36)</f>
        <v>13238.815226666671</v>
      </c>
      <c r="E37" s="100">
        <f>$E$30*(1-E36)</f>
        <v>12411.389275000003</v>
      </c>
      <c r="F37" s="100">
        <f>$E$30*(1-F36)</f>
        <v>11583.963323333335</v>
      </c>
    </row>
    <row r="38" spans="3:6" x14ac:dyDescent="0.25">
      <c r="C38" s="32" t="s">
        <v>146</v>
      </c>
      <c r="D38" s="100">
        <f>$E$32*(1-D36)</f>
        <v>11408.512176512562</v>
      </c>
      <c r="E38" s="100">
        <f>$E$32*(1-E36)</f>
        <v>10695.480165480527</v>
      </c>
      <c r="F38" s="100">
        <f>$E$32*(1-F36)</f>
        <v>9982.4481544484916</v>
      </c>
    </row>
  </sheetData>
  <mergeCells count="6">
    <mergeCell ref="C22:E22"/>
    <mergeCell ref="D6:F6"/>
    <mergeCell ref="H6:I6"/>
    <mergeCell ref="J6:L6"/>
    <mergeCell ref="B4:C4"/>
    <mergeCell ref="H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M45"/>
  <sheetViews>
    <sheetView showGridLines="0" topLeftCell="A21" zoomScaleNormal="100" workbookViewId="0">
      <selection activeCell="B30" sqref="B30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hidden="1" customWidth="1"/>
    <col min="9" max="12" width="12.5703125" bestFit="1" customWidth="1"/>
    <col min="13" max="28" width="12.5703125" customWidth="1"/>
    <col min="29" max="29" width="10.42578125" customWidth="1"/>
    <col min="30" max="30" width="6.42578125" customWidth="1"/>
    <col min="31" max="31" width="0" hidden="1" customWidth="1"/>
    <col min="32" max="32" width="26.5703125" customWidth="1"/>
    <col min="38" max="38" width="11.7109375" customWidth="1"/>
  </cols>
  <sheetData>
    <row r="1" spans="1:39" x14ac:dyDescent="0.25">
      <c r="A1" s="2"/>
      <c r="B1" s="2"/>
      <c r="C1" s="2"/>
      <c r="D1" s="2"/>
      <c r="E1" s="2"/>
      <c r="F1" s="2"/>
      <c r="G1" s="2"/>
    </row>
    <row r="2" spans="1:39" x14ac:dyDescent="0.25">
      <c r="A2" s="2"/>
      <c r="B2" s="178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</row>
    <row r="3" spans="1:39" ht="10.5" customHeight="1" x14ac:dyDescent="0.25">
      <c r="A3" s="2"/>
      <c r="B3" s="2"/>
      <c r="C3" s="2"/>
      <c r="D3" s="2"/>
      <c r="E3" s="2"/>
      <c r="F3" s="2"/>
      <c r="G3" s="2"/>
    </row>
    <row r="4" spans="1:39" x14ac:dyDescent="0.25">
      <c r="A4" s="2"/>
      <c r="B4" s="179" t="s">
        <v>107</v>
      </c>
      <c r="C4" s="179"/>
      <c r="D4" s="179"/>
      <c r="E4" s="179"/>
      <c r="F4" s="179"/>
      <c r="G4" s="17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39" x14ac:dyDescent="0.25">
      <c r="A5" s="2"/>
      <c r="B5" s="2"/>
      <c r="C5" s="2"/>
      <c r="D5" s="2"/>
      <c r="E5" s="2"/>
      <c r="F5" s="2"/>
      <c r="G5" s="2"/>
      <c r="H5" s="123"/>
      <c r="I5" s="123">
        <v>1.4999999999999999E-2</v>
      </c>
      <c r="J5" s="123">
        <v>1.4999999999999999E-2</v>
      </c>
      <c r="K5" s="123">
        <v>1.7500000000000002E-2</v>
      </c>
      <c r="L5" s="123">
        <v>1.7500000000000002E-2</v>
      </c>
      <c r="M5" s="123">
        <v>1.7500000000000002E-2</v>
      </c>
      <c r="N5" s="123">
        <v>1.7500000000000002E-2</v>
      </c>
      <c r="O5" s="123">
        <v>1.7500000000000002E-2</v>
      </c>
      <c r="P5" s="123">
        <v>1.7500000000000002E-2</v>
      </c>
      <c r="Q5" s="123">
        <v>1.7500000000000002E-2</v>
      </c>
      <c r="R5" s="123">
        <v>1.7500000000000002E-2</v>
      </c>
      <c r="S5" s="123">
        <v>1.7500000000000002E-2</v>
      </c>
      <c r="T5" s="123">
        <v>1.7500000000000002E-2</v>
      </c>
      <c r="U5" s="123">
        <v>1.7500000000000002E-2</v>
      </c>
      <c r="V5" s="123"/>
      <c r="W5" s="123"/>
      <c r="X5" s="123"/>
      <c r="Y5" s="123"/>
      <c r="Z5" s="123"/>
      <c r="AA5" s="123"/>
      <c r="AB5" s="123"/>
      <c r="AC5" s="123"/>
    </row>
    <row r="6" spans="1:39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si="0"/>
        <v>2025</v>
      </c>
      <c r="K6" s="165">
        <f t="shared" si="0"/>
        <v>2026</v>
      </c>
      <c r="L6" s="165">
        <f t="shared" si="0"/>
        <v>2027</v>
      </c>
      <c r="M6" s="165">
        <f t="shared" ref="M6" si="1">L6+1</f>
        <v>2028</v>
      </c>
      <c r="N6" s="165">
        <f t="shared" ref="N6" si="2">M6+1</f>
        <v>2029</v>
      </c>
      <c r="O6" s="165">
        <f t="shared" ref="O6" si="3">N6+1</f>
        <v>2030</v>
      </c>
      <c r="P6" s="165">
        <f t="shared" ref="P6" si="4">O6+1</f>
        <v>2031</v>
      </c>
      <c r="Q6" s="165">
        <f t="shared" ref="Q6" si="5">P6+1</f>
        <v>2032</v>
      </c>
      <c r="R6" s="165">
        <f t="shared" ref="R6" si="6">Q6+1</f>
        <v>2033</v>
      </c>
      <c r="S6" s="165">
        <f t="shared" ref="S6" si="7">R6+1</f>
        <v>2034</v>
      </c>
      <c r="T6" s="165">
        <f t="shared" ref="T6" si="8">S6+1</f>
        <v>2035</v>
      </c>
      <c r="U6" s="165">
        <f t="shared" ref="U6" si="9">T6+1</f>
        <v>2036</v>
      </c>
      <c r="V6" s="168"/>
      <c r="W6" s="168"/>
      <c r="X6" s="168"/>
      <c r="Y6" s="168"/>
      <c r="Z6" s="168"/>
      <c r="AA6" s="168"/>
      <c r="AB6" s="168"/>
      <c r="AC6" s="183" t="s">
        <v>201</v>
      </c>
    </row>
    <row r="7" spans="1:39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/>
      <c r="W7" s="149"/>
      <c r="X7" s="149"/>
      <c r="Y7" s="149"/>
      <c r="Z7" s="149"/>
      <c r="AA7" s="149"/>
      <c r="AB7" s="149"/>
      <c r="AC7" s="184"/>
    </row>
    <row r="8" spans="1:39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'P&amp;L'!I7</f>
        <v>2694.21</v>
      </c>
      <c r="I8" s="27">
        <f t="shared" ref="I8:L8" si="10">H8*(1+I5)</f>
        <v>2734.6231499999999</v>
      </c>
      <c r="J8" s="27">
        <f t="shared" si="10"/>
        <v>2775.6424972499995</v>
      </c>
      <c r="K8" s="27">
        <f t="shared" si="10"/>
        <v>2824.2162409518746</v>
      </c>
      <c r="L8" s="27">
        <f t="shared" si="10"/>
        <v>2873.6400251685327</v>
      </c>
      <c r="M8" s="27">
        <f t="shared" ref="M8" si="11">L8*(1+M5)</f>
        <v>2923.9287256089824</v>
      </c>
      <c r="N8" s="27">
        <f t="shared" ref="N8" si="12">M8*(1+N5)</f>
        <v>2975.0974783071397</v>
      </c>
      <c r="O8" s="27">
        <f t="shared" ref="O8" si="13">N8*(1+O5)</f>
        <v>3027.1616841775149</v>
      </c>
      <c r="P8" s="27">
        <f t="shared" ref="P8" si="14">O8*(1+P5)</f>
        <v>3080.1370136506216</v>
      </c>
      <c r="Q8" s="27">
        <f t="shared" ref="Q8" si="15">P8*(1+Q5)</f>
        <v>3134.0394113895077</v>
      </c>
      <c r="R8" s="27">
        <f t="shared" ref="R8" si="16">Q8*(1+R5)</f>
        <v>3188.8851010888243</v>
      </c>
      <c r="S8" s="27">
        <f t="shared" ref="S8" si="17">R8*(1+S5)</f>
        <v>3244.690590357879</v>
      </c>
      <c r="T8" s="27">
        <f t="shared" ref="T8" si="18">S8*(1+T5)</f>
        <v>3301.4726756891423</v>
      </c>
      <c r="U8" s="27">
        <f t="shared" ref="U8" si="19">T8*(1+U5)</f>
        <v>3359.2484475137026</v>
      </c>
      <c r="V8" s="27"/>
      <c r="W8" s="27"/>
      <c r="X8" s="27"/>
      <c r="Y8" s="27"/>
      <c r="Z8" s="27"/>
      <c r="AA8" s="27"/>
      <c r="AB8" s="27"/>
      <c r="AC8" s="27" t="e">
        <f>L8*(1+#REF!)</f>
        <v>#REF!</v>
      </c>
      <c r="AF8" s="58" t="s">
        <v>41</v>
      </c>
      <c r="AG8" s="59">
        <v>2018</v>
      </c>
      <c r="AH8" s="59">
        <f>AG8+1</f>
        <v>2019</v>
      </c>
      <c r="AI8" s="59">
        <f t="shared" ref="AI8:AK8" si="20">AH8+1</f>
        <v>2020</v>
      </c>
      <c r="AJ8" s="59">
        <f t="shared" si="20"/>
        <v>2021</v>
      </c>
      <c r="AK8" s="60">
        <f t="shared" si="20"/>
        <v>2022</v>
      </c>
      <c r="AL8" s="60">
        <f>'P&amp;L'!Q9</f>
        <v>2023</v>
      </c>
      <c r="AM8" s="60" t="s">
        <v>146</v>
      </c>
    </row>
    <row r="9" spans="1:39" x14ac:dyDescent="0.25">
      <c r="B9" s="15" t="s">
        <v>240</v>
      </c>
      <c r="C9" s="9">
        <f>'P&amp;L'!C8</f>
        <v>58.33</v>
      </c>
      <c r="D9" s="9">
        <f>'P&amp;L'!D8</f>
        <v>226.46</v>
      </c>
      <c r="E9" s="9">
        <f>'P&amp;L'!E8</f>
        <v>343.65</v>
      </c>
      <c r="F9" s="9">
        <f>'P&amp;L'!F8</f>
        <v>236.16</v>
      </c>
      <c r="G9" s="9">
        <f>'P&amp;L'!G8</f>
        <v>79.78</v>
      </c>
      <c r="H9" s="27">
        <f>'P&amp;L'!I8</f>
        <v>206.82</v>
      </c>
      <c r="I9" s="27">
        <f>I8*$AM$9</f>
        <v>141.98110193585049</v>
      </c>
      <c r="J9" s="27">
        <f>J8*$AM$9</f>
        <v>144.11081846488821</v>
      </c>
      <c r="K9" s="27">
        <f>K8*$AM$9</f>
        <v>146.63275778802375</v>
      </c>
      <c r="L9" s="27">
        <f>L8*$AM$9</f>
        <v>149.19883104931421</v>
      </c>
      <c r="M9" s="27">
        <f t="shared" ref="M9:U9" si="21">M8*$AM$9</f>
        <v>151.80981059267722</v>
      </c>
      <c r="N9" s="27">
        <f t="shared" si="21"/>
        <v>154.46648227804906</v>
      </c>
      <c r="O9" s="27">
        <f t="shared" si="21"/>
        <v>157.16964571791493</v>
      </c>
      <c r="P9" s="27">
        <f t="shared" si="21"/>
        <v>159.92011451797848</v>
      </c>
      <c r="Q9" s="27">
        <f t="shared" si="21"/>
        <v>162.71871652204311</v>
      </c>
      <c r="R9" s="27">
        <f t="shared" si="21"/>
        <v>165.56629406117887</v>
      </c>
      <c r="S9" s="27">
        <f t="shared" si="21"/>
        <v>168.46370420724952</v>
      </c>
      <c r="T9" s="27">
        <f t="shared" si="21"/>
        <v>171.41181903087639</v>
      </c>
      <c r="U9" s="27">
        <f t="shared" si="21"/>
        <v>174.41152586391675</v>
      </c>
      <c r="V9" s="27"/>
      <c r="W9" s="27"/>
      <c r="X9" s="27"/>
      <c r="Y9" s="27"/>
      <c r="Z9" s="27"/>
      <c r="AA9" s="27"/>
      <c r="AB9" s="27"/>
      <c r="AC9" s="27" t="e">
        <f t="shared" ref="AC9" si="22">AC8*$AM$9</f>
        <v>#REF!</v>
      </c>
      <c r="AF9" s="62" t="s">
        <v>124</v>
      </c>
      <c r="AG9" s="61">
        <f t="shared" ref="AG9:AL9" si="23">C9/C8</f>
        <v>2.1236160816680196E-2</v>
      </c>
      <c r="AH9" s="61">
        <f t="shared" si="23"/>
        <v>6.1630992393419431E-2</v>
      </c>
      <c r="AI9" s="61">
        <f t="shared" si="23"/>
        <v>7.7624879717013082E-2</v>
      </c>
      <c r="AJ9" s="61">
        <f t="shared" si="23"/>
        <v>5.523319043242144E-2</v>
      </c>
      <c r="AK9" s="61">
        <f t="shared" si="23"/>
        <v>1.9028991902302894E-2</v>
      </c>
      <c r="AL9" s="61">
        <f t="shared" si="23"/>
        <v>7.6764617457436499E-2</v>
      </c>
      <c r="AM9" s="61">
        <f>AVERAGE(AG9:AL9)</f>
        <v>5.1919805453212259E-2</v>
      </c>
    </row>
    <row r="10" spans="1:39" x14ac:dyDescent="0.25">
      <c r="B10" s="44" t="s">
        <v>239</v>
      </c>
      <c r="C10" s="14">
        <f>SUM(C8:C9)</f>
        <v>2805.06</v>
      </c>
      <c r="D10" s="14">
        <f t="shared" ref="D10:AC10" si="24">SUM(D8:D9)</f>
        <v>3900.91</v>
      </c>
      <c r="E10" s="14">
        <f t="shared" si="24"/>
        <v>4770.71</v>
      </c>
      <c r="F10" s="14">
        <f t="shared" si="24"/>
        <v>4511.8499999999995</v>
      </c>
      <c r="G10" s="14">
        <f t="shared" si="24"/>
        <v>4272.33</v>
      </c>
      <c r="H10" s="14">
        <f t="shared" si="24"/>
        <v>2901.03</v>
      </c>
      <c r="I10" s="14">
        <f t="shared" si="24"/>
        <v>2876.6042519358502</v>
      </c>
      <c r="J10" s="14">
        <f t="shared" si="24"/>
        <v>2919.7533157148878</v>
      </c>
      <c r="K10" s="14">
        <f t="shared" si="24"/>
        <v>2970.8489987398984</v>
      </c>
      <c r="L10" s="14">
        <f t="shared" si="24"/>
        <v>3022.838856217847</v>
      </c>
      <c r="M10" s="14">
        <f t="shared" ref="M10:U10" si="25">SUM(M8:M9)</f>
        <v>3075.7385362016598</v>
      </c>
      <c r="N10" s="14">
        <f t="shared" si="25"/>
        <v>3129.5639605851889</v>
      </c>
      <c r="O10" s="14">
        <f t="shared" si="25"/>
        <v>3184.3313298954299</v>
      </c>
      <c r="P10" s="14">
        <f t="shared" si="25"/>
        <v>3240.0571281686002</v>
      </c>
      <c r="Q10" s="14">
        <f t="shared" si="25"/>
        <v>3296.7581279115507</v>
      </c>
      <c r="R10" s="14">
        <f t="shared" si="25"/>
        <v>3354.451395150003</v>
      </c>
      <c r="S10" s="14">
        <f t="shared" si="25"/>
        <v>3413.1542945651286</v>
      </c>
      <c r="T10" s="14">
        <f t="shared" si="25"/>
        <v>3472.8844947200187</v>
      </c>
      <c r="U10" s="14">
        <f t="shared" si="25"/>
        <v>3533.6599733776193</v>
      </c>
      <c r="V10" s="14"/>
      <c r="W10" s="14"/>
      <c r="X10" s="14"/>
      <c r="Y10" s="14"/>
      <c r="Z10" s="14"/>
      <c r="AA10" s="14"/>
      <c r="AB10" s="14"/>
      <c r="AC10" s="14" t="e">
        <f t="shared" si="24"/>
        <v>#REF!</v>
      </c>
      <c r="AF10" s="32" t="s">
        <v>128</v>
      </c>
      <c r="AG10" s="61">
        <f t="shared" ref="AG10:AK11" si="26">C12/C$8</f>
        <v>0.63896706265268155</v>
      </c>
      <c r="AH10" s="61">
        <f t="shared" si="26"/>
        <v>0.46975193566384082</v>
      </c>
      <c r="AI10" s="61">
        <f t="shared" si="26"/>
        <v>0.63260493420012376</v>
      </c>
      <c r="AJ10" s="61">
        <f t="shared" si="26"/>
        <v>0.49314379667375335</v>
      </c>
      <c r="AK10" s="61">
        <f t="shared" si="26"/>
        <v>0.48004436440829562</v>
      </c>
      <c r="AL10" s="61">
        <f>'P&amp;L'!Q11</f>
        <v>0.62194328201259141</v>
      </c>
      <c r="AM10" s="61">
        <f>AVERAGE(AG10:AL10)</f>
        <v>0.55607589593521445</v>
      </c>
    </row>
    <row r="11" spans="1:39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F11" s="62" t="s">
        <v>19</v>
      </c>
      <c r="AG11" s="61">
        <f t="shared" si="26"/>
        <v>2.0358753863685183E-2</v>
      </c>
      <c r="AH11" s="61">
        <f t="shared" si="26"/>
        <v>2.1178679802419408E-2</v>
      </c>
      <c r="AI11" s="61">
        <f t="shared" si="26"/>
        <v>1.4777301414482748E-2</v>
      </c>
      <c r="AJ11" s="61">
        <f t="shared" si="26"/>
        <v>1.7840395351393579E-2</v>
      </c>
      <c r="AK11" s="61">
        <f t="shared" si="26"/>
        <v>1.8997984520160761E-2</v>
      </c>
      <c r="AL11" s="61">
        <f>'P&amp;L'!Q12</f>
        <v>1.5873139973300445E-2</v>
      </c>
      <c r="AM11" s="61">
        <f>AVERAGE(AG11:AL11)</f>
        <v>1.8171042487573685E-2</v>
      </c>
    </row>
    <row r="12" spans="1:39" ht="17.25" customHeight="1" x14ac:dyDescent="0.25">
      <c r="B12" s="50" t="s">
        <v>18</v>
      </c>
      <c r="C12" s="9">
        <v>1755.07</v>
      </c>
      <c r="D12" s="9">
        <v>1726.08</v>
      </c>
      <c r="E12" s="27">
        <v>2800.58</v>
      </c>
      <c r="F12" s="27">
        <v>2108.5300000000002</v>
      </c>
      <c r="G12" s="27">
        <v>2012.61</v>
      </c>
      <c r="H12" s="27">
        <f>'P&amp;L'!I11</f>
        <v>977.9</v>
      </c>
      <c r="I12" s="27">
        <f>I8*$AM$10</f>
        <v>1520.6580181814284</v>
      </c>
      <c r="J12" s="27">
        <f>J8*$AM$10</f>
        <v>1543.4678884541495</v>
      </c>
      <c r="K12" s="27">
        <f>K8*$AM$10</f>
        <v>1570.4785765020972</v>
      </c>
      <c r="L12" s="27">
        <f>L8*$AM$10</f>
        <v>1597.9619515908839</v>
      </c>
      <c r="M12" s="27">
        <f t="shared" ref="M12:U12" si="27">M8*$AM$10</f>
        <v>1625.9262857437247</v>
      </c>
      <c r="N12" s="27">
        <f t="shared" si="27"/>
        <v>1654.37999574424</v>
      </c>
      <c r="O12" s="27">
        <f t="shared" si="27"/>
        <v>1683.3316456697642</v>
      </c>
      <c r="P12" s="27">
        <f t="shared" si="27"/>
        <v>1712.7899494689852</v>
      </c>
      <c r="Q12" s="27">
        <f t="shared" si="27"/>
        <v>1742.7637735846927</v>
      </c>
      <c r="R12" s="27">
        <f t="shared" si="27"/>
        <v>1773.2621396224249</v>
      </c>
      <c r="S12" s="27">
        <f t="shared" si="27"/>
        <v>1804.2942270658175</v>
      </c>
      <c r="T12" s="27">
        <f t="shared" si="27"/>
        <v>1835.8693760394694</v>
      </c>
      <c r="U12" s="27">
        <f t="shared" si="27"/>
        <v>1867.9970901201605</v>
      </c>
      <c r="V12" s="27"/>
      <c r="W12" s="27"/>
      <c r="X12" s="27"/>
      <c r="Y12" s="27"/>
      <c r="Z12" s="27"/>
      <c r="AA12" s="27"/>
      <c r="AB12" s="27"/>
      <c r="AC12" s="27" t="e">
        <f t="shared" ref="AC12" si="28">AC8*$AM$10</f>
        <v>#REF!</v>
      </c>
      <c r="AF12" s="62" t="s">
        <v>208</v>
      </c>
      <c r="AG12" s="61">
        <f>'P&amp;L'!L19</f>
        <v>0.13240835466172504</v>
      </c>
      <c r="AH12" s="61">
        <f>'P&amp;L'!M19</f>
        <v>0.51105335492386617</v>
      </c>
      <c r="AI12" s="61">
        <f>'P&amp;L'!N19</f>
        <v>0.13213735526511949</v>
      </c>
      <c r="AJ12" s="61">
        <f>'P&amp;L'!O19</f>
        <v>0.13100575579614054</v>
      </c>
      <c r="AK12" s="61">
        <f>'P&amp;L'!P19</f>
        <v>0.16449654744725761</v>
      </c>
      <c r="AL12" s="61">
        <f>'P&amp;L'!Q13</f>
        <v>0.2079692114639996</v>
      </c>
      <c r="AM12" s="61">
        <f>AVERAGE(AI12:AL12)</f>
        <v>0.15890221749312933</v>
      </c>
    </row>
    <row r="13" spans="1:39" ht="16.5" customHeight="1" x14ac:dyDescent="0.25">
      <c r="B13" s="47" t="s">
        <v>19</v>
      </c>
      <c r="C13" s="9">
        <v>55.92</v>
      </c>
      <c r="D13" s="9">
        <v>77.819999999999993</v>
      </c>
      <c r="E13" s="27">
        <v>65.42</v>
      </c>
      <c r="F13" s="27">
        <v>76.28</v>
      </c>
      <c r="G13" s="27">
        <v>79.650000000000006</v>
      </c>
      <c r="H13" s="27">
        <f>'P&amp;L'!I12</f>
        <v>40.520000000000003</v>
      </c>
      <c r="I13" s="27">
        <f>I8*$AM$11</f>
        <v>49.690953446152584</v>
      </c>
      <c r="J13" s="27">
        <f>J8*$AM$11</f>
        <v>50.436317747844868</v>
      </c>
      <c r="K13" s="27">
        <f>K8*$AM$11</f>
        <v>51.31895330843215</v>
      </c>
      <c r="L13" s="27">
        <f>L8*$AM$11</f>
        <v>52.217034991329719</v>
      </c>
      <c r="M13" s="27">
        <f t="shared" ref="M13:U13" si="29">M8*$AM$11</f>
        <v>53.130833103678</v>
      </c>
      <c r="N13" s="27">
        <f t="shared" si="29"/>
        <v>54.060622682992367</v>
      </c>
      <c r="O13" s="27">
        <f t="shared" si="29"/>
        <v>55.006683579944735</v>
      </c>
      <c r="P13" s="27">
        <f t="shared" si="29"/>
        <v>55.969300542593771</v>
      </c>
      <c r="Q13" s="27">
        <f t="shared" si="29"/>
        <v>56.948763302089169</v>
      </c>
      <c r="R13" s="27">
        <f t="shared" si="29"/>
        <v>57.945366659875731</v>
      </c>
      <c r="S13" s="27">
        <f t="shared" si="29"/>
        <v>58.959410576423565</v>
      </c>
      <c r="T13" s="27">
        <f t="shared" si="29"/>
        <v>59.991200261510983</v>
      </c>
      <c r="U13" s="27">
        <f t="shared" si="29"/>
        <v>61.041046266087427</v>
      </c>
      <c r="V13" s="27"/>
      <c r="W13" s="27"/>
      <c r="X13" s="27"/>
      <c r="Y13" s="27"/>
      <c r="Z13" s="27"/>
      <c r="AA13" s="27"/>
      <c r="AB13" s="27"/>
      <c r="AC13" s="27" t="e">
        <f t="shared" ref="AC13" si="30">AC8*$AM$11</f>
        <v>#REF!</v>
      </c>
    </row>
    <row r="14" spans="1:39" ht="15.75" customHeight="1" x14ac:dyDescent="0.25">
      <c r="B14" s="50" t="s">
        <v>21</v>
      </c>
      <c r="C14" s="9">
        <v>363.69</v>
      </c>
      <c r="D14" s="9">
        <v>1877.84</v>
      </c>
      <c r="E14" s="27">
        <v>1516.57</v>
      </c>
      <c r="F14" s="27">
        <v>1358.41</v>
      </c>
      <c r="G14" s="27">
        <v>689.66</v>
      </c>
      <c r="H14" s="27">
        <f>'P&amp;L'!I13</f>
        <v>320.8</v>
      </c>
      <c r="I14" s="27">
        <f>I8*$AM$12</f>
        <v>434.5376825430464</v>
      </c>
      <c r="J14" s="27">
        <f>J8*$AM$12</f>
        <v>441.05574778119205</v>
      </c>
      <c r="K14" s="27">
        <f>K8*$AM$12</f>
        <v>448.77422336736294</v>
      </c>
      <c r="L14" s="27">
        <f>L8*$AM$12</f>
        <v>456.62777227629181</v>
      </c>
      <c r="M14" s="27">
        <f t="shared" ref="M14:U14" si="31">M8*$AM$12</f>
        <v>464.61875829112699</v>
      </c>
      <c r="N14" s="27">
        <f t="shared" si="31"/>
        <v>472.74958656122175</v>
      </c>
      <c r="O14" s="27">
        <f t="shared" si="31"/>
        <v>481.02270432604314</v>
      </c>
      <c r="P14" s="27">
        <f t="shared" si="31"/>
        <v>489.44060165174892</v>
      </c>
      <c r="Q14" s="27">
        <f t="shared" si="31"/>
        <v>498.00581218065457</v>
      </c>
      <c r="R14" s="27">
        <f t="shared" si="31"/>
        <v>506.72091389381603</v>
      </c>
      <c r="S14" s="27">
        <f t="shared" si="31"/>
        <v>515.58852988695787</v>
      </c>
      <c r="T14" s="27">
        <f t="shared" si="31"/>
        <v>524.61132915997973</v>
      </c>
      <c r="U14" s="27">
        <f t="shared" si="31"/>
        <v>533.7920274202794</v>
      </c>
      <c r="V14" s="27"/>
      <c r="W14" s="27"/>
      <c r="X14" s="27"/>
      <c r="Y14" s="27"/>
      <c r="Z14" s="27"/>
      <c r="AA14" s="27"/>
      <c r="AB14" s="27"/>
      <c r="AC14" s="27" t="e">
        <f t="shared" ref="AC14" si="32">AC8*$AM$12</f>
        <v>#REF!</v>
      </c>
    </row>
    <row r="15" spans="1:39" x14ac:dyDescent="0.25">
      <c r="B15" s="44" t="s">
        <v>23</v>
      </c>
      <c r="C15" s="14">
        <f>SUM(C12:C14)</f>
        <v>2174.6799999999998</v>
      </c>
      <c r="D15" s="14">
        <f t="shared" ref="D15:AC15" si="33">SUM(D12:D14)</f>
        <v>3681.74</v>
      </c>
      <c r="E15" s="14">
        <f t="shared" si="33"/>
        <v>4382.57</v>
      </c>
      <c r="F15" s="14">
        <f t="shared" si="33"/>
        <v>3543.2200000000003</v>
      </c>
      <c r="G15" s="53">
        <f t="shared" si="33"/>
        <v>2781.9199999999996</v>
      </c>
      <c r="H15" s="53">
        <f t="shared" si="33"/>
        <v>1339.22</v>
      </c>
      <c r="I15" s="53">
        <f t="shared" si="33"/>
        <v>2004.8866541706275</v>
      </c>
      <c r="J15" s="53">
        <f t="shared" si="33"/>
        <v>2034.9599539831866</v>
      </c>
      <c r="K15" s="53">
        <f t="shared" si="33"/>
        <v>2070.5717531778923</v>
      </c>
      <c r="L15" s="53">
        <f t="shared" si="33"/>
        <v>2106.8067588585054</v>
      </c>
      <c r="M15" s="53">
        <f t="shared" ref="M15:U15" si="34">SUM(M12:M14)</f>
        <v>2143.6758771385298</v>
      </c>
      <c r="N15" s="53">
        <f t="shared" si="34"/>
        <v>2181.1902049884538</v>
      </c>
      <c r="O15" s="53">
        <f t="shared" si="34"/>
        <v>2219.3610335757521</v>
      </c>
      <c r="P15" s="53">
        <f t="shared" si="34"/>
        <v>2258.199851663328</v>
      </c>
      <c r="Q15" s="53">
        <f t="shared" si="34"/>
        <v>2297.7183490674365</v>
      </c>
      <c r="R15" s="53">
        <f t="shared" si="34"/>
        <v>2337.9284201761166</v>
      </c>
      <c r="S15" s="53">
        <f t="shared" si="34"/>
        <v>2378.8421675291988</v>
      </c>
      <c r="T15" s="53">
        <f t="shared" si="34"/>
        <v>2420.4719054609604</v>
      </c>
      <c r="U15" s="53">
        <f t="shared" si="34"/>
        <v>2462.8301638065273</v>
      </c>
      <c r="V15" s="53"/>
      <c r="W15" s="53"/>
      <c r="X15" s="53"/>
      <c r="Y15" s="53"/>
      <c r="Z15" s="53"/>
      <c r="AA15" s="53"/>
      <c r="AB15" s="53"/>
      <c r="AC15" s="53" t="e">
        <f t="shared" si="33"/>
        <v>#REF!</v>
      </c>
    </row>
    <row r="16" spans="1:39" x14ac:dyDescent="0.25">
      <c r="B16" s="44" t="s">
        <v>121</v>
      </c>
      <c r="C16" s="14">
        <f>C10-C15</f>
        <v>630.38000000000011</v>
      </c>
      <c r="D16" s="14">
        <f>D10-D15</f>
        <v>219.17000000000007</v>
      </c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AC16" si="35">H10-H15</f>
        <v>1561.8100000000002</v>
      </c>
      <c r="I16" s="53">
        <f t="shared" si="35"/>
        <v>871.71759776522276</v>
      </c>
      <c r="J16" s="53">
        <f t="shared" si="35"/>
        <v>884.79336173170122</v>
      </c>
      <c r="K16" s="53">
        <f t="shared" si="35"/>
        <v>900.2772455620061</v>
      </c>
      <c r="L16" s="53">
        <f t="shared" si="35"/>
        <v>916.03209735934161</v>
      </c>
      <c r="M16" s="53">
        <f t="shared" ref="M16:U16" si="36">M10-M15</f>
        <v>932.06265906313001</v>
      </c>
      <c r="N16" s="53">
        <f t="shared" si="36"/>
        <v>948.37375559673501</v>
      </c>
      <c r="O16" s="53">
        <f t="shared" si="36"/>
        <v>964.9702963196778</v>
      </c>
      <c r="P16" s="53">
        <f t="shared" si="36"/>
        <v>981.85727650527224</v>
      </c>
      <c r="Q16" s="53">
        <f t="shared" si="36"/>
        <v>999.03977884411415</v>
      </c>
      <c r="R16" s="53">
        <f t="shared" si="36"/>
        <v>1016.5229749738864</v>
      </c>
      <c r="S16" s="53">
        <f t="shared" si="36"/>
        <v>1034.3121270359297</v>
      </c>
      <c r="T16" s="53">
        <f t="shared" si="36"/>
        <v>1052.4125892590582</v>
      </c>
      <c r="U16" s="53">
        <f t="shared" si="36"/>
        <v>1070.829809571092</v>
      </c>
      <c r="V16" s="53"/>
      <c r="W16" s="53"/>
      <c r="X16" s="53"/>
      <c r="Y16" s="53"/>
      <c r="Z16" s="53"/>
      <c r="AA16" s="53"/>
      <c r="AB16" s="53"/>
      <c r="AC16" s="53" t="e">
        <f t="shared" si="35"/>
        <v>#REF!</v>
      </c>
    </row>
    <row r="17" spans="2:29" x14ac:dyDescent="0.25">
      <c r="B17" s="64" t="s">
        <v>22</v>
      </c>
      <c r="C17" s="9">
        <v>518.82000000000005</v>
      </c>
      <c r="D17" s="9">
        <v>697.91</v>
      </c>
      <c r="E17" s="27">
        <v>695.21</v>
      </c>
      <c r="F17" s="27">
        <v>679.41</v>
      </c>
      <c r="G17" s="27">
        <v>672.38</v>
      </c>
      <c r="H17" s="27">
        <f>Depreciation!C6</f>
        <v>0</v>
      </c>
      <c r="I17" s="27">
        <f>Depreciation!D6</f>
        <v>585.52756678604112</v>
      </c>
      <c r="J17" s="27">
        <f>Depreciation!E6</f>
        <v>555.22096429636542</v>
      </c>
      <c r="K17" s="27">
        <f>Depreciation!F6</f>
        <v>526.48301579766883</v>
      </c>
      <c r="L17" s="27">
        <f>Depreciation!G6</f>
        <v>499.23252857479122</v>
      </c>
      <c r="M17" s="27">
        <f>Depreciation!H6</f>
        <v>473.39251240530388</v>
      </c>
      <c r="N17" s="27">
        <f>Depreciation!I6</f>
        <v>448.88996204067013</v>
      </c>
      <c r="O17" s="27">
        <f>Depreciation!J6</f>
        <v>425.65565094606819</v>
      </c>
      <c r="P17" s="27">
        <f>Depreciation!K6</f>
        <v>403.62393571613347</v>
      </c>
      <c r="Q17" s="27">
        <f>Depreciation!L6</f>
        <v>382.73257061404053</v>
      </c>
      <c r="R17" s="27">
        <f>Depreciation!M6</f>
        <v>362.92253170994564</v>
      </c>
      <c r="S17" s="27">
        <f>Depreciation!N6</f>
        <v>344.13785012193222</v>
      </c>
      <c r="T17" s="27">
        <f>Depreciation!O6</f>
        <v>326.32545388831795</v>
      </c>
      <c r="U17" s="27">
        <f>Depreciation!P6</f>
        <v>309.43501802456962</v>
      </c>
      <c r="V17" s="27"/>
      <c r="W17" s="27"/>
      <c r="X17" s="27"/>
      <c r="Y17" s="27"/>
      <c r="Z17" s="27"/>
      <c r="AA17" s="27"/>
      <c r="AB17" s="27"/>
      <c r="AC17" s="27">
        <f>L17</f>
        <v>499.23252857479122</v>
      </c>
    </row>
    <row r="18" spans="2:29" x14ac:dyDescent="0.25">
      <c r="B18" s="110" t="s">
        <v>122</v>
      </c>
      <c r="C18" s="14">
        <f>C16-C17</f>
        <v>111.56000000000006</v>
      </c>
      <c r="D18" s="14">
        <f t="shared" ref="D18:AC18" si="37">D16-D17</f>
        <v>-478.7399999999999</v>
      </c>
      <c r="E18" s="14">
        <f t="shared" si="37"/>
        <v>-307.06999999999971</v>
      </c>
      <c r="F18" s="14">
        <f t="shared" si="37"/>
        <v>289.21999999999923</v>
      </c>
      <c r="G18" s="53">
        <f t="shared" si="37"/>
        <v>818.03000000000031</v>
      </c>
      <c r="H18" s="107">
        <f t="shared" si="37"/>
        <v>1561.8100000000002</v>
      </c>
      <c r="I18" s="107">
        <f t="shared" si="37"/>
        <v>286.19003097918164</v>
      </c>
      <c r="J18" s="107">
        <f t="shared" si="37"/>
        <v>329.5723974353358</v>
      </c>
      <c r="K18" s="107">
        <f t="shared" si="37"/>
        <v>373.79422976433727</v>
      </c>
      <c r="L18" s="107">
        <f t="shared" si="37"/>
        <v>416.79956878455039</v>
      </c>
      <c r="M18" s="107">
        <f t="shared" ref="M18:U18" si="38">M16-M17</f>
        <v>458.67014665782614</v>
      </c>
      <c r="N18" s="107">
        <f t="shared" si="38"/>
        <v>499.48379355606488</v>
      </c>
      <c r="O18" s="107">
        <f t="shared" si="38"/>
        <v>539.31464537360966</v>
      </c>
      <c r="P18" s="107">
        <f t="shared" si="38"/>
        <v>578.23334078913877</v>
      </c>
      <c r="Q18" s="107">
        <f t="shared" si="38"/>
        <v>616.30720823007368</v>
      </c>
      <c r="R18" s="107">
        <f t="shared" si="38"/>
        <v>653.60044326394086</v>
      </c>
      <c r="S18" s="107">
        <f t="shared" si="38"/>
        <v>690.17427691399757</v>
      </c>
      <c r="T18" s="107">
        <f t="shared" si="38"/>
        <v>726.08713537074027</v>
      </c>
      <c r="U18" s="107">
        <f t="shared" si="38"/>
        <v>761.39479154652236</v>
      </c>
      <c r="V18" s="107"/>
      <c r="W18" s="107"/>
      <c r="X18" s="107"/>
      <c r="Y18" s="107"/>
      <c r="Z18" s="107"/>
      <c r="AA18" s="107"/>
      <c r="AB18" s="107"/>
      <c r="AC18" s="107" t="e">
        <f t="shared" si="37"/>
        <v>#REF!</v>
      </c>
    </row>
    <row r="19" spans="2:29" x14ac:dyDescent="0.25">
      <c r="B19" s="111" t="s">
        <v>185</v>
      </c>
      <c r="H19" s="61">
        <v>0.29120000000000001</v>
      </c>
      <c r="I19" s="61">
        <v>0.29120000000000001</v>
      </c>
      <c r="J19" s="61">
        <v>0.29120000000000001</v>
      </c>
      <c r="K19" s="61">
        <v>0.29120000000000001</v>
      </c>
      <c r="L19" s="61">
        <v>0.29120000000000001</v>
      </c>
      <c r="M19" s="61">
        <v>0.29120000000000001</v>
      </c>
      <c r="N19" s="61">
        <v>0.29120000000000001</v>
      </c>
      <c r="O19" s="61">
        <v>0.29120000000000001</v>
      </c>
      <c r="P19" s="61">
        <v>0.29120000000000001</v>
      </c>
      <c r="Q19" s="61">
        <v>0.29120000000000001</v>
      </c>
      <c r="R19" s="61">
        <v>0.29120000000000001</v>
      </c>
      <c r="S19" s="61">
        <v>0.29120000000000001</v>
      </c>
      <c r="T19" s="61">
        <v>0.29120000000000001</v>
      </c>
      <c r="U19" s="61">
        <v>0.29120000000000001</v>
      </c>
      <c r="V19" s="61"/>
      <c r="W19" s="61"/>
      <c r="X19" s="61"/>
      <c r="Y19" s="61"/>
      <c r="Z19" s="61"/>
      <c r="AA19" s="61"/>
      <c r="AB19" s="61"/>
      <c r="AC19" s="61">
        <v>0.29120000000000001</v>
      </c>
    </row>
    <row r="20" spans="2:29" x14ac:dyDescent="0.25">
      <c r="B20" s="111" t="s">
        <v>186</v>
      </c>
      <c r="H20" s="97">
        <f>1-H19</f>
        <v>0.70879999999999999</v>
      </c>
      <c r="I20" s="97">
        <f t="shared" ref="I20:AC20" si="39">1-I19</f>
        <v>0.70879999999999999</v>
      </c>
      <c r="J20" s="97">
        <f t="shared" si="39"/>
        <v>0.70879999999999999</v>
      </c>
      <c r="K20" s="97">
        <f t="shared" si="39"/>
        <v>0.70879999999999999</v>
      </c>
      <c r="L20" s="97">
        <f t="shared" si="39"/>
        <v>0.70879999999999999</v>
      </c>
      <c r="M20" s="97">
        <f t="shared" ref="M20:U20" si="40">1-M19</f>
        <v>0.70879999999999999</v>
      </c>
      <c r="N20" s="97">
        <f t="shared" si="40"/>
        <v>0.70879999999999999</v>
      </c>
      <c r="O20" s="97">
        <f t="shared" si="40"/>
        <v>0.70879999999999999</v>
      </c>
      <c r="P20" s="97">
        <f t="shared" si="40"/>
        <v>0.70879999999999999</v>
      </c>
      <c r="Q20" s="97">
        <f t="shared" si="40"/>
        <v>0.70879999999999999</v>
      </c>
      <c r="R20" s="97">
        <f t="shared" si="40"/>
        <v>0.70879999999999999</v>
      </c>
      <c r="S20" s="97">
        <f t="shared" si="40"/>
        <v>0.70879999999999999</v>
      </c>
      <c r="T20" s="97">
        <f t="shared" si="40"/>
        <v>0.70879999999999999</v>
      </c>
      <c r="U20" s="97">
        <f t="shared" si="40"/>
        <v>0.70879999999999999</v>
      </c>
      <c r="V20" s="97"/>
      <c r="W20" s="97"/>
      <c r="X20" s="97"/>
      <c r="Y20" s="97"/>
      <c r="Z20" s="97"/>
      <c r="AA20" s="97"/>
      <c r="AB20" s="97"/>
      <c r="AC20" s="97">
        <f t="shared" si="39"/>
        <v>0.70879999999999999</v>
      </c>
    </row>
    <row r="21" spans="2:29" x14ac:dyDescent="0.25">
      <c r="B21" s="112" t="s">
        <v>187</v>
      </c>
      <c r="H21" s="27">
        <f>H18*H20</f>
        <v>1107.0109280000001</v>
      </c>
      <c r="I21" s="27">
        <f t="shared" ref="I21:AC21" si="41">I18*I20</f>
        <v>202.85149395804393</v>
      </c>
      <c r="J21" s="27">
        <f t="shared" si="41"/>
        <v>233.60091530216602</v>
      </c>
      <c r="K21" s="27">
        <f t="shared" si="41"/>
        <v>264.94535005696224</v>
      </c>
      <c r="L21" s="27">
        <f t="shared" si="41"/>
        <v>295.4275343544893</v>
      </c>
      <c r="M21" s="27">
        <f t="shared" ref="M21:U21" si="42">M18*M20</f>
        <v>325.10539995106717</v>
      </c>
      <c r="N21" s="27">
        <f t="shared" si="42"/>
        <v>354.0341128725388</v>
      </c>
      <c r="O21" s="27">
        <f t="shared" si="42"/>
        <v>382.26622064081454</v>
      </c>
      <c r="P21" s="27">
        <f t="shared" si="42"/>
        <v>409.85179195134157</v>
      </c>
      <c r="Q21" s="27">
        <f t="shared" si="42"/>
        <v>436.83854919347624</v>
      </c>
      <c r="R21" s="27">
        <f t="shared" si="42"/>
        <v>463.27199418548128</v>
      </c>
      <c r="S21" s="27">
        <f t="shared" si="42"/>
        <v>489.19552747664147</v>
      </c>
      <c r="T21" s="27">
        <f t="shared" si="42"/>
        <v>514.65056155078071</v>
      </c>
      <c r="U21" s="27">
        <f t="shared" si="42"/>
        <v>539.67662824817501</v>
      </c>
      <c r="V21" s="27"/>
      <c r="W21" s="27"/>
      <c r="X21" s="27"/>
      <c r="Y21" s="27"/>
      <c r="Z21" s="27"/>
      <c r="AA21" s="27"/>
      <c r="AB21" s="27"/>
      <c r="AC21" s="27" t="e">
        <f t="shared" si="41"/>
        <v>#REF!</v>
      </c>
    </row>
    <row r="22" spans="2:29" x14ac:dyDescent="0.25">
      <c r="B22" s="111" t="s">
        <v>188</v>
      </c>
      <c r="H22" s="27">
        <f>H17</f>
        <v>0</v>
      </c>
      <c r="I22" s="27">
        <f t="shared" ref="I22:AC22" si="43">I17</f>
        <v>585.52756678604112</v>
      </c>
      <c r="J22" s="27">
        <f t="shared" si="43"/>
        <v>555.22096429636542</v>
      </c>
      <c r="K22" s="27">
        <f t="shared" si="43"/>
        <v>526.48301579766883</v>
      </c>
      <c r="L22" s="27">
        <f t="shared" si="43"/>
        <v>499.23252857479122</v>
      </c>
      <c r="M22" s="27">
        <f t="shared" ref="M22:U22" si="44">M17</f>
        <v>473.39251240530388</v>
      </c>
      <c r="N22" s="27">
        <f t="shared" si="44"/>
        <v>448.88996204067013</v>
      </c>
      <c r="O22" s="27">
        <f t="shared" si="44"/>
        <v>425.65565094606819</v>
      </c>
      <c r="P22" s="27">
        <f t="shared" si="44"/>
        <v>403.62393571613347</v>
      </c>
      <c r="Q22" s="27">
        <f t="shared" si="44"/>
        <v>382.73257061404053</v>
      </c>
      <c r="R22" s="27">
        <f t="shared" si="44"/>
        <v>362.92253170994564</v>
      </c>
      <c r="S22" s="27">
        <f t="shared" si="44"/>
        <v>344.13785012193222</v>
      </c>
      <c r="T22" s="27">
        <f t="shared" si="44"/>
        <v>326.32545388831795</v>
      </c>
      <c r="U22" s="27">
        <f t="shared" si="44"/>
        <v>309.43501802456962</v>
      </c>
      <c r="V22" s="27"/>
      <c r="W22" s="27"/>
      <c r="X22" s="27"/>
      <c r="Y22" s="27"/>
      <c r="Z22" s="27"/>
      <c r="AA22" s="27"/>
      <c r="AB22" s="27"/>
      <c r="AC22" s="27">
        <f t="shared" si="43"/>
        <v>499.23252857479122</v>
      </c>
    </row>
    <row r="23" spans="2:29" x14ac:dyDescent="0.25">
      <c r="B23" s="111" t="s">
        <v>189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/>
      <c r="W23" s="27"/>
      <c r="X23" s="27"/>
      <c r="Y23" s="27"/>
      <c r="Z23" s="27"/>
      <c r="AA23" s="27"/>
      <c r="AB23" s="27"/>
      <c r="AC23" s="27">
        <v>0</v>
      </c>
    </row>
    <row r="24" spans="2:29" ht="15" customHeight="1" x14ac:dyDescent="0.25">
      <c r="B24" s="111" t="s">
        <v>190</v>
      </c>
      <c r="H24" s="27">
        <v>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  <c r="N24" s="27">
        <f t="shared" ref="N24:U24" si="45">M24</f>
        <v>0</v>
      </c>
      <c r="O24" s="27">
        <f t="shared" si="45"/>
        <v>0</v>
      </c>
      <c r="P24" s="27">
        <f t="shared" si="45"/>
        <v>0</v>
      </c>
      <c r="Q24" s="27">
        <f t="shared" si="45"/>
        <v>0</v>
      </c>
      <c r="R24" s="27">
        <f t="shared" si="45"/>
        <v>0</v>
      </c>
      <c r="S24" s="27">
        <f t="shared" si="45"/>
        <v>0</v>
      </c>
      <c r="T24" s="27">
        <f t="shared" si="45"/>
        <v>0</v>
      </c>
      <c r="U24" s="27">
        <f t="shared" si="45"/>
        <v>0</v>
      </c>
      <c r="V24" s="27"/>
      <c r="W24" s="27"/>
      <c r="X24" s="27"/>
      <c r="Y24" s="27"/>
      <c r="Z24" s="27"/>
      <c r="AA24" s="27"/>
      <c r="AB24" s="27"/>
      <c r="AC24" s="27">
        <v>0</v>
      </c>
    </row>
    <row r="25" spans="2:29" x14ac:dyDescent="0.25">
      <c r="B25" s="113" t="s">
        <v>191</v>
      </c>
      <c r="H25" s="27">
        <f t="shared" ref="H25:I25" si="46">H21+H22-H23-H24</f>
        <v>1107.0109280000001</v>
      </c>
      <c r="I25" s="27">
        <f t="shared" si="46"/>
        <v>788.37906074408511</v>
      </c>
      <c r="J25" s="27">
        <f>J21+J22-J23-J24</f>
        <v>788.8218795985315</v>
      </c>
      <c r="K25" s="27">
        <f>K21+K22-K23-K24</f>
        <v>-234.57163414536899</v>
      </c>
      <c r="L25" s="27">
        <f>L21+L22-L23-L24</f>
        <v>-231.33993707071954</v>
      </c>
      <c r="M25" s="27">
        <f t="shared" ref="M25:U25" si="47">M21+M22-M23-M24</f>
        <v>798.49791235637099</v>
      </c>
      <c r="N25" s="27">
        <f t="shared" si="47"/>
        <v>802.92407491320887</v>
      </c>
      <c r="O25" s="27">
        <f t="shared" si="47"/>
        <v>807.92187158688273</v>
      </c>
      <c r="P25" s="27">
        <f t="shared" si="47"/>
        <v>813.47572766747498</v>
      </c>
      <c r="Q25" s="27">
        <f t="shared" si="47"/>
        <v>819.57111980751677</v>
      </c>
      <c r="R25" s="27">
        <f t="shared" si="47"/>
        <v>826.19452589542698</v>
      </c>
      <c r="S25" s="27">
        <f t="shared" si="47"/>
        <v>833.33337759857363</v>
      </c>
      <c r="T25" s="27">
        <f t="shared" si="47"/>
        <v>840.97601543909866</v>
      </c>
      <c r="U25" s="27">
        <f t="shared" si="47"/>
        <v>849.11164627274457</v>
      </c>
      <c r="V25" s="27"/>
      <c r="W25" s="27"/>
      <c r="X25" s="27"/>
      <c r="Y25" s="27"/>
      <c r="Z25" s="27"/>
      <c r="AA25" s="27"/>
      <c r="AB25" s="27"/>
      <c r="AC25" s="27" t="e">
        <f>AC21+AC22-AC23-AC24</f>
        <v>#REF!</v>
      </c>
    </row>
    <row r="26" spans="2:29" x14ac:dyDescent="0.25">
      <c r="B26" s="113" t="s">
        <v>237</v>
      </c>
      <c r="H26" s="27" t="e">
        <f>H25*#REF!</f>
        <v>#REF!</v>
      </c>
      <c r="I26" s="27">
        <f>I25</f>
        <v>788.37906074408511</v>
      </c>
      <c r="J26" s="27">
        <f t="shared" ref="J26:AC26" si="48">J25</f>
        <v>788.8218795985315</v>
      </c>
      <c r="K26" s="27">
        <f t="shared" si="48"/>
        <v>-234.57163414536899</v>
      </c>
      <c r="L26" s="27">
        <f t="shared" si="48"/>
        <v>-231.33993707071954</v>
      </c>
      <c r="M26" s="27">
        <f t="shared" ref="M26:U26" si="49">M25</f>
        <v>798.49791235637099</v>
      </c>
      <c r="N26" s="27">
        <f t="shared" si="49"/>
        <v>802.92407491320887</v>
      </c>
      <c r="O26" s="27">
        <f t="shared" si="49"/>
        <v>807.92187158688273</v>
      </c>
      <c r="P26" s="27">
        <f t="shared" si="49"/>
        <v>813.47572766747498</v>
      </c>
      <c r="Q26" s="27">
        <f t="shared" si="49"/>
        <v>819.57111980751677</v>
      </c>
      <c r="R26" s="27">
        <f t="shared" si="49"/>
        <v>826.19452589542698</v>
      </c>
      <c r="S26" s="27">
        <f t="shared" si="49"/>
        <v>833.33337759857363</v>
      </c>
      <c r="T26" s="27">
        <f t="shared" si="49"/>
        <v>840.97601543909866</v>
      </c>
      <c r="U26" s="27">
        <f t="shared" si="49"/>
        <v>849.11164627274457</v>
      </c>
      <c r="V26" s="27"/>
      <c r="W26" s="27"/>
      <c r="X26" s="27"/>
      <c r="Y26" s="27"/>
      <c r="Z26" s="27"/>
      <c r="AA26" s="27"/>
      <c r="AB26" s="27"/>
      <c r="AC26" s="27" t="e">
        <f t="shared" si="48"/>
        <v>#REF!</v>
      </c>
    </row>
    <row r="30" spans="2:29" x14ac:dyDescent="0.25">
      <c r="B30" s="79" t="s">
        <v>242</v>
      </c>
    </row>
    <row r="31" spans="2:29" x14ac:dyDescent="0.25">
      <c r="B31" t="s">
        <v>243</v>
      </c>
      <c r="I31" t="s">
        <v>244</v>
      </c>
    </row>
    <row r="32" spans="2:29" x14ac:dyDescent="0.25">
      <c r="B32" t="s">
        <v>245</v>
      </c>
      <c r="I32" t="s">
        <v>246</v>
      </c>
    </row>
    <row r="33" spans="2:10" x14ac:dyDescent="0.25">
      <c r="B33">
        <v>2024</v>
      </c>
      <c r="I33" s="93">
        <v>1393.0830284314729</v>
      </c>
    </row>
    <row r="34" spans="2:10" x14ac:dyDescent="0.25">
      <c r="B34">
        <v>2025</v>
      </c>
      <c r="I34" s="93">
        <v>1402.5737105099615</v>
      </c>
      <c r="J34" s="93">
        <f>I34+I33</f>
        <v>2795.6567389414345</v>
      </c>
    </row>
    <row r="35" spans="2:10" x14ac:dyDescent="0.25">
      <c r="B35">
        <v>2026</v>
      </c>
      <c r="I35" s="93">
        <v>389.90163358630639</v>
      </c>
      <c r="J35" s="93">
        <f>J34+I35</f>
        <v>3185.5583725277411</v>
      </c>
    </row>
    <row r="36" spans="2:10" x14ac:dyDescent="0.25">
      <c r="B36">
        <v>2027</v>
      </c>
      <c r="I36" s="93">
        <v>404.04533653993963</v>
      </c>
      <c r="J36" s="93">
        <f t="shared" ref="J36:J45" si="50">J35+I36</f>
        <v>3589.6037090676809</v>
      </c>
    </row>
    <row r="37" spans="2:10" x14ac:dyDescent="0.25">
      <c r="B37">
        <v>2028</v>
      </c>
      <c r="I37" s="93">
        <v>1444.9888422654656</v>
      </c>
      <c r="J37" s="93">
        <f t="shared" si="50"/>
        <v>5034.5925513331467</v>
      </c>
    </row>
    <row r="38" spans="2:10" x14ac:dyDescent="0.25">
      <c r="B38">
        <v>2029</v>
      </c>
      <c r="I38" s="93">
        <v>1460.7174652076067</v>
      </c>
      <c r="J38" s="93">
        <f t="shared" si="50"/>
        <v>6495.3100165407532</v>
      </c>
    </row>
    <row r="39" spans="2:10" x14ac:dyDescent="0.25">
      <c r="B39">
        <v>2030</v>
      </c>
      <c r="I39" s="93">
        <v>1477.2177523684563</v>
      </c>
      <c r="J39" s="93">
        <f t="shared" si="50"/>
        <v>7972.527768909209</v>
      </c>
    </row>
    <row r="40" spans="2:10" x14ac:dyDescent="0.25">
      <c r="B40">
        <v>2031</v>
      </c>
      <c r="I40" s="93">
        <v>1494.4774275198283</v>
      </c>
      <c r="J40" s="169">
        <f t="shared" si="50"/>
        <v>9467.0051964290378</v>
      </c>
    </row>
    <row r="41" spans="2:10" x14ac:dyDescent="0.25">
      <c r="B41">
        <v>2032</v>
      </c>
      <c r="I41" s="93">
        <v>1512.4853384567562</v>
      </c>
      <c r="J41" s="93">
        <f t="shared" si="50"/>
        <v>10979.490534885794</v>
      </c>
    </row>
    <row r="42" spans="2:10" x14ac:dyDescent="0.25">
      <c r="B42">
        <v>2033</v>
      </c>
      <c r="I42" s="93">
        <v>1531.2314071367064</v>
      </c>
      <c r="J42" s="93">
        <f t="shared" si="50"/>
        <v>12510.721942022501</v>
      </c>
    </row>
    <row r="43" spans="2:10" x14ac:dyDescent="0.25">
      <c r="B43">
        <v>2034</v>
      </c>
      <c r="I43" s="93">
        <v>1550.7065825572056</v>
      </c>
      <c r="J43" s="93">
        <f t="shared" si="50"/>
        <v>14061.428524579707</v>
      </c>
    </row>
    <row r="44" spans="2:10" x14ac:dyDescent="0.25">
      <c r="B44">
        <v>2035</v>
      </c>
      <c r="I44" s="93">
        <v>1570.9027962322825</v>
      </c>
      <c r="J44" s="93">
        <f t="shared" si="50"/>
        <v>15632.331320811991</v>
      </c>
    </row>
    <row r="45" spans="2:10" x14ac:dyDescent="0.25">
      <c r="B45">
        <v>2036</v>
      </c>
      <c r="I45" s="93">
        <v>1591.8129201353986</v>
      </c>
      <c r="J45" s="93">
        <f t="shared" si="50"/>
        <v>17224.144240947389</v>
      </c>
    </row>
  </sheetData>
  <mergeCells count="3">
    <mergeCell ref="B2:AC2"/>
    <mergeCell ref="B4:G4"/>
    <mergeCell ref="AC6:A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Y34"/>
  <sheetViews>
    <sheetView showGridLines="0" topLeftCell="A47" workbookViewId="0">
      <selection activeCell="K32" sqref="K32"/>
    </sheetView>
  </sheetViews>
  <sheetFormatPr defaultRowHeight="15" x14ac:dyDescent="0.25"/>
  <cols>
    <col min="1" max="1" width="5.42578125" customWidth="1"/>
    <col min="2" max="2" width="36.42578125" customWidth="1"/>
    <col min="3" max="7" width="9.28515625" bestFit="1" customWidth="1"/>
    <col min="8" max="8" width="9.28515625" customWidth="1"/>
    <col min="9" max="10" width="8.85546875" customWidth="1"/>
    <col min="11" max="11" width="30.140625" customWidth="1"/>
  </cols>
  <sheetData>
    <row r="1" spans="1:19" x14ac:dyDescent="0.25">
      <c r="A1" s="2"/>
      <c r="B1" s="2"/>
      <c r="C1" s="2"/>
      <c r="D1" s="2"/>
      <c r="E1" s="2"/>
      <c r="F1" s="2"/>
      <c r="G1" s="2"/>
      <c r="H1" s="2"/>
    </row>
    <row r="2" spans="1:19" x14ac:dyDescent="0.25">
      <c r="A2" s="2"/>
      <c r="B2" s="1" t="s">
        <v>99</v>
      </c>
      <c r="C2" s="1"/>
      <c r="D2" s="1"/>
      <c r="E2" s="1"/>
      <c r="F2" s="1"/>
      <c r="G2" s="1"/>
      <c r="H2" s="1"/>
    </row>
    <row r="3" spans="1:19" x14ac:dyDescent="0.25">
      <c r="A3" s="2"/>
      <c r="B3" s="2"/>
      <c r="C3" s="2"/>
      <c r="D3" s="2"/>
      <c r="E3" s="2"/>
      <c r="F3" s="2"/>
      <c r="G3" s="2"/>
      <c r="H3" s="2"/>
    </row>
    <row r="4" spans="1:19" x14ac:dyDescent="0.25">
      <c r="A4" s="2"/>
      <c r="B4" s="179" t="s">
        <v>107</v>
      </c>
      <c r="C4" s="179"/>
      <c r="D4" s="179"/>
      <c r="E4" s="179"/>
      <c r="F4" s="179"/>
      <c r="G4" s="179"/>
      <c r="H4" s="55"/>
    </row>
    <row r="5" spans="1:19" x14ac:dyDescent="0.25">
      <c r="A5" s="2"/>
      <c r="B5" s="2"/>
      <c r="C5" s="2"/>
      <c r="D5" s="2"/>
      <c r="E5" s="2"/>
      <c r="F5" s="2"/>
      <c r="G5" s="2"/>
      <c r="H5" s="2"/>
    </row>
    <row r="6" spans="1:19" ht="30" x14ac:dyDescent="0.25">
      <c r="B6" s="3" t="s">
        <v>41</v>
      </c>
      <c r="C6" s="51">
        <v>2018</v>
      </c>
      <c r="D6" s="51">
        <f>C6+1</f>
        <v>2019</v>
      </c>
      <c r="E6" s="51">
        <f t="shared" ref="E6:H6" si="0">D6+1</f>
        <v>2020</v>
      </c>
      <c r="F6" s="51">
        <f t="shared" si="0"/>
        <v>2021</v>
      </c>
      <c r="G6" s="52">
        <f t="shared" si="0"/>
        <v>2022</v>
      </c>
      <c r="H6" s="52">
        <f t="shared" si="0"/>
        <v>2023</v>
      </c>
      <c r="I6" s="125" t="s">
        <v>247</v>
      </c>
    </row>
    <row r="7" spans="1:19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H7" s="27">
        <v>5116.1899999999996</v>
      </c>
      <c r="I7" s="27">
        <v>2694.21</v>
      </c>
    </row>
    <row r="8" spans="1:19" x14ac:dyDescent="0.25">
      <c r="B8" s="15" t="s">
        <v>124</v>
      </c>
      <c r="C8" s="9">
        <v>58.33</v>
      </c>
      <c r="D8" s="9">
        <v>226.46</v>
      </c>
      <c r="E8" s="27">
        <v>343.65</v>
      </c>
      <c r="F8" s="27">
        <v>236.16</v>
      </c>
      <c r="G8" s="27">
        <v>79.78</v>
      </c>
      <c r="H8" s="27">
        <v>650.97</v>
      </c>
      <c r="I8" s="98">
        <v>206.82</v>
      </c>
    </row>
    <row r="9" spans="1:19" x14ac:dyDescent="0.25">
      <c r="B9" s="44" t="s">
        <v>125</v>
      </c>
      <c r="C9" s="14">
        <f>SUM(C7:C8)</f>
        <v>2805.06</v>
      </c>
      <c r="D9" s="14">
        <f t="shared" ref="D9:G9" si="1">SUM(D7:D8)</f>
        <v>3900.91</v>
      </c>
      <c r="E9" s="36">
        <f t="shared" si="1"/>
        <v>4770.71</v>
      </c>
      <c r="F9" s="36">
        <f t="shared" si="1"/>
        <v>4511.8499999999995</v>
      </c>
      <c r="G9" s="36">
        <f t="shared" si="1"/>
        <v>4272.33</v>
      </c>
      <c r="H9" s="36">
        <f t="shared" ref="H9:I9" si="2">SUM(H7:H8)</f>
        <v>5767.16</v>
      </c>
      <c r="I9" s="36">
        <f t="shared" si="2"/>
        <v>2901.03</v>
      </c>
      <c r="K9" s="124" t="s">
        <v>41</v>
      </c>
      <c r="L9" s="125">
        <v>2018</v>
      </c>
      <c r="M9" s="125">
        <f>L9+1</f>
        <v>2019</v>
      </c>
      <c r="N9" s="125">
        <f t="shared" ref="N9" si="3">M9+1</f>
        <v>2020</v>
      </c>
      <c r="O9" s="125">
        <f t="shared" ref="O9" si="4">N9+1</f>
        <v>2021</v>
      </c>
      <c r="P9" s="125">
        <f t="shared" ref="P9" si="5">O9+1</f>
        <v>2022</v>
      </c>
      <c r="Q9" s="166">
        <f>P9+1</f>
        <v>2023</v>
      </c>
    </row>
    <row r="10" spans="1:19" x14ac:dyDescent="0.25">
      <c r="B10" s="16" t="s">
        <v>126</v>
      </c>
      <c r="C10" s="9"/>
      <c r="D10" s="9"/>
      <c r="E10" s="9"/>
      <c r="F10" s="9"/>
      <c r="G10" s="54"/>
      <c r="H10" s="27"/>
      <c r="I10" s="98"/>
      <c r="K10" s="62" t="s">
        <v>124</v>
      </c>
      <c r="L10" s="61">
        <f>C8/C7</f>
        <v>2.1236160816680196E-2</v>
      </c>
      <c r="M10" s="61">
        <f>D8/D7</f>
        <v>6.1630992393419431E-2</v>
      </c>
      <c r="N10" s="61">
        <f>E8/E7</f>
        <v>7.7624879717013082E-2</v>
      </c>
      <c r="O10" s="61">
        <f>F8/F7</f>
        <v>5.523319043242144E-2</v>
      </c>
      <c r="P10" s="61">
        <f>G8/G7</f>
        <v>1.9028991902302894E-2</v>
      </c>
      <c r="Q10" s="61">
        <f t="shared" ref="Q10:R10" si="6">H8/H7</f>
        <v>0.12723726053958123</v>
      </c>
      <c r="R10" s="61">
        <f t="shared" si="6"/>
        <v>7.6764617457436499E-2</v>
      </c>
    </row>
    <row r="11" spans="1:19" x14ac:dyDescent="0.25">
      <c r="B11" s="50" t="s">
        <v>18</v>
      </c>
      <c r="C11" s="9">
        <v>1755.07</v>
      </c>
      <c r="D11" s="9">
        <v>1726.08</v>
      </c>
      <c r="E11" s="27">
        <v>2800.58</v>
      </c>
      <c r="F11" s="27">
        <v>2108.5300000000002</v>
      </c>
      <c r="G11" s="27">
        <v>2012.61</v>
      </c>
      <c r="H11" s="27">
        <v>3181.98</v>
      </c>
      <c r="I11" s="27">
        <v>977.9</v>
      </c>
      <c r="K11" s="32" t="s">
        <v>128</v>
      </c>
      <c r="L11" s="61">
        <f t="shared" ref="L11:R11" si="7">C11/C$7</f>
        <v>0.63896706265268155</v>
      </c>
      <c r="M11" s="61">
        <f t="shared" si="7"/>
        <v>0.46975193566384082</v>
      </c>
      <c r="N11" s="61">
        <f t="shared" si="7"/>
        <v>0.63260493420012376</v>
      </c>
      <c r="O11" s="61">
        <f t="shared" si="7"/>
        <v>0.49314379667375335</v>
      </c>
      <c r="P11" s="61">
        <f t="shared" si="7"/>
        <v>0.48004436440829562</v>
      </c>
      <c r="Q11" s="61">
        <f t="shared" si="7"/>
        <v>0.62194328201259141</v>
      </c>
      <c r="R11" s="61">
        <f t="shared" si="7"/>
        <v>0.36296354033278772</v>
      </c>
      <c r="S11" s="139">
        <f>AVERAGE(L11:R11)</f>
        <v>0.52848841656343915</v>
      </c>
    </row>
    <row r="12" spans="1:19" x14ac:dyDescent="0.25">
      <c r="B12" s="47" t="s">
        <v>19</v>
      </c>
      <c r="C12" s="9">
        <v>55.92</v>
      </c>
      <c r="D12" s="9">
        <v>77.819999999999993</v>
      </c>
      <c r="E12" s="27">
        <v>65.42</v>
      </c>
      <c r="F12" s="27">
        <v>76.28</v>
      </c>
      <c r="G12" s="27">
        <v>79.650000000000006</v>
      </c>
      <c r="H12" s="27">
        <v>81.209999999999994</v>
      </c>
      <c r="I12" s="98">
        <v>40.520000000000003</v>
      </c>
      <c r="K12" s="62" t="s">
        <v>19</v>
      </c>
      <c r="L12" s="61">
        <f t="shared" ref="L12:L13" si="8">C12/C$7</f>
        <v>2.0358753863685183E-2</v>
      </c>
      <c r="M12" s="61">
        <f t="shared" ref="M12:M13" si="9">D12/D$7</f>
        <v>2.1178679802419408E-2</v>
      </c>
      <c r="N12" s="61">
        <f t="shared" ref="N12:N13" si="10">E12/E$7</f>
        <v>1.4777301414482748E-2</v>
      </c>
      <c r="O12" s="61">
        <f t="shared" ref="O12:O13" si="11">F12/F$7</f>
        <v>1.7840395351393579E-2</v>
      </c>
      <c r="P12" s="61">
        <f t="shared" ref="P12:R13" si="12">G12/G$7</f>
        <v>1.8997984520160761E-2</v>
      </c>
      <c r="Q12" s="61">
        <f t="shared" si="12"/>
        <v>1.5873139973300445E-2</v>
      </c>
      <c r="R12" s="61">
        <f t="shared" si="12"/>
        <v>1.5039659120855465E-2</v>
      </c>
    </row>
    <row r="13" spans="1:19" x14ac:dyDescent="0.25">
      <c r="B13" s="50" t="s">
        <v>21</v>
      </c>
      <c r="C13" s="9">
        <v>363.69</v>
      </c>
      <c r="D13" s="9">
        <v>1877.84</v>
      </c>
      <c r="E13" s="27">
        <v>1516.57</v>
      </c>
      <c r="F13" s="27">
        <v>1358.41</v>
      </c>
      <c r="G13" s="27">
        <v>689.66</v>
      </c>
      <c r="H13" s="27">
        <v>1064.01</v>
      </c>
      <c r="I13" s="98">
        <v>320.8</v>
      </c>
      <c r="K13" s="62" t="s">
        <v>21</v>
      </c>
      <c r="L13" s="61">
        <f t="shared" si="8"/>
        <v>0.13240835466172504</v>
      </c>
      <c r="M13" s="61">
        <f t="shared" si="9"/>
        <v>0.51105335492386617</v>
      </c>
      <c r="N13" s="61">
        <f t="shared" si="10"/>
        <v>0.34256820553595385</v>
      </c>
      <c r="O13" s="61">
        <f t="shared" si="11"/>
        <v>0.31770544637239845</v>
      </c>
      <c r="P13" s="61">
        <f t="shared" si="12"/>
        <v>0.16449654744725761</v>
      </c>
      <c r="Q13" s="61">
        <f t="shared" si="12"/>
        <v>0.2079692114639996</v>
      </c>
      <c r="R13" s="61">
        <f t="shared" si="12"/>
        <v>0.119070154145371</v>
      </c>
    </row>
    <row r="14" spans="1:19" ht="30" x14ac:dyDescent="0.25">
      <c r="B14" s="13" t="s">
        <v>23</v>
      </c>
      <c r="C14" s="14">
        <f>SUM(C11:C13)</f>
        <v>2174.6799999999998</v>
      </c>
      <c r="D14" s="14">
        <f t="shared" ref="D14:G14" si="13">SUM(D11:D13)</f>
        <v>3681.74</v>
      </c>
      <c r="E14" s="14">
        <f t="shared" si="13"/>
        <v>4382.57</v>
      </c>
      <c r="F14" s="14">
        <f t="shared" si="13"/>
        <v>3543.2200000000003</v>
      </c>
      <c r="G14" s="53">
        <f t="shared" si="13"/>
        <v>2781.9199999999996</v>
      </c>
      <c r="H14" s="36">
        <f t="shared" ref="H14:I14" si="14">SUM(H11:H13)</f>
        <v>4327.2</v>
      </c>
      <c r="I14" s="36">
        <f t="shared" si="14"/>
        <v>1339.22</v>
      </c>
      <c r="K14" s="62" t="s">
        <v>22</v>
      </c>
      <c r="L14" s="61">
        <f t="shared" ref="L14:Q14" si="15">C16/C9</f>
        <v>0.18495861051100512</v>
      </c>
      <c r="M14" s="61">
        <f t="shared" si="15"/>
        <v>0.17890953649276706</v>
      </c>
      <c r="N14" s="61">
        <f t="shared" si="15"/>
        <v>0.14572464056712733</v>
      </c>
      <c r="O14" s="61">
        <f t="shared" si="15"/>
        <v>0.15058346354599556</v>
      </c>
      <c r="P14" s="61">
        <f t="shared" si="15"/>
        <v>0.15738016492171719</v>
      </c>
      <c r="Q14" s="61">
        <f t="shared" si="15"/>
        <v>0.11539995422356931</v>
      </c>
    </row>
    <row r="15" spans="1:19" x14ac:dyDescent="0.25">
      <c r="B15" s="44" t="s">
        <v>121</v>
      </c>
      <c r="C15" s="14">
        <f t="shared" ref="C15:I15" si="16">C9-C14</f>
        <v>630.38000000000011</v>
      </c>
      <c r="D15" s="14">
        <f t="shared" si="16"/>
        <v>219.17000000000007</v>
      </c>
      <c r="E15" s="14">
        <f t="shared" si="16"/>
        <v>388.14000000000033</v>
      </c>
      <c r="F15" s="14">
        <f t="shared" si="16"/>
        <v>968.6299999999992</v>
      </c>
      <c r="G15" s="53">
        <f t="shared" si="16"/>
        <v>1490.4100000000003</v>
      </c>
      <c r="H15" s="36">
        <f t="shared" si="16"/>
        <v>1439.96</v>
      </c>
      <c r="I15" s="36">
        <f t="shared" si="16"/>
        <v>1561.8100000000002</v>
      </c>
      <c r="K15" s="62" t="s">
        <v>20</v>
      </c>
      <c r="L15" s="32"/>
      <c r="M15" s="63">
        <f>D18/D7</f>
        <v>2.0895644246077646E-2</v>
      </c>
      <c r="N15" s="63">
        <f>E18/E7</f>
        <v>1.241681838511337E-2</v>
      </c>
      <c r="O15" s="63">
        <f>F18/F7</f>
        <v>8.4921965811366133E-3</v>
      </c>
      <c r="P15" s="63">
        <f>G18/G7</f>
        <v>9.2879035431897052E-3</v>
      </c>
      <c r="Q15" s="63">
        <f>H18/H7</f>
        <v>3.0581350575330474E-2</v>
      </c>
    </row>
    <row r="16" spans="1:19" ht="30" x14ac:dyDescent="0.25">
      <c r="B16" s="64" t="s">
        <v>22</v>
      </c>
      <c r="C16" s="9">
        <v>518.82000000000005</v>
      </c>
      <c r="D16" s="9">
        <v>697.91</v>
      </c>
      <c r="E16" s="27">
        <v>695.21</v>
      </c>
      <c r="F16" s="27">
        <v>679.41</v>
      </c>
      <c r="G16" s="27">
        <v>672.38</v>
      </c>
      <c r="H16" s="27">
        <v>665.53</v>
      </c>
      <c r="I16" s="98">
        <v>322.77</v>
      </c>
      <c r="K16" s="62" t="s">
        <v>207</v>
      </c>
      <c r="L16" s="104">
        <f t="shared" ref="L16:R16" si="17">C13</f>
        <v>363.69</v>
      </c>
      <c r="M16" s="104">
        <f t="shared" si="17"/>
        <v>1877.84</v>
      </c>
      <c r="N16" s="104">
        <f t="shared" si="17"/>
        <v>1516.57</v>
      </c>
      <c r="O16" s="104">
        <f t="shared" si="17"/>
        <v>1358.41</v>
      </c>
      <c r="P16" s="104">
        <f t="shared" si="17"/>
        <v>689.66</v>
      </c>
      <c r="Q16" s="104">
        <f t="shared" si="17"/>
        <v>1064.01</v>
      </c>
      <c r="R16" s="104">
        <f t="shared" si="17"/>
        <v>320.8</v>
      </c>
    </row>
    <row r="17" spans="2:25" x14ac:dyDescent="0.25">
      <c r="B17" s="44" t="s">
        <v>122</v>
      </c>
      <c r="C17" s="14">
        <f>C15-C16</f>
        <v>111.56000000000006</v>
      </c>
      <c r="D17" s="14">
        <f t="shared" ref="D17:I17" si="18">D15-D16</f>
        <v>-478.7399999999999</v>
      </c>
      <c r="E17" s="14">
        <f t="shared" si="18"/>
        <v>-307.06999999999971</v>
      </c>
      <c r="F17" s="14">
        <f t="shared" si="18"/>
        <v>289.21999999999923</v>
      </c>
      <c r="G17" s="53">
        <f t="shared" si="18"/>
        <v>818.03000000000031</v>
      </c>
      <c r="H17" s="36">
        <f t="shared" si="18"/>
        <v>774.43000000000006</v>
      </c>
      <c r="I17" s="162">
        <f t="shared" si="18"/>
        <v>1239.0400000000002</v>
      </c>
      <c r="K17" s="62" t="s">
        <v>206</v>
      </c>
      <c r="L17" s="32"/>
      <c r="M17" s="32"/>
      <c r="N17" s="95">
        <v>931.59</v>
      </c>
      <c r="O17" s="98">
        <v>798.27</v>
      </c>
      <c r="P17" s="95">
        <v>0</v>
      </c>
      <c r="Q17" s="95">
        <v>26.42</v>
      </c>
    </row>
    <row r="18" spans="2:25" x14ac:dyDescent="0.25">
      <c r="B18" s="15" t="s">
        <v>20</v>
      </c>
      <c r="C18" s="9">
        <v>1851.45</v>
      </c>
      <c r="D18" s="9">
        <v>76.78</v>
      </c>
      <c r="E18" s="27">
        <v>54.97</v>
      </c>
      <c r="F18" s="27">
        <v>36.31</v>
      </c>
      <c r="G18" s="27">
        <v>38.94</v>
      </c>
      <c r="H18" s="27">
        <v>156.46</v>
      </c>
      <c r="I18" s="98">
        <v>9.9</v>
      </c>
      <c r="K18" s="62" t="s">
        <v>205</v>
      </c>
      <c r="L18" s="104">
        <f>L16-L17</f>
        <v>363.69</v>
      </c>
      <c r="M18" s="104">
        <f t="shared" ref="M18:P18" si="19">M16-M17</f>
        <v>1877.84</v>
      </c>
      <c r="N18" s="104">
        <f t="shared" si="19"/>
        <v>584.9799999999999</v>
      </c>
      <c r="O18" s="104">
        <f t="shared" si="19"/>
        <v>560.1400000000001</v>
      </c>
      <c r="P18" s="104">
        <f t="shared" si="19"/>
        <v>689.66</v>
      </c>
      <c r="Q18" s="104">
        <f t="shared" ref="Q18:R18" si="20">Q16-Q17</f>
        <v>1037.5899999999999</v>
      </c>
      <c r="R18" s="104">
        <f t="shared" si="20"/>
        <v>320.8</v>
      </c>
    </row>
    <row r="19" spans="2:25" ht="18" customHeight="1" x14ac:dyDescent="0.25">
      <c r="B19" s="44" t="s">
        <v>66</v>
      </c>
      <c r="C19" s="14">
        <f t="shared" ref="C19:I19" si="21">C17-C18</f>
        <v>-1739.8899999999999</v>
      </c>
      <c r="D19" s="14">
        <f t="shared" si="21"/>
        <v>-555.51999999999987</v>
      </c>
      <c r="E19" s="14">
        <f t="shared" si="21"/>
        <v>-362.03999999999974</v>
      </c>
      <c r="F19" s="14">
        <f t="shared" si="21"/>
        <v>252.90999999999923</v>
      </c>
      <c r="G19" s="53">
        <f t="shared" si="21"/>
        <v>779.09000000000037</v>
      </c>
      <c r="H19" s="36">
        <f t="shared" si="21"/>
        <v>617.97</v>
      </c>
      <c r="I19" s="162">
        <f t="shared" si="21"/>
        <v>1229.1400000000001</v>
      </c>
      <c r="K19" s="62" t="s">
        <v>204</v>
      </c>
      <c r="L19" s="63">
        <f t="shared" ref="L19:R19" si="22">L18/C7</f>
        <v>0.13240835466172504</v>
      </c>
      <c r="M19" s="63">
        <f t="shared" si="22"/>
        <v>0.51105335492386617</v>
      </c>
      <c r="N19" s="63">
        <f t="shared" si="22"/>
        <v>0.13213735526511949</v>
      </c>
      <c r="O19" s="63">
        <f t="shared" si="22"/>
        <v>0.13100575579614054</v>
      </c>
      <c r="P19" s="63">
        <f t="shared" si="22"/>
        <v>0.16449654744725761</v>
      </c>
      <c r="Q19" s="63">
        <f t="shared" si="22"/>
        <v>0.20280521247256258</v>
      </c>
      <c r="R19" s="63">
        <f t="shared" si="22"/>
        <v>0.119070154145371</v>
      </c>
    </row>
    <row r="20" spans="2:25" ht="17.25" customHeight="1" x14ac:dyDescent="0.25">
      <c r="B20" s="16" t="s">
        <v>127</v>
      </c>
      <c r="C20" s="9"/>
      <c r="D20" s="9"/>
      <c r="E20" s="27"/>
      <c r="F20" s="27"/>
      <c r="G20" s="27"/>
      <c r="H20" s="27"/>
      <c r="I20" s="98"/>
    </row>
    <row r="21" spans="2:25" ht="17.25" customHeight="1" x14ac:dyDescent="0.25">
      <c r="B21" s="15" t="s">
        <v>42</v>
      </c>
      <c r="C21" s="9">
        <v>-178.74</v>
      </c>
      <c r="D21" s="9">
        <v>153.97</v>
      </c>
      <c r="E21" s="27">
        <v>162.09</v>
      </c>
      <c r="F21" s="27">
        <v>166.96</v>
      </c>
      <c r="G21" s="27">
        <v>447.67</v>
      </c>
      <c r="H21" s="27" t="s">
        <v>6</v>
      </c>
      <c r="I21" s="35" t="s">
        <v>6</v>
      </c>
    </row>
    <row r="22" spans="2:25" x14ac:dyDescent="0.25">
      <c r="B22" s="15" t="s">
        <v>241</v>
      </c>
      <c r="C22" s="9"/>
      <c r="D22" s="9"/>
      <c r="E22" s="27"/>
      <c r="F22" s="27"/>
      <c r="G22" s="27"/>
      <c r="H22" s="27"/>
      <c r="I22" s="35"/>
      <c r="Q22" s="93"/>
      <c r="R22" s="93"/>
      <c r="S22" s="93"/>
      <c r="T22" s="93"/>
      <c r="U22" s="93"/>
      <c r="V22" s="93"/>
      <c r="W22" s="93"/>
      <c r="X22" s="93"/>
      <c r="Y22" s="93"/>
    </row>
    <row r="23" spans="2:25" x14ac:dyDescent="0.25">
      <c r="B23" s="44" t="s">
        <v>24</v>
      </c>
      <c r="C23" s="14">
        <f>SUM(C21:C22)</f>
        <v>-178.74</v>
      </c>
      <c r="D23" s="14">
        <f t="shared" ref="D23:G23" si="23">SUM(D21:D22)</f>
        <v>153.97</v>
      </c>
      <c r="E23" s="14">
        <f t="shared" si="23"/>
        <v>162.09</v>
      </c>
      <c r="F23" s="14">
        <f t="shared" si="23"/>
        <v>166.96</v>
      </c>
      <c r="G23" s="14">
        <f t="shared" si="23"/>
        <v>447.67</v>
      </c>
      <c r="H23" s="14">
        <f t="shared" ref="H23:I23" si="24">SUM(H21:H22)</f>
        <v>0</v>
      </c>
      <c r="I23" s="14">
        <f t="shared" si="24"/>
        <v>0</v>
      </c>
      <c r="Q23" s="93"/>
      <c r="R23" s="93"/>
      <c r="S23" s="93"/>
    </row>
    <row r="24" spans="2:25" x14ac:dyDescent="0.25">
      <c r="B24" s="44" t="s">
        <v>43</v>
      </c>
      <c r="C24" s="14">
        <f t="shared" ref="C24:I24" si="25">C19-C23</f>
        <v>-1561.1499999999999</v>
      </c>
      <c r="D24" s="14">
        <f t="shared" si="25"/>
        <v>-709.4899999999999</v>
      </c>
      <c r="E24" s="36">
        <f t="shared" si="25"/>
        <v>-524.12999999999977</v>
      </c>
      <c r="F24" s="36">
        <f t="shared" si="25"/>
        <v>85.949999999999221</v>
      </c>
      <c r="G24" s="36">
        <f t="shared" si="25"/>
        <v>331.42000000000036</v>
      </c>
      <c r="H24" s="36">
        <f t="shared" si="25"/>
        <v>617.97</v>
      </c>
      <c r="I24" s="162">
        <f t="shared" si="25"/>
        <v>1229.1400000000001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2:25" x14ac:dyDescent="0.25">
      <c r="B25" s="16" t="s">
        <v>44</v>
      </c>
      <c r="C25" s="9"/>
      <c r="D25" s="9"/>
      <c r="E25" s="27"/>
      <c r="F25" s="27"/>
      <c r="G25" s="27"/>
      <c r="H25" s="27"/>
      <c r="I25" s="98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2:25" ht="30" x14ac:dyDescent="0.25">
      <c r="B26" s="50" t="s">
        <v>114</v>
      </c>
      <c r="C26" s="9">
        <v>-0.18</v>
      </c>
      <c r="D26" s="9">
        <v>-1.88</v>
      </c>
      <c r="E26" s="27">
        <v>-2.66</v>
      </c>
      <c r="F26" s="27">
        <v>-1.83</v>
      </c>
      <c r="G26" s="27">
        <v>3.08</v>
      </c>
      <c r="H26" s="27">
        <v>1.49</v>
      </c>
      <c r="I26" s="35" t="s">
        <v>6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2:25" ht="45" x14ac:dyDescent="0.25">
      <c r="B27" s="47" t="s">
        <v>115</v>
      </c>
      <c r="C27" s="9">
        <v>0.06</v>
      </c>
      <c r="D27" s="9">
        <v>0.66</v>
      </c>
      <c r="E27" s="27">
        <v>0.93</v>
      </c>
      <c r="F27" s="27">
        <v>0.64</v>
      </c>
      <c r="G27" s="27">
        <v>-0.77</v>
      </c>
      <c r="H27" s="27" t="s">
        <v>6</v>
      </c>
      <c r="I27" s="35" t="s">
        <v>6</v>
      </c>
    </row>
    <row r="28" spans="2:25" x14ac:dyDescent="0.25">
      <c r="B28" s="7"/>
      <c r="C28" s="12">
        <f>SUM(C26:C27)</f>
        <v>-0.12</v>
      </c>
      <c r="D28" s="12">
        <f t="shared" ref="D28:G28" si="26">SUM(D26:D27)</f>
        <v>-1.2199999999999998</v>
      </c>
      <c r="E28" s="28">
        <f t="shared" si="26"/>
        <v>-1.73</v>
      </c>
      <c r="F28" s="28">
        <f t="shared" si="26"/>
        <v>-1.19</v>
      </c>
      <c r="G28" s="28">
        <f t="shared" si="26"/>
        <v>2.31</v>
      </c>
      <c r="H28" s="28">
        <f t="shared" ref="H28:I28" si="27">SUM(H26:H27)</f>
        <v>1.49</v>
      </c>
      <c r="I28" s="163">
        <f t="shared" si="27"/>
        <v>0</v>
      </c>
    </row>
    <row r="29" spans="2:25" ht="30" x14ac:dyDescent="0.25">
      <c r="B29" s="44" t="s">
        <v>116</v>
      </c>
      <c r="C29" s="14">
        <f t="shared" ref="C29:I29" si="28">C24+C28</f>
        <v>-1561.2699999999998</v>
      </c>
      <c r="D29" s="14">
        <f t="shared" si="28"/>
        <v>-710.70999999999992</v>
      </c>
      <c r="E29" s="36">
        <f t="shared" si="28"/>
        <v>-525.85999999999979</v>
      </c>
      <c r="F29" s="36">
        <f t="shared" si="28"/>
        <v>84.759999999999224</v>
      </c>
      <c r="G29" s="36">
        <f t="shared" si="28"/>
        <v>333.73000000000036</v>
      </c>
      <c r="H29" s="36">
        <f t="shared" si="28"/>
        <v>619.46</v>
      </c>
      <c r="I29" s="162">
        <f t="shared" si="28"/>
        <v>1229.1400000000001</v>
      </c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2:25" ht="9" customHeight="1" x14ac:dyDescent="0.25"/>
    <row r="31" spans="2:25" x14ac:dyDescent="0.25">
      <c r="B31" s="32" t="s">
        <v>117</v>
      </c>
      <c r="C31" s="65">
        <f t="shared" ref="C31:I31" si="29">C15/C7</f>
        <v>0.22950198963858848</v>
      </c>
      <c r="D31" s="65">
        <f t="shared" si="29"/>
        <v>5.9647022003293033E-2</v>
      </c>
      <c r="E31" s="65">
        <f t="shared" si="29"/>
        <v>8.7674438566452739E-2</v>
      </c>
      <c r="F31" s="65">
        <f t="shared" si="29"/>
        <v>0.22654355203487608</v>
      </c>
      <c r="G31" s="65">
        <f t="shared" si="29"/>
        <v>0.35549009552658889</v>
      </c>
      <c r="H31" s="65">
        <f>H15/H7</f>
        <v>0.28145162708968979</v>
      </c>
      <c r="I31" s="65">
        <f t="shared" si="29"/>
        <v>0.5796912638584224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2:25" x14ac:dyDescent="0.25">
      <c r="B32" s="32" t="s">
        <v>118</v>
      </c>
      <c r="C32" s="65">
        <f t="shared" ref="C32:I32" si="30">C17/C7</f>
        <v>4.0615568330341918E-2</v>
      </c>
      <c r="D32" s="65">
        <f t="shared" si="30"/>
        <v>-0.13028888677216996</v>
      </c>
      <c r="E32" s="65">
        <f t="shared" si="30"/>
        <v>-6.9362059696502804E-2</v>
      </c>
      <c r="F32" s="65">
        <f t="shared" si="30"/>
        <v>6.764288337087096E-2</v>
      </c>
      <c r="G32" s="65">
        <f t="shared" si="30"/>
        <v>0.19511514472099326</v>
      </c>
      <c r="H32" s="65">
        <f t="shared" si="30"/>
        <v>0.15136849882432046</v>
      </c>
      <c r="I32" s="65">
        <f t="shared" si="30"/>
        <v>0.45988991207069985</v>
      </c>
    </row>
    <row r="33" spans="2:25" x14ac:dyDescent="0.25">
      <c r="B33" s="32" t="s">
        <v>119</v>
      </c>
      <c r="C33" s="65">
        <f t="shared" ref="C33:I33" si="31">C24/C7</f>
        <v>-0.56836674882496641</v>
      </c>
      <c r="D33" s="65">
        <f t="shared" si="31"/>
        <v>-0.19308740083549916</v>
      </c>
      <c r="E33" s="65">
        <f t="shared" si="31"/>
        <v>-0.11839234164434179</v>
      </c>
      <c r="F33" s="65">
        <f t="shared" si="31"/>
        <v>2.010201862155564E-2</v>
      </c>
      <c r="G33" s="65">
        <f t="shared" si="31"/>
        <v>7.9049742996505787E-2</v>
      </c>
      <c r="H33" s="65">
        <f t="shared" si="31"/>
        <v>0.12078714824898999</v>
      </c>
      <c r="I33" s="65">
        <f t="shared" si="31"/>
        <v>0.45621536554314623</v>
      </c>
      <c r="N33" s="106"/>
      <c r="O33" s="106"/>
      <c r="P33" s="106"/>
      <c r="Q33" s="106"/>
      <c r="R33" s="106"/>
      <c r="S33" s="106"/>
      <c r="T33" s="99"/>
      <c r="U33" s="99"/>
      <c r="V33" s="99"/>
      <c r="W33" s="99"/>
      <c r="X33" s="99"/>
      <c r="Y33" s="99"/>
    </row>
    <row r="34" spans="2:25" x14ac:dyDescent="0.25">
      <c r="B34" s="32" t="s">
        <v>120</v>
      </c>
      <c r="C34" s="32"/>
      <c r="D34" s="65">
        <f t="shared" ref="D34:H34" si="32">D7/C7-1</f>
        <v>0.33775434789731773</v>
      </c>
      <c r="E34" s="65">
        <f t="shared" si="32"/>
        <v>0.2048224904407463</v>
      </c>
      <c r="F34" s="65">
        <f t="shared" si="32"/>
        <v>-3.4191991976616709E-2</v>
      </c>
      <c r="G34" s="65">
        <f t="shared" si="32"/>
        <v>-1.9444814755045225E-2</v>
      </c>
      <c r="H34" s="65">
        <f t="shared" si="32"/>
        <v>0.22030506493661361</v>
      </c>
      <c r="I34" s="65">
        <f>I7/G7-1</f>
        <v>-0.35738154583725901</v>
      </c>
    </row>
  </sheetData>
  <mergeCells count="1">
    <mergeCell ref="B4:G4"/>
  </mergeCells>
  <pageMargins left="0.7" right="0.7" top="0.75" bottom="0.75" header="0.3" footer="0.3"/>
  <ignoredErrors>
    <ignoredError sqref="C9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B2:Q63"/>
  <sheetViews>
    <sheetView showGridLines="0" topLeftCell="I5" workbookViewId="0">
      <selection activeCell="M23" sqref="M23"/>
    </sheetView>
  </sheetViews>
  <sheetFormatPr defaultColWidth="9.140625" defaultRowHeight="15" x14ac:dyDescent="0.25"/>
  <cols>
    <col min="1" max="1" width="9.140625" style="2"/>
    <col min="2" max="2" width="47.7109375" style="2" customWidth="1"/>
    <col min="3" max="6" width="9.140625" style="2"/>
    <col min="7" max="7" width="9.140625" style="2" bestFit="1" customWidth="1"/>
    <col min="8" max="8" width="9" style="2" customWidth="1"/>
    <col min="9" max="11" width="9.140625" style="2"/>
    <col min="12" max="12" width="11.85546875" style="2" customWidth="1"/>
    <col min="13" max="13" width="9.140625" style="2"/>
    <col min="14" max="14" width="10.42578125" style="2" customWidth="1"/>
    <col min="15" max="15" width="11" style="2" bestFit="1" customWidth="1"/>
    <col min="16" max="16" width="9.140625" style="2"/>
    <col min="17" max="17" width="10.7109375" style="2" customWidth="1"/>
    <col min="18" max="16384" width="9.140625" style="2"/>
  </cols>
  <sheetData>
    <row r="2" spans="2:16" ht="18.75" customHeight="1" x14ac:dyDescent="0.25">
      <c r="B2" s="1" t="s">
        <v>99</v>
      </c>
      <c r="C2" s="1"/>
      <c r="D2" s="1"/>
      <c r="E2" s="1"/>
      <c r="F2" s="1"/>
      <c r="G2" s="1"/>
      <c r="H2" s="1"/>
      <c r="I2" s="1"/>
    </row>
    <row r="3" spans="2:16" ht="10.5" customHeight="1" x14ac:dyDescent="0.25"/>
    <row r="4" spans="2:16" ht="15" customHeight="1" x14ac:dyDescent="0.25">
      <c r="B4" s="179" t="s">
        <v>98</v>
      </c>
      <c r="C4" s="179"/>
      <c r="D4" s="179"/>
      <c r="E4" s="179"/>
      <c r="F4" s="179"/>
      <c r="G4" s="179"/>
      <c r="H4" s="55"/>
      <c r="I4" s="55"/>
    </row>
    <row r="5" spans="2:16" ht="6" customHeight="1" x14ac:dyDescent="0.25"/>
    <row r="6" spans="2:16" ht="45" x14ac:dyDescent="0.25">
      <c r="B6" s="3" t="s">
        <v>41</v>
      </c>
      <c r="C6" s="4" t="s">
        <v>45</v>
      </c>
      <c r="D6" s="5" t="s">
        <v>46</v>
      </c>
      <c r="E6" s="5" t="s">
        <v>103</v>
      </c>
      <c r="F6" s="5" t="s">
        <v>104</v>
      </c>
      <c r="G6" s="156" t="s">
        <v>105</v>
      </c>
      <c r="H6" s="156" t="s">
        <v>248</v>
      </c>
      <c r="I6" s="33" t="s">
        <v>249</v>
      </c>
    </row>
    <row r="7" spans="2:16" x14ac:dyDescent="0.25">
      <c r="B7" s="6" t="s">
        <v>47</v>
      </c>
      <c r="C7" s="7"/>
      <c r="D7" s="8"/>
      <c r="E7" s="9"/>
      <c r="F7" s="9"/>
      <c r="G7" s="39"/>
      <c r="H7" s="27"/>
      <c r="I7" s="27"/>
    </row>
    <row r="8" spans="2:16" x14ac:dyDescent="0.25">
      <c r="B8" s="7"/>
      <c r="C8" s="7"/>
      <c r="D8" s="8"/>
      <c r="E8" s="9"/>
      <c r="F8" s="9"/>
      <c r="G8" s="39"/>
      <c r="H8" s="27"/>
      <c r="I8" s="27"/>
      <c r="N8" s="2" t="s">
        <v>129</v>
      </c>
      <c r="O8" s="164">
        <f>1725837997/10^7</f>
        <v>172.58379969999999</v>
      </c>
    </row>
    <row r="9" spans="2:16" x14ac:dyDescent="0.25">
      <c r="B9" s="6" t="s">
        <v>100</v>
      </c>
      <c r="C9" s="9"/>
      <c r="D9" s="8"/>
      <c r="E9" s="9"/>
      <c r="F9" s="9"/>
      <c r="G9" s="39"/>
      <c r="H9" s="27"/>
      <c r="I9" s="27"/>
    </row>
    <row r="10" spans="2:16" x14ac:dyDescent="0.25">
      <c r="B10" s="47" t="s">
        <v>3</v>
      </c>
      <c r="C10" s="9">
        <v>14644.88</v>
      </c>
      <c r="D10" s="9">
        <v>13971.96</v>
      </c>
      <c r="E10" s="9">
        <v>13307.64</v>
      </c>
      <c r="F10" s="9">
        <v>12623.4</v>
      </c>
      <c r="G10" s="9">
        <v>11965.16</v>
      </c>
      <c r="H10" s="27">
        <v>11335.68</v>
      </c>
      <c r="I10" s="27">
        <v>11019.71</v>
      </c>
      <c r="K10" s="66">
        <f t="shared" ref="K10:P10" si="0">C10-$O$8</f>
        <v>14472.296200299999</v>
      </c>
      <c r="L10" s="66">
        <f t="shared" si="0"/>
        <v>13799.376200299999</v>
      </c>
      <c r="M10" s="66">
        <f t="shared" si="0"/>
        <v>13135.0562003</v>
      </c>
      <c r="N10" s="66">
        <f t="shared" si="0"/>
        <v>12450.8162003</v>
      </c>
      <c r="O10" s="66">
        <f t="shared" si="0"/>
        <v>11792.5762003</v>
      </c>
      <c r="P10" s="66">
        <f t="shared" si="0"/>
        <v>11163.0962003</v>
      </c>
    </row>
    <row r="11" spans="2:16" x14ac:dyDescent="0.25">
      <c r="B11" s="47" t="s">
        <v>4</v>
      </c>
      <c r="C11" s="9">
        <v>4569.07</v>
      </c>
      <c r="D11" s="9">
        <v>4571.95</v>
      </c>
      <c r="E11" s="9">
        <v>4573.8100000000004</v>
      </c>
      <c r="F11" s="9">
        <v>4573.87</v>
      </c>
      <c r="G11" s="39">
        <v>4559.66</v>
      </c>
      <c r="H11" s="27">
        <v>4554.08</v>
      </c>
      <c r="I11" s="27">
        <v>4552.7700000000004</v>
      </c>
      <c r="K11" s="66">
        <f>'P&amp;L'!C16</f>
        <v>518.82000000000005</v>
      </c>
      <c r="L11" s="66">
        <f>'P&amp;L'!D16</f>
        <v>697.91</v>
      </c>
      <c r="M11" s="66">
        <f>'P&amp;L'!E16</f>
        <v>695.21</v>
      </c>
      <c r="N11" s="66">
        <f>'P&amp;L'!F16</f>
        <v>679.41</v>
      </c>
      <c r="O11" s="66">
        <f>'P&amp;L'!G16</f>
        <v>672.38</v>
      </c>
      <c r="P11" s="66">
        <f>'[1]Historical P&amp;L'!H16</f>
        <v>665.53</v>
      </c>
    </row>
    <row r="12" spans="2:16" x14ac:dyDescent="0.25">
      <c r="B12" s="47" t="s">
        <v>109</v>
      </c>
      <c r="C12" s="9">
        <v>0</v>
      </c>
      <c r="D12" s="9">
        <v>0</v>
      </c>
      <c r="E12" s="9">
        <v>154.56</v>
      </c>
      <c r="F12" s="9">
        <v>152.83000000000001</v>
      </c>
      <c r="G12" s="39">
        <v>151.1</v>
      </c>
      <c r="H12" s="27">
        <v>149.37</v>
      </c>
      <c r="I12" s="27">
        <v>148.5</v>
      </c>
      <c r="K12" s="56">
        <f>K11/K10</f>
        <v>3.58491833513776E-2</v>
      </c>
      <c r="L12" s="56">
        <f t="shared" ref="L12:P12" si="1">L11/L10</f>
        <v>5.0575474562743451E-2</v>
      </c>
      <c r="M12" s="56">
        <f t="shared" si="1"/>
        <v>5.2927828354790117E-2</v>
      </c>
      <c r="N12" s="56">
        <f t="shared" si="1"/>
        <v>5.456750698670098E-2</v>
      </c>
      <c r="O12" s="56">
        <f t="shared" si="1"/>
        <v>5.7017227497999534E-2</v>
      </c>
      <c r="P12" s="56">
        <f t="shared" si="1"/>
        <v>5.961876419036094E-2</v>
      </c>
    </row>
    <row r="13" spans="2:16" x14ac:dyDescent="0.25">
      <c r="B13" s="47" t="s">
        <v>5</v>
      </c>
      <c r="C13" s="9">
        <v>0</v>
      </c>
      <c r="D13" s="9">
        <v>0</v>
      </c>
      <c r="E13" s="10" t="s">
        <v>6</v>
      </c>
      <c r="F13" s="10" t="s">
        <v>6</v>
      </c>
      <c r="G13" s="157" t="s">
        <v>6</v>
      </c>
      <c r="H13" s="38" t="s">
        <v>6</v>
      </c>
      <c r="I13" s="38" t="s">
        <v>6</v>
      </c>
      <c r="K13" s="56"/>
      <c r="L13" s="56">
        <f>L11/K10</f>
        <v>4.8223860978296784E-2</v>
      </c>
      <c r="M13" s="56">
        <f t="shared" ref="M13:P13" si="2">M11/L10</f>
        <v>5.0379813544389501E-2</v>
      </c>
      <c r="N13" s="56">
        <f t="shared" si="2"/>
        <v>5.1724940467668686E-2</v>
      </c>
      <c r="O13" s="56">
        <f t="shared" si="2"/>
        <v>5.4002885367772042E-2</v>
      </c>
      <c r="P13" s="56">
        <f t="shared" si="2"/>
        <v>5.6436353574977879E-2</v>
      </c>
    </row>
    <row r="14" spans="2:16" ht="13.5" customHeight="1" x14ac:dyDescent="0.25">
      <c r="B14" s="48" t="s">
        <v>110</v>
      </c>
      <c r="C14" s="9">
        <v>1.84</v>
      </c>
      <c r="D14" s="10" t="s">
        <v>6</v>
      </c>
      <c r="E14" s="10" t="s">
        <v>6</v>
      </c>
      <c r="F14" s="10" t="s">
        <v>6</v>
      </c>
      <c r="G14" s="157" t="s">
        <v>6</v>
      </c>
      <c r="H14" s="38" t="s">
        <v>6</v>
      </c>
      <c r="I14" s="38" t="s">
        <v>6</v>
      </c>
    </row>
    <row r="15" spans="2:16" x14ac:dyDescent="0.25">
      <c r="B15" s="47" t="s">
        <v>111</v>
      </c>
      <c r="C15" s="9"/>
      <c r="D15" s="8"/>
      <c r="E15" s="9"/>
      <c r="F15" s="9"/>
      <c r="G15" s="39"/>
      <c r="H15" s="27"/>
      <c r="I15" s="27"/>
    </row>
    <row r="16" spans="2:16" x14ac:dyDescent="0.25">
      <c r="B16" s="34" t="s">
        <v>7</v>
      </c>
      <c r="C16" s="9">
        <v>303.57</v>
      </c>
      <c r="D16" s="11">
        <v>246.35</v>
      </c>
      <c r="E16" s="11" t="s">
        <v>6</v>
      </c>
      <c r="F16" s="11" t="s">
        <v>6</v>
      </c>
      <c r="G16" s="158" t="s">
        <v>6</v>
      </c>
      <c r="H16" s="35" t="s">
        <v>6</v>
      </c>
      <c r="I16" s="35" t="s">
        <v>6</v>
      </c>
    </row>
    <row r="17" spans="2:17" x14ac:dyDescent="0.25">
      <c r="B17" s="34" t="s">
        <v>48</v>
      </c>
      <c r="C17" s="9">
        <v>148.72999999999999</v>
      </c>
      <c r="D17" s="11">
        <v>210.1</v>
      </c>
      <c r="E17" s="9">
        <v>85.11</v>
      </c>
      <c r="F17" s="11" t="s">
        <v>6</v>
      </c>
      <c r="G17" s="158" t="s">
        <v>6</v>
      </c>
      <c r="H17" s="35" t="s">
        <v>6</v>
      </c>
      <c r="I17" s="35" t="s">
        <v>6</v>
      </c>
    </row>
    <row r="18" spans="2:17" x14ac:dyDescent="0.25">
      <c r="B18" s="34" t="s">
        <v>49</v>
      </c>
      <c r="C18" s="9">
        <v>79.989999999999995</v>
      </c>
      <c r="D18" s="11">
        <v>5.14</v>
      </c>
      <c r="E18" s="9">
        <v>8.59</v>
      </c>
      <c r="F18" s="11">
        <v>235.87</v>
      </c>
      <c r="G18" s="158">
        <v>237.99</v>
      </c>
      <c r="H18" s="35">
        <v>188.36</v>
      </c>
      <c r="I18" s="27">
        <v>182.76</v>
      </c>
      <c r="P18" s="66">
        <f>P20-Q20</f>
        <v>631.20999999999913</v>
      </c>
    </row>
    <row r="19" spans="2:17" x14ac:dyDescent="0.25">
      <c r="B19" s="47" t="s">
        <v>112</v>
      </c>
      <c r="C19" s="9">
        <v>929.23</v>
      </c>
      <c r="D19" s="11">
        <v>775.91</v>
      </c>
      <c r="E19" s="9">
        <v>614.76</v>
      </c>
      <c r="F19" s="11">
        <v>448.44</v>
      </c>
      <c r="G19" s="158" t="s">
        <v>6</v>
      </c>
      <c r="H19" s="35" t="s">
        <v>6</v>
      </c>
      <c r="I19" s="35" t="s">
        <v>6</v>
      </c>
      <c r="L19" s="51">
        <v>2018</v>
      </c>
      <c r="M19" s="51">
        <f>L19+1</f>
        <v>2019</v>
      </c>
      <c r="N19" s="51">
        <f t="shared" ref="N19:Q19" si="3">M19+1</f>
        <v>2020</v>
      </c>
      <c r="O19" s="51">
        <f t="shared" si="3"/>
        <v>2021</v>
      </c>
      <c r="P19" s="52">
        <f t="shared" si="3"/>
        <v>2022</v>
      </c>
      <c r="Q19" s="52">
        <f t="shared" si="3"/>
        <v>2023</v>
      </c>
    </row>
    <row r="20" spans="2:17" x14ac:dyDescent="0.25">
      <c r="B20" s="47" t="s">
        <v>113</v>
      </c>
      <c r="C20" s="9">
        <v>306.99</v>
      </c>
      <c r="D20" s="11">
        <v>189.3</v>
      </c>
      <c r="E20" s="9">
        <v>64.88</v>
      </c>
      <c r="F20" s="11">
        <v>52.29</v>
      </c>
      <c r="G20" s="158">
        <v>60.22</v>
      </c>
      <c r="H20" s="35">
        <v>84.63</v>
      </c>
      <c r="I20" s="27">
        <v>80.91</v>
      </c>
      <c r="L20" s="121">
        <f t="shared" ref="L20:Q20" si="4">C10-172.58+C12</f>
        <v>14472.3</v>
      </c>
      <c r="M20" s="121">
        <f t="shared" si="4"/>
        <v>13799.38</v>
      </c>
      <c r="N20" s="121">
        <f t="shared" si="4"/>
        <v>13289.619999999999</v>
      </c>
      <c r="O20" s="121">
        <f t="shared" si="4"/>
        <v>12603.65</v>
      </c>
      <c r="P20" s="121">
        <f t="shared" si="4"/>
        <v>11943.68</v>
      </c>
      <c r="Q20" s="121">
        <f t="shared" si="4"/>
        <v>11312.470000000001</v>
      </c>
    </row>
    <row r="21" spans="2:17" x14ac:dyDescent="0.25">
      <c r="B21" s="7"/>
      <c r="C21" s="12">
        <f t="shared" ref="C21:I21" si="5">SUM(C10:C20)</f>
        <v>20984.3</v>
      </c>
      <c r="D21" s="12">
        <f t="shared" si="5"/>
        <v>19970.709999999995</v>
      </c>
      <c r="E21" s="12">
        <f t="shared" si="5"/>
        <v>18809.350000000002</v>
      </c>
      <c r="F21" s="12">
        <f t="shared" si="5"/>
        <v>18086.7</v>
      </c>
      <c r="G21" s="159">
        <f t="shared" si="5"/>
        <v>16974.13</v>
      </c>
      <c r="H21" s="28">
        <f t="shared" si="5"/>
        <v>16312.12</v>
      </c>
      <c r="I21" s="28">
        <f t="shared" si="5"/>
        <v>15984.65</v>
      </c>
      <c r="K21" s="68"/>
      <c r="L21" s="122">
        <f>'P&amp;L'!C16</f>
        <v>518.82000000000005</v>
      </c>
      <c r="M21" s="122">
        <f>'P&amp;L'!D16</f>
        <v>697.91</v>
      </c>
      <c r="N21" s="122">
        <f>'P&amp;L'!E16</f>
        <v>695.21</v>
      </c>
      <c r="O21" s="122">
        <f>'P&amp;L'!F16</f>
        <v>679.41</v>
      </c>
      <c r="P21" s="122">
        <f>'P&amp;L'!G16</f>
        <v>672.38</v>
      </c>
      <c r="Q21" s="122">
        <f>'P&amp;L'!H16</f>
        <v>665.53</v>
      </c>
    </row>
    <row r="22" spans="2:17" x14ac:dyDescent="0.25">
      <c r="B22" s="7"/>
      <c r="C22" s="9"/>
      <c r="D22" s="8"/>
      <c r="E22" s="9"/>
      <c r="F22" s="9"/>
      <c r="G22" s="39"/>
      <c r="H22" s="27"/>
      <c r="I22" s="27"/>
      <c r="K22" s="68"/>
      <c r="L22" s="119"/>
      <c r="M22" s="57">
        <f>M21/L20</f>
        <v>4.8223848317129968E-2</v>
      </c>
      <c r="N22" s="57">
        <f t="shared" ref="N22:Q22" si="6">N21/M20</f>
        <v>5.0379799672159192E-2</v>
      </c>
      <c r="O22" s="57">
        <f t="shared" si="6"/>
        <v>5.1123357928970131E-2</v>
      </c>
      <c r="P22" s="57">
        <f t="shared" si="6"/>
        <v>5.334803806833735E-2</v>
      </c>
      <c r="Q22" s="57">
        <f t="shared" si="6"/>
        <v>5.572235692851784E-2</v>
      </c>
    </row>
    <row r="23" spans="2:17" x14ac:dyDescent="0.25">
      <c r="B23" s="6" t="s">
        <v>101</v>
      </c>
      <c r="C23" s="9"/>
      <c r="D23" s="8"/>
      <c r="E23" s="9"/>
      <c r="F23" s="9"/>
      <c r="G23" s="39"/>
      <c r="H23" s="27"/>
      <c r="I23" s="27"/>
      <c r="K23" s="68"/>
      <c r="L23" s="68"/>
      <c r="M23" s="57">
        <f>AVERAGE(M22:Q22)</f>
        <v>5.1759480183022899E-2</v>
      </c>
      <c r="N23" s="57"/>
      <c r="O23" s="57"/>
      <c r="P23" s="57"/>
    </row>
    <row r="24" spans="2:17" x14ac:dyDescent="0.25">
      <c r="B24" s="47" t="s">
        <v>50</v>
      </c>
      <c r="C24" s="9">
        <v>76.180000000000007</v>
      </c>
      <c r="D24" s="11">
        <v>105.24</v>
      </c>
      <c r="E24" s="9">
        <v>166.48</v>
      </c>
      <c r="F24" s="9">
        <v>125.86</v>
      </c>
      <c r="G24" s="39">
        <v>149.19</v>
      </c>
      <c r="H24" s="27">
        <v>219.08</v>
      </c>
      <c r="I24" s="27">
        <v>175.69</v>
      </c>
      <c r="K24" s="68"/>
    </row>
    <row r="25" spans="2:17" x14ac:dyDescent="0.25">
      <c r="B25" s="47" t="s">
        <v>2</v>
      </c>
      <c r="C25" s="9"/>
      <c r="D25" s="8"/>
      <c r="E25" s="9"/>
      <c r="F25" s="9"/>
      <c r="G25" s="39"/>
      <c r="H25" s="27"/>
      <c r="I25" s="27"/>
      <c r="K25" s="68"/>
      <c r="L25"/>
      <c r="M25"/>
      <c r="N25"/>
      <c r="O25"/>
      <c r="P25"/>
    </row>
    <row r="26" spans="2:17" x14ac:dyDescent="0.25">
      <c r="B26" s="34" t="s">
        <v>7</v>
      </c>
      <c r="C26" s="9">
        <v>12.82</v>
      </c>
      <c r="D26" s="10" t="s">
        <v>6</v>
      </c>
      <c r="E26" s="10" t="s">
        <v>6</v>
      </c>
      <c r="F26" s="9" t="s">
        <v>6</v>
      </c>
      <c r="G26" s="39" t="s">
        <v>6</v>
      </c>
      <c r="H26" s="27" t="s">
        <v>6</v>
      </c>
      <c r="I26" s="27" t="s">
        <v>6</v>
      </c>
      <c r="K26" s="68"/>
      <c r="L26" s="67"/>
    </row>
    <row r="27" spans="2:17" x14ac:dyDescent="0.25">
      <c r="B27" s="34" t="s">
        <v>51</v>
      </c>
      <c r="C27" s="9">
        <v>3056.15</v>
      </c>
      <c r="D27" s="9">
        <v>3637.22</v>
      </c>
      <c r="E27" s="9">
        <v>4266.6499999999996</v>
      </c>
      <c r="F27" s="9">
        <v>2778.76</v>
      </c>
      <c r="G27" s="39">
        <v>4319.84</v>
      </c>
      <c r="H27" s="27">
        <v>4674.43</v>
      </c>
      <c r="I27" s="27">
        <v>4100.79</v>
      </c>
      <c r="K27" s="68"/>
    </row>
    <row r="28" spans="2:17" x14ac:dyDescent="0.25">
      <c r="B28" s="34" t="s">
        <v>52</v>
      </c>
      <c r="C28" s="9">
        <f>CFS!C57</f>
        <v>70.400000000000276</v>
      </c>
      <c r="D28" s="9">
        <f>CFS!D57</f>
        <v>30.070000000000348</v>
      </c>
      <c r="E28" s="9">
        <f>CFS!E57</f>
        <v>81.83000000000068</v>
      </c>
      <c r="F28" s="9">
        <f>[1]CFS!F57</f>
        <v>2872.3899999999994</v>
      </c>
      <c r="G28" s="39">
        <f>[1]CFS!G57</f>
        <v>2950.5599999999995</v>
      </c>
      <c r="H28" s="27">
        <v>1723.55</v>
      </c>
      <c r="I28" s="27">
        <v>2199.85</v>
      </c>
      <c r="K28" s="68"/>
    </row>
    <row r="29" spans="2:17" x14ac:dyDescent="0.25">
      <c r="B29" s="34" t="s">
        <v>53</v>
      </c>
      <c r="C29" s="9">
        <v>348.81</v>
      </c>
      <c r="D29" s="11">
        <v>10.83</v>
      </c>
      <c r="E29" s="9">
        <v>7.37</v>
      </c>
      <c r="F29" s="9">
        <v>12.47</v>
      </c>
      <c r="G29" s="39">
        <v>35.32</v>
      </c>
      <c r="H29" s="27">
        <v>2561.2399999999998</v>
      </c>
      <c r="I29" s="27">
        <v>4323.3</v>
      </c>
      <c r="K29" s="68"/>
    </row>
    <row r="30" spans="2:17" x14ac:dyDescent="0.25">
      <c r="B30" s="34" t="s">
        <v>54</v>
      </c>
      <c r="C30" s="9">
        <v>536.99</v>
      </c>
      <c r="D30" s="11">
        <v>673.13</v>
      </c>
      <c r="E30" s="9">
        <v>543.98</v>
      </c>
      <c r="F30" s="9" t="s">
        <v>6</v>
      </c>
      <c r="G30" s="39" t="s">
        <v>6</v>
      </c>
      <c r="H30" s="27" t="s">
        <v>6</v>
      </c>
      <c r="I30" s="27" t="s">
        <v>6</v>
      </c>
      <c r="K30" s="68"/>
    </row>
    <row r="31" spans="2:17" x14ac:dyDescent="0.25">
      <c r="B31" s="34" t="s">
        <v>55</v>
      </c>
      <c r="C31" s="9">
        <v>8.51</v>
      </c>
      <c r="D31" s="11">
        <v>127.94</v>
      </c>
      <c r="E31" s="9">
        <v>0.19</v>
      </c>
      <c r="F31" s="9">
        <v>528.28</v>
      </c>
      <c r="G31" s="39">
        <v>530.09</v>
      </c>
      <c r="H31" s="27">
        <v>591.70000000000005</v>
      </c>
      <c r="I31" s="27">
        <v>651.07000000000005</v>
      </c>
    </row>
    <row r="32" spans="2:17" x14ac:dyDescent="0.25">
      <c r="B32" s="47" t="s">
        <v>8</v>
      </c>
      <c r="C32" s="9">
        <v>649.5</v>
      </c>
      <c r="D32" s="11">
        <v>598.1</v>
      </c>
      <c r="E32" s="9">
        <v>762.38</v>
      </c>
      <c r="F32" s="9">
        <v>731</v>
      </c>
      <c r="G32" s="39">
        <v>766.8</v>
      </c>
      <c r="H32" s="27">
        <v>824.23</v>
      </c>
      <c r="I32" s="27">
        <v>749.11</v>
      </c>
    </row>
    <row r="33" spans="2:15" x14ac:dyDescent="0.25">
      <c r="B33" s="7"/>
      <c r="C33" s="12">
        <f>SUM(C24:C32)</f>
        <v>4759.3600000000006</v>
      </c>
      <c r="D33" s="12">
        <f t="shared" ref="D33:I33" si="7">SUM(D24:D32)</f>
        <v>5182.53</v>
      </c>
      <c r="E33" s="12">
        <f t="shared" si="7"/>
        <v>5828.8799999999992</v>
      </c>
      <c r="F33" s="12">
        <f t="shared" si="7"/>
        <v>7048.76</v>
      </c>
      <c r="G33" s="159">
        <f t="shared" si="7"/>
        <v>8751.7999999999993</v>
      </c>
      <c r="H33" s="28">
        <f t="shared" si="7"/>
        <v>10594.23</v>
      </c>
      <c r="I33" s="28">
        <f t="shared" si="7"/>
        <v>12199.810000000001</v>
      </c>
    </row>
    <row r="34" spans="2:15" x14ac:dyDescent="0.25">
      <c r="B34" s="13" t="s">
        <v>56</v>
      </c>
      <c r="C34" s="14">
        <f>C33+C21</f>
        <v>25743.66</v>
      </c>
      <c r="D34" s="14">
        <f t="shared" ref="D34:I34" si="8">D33+D21</f>
        <v>25153.239999999994</v>
      </c>
      <c r="E34" s="14">
        <f t="shared" si="8"/>
        <v>24638.230000000003</v>
      </c>
      <c r="F34" s="14">
        <f t="shared" si="8"/>
        <v>25135.46</v>
      </c>
      <c r="G34" s="160">
        <f t="shared" si="8"/>
        <v>25725.93</v>
      </c>
      <c r="H34" s="36">
        <f t="shared" si="8"/>
        <v>26906.35</v>
      </c>
      <c r="I34" s="36">
        <f t="shared" si="8"/>
        <v>28184.46</v>
      </c>
    </row>
    <row r="35" spans="2:15" x14ac:dyDescent="0.25">
      <c r="B35" s="7"/>
      <c r="C35" s="9"/>
      <c r="D35" s="8"/>
      <c r="E35" s="9"/>
      <c r="F35" s="9"/>
      <c r="G35" s="161"/>
      <c r="H35" s="37"/>
      <c r="I35" s="27"/>
    </row>
    <row r="36" spans="2:15" x14ac:dyDescent="0.25">
      <c r="B36" s="6" t="s">
        <v>57</v>
      </c>
      <c r="C36" s="9"/>
      <c r="D36" s="8"/>
      <c r="E36" s="9"/>
      <c r="F36" s="9"/>
      <c r="G36" s="39"/>
      <c r="H36" s="27"/>
      <c r="I36" s="27"/>
    </row>
    <row r="37" spans="2:15" x14ac:dyDescent="0.25">
      <c r="B37" s="7"/>
      <c r="C37" s="9"/>
      <c r="D37" s="8"/>
      <c r="E37" s="9"/>
      <c r="F37" s="9"/>
      <c r="G37" s="39"/>
      <c r="H37" s="27"/>
      <c r="I37" s="27"/>
    </row>
    <row r="38" spans="2:15" x14ac:dyDescent="0.25">
      <c r="B38" s="6" t="s">
        <v>102</v>
      </c>
      <c r="C38" s="9"/>
      <c r="D38" s="8"/>
      <c r="E38" s="9"/>
      <c r="F38" s="9"/>
      <c r="G38" s="39"/>
      <c r="H38" s="27"/>
      <c r="I38" s="27"/>
    </row>
    <row r="39" spans="2:15" x14ac:dyDescent="0.25">
      <c r="B39" s="47" t="s">
        <v>9</v>
      </c>
      <c r="C39" s="9">
        <v>3609.5</v>
      </c>
      <c r="D39" s="9">
        <v>3609.5</v>
      </c>
      <c r="E39" s="9">
        <v>3609.5</v>
      </c>
      <c r="F39" s="9">
        <v>3609.5</v>
      </c>
      <c r="G39" s="39">
        <v>3609.5</v>
      </c>
      <c r="H39" s="27">
        <v>3609.5</v>
      </c>
      <c r="I39" s="27">
        <v>3609.5</v>
      </c>
    </row>
    <row r="40" spans="2:15" x14ac:dyDescent="0.25">
      <c r="B40" s="47" t="s">
        <v>0</v>
      </c>
      <c r="C40" s="9">
        <v>-1757.47</v>
      </c>
      <c r="D40" s="9">
        <v>-2468.1799999999998</v>
      </c>
      <c r="E40" s="9">
        <v>-2994.04</v>
      </c>
      <c r="F40" s="9">
        <v>-2909.28</v>
      </c>
      <c r="G40" s="39">
        <v>-2575.5500000000002</v>
      </c>
      <c r="H40" s="27">
        <v>-1956.09</v>
      </c>
      <c r="I40" s="27">
        <v>-726.95</v>
      </c>
      <c r="K40" s="66">
        <f>D40-C40</f>
        <v>-710.70999999999981</v>
      </c>
      <c r="L40" s="66">
        <f t="shared" ref="L40:O40" si="9">E40-D40</f>
        <v>-525.86000000000013</v>
      </c>
      <c r="M40" s="66">
        <f t="shared" si="9"/>
        <v>84.759999999999764</v>
      </c>
      <c r="N40" s="66">
        <f t="shared" si="9"/>
        <v>333.73</v>
      </c>
      <c r="O40" s="66">
        <f t="shared" si="9"/>
        <v>619.46000000000026</v>
      </c>
    </row>
    <row r="41" spans="2:15" x14ac:dyDescent="0.25">
      <c r="B41" s="7"/>
      <c r="C41" s="12">
        <f>SUM(C39:C40)</f>
        <v>1852.03</v>
      </c>
      <c r="D41" s="12">
        <f>SUM(D39:D40)</f>
        <v>1141.3200000000002</v>
      </c>
      <c r="E41" s="12">
        <f t="shared" ref="E41:I41" si="10">SUM(E39:E40)</f>
        <v>615.46</v>
      </c>
      <c r="F41" s="12">
        <f t="shared" si="10"/>
        <v>700.2199999999998</v>
      </c>
      <c r="G41" s="159">
        <f t="shared" si="10"/>
        <v>1033.9499999999998</v>
      </c>
      <c r="H41" s="28">
        <f t="shared" si="10"/>
        <v>1653.41</v>
      </c>
      <c r="I41" s="28">
        <f t="shared" si="10"/>
        <v>2882.55</v>
      </c>
    </row>
    <row r="42" spans="2:15" x14ac:dyDescent="0.25">
      <c r="B42" s="6" t="s">
        <v>58</v>
      </c>
      <c r="C42" s="9"/>
      <c r="D42" s="8"/>
      <c r="E42" s="9"/>
      <c r="F42" s="9"/>
      <c r="G42" s="39"/>
      <c r="H42" s="27"/>
      <c r="I42" s="27"/>
    </row>
    <row r="43" spans="2:15" x14ac:dyDescent="0.25">
      <c r="B43" s="47" t="s">
        <v>10</v>
      </c>
      <c r="C43" s="9"/>
      <c r="D43" s="8"/>
      <c r="E43" s="9"/>
      <c r="F43" s="9"/>
      <c r="G43" s="39"/>
      <c r="H43" s="27"/>
      <c r="I43" s="27"/>
    </row>
    <row r="44" spans="2:15" x14ac:dyDescent="0.25">
      <c r="B44" s="34" t="s">
        <v>11</v>
      </c>
      <c r="C44" s="9">
        <v>17571.41</v>
      </c>
      <c r="D44" s="9">
        <v>16478.68</v>
      </c>
      <c r="E44" s="9">
        <v>15373.41</v>
      </c>
      <c r="F44" s="9" t="s">
        <v>6</v>
      </c>
      <c r="G44" s="39" t="s">
        <v>6</v>
      </c>
      <c r="H44" s="27" t="s">
        <v>6</v>
      </c>
      <c r="I44" s="27" t="s">
        <v>6</v>
      </c>
    </row>
    <row r="45" spans="2:15" x14ac:dyDescent="0.25">
      <c r="B45" s="34" t="s">
        <v>12</v>
      </c>
      <c r="C45" s="10" t="s">
        <v>6</v>
      </c>
      <c r="D45" s="10" t="s">
        <v>6</v>
      </c>
      <c r="E45" s="9">
        <v>27.41</v>
      </c>
      <c r="F45" s="9">
        <v>27.39</v>
      </c>
      <c r="G45" s="39">
        <v>27.39</v>
      </c>
      <c r="H45" s="27">
        <v>27.37</v>
      </c>
      <c r="I45" s="27">
        <v>27.36</v>
      </c>
    </row>
    <row r="46" spans="2:15" x14ac:dyDescent="0.25">
      <c r="B46" s="47" t="s">
        <v>1</v>
      </c>
      <c r="C46" s="9">
        <v>6.16</v>
      </c>
      <c r="D46" s="11">
        <v>7.21</v>
      </c>
      <c r="E46" s="9">
        <v>11.03</v>
      </c>
      <c r="F46" s="9">
        <v>12.86</v>
      </c>
      <c r="G46" s="39">
        <v>11.19</v>
      </c>
      <c r="H46" s="27">
        <v>12.41</v>
      </c>
      <c r="I46" s="27">
        <v>13.74</v>
      </c>
    </row>
    <row r="47" spans="2:15" x14ac:dyDescent="0.25">
      <c r="B47" s="7"/>
      <c r="C47" s="12">
        <f>SUM(C44:C46)</f>
        <v>17577.57</v>
      </c>
      <c r="D47" s="12">
        <f t="shared" ref="D47:I47" si="11">SUM(D44:D46)</f>
        <v>16485.89</v>
      </c>
      <c r="E47" s="12">
        <f t="shared" si="11"/>
        <v>15411.85</v>
      </c>
      <c r="F47" s="12">
        <f t="shared" si="11"/>
        <v>40.25</v>
      </c>
      <c r="G47" s="159">
        <f t="shared" si="11"/>
        <v>38.58</v>
      </c>
      <c r="H47" s="28">
        <f t="shared" si="11"/>
        <v>39.78</v>
      </c>
      <c r="I47" s="28">
        <f t="shared" si="11"/>
        <v>41.1</v>
      </c>
    </row>
    <row r="48" spans="2:15" x14ac:dyDescent="0.25">
      <c r="B48" s="7"/>
      <c r="C48" s="9"/>
      <c r="D48" s="8"/>
      <c r="E48" s="9"/>
      <c r="F48" s="9"/>
      <c r="G48" s="39"/>
      <c r="H48" s="27"/>
      <c r="I48" s="27"/>
    </row>
    <row r="49" spans="2:13" x14ac:dyDescent="0.25">
      <c r="B49" s="6" t="s">
        <v>59</v>
      </c>
      <c r="C49" s="9"/>
      <c r="D49" s="8"/>
      <c r="E49" s="9"/>
      <c r="F49" s="9"/>
      <c r="G49" s="39"/>
      <c r="H49" s="27"/>
      <c r="I49" s="27"/>
    </row>
    <row r="50" spans="2:13" x14ac:dyDescent="0.25">
      <c r="B50" s="47" t="s">
        <v>10</v>
      </c>
      <c r="C50" s="9"/>
      <c r="D50" s="8"/>
      <c r="E50" s="9"/>
      <c r="F50" s="9"/>
      <c r="G50" s="39"/>
      <c r="H50" s="27"/>
      <c r="I50" s="27"/>
    </row>
    <row r="51" spans="2:13" x14ac:dyDescent="0.25">
      <c r="B51" s="34" t="s">
        <v>11</v>
      </c>
      <c r="C51" s="9">
        <v>1455.56</v>
      </c>
      <c r="D51" s="9">
        <v>1459.01</v>
      </c>
      <c r="E51" s="9">
        <v>1451.51</v>
      </c>
      <c r="F51" s="9">
        <v>20076.09</v>
      </c>
      <c r="G51" s="39">
        <v>20110.87</v>
      </c>
      <c r="H51" s="27">
        <v>20609.2</v>
      </c>
      <c r="I51" s="27">
        <v>20618.88</v>
      </c>
    </row>
    <row r="52" spans="2:13" x14ac:dyDescent="0.25">
      <c r="B52" s="34" t="s">
        <v>12</v>
      </c>
      <c r="C52" s="9" t="s">
        <v>6</v>
      </c>
      <c r="D52" s="9" t="s">
        <v>6</v>
      </c>
      <c r="E52" s="9" t="s">
        <v>6</v>
      </c>
      <c r="F52" s="9">
        <v>38.17</v>
      </c>
      <c r="G52" s="39">
        <v>46.02</v>
      </c>
      <c r="H52" s="27">
        <v>54.56</v>
      </c>
      <c r="I52" s="27">
        <v>58.36</v>
      </c>
    </row>
    <row r="53" spans="2:13" x14ac:dyDescent="0.25">
      <c r="B53" s="34" t="s">
        <v>13</v>
      </c>
      <c r="C53" s="9" t="s">
        <v>6</v>
      </c>
      <c r="D53" s="9" t="s">
        <v>6</v>
      </c>
      <c r="E53" s="9" t="s">
        <v>6</v>
      </c>
      <c r="F53" s="9" t="s">
        <v>6</v>
      </c>
      <c r="G53" s="39" t="s">
        <v>6</v>
      </c>
      <c r="H53" s="27" t="s">
        <v>6</v>
      </c>
      <c r="I53" s="27" t="s">
        <v>6</v>
      </c>
    </row>
    <row r="54" spans="2:13" ht="17.25" customHeight="1" x14ac:dyDescent="0.25">
      <c r="B54" s="49" t="s">
        <v>14</v>
      </c>
      <c r="C54" s="9">
        <v>12.76</v>
      </c>
      <c r="D54" s="11">
        <v>46.2</v>
      </c>
      <c r="E54" s="9">
        <v>41.59</v>
      </c>
      <c r="F54" s="9">
        <v>40.6</v>
      </c>
      <c r="G54" s="39">
        <v>52.52</v>
      </c>
      <c r="H54" s="27">
        <v>31.88</v>
      </c>
      <c r="I54" s="27">
        <v>27.93</v>
      </c>
    </row>
    <row r="55" spans="2:13" ht="13.5" customHeight="1" x14ac:dyDescent="0.25">
      <c r="B55" s="49" t="s">
        <v>15</v>
      </c>
      <c r="C55" s="9">
        <v>849.09</v>
      </c>
      <c r="D55" s="11">
        <v>796.91</v>
      </c>
      <c r="E55" s="9">
        <v>700.38</v>
      </c>
      <c r="F55" s="9">
        <v>1074.94</v>
      </c>
      <c r="G55" s="39">
        <v>1188.03</v>
      </c>
      <c r="H55" s="27">
        <v>1104.77</v>
      </c>
      <c r="I55" s="27">
        <v>1093.95</v>
      </c>
    </row>
    <row r="56" spans="2:13" x14ac:dyDescent="0.25">
      <c r="B56" s="34" t="s">
        <v>16</v>
      </c>
      <c r="C56" s="9">
        <v>3979.58</v>
      </c>
      <c r="D56" s="9">
        <v>5017.2700000000004</v>
      </c>
      <c r="E56" s="9">
        <v>6159.91</v>
      </c>
      <c r="F56" s="9">
        <v>2860.32</v>
      </c>
      <c r="G56" s="39">
        <v>2900.58</v>
      </c>
      <c r="H56" s="27">
        <v>3003.03</v>
      </c>
      <c r="I56" s="27">
        <v>3021.74</v>
      </c>
    </row>
    <row r="57" spans="2:13" x14ac:dyDescent="0.25">
      <c r="B57" s="47" t="s">
        <v>17</v>
      </c>
      <c r="C57" s="9">
        <v>17.07</v>
      </c>
      <c r="D57" s="11">
        <v>206.64</v>
      </c>
      <c r="E57" s="9">
        <v>257.52999999999997</v>
      </c>
      <c r="F57" s="9">
        <v>304.87</v>
      </c>
      <c r="G57" s="39">
        <v>355.38</v>
      </c>
      <c r="H57" s="27">
        <v>409.72</v>
      </c>
      <c r="I57" s="27">
        <v>439.95</v>
      </c>
    </row>
    <row r="58" spans="2:13" x14ac:dyDescent="0.25">
      <c r="B58" s="47" t="s">
        <v>60</v>
      </c>
      <c r="C58" s="9" t="s">
        <v>6</v>
      </c>
      <c r="D58" s="9" t="s">
        <v>6</v>
      </c>
      <c r="E58" s="9" t="s">
        <v>6</v>
      </c>
      <c r="F58" s="9" t="s">
        <v>6</v>
      </c>
      <c r="G58" s="39" t="s">
        <v>6</v>
      </c>
      <c r="H58" s="27" t="s">
        <v>6</v>
      </c>
      <c r="I58" s="27" t="s">
        <v>6</v>
      </c>
    </row>
    <row r="59" spans="2:13" x14ac:dyDescent="0.25">
      <c r="B59" s="47" t="s">
        <v>61</v>
      </c>
      <c r="C59" s="9" t="s">
        <v>6</v>
      </c>
      <c r="D59" s="9" t="s">
        <v>6</v>
      </c>
      <c r="E59" s="9" t="s">
        <v>6</v>
      </c>
      <c r="F59" s="9" t="s">
        <v>6</v>
      </c>
      <c r="G59" s="39" t="s">
        <v>6</v>
      </c>
      <c r="H59" s="27" t="s">
        <v>6</v>
      </c>
      <c r="I59" s="27" t="s">
        <v>6</v>
      </c>
    </row>
    <row r="60" spans="2:13" x14ac:dyDescent="0.25">
      <c r="B60" s="7"/>
      <c r="C60" s="12">
        <f>SUM(C51:C59)</f>
        <v>6314.0599999999995</v>
      </c>
      <c r="D60" s="12">
        <f>SUM(D51:D59)</f>
        <v>7526.0300000000007</v>
      </c>
      <c r="E60" s="12">
        <f t="shared" ref="E60:I60" si="12">SUM(E51:E59)</f>
        <v>8610.92</v>
      </c>
      <c r="F60" s="12">
        <f t="shared" si="12"/>
        <v>24394.989999999994</v>
      </c>
      <c r="G60" s="159">
        <f t="shared" si="12"/>
        <v>24653.399999999998</v>
      </c>
      <c r="H60" s="28">
        <f t="shared" si="12"/>
        <v>25213.160000000003</v>
      </c>
      <c r="I60" s="28">
        <f t="shared" si="12"/>
        <v>25260.81</v>
      </c>
      <c r="L60" s="66">
        <f>I34-I60</f>
        <v>2923.6499999999978</v>
      </c>
      <c r="M60" s="2">
        <f>L60*0.8</f>
        <v>2338.9199999999983</v>
      </c>
    </row>
    <row r="61" spans="2:13" x14ac:dyDescent="0.25">
      <c r="B61" s="13" t="s">
        <v>62</v>
      </c>
      <c r="C61" s="14">
        <f>C60+C47+C41</f>
        <v>25743.659999999996</v>
      </c>
      <c r="D61" s="14">
        <f>D60+D47+D41</f>
        <v>25153.239999999998</v>
      </c>
      <c r="E61" s="14">
        <f t="shared" ref="E61:I61" si="13">E60+E47+E41</f>
        <v>24638.23</v>
      </c>
      <c r="F61" s="14">
        <f t="shared" si="13"/>
        <v>25135.459999999995</v>
      </c>
      <c r="G61" s="160">
        <f t="shared" si="13"/>
        <v>25725.93</v>
      </c>
      <c r="H61" s="36">
        <f t="shared" si="13"/>
        <v>26906.350000000002</v>
      </c>
      <c r="I61" s="36">
        <f t="shared" si="13"/>
        <v>28184.46</v>
      </c>
    </row>
    <row r="63" spans="2:13" ht="11.25" customHeight="1" x14ac:dyDescent="0.25">
      <c r="B63" s="45" t="s">
        <v>108</v>
      </c>
      <c r="C63" s="46" t="str">
        <f>IF(C61=C34,"YES","NO")</f>
        <v>YES</v>
      </c>
      <c r="D63" s="46" t="str">
        <f t="shared" ref="D63:I63" si="14">IF(D61=D34,"YES","NO")</f>
        <v>YES</v>
      </c>
      <c r="E63" s="46" t="str">
        <f t="shared" si="14"/>
        <v>YES</v>
      </c>
      <c r="F63" s="46" t="str">
        <f t="shared" si="14"/>
        <v>YES</v>
      </c>
      <c r="G63" s="46" t="str">
        <f t="shared" si="14"/>
        <v>YES</v>
      </c>
      <c r="H63" s="46" t="str">
        <f t="shared" si="14"/>
        <v>YES</v>
      </c>
      <c r="I63" s="46" t="str">
        <f t="shared" si="14"/>
        <v>YES</v>
      </c>
    </row>
  </sheetData>
  <mergeCells count="1">
    <mergeCell ref="B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G59"/>
  <sheetViews>
    <sheetView showGridLines="0" topLeftCell="A58" workbookViewId="0">
      <selection activeCell="B38" sqref="B38"/>
    </sheetView>
  </sheetViews>
  <sheetFormatPr defaultRowHeight="15" x14ac:dyDescent="0.25"/>
  <cols>
    <col min="2" max="2" width="58.42578125" customWidth="1"/>
    <col min="3" max="3" width="12.85546875" customWidth="1"/>
    <col min="4" max="4" width="13.7109375" customWidth="1"/>
    <col min="5" max="5" width="13.42578125" customWidth="1"/>
    <col min="6" max="6" width="13.28515625" customWidth="1"/>
    <col min="7" max="7" width="12.57031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1" t="s">
        <v>99</v>
      </c>
      <c r="C2" s="1"/>
      <c r="D2" s="1"/>
      <c r="E2" s="1"/>
      <c r="F2" s="1"/>
      <c r="G2" s="1"/>
    </row>
    <row r="3" spans="1:7" ht="6.75" customHeight="1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179" t="s">
        <v>106</v>
      </c>
      <c r="C4" s="179"/>
      <c r="D4" s="179"/>
      <c r="E4" s="179"/>
      <c r="F4" s="179"/>
      <c r="G4" s="179"/>
    </row>
    <row r="5" spans="1:7" ht="10.5" customHeight="1" x14ac:dyDescent="0.25">
      <c r="A5" s="2"/>
      <c r="B5" s="2"/>
      <c r="C5" s="2"/>
      <c r="D5" s="2"/>
      <c r="E5" s="2"/>
      <c r="F5" s="2"/>
      <c r="G5" s="2"/>
    </row>
    <row r="6" spans="1:7" ht="45" x14ac:dyDescent="0.25">
      <c r="B6" s="17" t="s">
        <v>41</v>
      </c>
      <c r="C6" s="5" t="s">
        <v>63</v>
      </c>
      <c r="D6" s="5" t="s">
        <v>64</v>
      </c>
      <c r="E6" s="5" t="s">
        <v>95</v>
      </c>
      <c r="F6" s="5" t="s">
        <v>96</v>
      </c>
      <c r="G6" s="33" t="s">
        <v>97</v>
      </c>
    </row>
    <row r="7" spans="1:7" x14ac:dyDescent="0.25">
      <c r="B7" s="18" t="s">
        <v>65</v>
      </c>
      <c r="C7" s="19"/>
      <c r="D7" s="19"/>
      <c r="E7" s="20"/>
      <c r="F7" s="21"/>
      <c r="G7" s="32"/>
    </row>
    <row r="8" spans="1:7" x14ac:dyDescent="0.25">
      <c r="B8" s="22" t="s">
        <v>66</v>
      </c>
      <c r="C8" s="9">
        <f>'P&amp;L'!C19</f>
        <v>-1739.8899999999999</v>
      </c>
      <c r="D8" s="9">
        <f>'P&amp;L'!D19</f>
        <v>-555.51999999999987</v>
      </c>
      <c r="E8" s="9">
        <f>'P&amp;L'!E19</f>
        <v>-362.03999999999974</v>
      </c>
      <c r="F8" s="9">
        <f>'P&amp;L'!F19</f>
        <v>252.90999999999923</v>
      </c>
      <c r="G8" s="27">
        <f>'P&amp;L'!G19</f>
        <v>779.09000000000037</v>
      </c>
    </row>
    <row r="9" spans="1:7" x14ac:dyDescent="0.25">
      <c r="B9" s="18" t="s">
        <v>25</v>
      </c>
      <c r="C9" s="9"/>
      <c r="D9" s="9"/>
      <c r="E9" s="9"/>
      <c r="F9" s="9"/>
      <c r="G9" s="27"/>
    </row>
    <row r="10" spans="1:7" x14ac:dyDescent="0.25">
      <c r="B10" s="22" t="s">
        <v>22</v>
      </c>
      <c r="C10" s="9">
        <f>'P&amp;L'!C16</f>
        <v>518.82000000000005</v>
      </c>
      <c r="D10" s="9">
        <f>'P&amp;L'!D16</f>
        <v>697.91</v>
      </c>
      <c r="E10" s="9">
        <f>'P&amp;L'!E16</f>
        <v>695.21</v>
      </c>
      <c r="F10" s="9">
        <f>'P&amp;L'!F16</f>
        <v>679.41</v>
      </c>
      <c r="G10" s="27">
        <f>'P&amp;L'!G16</f>
        <v>672.38</v>
      </c>
    </row>
    <row r="11" spans="1:7" x14ac:dyDescent="0.25">
      <c r="B11" s="22" t="s">
        <v>26</v>
      </c>
      <c r="C11" s="9">
        <f>'P&amp;L'!C18</f>
        <v>1851.45</v>
      </c>
      <c r="D11" s="9">
        <f>'P&amp;L'!D18</f>
        <v>76.78</v>
      </c>
      <c r="E11" s="9">
        <f>'P&amp;L'!E18</f>
        <v>54.97</v>
      </c>
      <c r="F11" s="9">
        <f>'P&amp;L'!F18</f>
        <v>36.31</v>
      </c>
      <c r="G11" s="27">
        <f>'P&amp;L'!G18</f>
        <v>38.94</v>
      </c>
    </row>
    <row r="12" spans="1:7" x14ac:dyDescent="0.25">
      <c r="B12" s="22" t="s">
        <v>67</v>
      </c>
      <c r="C12" s="9">
        <v>-0.04</v>
      </c>
      <c r="D12" s="9">
        <v>-0.1</v>
      </c>
      <c r="E12" s="42">
        <v>-0.43</v>
      </c>
      <c r="F12" s="9" t="s">
        <v>6</v>
      </c>
      <c r="G12" s="27" t="s">
        <v>6</v>
      </c>
    </row>
    <row r="13" spans="1:7" x14ac:dyDescent="0.25">
      <c r="B13" s="22" t="s">
        <v>68</v>
      </c>
      <c r="C13" s="9" t="s">
        <v>6</v>
      </c>
      <c r="D13" s="9">
        <v>-1.74</v>
      </c>
      <c r="E13" s="31" t="s">
        <v>6</v>
      </c>
      <c r="F13" s="31" t="s">
        <v>6</v>
      </c>
      <c r="G13" s="27" t="s">
        <v>6</v>
      </c>
    </row>
    <row r="14" spans="1:7" x14ac:dyDescent="0.25">
      <c r="B14" s="22" t="s">
        <v>69</v>
      </c>
      <c r="C14" s="9">
        <v>1.58</v>
      </c>
      <c r="D14" s="9">
        <v>93.9</v>
      </c>
      <c r="E14" s="43">
        <v>110.79</v>
      </c>
      <c r="F14" s="9">
        <v>-32.19</v>
      </c>
      <c r="G14" s="27">
        <v>48.72</v>
      </c>
    </row>
    <row r="15" spans="1:7" x14ac:dyDescent="0.25">
      <c r="B15" s="22" t="s">
        <v>70</v>
      </c>
      <c r="C15" s="9">
        <v>-0.33</v>
      </c>
      <c r="D15" s="9">
        <v>-0.06</v>
      </c>
      <c r="E15" s="9" t="s">
        <v>6</v>
      </c>
      <c r="F15" s="9" t="s">
        <v>6</v>
      </c>
      <c r="G15" s="27" t="s">
        <v>6</v>
      </c>
    </row>
    <row r="16" spans="1:7" x14ac:dyDescent="0.25">
      <c r="B16" s="22" t="s">
        <v>27</v>
      </c>
      <c r="C16" s="9">
        <v>-11.69</v>
      </c>
      <c r="D16" s="9">
        <v>-210.58</v>
      </c>
      <c r="E16" s="9">
        <v>-334</v>
      </c>
      <c r="F16" s="9">
        <v>-203.9</v>
      </c>
      <c r="G16" s="27">
        <v>-78.72</v>
      </c>
    </row>
    <row r="17" spans="2:7" x14ac:dyDescent="0.25">
      <c r="B17" s="22" t="s">
        <v>71</v>
      </c>
      <c r="C17" s="9">
        <v>-7.57</v>
      </c>
      <c r="D17" s="9">
        <v>-8.56</v>
      </c>
      <c r="E17" s="9">
        <v>-8.56</v>
      </c>
      <c r="F17" s="27" t="s">
        <v>6</v>
      </c>
      <c r="G17" s="27" t="s">
        <v>6</v>
      </c>
    </row>
    <row r="18" spans="2:7" x14ac:dyDescent="0.25">
      <c r="B18" s="22" t="s">
        <v>72</v>
      </c>
      <c r="C18" s="9" t="s">
        <v>6</v>
      </c>
      <c r="D18" s="9">
        <v>1072.1199999999999</v>
      </c>
      <c r="E18" s="9">
        <v>931.59</v>
      </c>
      <c r="F18" s="9">
        <v>798.12</v>
      </c>
      <c r="G18" s="27" t="s">
        <v>6</v>
      </c>
    </row>
    <row r="19" spans="2:7" x14ac:dyDescent="0.25">
      <c r="B19" s="22" t="s">
        <v>73</v>
      </c>
      <c r="C19" s="9" t="s">
        <v>6</v>
      </c>
      <c r="D19" s="9" t="s">
        <v>6</v>
      </c>
      <c r="E19" s="9" t="s">
        <v>6</v>
      </c>
      <c r="F19" s="9" t="s">
        <v>6</v>
      </c>
      <c r="G19" s="27" t="s">
        <v>6</v>
      </c>
    </row>
    <row r="20" spans="2:7" x14ac:dyDescent="0.25">
      <c r="B20" s="22" t="s">
        <v>74</v>
      </c>
      <c r="C20" s="9" t="s">
        <v>6</v>
      </c>
      <c r="D20" s="9" t="s">
        <v>6</v>
      </c>
      <c r="E20" s="9" t="s">
        <v>6</v>
      </c>
      <c r="F20" s="9" t="s">
        <v>6</v>
      </c>
      <c r="G20" s="27" t="s">
        <v>6</v>
      </c>
    </row>
    <row r="21" spans="2:7" x14ac:dyDescent="0.25">
      <c r="B21" s="22" t="s">
        <v>28</v>
      </c>
      <c r="C21" s="9">
        <v>-0.18</v>
      </c>
      <c r="D21" s="9">
        <v>-0.04</v>
      </c>
      <c r="E21" s="9">
        <v>-2.66</v>
      </c>
      <c r="F21" s="9">
        <v>-1.83</v>
      </c>
      <c r="G21" s="27">
        <v>3.08</v>
      </c>
    </row>
    <row r="22" spans="2:7" x14ac:dyDescent="0.25">
      <c r="B22" s="18" t="s">
        <v>75</v>
      </c>
      <c r="C22" s="12">
        <f>SUM(C8:C21)</f>
        <v>612.15000000000032</v>
      </c>
      <c r="D22" s="12">
        <f t="shared" ref="D22:G22" si="0">SUM(D8:D21)</f>
        <v>1164.1100000000001</v>
      </c>
      <c r="E22" s="12">
        <f t="shared" si="0"/>
        <v>1084.8700000000003</v>
      </c>
      <c r="F22" s="12">
        <f t="shared" si="0"/>
        <v>1528.8299999999992</v>
      </c>
      <c r="G22" s="28">
        <f t="shared" si="0"/>
        <v>1463.4900000000002</v>
      </c>
    </row>
    <row r="23" spans="2:7" x14ac:dyDescent="0.25">
      <c r="B23" s="23"/>
      <c r="C23" s="24"/>
      <c r="D23" s="24"/>
      <c r="E23" s="9"/>
      <c r="F23" s="9"/>
      <c r="G23" s="27"/>
    </row>
    <row r="24" spans="2:7" x14ac:dyDescent="0.25">
      <c r="B24" s="18" t="s">
        <v>29</v>
      </c>
      <c r="C24" s="24"/>
      <c r="D24" s="24"/>
      <c r="E24" s="9"/>
      <c r="F24" s="9"/>
      <c r="G24" s="27"/>
    </row>
    <row r="25" spans="2:7" x14ac:dyDescent="0.25">
      <c r="B25" s="22" t="s">
        <v>30</v>
      </c>
      <c r="C25" s="9">
        <v>-188.17</v>
      </c>
      <c r="D25" s="9">
        <v>-245.83</v>
      </c>
      <c r="E25" s="9">
        <v>-93.55</v>
      </c>
      <c r="F25" s="9">
        <v>-98.47</v>
      </c>
      <c r="G25" s="27">
        <v>-38.020000000000003</v>
      </c>
    </row>
    <row r="26" spans="2:7" x14ac:dyDescent="0.25">
      <c r="B26" s="22" t="s">
        <v>76</v>
      </c>
      <c r="C26" s="9" t="s">
        <v>6</v>
      </c>
      <c r="D26" s="9" t="s">
        <v>6</v>
      </c>
      <c r="E26" s="9" t="s">
        <v>6</v>
      </c>
      <c r="F26" s="9" t="s">
        <v>6</v>
      </c>
      <c r="G26" s="27" t="s">
        <v>6</v>
      </c>
    </row>
    <row r="27" spans="2:7" x14ac:dyDescent="0.25">
      <c r="B27" s="22" t="s">
        <v>77</v>
      </c>
      <c r="C27" s="9" t="s">
        <v>6</v>
      </c>
      <c r="D27" s="9" t="s">
        <v>6</v>
      </c>
      <c r="E27" s="9" t="s">
        <v>6</v>
      </c>
      <c r="F27" s="9" t="s">
        <v>6</v>
      </c>
      <c r="G27" s="27" t="s">
        <v>6</v>
      </c>
    </row>
    <row r="28" spans="2:7" x14ac:dyDescent="0.25">
      <c r="B28" s="22" t="s">
        <v>31</v>
      </c>
      <c r="C28" s="9">
        <v>-532.54999999999995</v>
      </c>
      <c r="D28" s="9">
        <v>-1507.01</v>
      </c>
      <c r="E28" s="9">
        <v>-829.71</v>
      </c>
      <c r="F28" s="9">
        <v>754.92</v>
      </c>
      <c r="G28" s="27">
        <v>-1611.89</v>
      </c>
    </row>
    <row r="29" spans="2:7" x14ac:dyDescent="0.25">
      <c r="B29" s="22" t="s">
        <v>32</v>
      </c>
      <c r="C29" s="9">
        <v>-8.06</v>
      </c>
      <c r="D29" s="9">
        <v>-29.06</v>
      </c>
      <c r="E29" s="9">
        <v>-61.24</v>
      </c>
      <c r="F29" s="9">
        <v>40.619999999999997</v>
      </c>
      <c r="G29" s="27">
        <v>-9.11</v>
      </c>
    </row>
    <row r="30" spans="2:7" x14ac:dyDescent="0.25">
      <c r="B30" s="22" t="s">
        <v>78</v>
      </c>
      <c r="C30" s="9">
        <v>244.95</v>
      </c>
      <c r="D30" s="9">
        <v>-18.739999999999998</v>
      </c>
      <c r="E30" s="9">
        <v>26.5</v>
      </c>
      <c r="F30" s="9">
        <v>373.54</v>
      </c>
      <c r="G30" s="27">
        <v>124.91</v>
      </c>
    </row>
    <row r="31" spans="2:7" x14ac:dyDescent="0.25">
      <c r="B31" s="22" t="s">
        <v>79</v>
      </c>
      <c r="C31" s="9" t="s">
        <v>6</v>
      </c>
      <c r="D31" s="9" t="s">
        <v>6</v>
      </c>
      <c r="E31" s="9" t="s">
        <v>6</v>
      </c>
      <c r="F31" s="9" t="s">
        <v>6</v>
      </c>
      <c r="G31" s="27" t="s">
        <v>6</v>
      </c>
    </row>
    <row r="32" spans="2:7" x14ac:dyDescent="0.25">
      <c r="B32" s="22" t="s">
        <v>80</v>
      </c>
      <c r="C32" s="9">
        <v>0.64</v>
      </c>
      <c r="D32" s="9">
        <v>183.79</v>
      </c>
      <c r="E32" s="9">
        <v>81.5</v>
      </c>
      <c r="F32" s="9">
        <v>54.99</v>
      </c>
      <c r="G32" s="27">
        <v>44.55</v>
      </c>
    </row>
    <row r="33" spans="2:7" x14ac:dyDescent="0.25">
      <c r="B33" s="25" t="s">
        <v>81</v>
      </c>
      <c r="C33" s="12">
        <f>SUM(C22:C32)</f>
        <v>128.96000000000038</v>
      </c>
      <c r="D33" s="12">
        <f t="shared" ref="D33:G33" si="1">SUM(D22:D32)</f>
        <v>-452.7399999999999</v>
      </c>
      <c r="E33" s="12">
        <f t="shared" si="1"/>
        <v>208.37000000000035</v>
      </c>
      <c r="F33" s="12">
        <f t="shared" si="1"/>
        <v>2654.4299999999989</v>
      </c>
      <c r="G33" s="28">
        <f t="shared" si="1"/>
        <v>-26.069999999999865</v>
      </c>
    </row>
    <row r="34" spans="2:7" x14ac:dyDescent="0.25">
      <c r="B34" s="22" t="s">
        <v>33</v>
      </c>
      <c r="C34" s="9">
        <v>4.26</v>
      </c>
      <c r="D34" s="9">
        <v>-2.13</v>
      </c>
      <c r="E34" s="9">
        <v>5.92</v>
      </c>
      <c r="F34" s="9">
        <v>6.74</v>
      </c>
      <c r="G34" s="27">
        <v>-11.76</v>
      </c>
    </row>
    <row r="35" spans="2:7" x14ac:dyDescent="0.25">
      <c r="B35" s="40" t="s">
        <v>34</v>
      </c>
      <c r="C35" s="14">
        <f>SUM(C33:C34)</f>
        <v>133.22000000000037</v>
      </c>
      <c r="D35" s="14">
        <f t="shared" ref="D35:G35" si="2">SUM(D33:D34)</f>
        <v>-454.86999999999989</v>
      </c>
      <c r="E35" s="14">
        <f t="shared" si="2"/>
        <v>214.29000000000033</v>
      </c>
      <c r="F35" s="14">
        <f t="shared" si="2"/>
        <v>2661.1699999999987</v>
      </c>
      <c r="G35" s="36">
        <f t="shared" si="2"/>
        <v>-37.829999999999863</v>
      </c>
    </row>
    <row r="36" spans="2:7" x14ac:dyDescent="0.25">
      <c r="B36" s="23"/>
      <c r="C36" s="9"/>
      <c r="D36" s="9"/>
      <c r="E36" s="9"/>
      <c r="F36" s="9"/>
      <c r="G36" s="27"/>
    </row>
    <row r="37" spans="2:7" x14ac:dyDescent="0.25">
      <c r="B37" s="18" t="s">
        <v>82</v>
      </c>
      <c r="C37" s="9"/>
      <c r="D37" s="9"/>
      <c r="E37" s="9"/>
      <c r="F37" s="9"/>
      <c r="G37" s="27"/>
    </row>
    <row r="38" spans="2:7" x14ac:dyDescent="0.25">
      <c r="B38" s="22" t="s">
        <v>35</v>
      </c>
      <c r="C38" s="9">
        <v>-1004.22</v>
      </c>
      <c r="D38" s="9">
        <v>-3.13</v>
      </c>
      <c r="E38" s="9">
        <v>-3.56</v>
      </c>
      <c r="F38" s="9">
        <v>-0.9</v>
      </c>
      <c r="G38" s="27">
        <v>-0.56000000000000005</v>
      </c>
    </row>
    <row r="39" spans="2:7" x14ac:dyDescent="0.25">
      <c r="B39" s="22" t="s">
        <v>83</v>
      </c>
      <c r="C39" s="9" t="s">
        <v>6</v>
      </c>
      <c r="D39" s="9" t="s">
        <v>6</v>
      </c>
      <c r="E39" s="9" t="s">
        <v>6</v>
      </c>
      <c r="F39" s="9" t="s">
        <v>6</v>
      </c>
      <c r="G39" s="27" t="s">
        <v>6</v>
      </c>
    </row>
    <row r="40" spans="2:7" x14ac:dyDescent="0.25">
      <c r="B40" s="22" t="s">
        <v>84</v>
      </c>
      <c r="C40" s="9">
        <v>1.05</v>
      </c>
      <c r="D40" s="9">
        <v>0.36</v>
      </c>
      <c r="E40" s="9" t="s">
        <v>6</v>
      </c>
      <c r="F40" s="9" t="s">
        <v>6</v>
      </c>
      <c r="G40" s="27" t="s">
        <v>6</v>
      </c>
    </row>
    <row r="41" spans="2:7" ht="30" x14ac:dyDescent="0.25">
      <c r="B41" s="22" t="s">
        <v>85</v>
      </c>
      <c r="C41" s="9">
        <v>73.89</v>
      </c>
      <c r="D41" s="9">
        <v>406.89</v>
      </c>
      <c r="E41" s="9">
        <v>0.37</v>
      </c>
      <c r="F41" s="9">
        <v>-0.39</v>
      </c>
      <c r="G41" s="27">
        <v>-25.24</v>
      </c>
    </row>
    <row r="42" spans="2:7" x14ac:dyDescent="0.25">
      <c r="B42" s="22" t="s">
        <v>36</v>
      </c>
      <c r="C42" s="9">
        <v>29.44</v>
      </c>
      <c r="D42" s="9">
        <v>122.67</v>
      </c>
      <c r="E42" s="9">
        <v>3.32</v>
      </c>
      <c r="F42" s="9">
        <v>137.83000000000001</v>
      </c>
      <c r="G42" s="27">
        <v>149.15</v>
      </c>
    </row>
    <row r="43" spans="2:7" x14ac:dyDescent="0.25">
      <c r="B43" s="22" t="s">
        <v>86</v>
      </c>
      <c r="C43" s="9">
        <v>0</v>
      </c>
      <c r="D43" s="9">
        <v>0</v>
      </c>
      <c r="E43" s="9" t="s">
        <v>6</v>
      </c>
      <c r="F43" s="9" t="s">
        <v>6</v>
      </c>
      <c r="G43" s="27" t="s">
        <v>6</v>
      </c>
    </row>
    <row r="44" spans="2:7" x14ac:dyDescent="0.25">
      <c r="B44" s="22" t="s">
        <v>87</v>
      </c>
      <c r="C44" s="9" t="s">
        <v>6</v>
      </c>
      <c r="D44" s="9">
        <v>12.88</v>
      </c>
      <c r="E44" s="9" t="s">
        <v>6</v>
      </c>
      <c r="F44" s="9" t="s">
        <v>6</v>
      </c>
      <c r="G44" s="27" t="s">
        <v>6</v>
      </c>
    </row>
    <row r="45" spans="2:7" x14ac:dyDescent="0.25">
      <c r="B45" s="40" t="s">
        <v>37</v>
      </c>
      <c r="C45" s="14">
        <f>SUM(C38:C44)</f>
        <v>-899.84</v>
      </c>
      <c r="D45" s="14">
        <f t="shared" ref="D45:G45" si="3">SUM(D38:D44)</f>
        <v>539.66999999999996</v>
      </c>
      <c r="E45" s="14">
        <f t="shared" si="3"/>
        <v>0.12999999999999989</v>
      </c>
      <c r="F45" s="14">
        <f t="shared" si="3"/>
        <v>136.54000000000002</v>
      </c>
      <c r="G45" s="36">
        <f t="shared" si="3"/>
        <v>123.35000000000001</v>
      </c>
    </row>
    <row r="46" spans="2:7" x14ac:dyDescent="0.25">
      <c r="B46" s="23"/>
      <c r="C46" s="9"/>
      <c r="D46" s="27"/>
      <c r="E46" s="9"/>
      <c r="F46" s="9"/>
      <c r="G46" s="27"/>
    </row>
    <row r="47" spans="2:7" x14ac:dyDescent="0.25">
      <c r="B47" s="18" t="s">
        <v>88</v>
      </c>
      <c r="C47" s="9"/>
      <c r="D47" s="27"/>
      <c r="E47" s="9"/>
      <c r="F47" s="9"/>
      <c r="G47" s="27"/>
    </row>
    <row r="48" spans="2:7" x14ac:dyDescent="0.25">
      <c r="B48" s="22" t="s">
        <v>89</v>
      </c>
      <c r="C48" s="9">
        <v>2616.77</v>
      </c>
      <c r="D48" s="27" t="s">
        <v>6</v>
      </c>
      <c r="E48" s="27" t="s">
        <v>6</v>
      </c>
      <c r="F48" s="39" t="s">
        <v>6</v>
      </c>
      <c r="G48" s="27" t="s">
        <v>6</v>
      </c>
    </row>
    <row r="49" spans="2:7" x14ac:dyDescent="0.25">
      <c r="B49" s="22" t="s">
        <v>90</v>
      </c>
      <c r="C49" s="9">
        <v>-81.349999999999994</v>
      </c>
      <c r="D49" s="27">
        <v>-29.14</v>
      </c>
      <c r="E49" s="27">
        <v>-79.62</v>
      </c>
      <c r="F49" s="39" t="s">
        <v>6</v>
      </c>
      <c r="G49" s="27" t="s">
        <v>6</v>
      </c>
    </row>
    <row r="50" spans="2:7" x14ac:dyDescent="0.25">
      <c r="B50" s="22" t="s">
        <v>91</v>
      </c>
      <c r="C50" s="9">
        <v>488</v>
      </c>
      <c r="D50" s="27">
        <v>3.45</v>
      </c>
      <c r="E50" s="27">
        <v>4.2</v>
      </c>
      <c r="F50" s="39" t="s">
        <v>6</v>
      </c>
      <c r="G50" s="27" t="s">
        <v>6</v>
      </c>
    </row>
    <row r="51" spans="2:7" x14ac:dyDescent="0.25">
      <c r="B51" s="22" t="s">
        <v>92</v>
      </c>
      <c r="C51" s="9">
        <v>-6.11</v>
      </c>
      <c r="D51" s="27">
        <v>2.2599999999999998</v>
      </c>
      <c r="E51" s="27">
        <v>2.81</v>
      </c>
      <c r="F51" s="39" t="s">
        <v>6</v>
      </c>
      <c r="G51" s="27" t="s">
        <v>6</v>
      </c>
    </row>
    <row r="52" spans="2:7" x14ac:dyDescent="0.25">
      <c r="B52" s="22" t="s">
        <v>38</v>
      </c>
      <c r="C52" s="9">
        <v>-2277.5</v>
      </c>
      <c r="D52" s="27">
        <v>-101.7</v>
      </c>
      <c r="E52" s="9">
        <v>-90.05</v>
      </c>
      <c r="F52" s="9">
        <v>-7.15</v>
      </c>
      <c r="G52" s="27">
        <v>-7.35</v>
      </c>
    </row>
    <row r="53" spans="2:7" x14ac:dyDescent="0.25">
      <c r="B53" s="41" t="s">
        <v>93</v>
      </c>
      <c r="C53" s="14">
        <f>SUM(C48:C52)</f>
        <v>739.81</v>
      </c>
      <c r="D53" s="14">
        <f t="shared" ref="D53:G53" si="4">SUM(D48:D52)</f>
        <v>-125.13</v>
      </c>
      <c r="E53" s="14">
        <f t="shared" si="4"/>
        <v>-162.66</v>
      </c>
      <c r="F53" s="14">
        <f t="shared" si="4"/>
        <v>-7.15</v>
      </c>
      <c r="G53" s="36">
        <f t="shared" si="4"/>
        <v>-7.35</v>
      </c>
    </row>
    <row r="54" spans="2:7" x14ac:dyDescent="0.25">
      <c r="B54" s="23"/>
      <c r="C54" s="9"/>
      <c r="D54" s="9"/>
      <c r="E54" s="9"/>
      <c r="F54" s="9"/>
      <c r="G54" s="27"/>
    </row>
    <row r="55" spans="2:7" ht="17.25" customHeight="1" x14ac:dyDescent="0.25">
      <c r="B55" s="40" t="s">
        <v>94</v>
      </c>
      <c r="C55" s="14">
        <f>C53+C45+C35</f>
        <v>-26.809999999999718</v>
      </c>
      <c r="D55" s="14">
        <f t="shared" ref="D55:G55" si="5">D53+D45+D35</f>
        <v>-40.329999999999927</v>
      </c>
      <c r="E55" s="14">
        <f t="shared" si="5"/>
        <v>51.760000000000332</v>
      </c>
      <c r="F55" s="14">
        <f t="shared" si="5"/>
        <v>2790.5599999999986</v>
      </c>
      <c r="G55" s="36">
        <f t="shared" si="5"/>
        <v>78.170000000000158</v>
      </c>
    </row>
    <row r="56" spans="2:7" x14ac:dyDescent="0.25">
      <c r="B56" s="22" t="s">
        <v>39</v>
      </c>
      <c r="C56" s="9">
        <v>97.21</v>
      </c>
      <c r="D56" s="27">
        <f>C57</f>
        <v>70.400000000000276</v>
      </c>
      <c r="E56" s="27">
        <f t="shared" ref="E56:F56" si="6">D57</f>
        <v>30.070000000000348</v>
      </c>
      <c r="F56" s="27">
        <f t="shared" si="6"/>
        <v>81.83000000000068</v>
      </c>
      <c r="G56" s="27">
        <f>F57</f>
        <v>2872.3899999999994</v>
      </c>
    </row>
    <row r="57" spans="2:7" x14ac:dyDescent="0.25">
      <c r="B57" s="40" t="s">
        <v>40</v>
      </c>
      <c r="C57" s="14">
        <f>SUM(C55:C56)</f>
        <v>70.400000000000276</v>
      </c>
      <c r="D57" s="14">
        <f t="shared" ref="D57:G57" si="7">SUM(D55:D56)</f>
        <v>30.070000000000348</v>
      </c>
      <c r="E57" s="14">
        <f t="shared" si="7"/>
        <v>81.83000000000068</v>
      </c>
      <c r="F57" s="14">
        <f t="shared" si="7"/>
        <v>2872.3899999999994</v>
      </c>
      <c r="G57" s="36">
        <f t="shared" si="7"/>
        <v>2950.5599999999995</v>
      </c>
    </row>
    <row r="58" spans="2:7" x14ac:dyDescent="0.25">
      <c r="B58" s="29"/>
      <c r="C58" s="29"/>
      <c r="D58" s="29"/>
      <c r="E58" s="21"/>
      <c r="F58" s="26"/>
    </row>
    <row r="59" spans="2:7" x14ac:dyDescent="0.25">
      <c r="B59" s="30"/>
      <c r="C59" s="30"/>
      <c r="D59" s="30"/>
      <c r="E59" s="30"/>
      <c r="F59" s="26"/>
    </row>
  </sheetData>
  <mergeCells count="1"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8:J55"/>
  <sheetViews>
    <sheetView topLeftCell="A39" workbookViewId="0">
      <selection activeCell="M50" sqref="M50"/>
    </sheetView>
  </sheetViews>
  <sheetFormatPr defaultRowHeight="15" x14ac:dyDescent="0.25"/>
  <cols>
    <col min="5" max="5" width="29.28515625" customWidth="1"/>
    <col min="6" max="6" width="23" customWidth="1"/>
    <col min="7" max="7" width="26.5703125" customWidth="1"/>
  </cols>
  <sheetData>
    <row r="8" spans="4:7" x14ac:dyDescent="0.25">
      <c r="D8" s="82" t="s">
        <v>169</v>
      </c>
      <c r="E8" s="82" t="s">
        <v>166</v>
      </c>
      <c r="F8" s="94" t="s">
        <v>167</v>
      </c>
      <c r="G8" s="94" t="s">
        <v>168</v>
      </c>
    </row>
    <row r="9" spans="4:7" x14ac:dyDescent="0.25">
      <c r="D9" s="95">
        <v>1</v>
      </c>
      <c r="E9" s="96" t="s">
        <v>159</v>
      </c>
      <c r="F9" s="95">
        <v>279.45</v>
      </c>
      <c r="G9" s="97">
        <v>0.7742</v>
      </c>
    </row>
    <row r="10" spans="4:7" x14ac:dyDescent="0.25">
      <c r="D10" s="95">
        <v>2</v>
      </c>
      <c r="E10" s="96" t="s">
        <v>160</v>
      </c>
      <c r="F10" s="95">
        <v>35.86</v>
      </c>
      <c r="G10" s="97">
        <v>9.9400000000000002E-2</v>
      </c>
    </row>
    <row r="11" spans="4:7" x14ac:dyDescent="0.25">
      <c r="D11" s="95">
        <v>3</v>
      </c>
      <c r="E11" s="96" t="s">
        <v>163</v>
      </c>
      <c r="F11" s="98">
        <v>25</v>
      </c>
      <c r="G11" s="97">
        <v>6.93E-2</v>
      </c>
    </row>
    <row r="13" spans="4:7" x14ac:dyDescent="0.25">
      <c r="E13" t="s">
        <v>161</v>
      </c>
    </row>
    <row r="14" spans="4:7" x14ac:dyDescent="0.25">
      <c r="E14" t="s">
        <v>162</v>
      </c>
    </row>
    <row r="16" spans="4:7" x14ac:dyDescent="0.25">
      <c r="E16" t="s">
        <v>164</v>
      </c>
    </row>
    <row r="17" spans="5:10" x14ac:dyDescent="0.25">
      <c r="E17" t="s">
        <v>165</v>
      </c>
    </row>
    <row r="20" spans="5:10" x14ac:dyDescent="0.25">
      <c r="F20" s="82" t="s">
        <v>41</v>
      </c>
      <c r="G20" s="82" t="s">
        <v>177</v>
      </c>
    </row>
    <row r="21" spans="5:10" x14ac:dyDescent="0.25">
      <c r="F21" s="32" t="s">
        <v>170</v>
      </c>
      <c r="G21" s="32" t="s">
        <v>171</v>
      </c>
    </row>
    <row r="22" spans="5:10" x14ac:dyDescent="0.25">
      <c r="F22" s="32" t="s">
        <v>172</v>
      </c>
      <c r="G22" s="32" t="s">
        <v>173</v>
      </c>
    </row>
    <row r="23" spans="5:10" x14ac:dyDescent="0.25">
      <c r="F23" s="32" t="s">
        <v>174</v>
      </c>
      <c r="G23" s="32" t="s">
        <v>175</v>
      </c>
    </row>
    <row r="24" spans="5:10" x14ac:dyDescent="0.25">
      <c r="F24" s="32" t="s">
        <v>176</v>
      </c>
      <c r="G24" s="32" t="s">
        <v>178</v>
      </c>
    </row>
    <row r="27" spans="5:10" x14ac:dyDescent="0.25">
      <c r="E27" s="3" t="s">
        <v>41</v>
      </c>
      <c r="F27" s="51">
        <v>2018</v>
      </c>
      <c r="G27" s="51">
        <f>F27+1</f>
        <v>2019</v>
      </c>
      <c r="H27" s="51">
        <f t="shared" ref="H27:J27" si="0">G27+1</f>
        <v>2020</v>
      </c>
      <c r="I27" s="51">
        <f t="shared" si="0"/>
        <v>2021</v>
      </c>
      <c r="J27" s="52">
        <f t="shared" si="0"/>
        <v>2022</v>
      </c>
    </row>
    <row r="28" spans="5:10" hidden="1" x14ac:dyDescent="0.25">
      <c r="E28" s="15" t="s">
        <v>123</v>
      </c>
      <c r="F28" s="9">
        <v>2746.73</v>
      </c>
      <c r="G28" s="9">
        <v>3674.45</v>
      </c>
      <c r="H28" s="27">
        <v>4427.0600000000004</v>
      </c>
      <c r="I28" s="27">
        <v>4275.6899999999996</v>
      </c>
      <c r="J28" s="27">
        <v>4192.55</v>
      </c>
    </row>
    <row r="29" spans="5:10" hidden="1" x14ac:dyDescent="0.25">
      <c r="E29" s="15" t="s">
        <v>124</v>
      </c>
      <c r="F29" s="9">
        <v>58.33</v>
      </c>
      <c r="G29" s="9">
        <v>226.46</v>
      </c>
      <c r="H29" s="27">
        <v>343.65</v>
      </c>
      <c r="I29" s="27">
        <v>236.16</v>
      </c>
      <c r="J29" s="27">
        <v>79.78</v>
      </c>
    </row>
    <row r="30" spans="5:10" x14ac:dyDescent="0.25">
      <c r="E30" s="44" t="s">
        <v>125</v>
      </c>
      <c r="F30" s="14">
        <f>SUM(F28:F29)</f>
        <v>2805.06</v>
      </c>
      <c r="G30" s="14">
        <f t="shared" ref="G30:J30" si="1">SUM(G28:G29)</f>
        <v>3900.91</v>
      </c>
      <c r="H30" s="36">
        <f t="shared" si="1"/>
        <v>4770.71</v>
      </c>
      <c r="I30" s="36">
        <f t="shared" si="1"/>
        <v>4511.8499999999995</v>
      </c>
      <c r="J30" s="36">
        <f t="shared" si="1"/>
        <v>4272.33</v>
      </c>
    </row>
    <row r="31" spans="5:10" hidden="1" x14ac:dyDescent="0.25">
      <c r="E31" s="16" t="s">
        <v>126</v>
      </c>
      <c r="F31" s="9"/>
      <c r="G31" s="9"/>
      <c r="H31" s="9"/>
      <c r="I31" s="9"/>
      <c r="J31" s="54"/>
    </row>
    <row r="32" spans="5:10" hidden="1" x14ac:dyDescent="0.25">
      <c r="E32" s="50" t="s">
        <v>18</v>
      </c>
      <c r="F32" s="9">
        <v>1755.07</v>
      </c>
      <c r="G32" s="9">
        <v>1726.08</v>
      </c>
      <c r="H32" s="27">
        <v>2800.58</v>
      </c>
      <c r="I32" s="27">
        <v>2108.5300000000002</v>
      </c>
      <c r="J32" s="27">
        <v>2012.61</v>
      </c>
    </row>
    <row r="33" spans="5:10" hidden="1" x14ac:dyDescent="0.25">
      <c r="E33" s="47" t="s">
        <v>19</v>
      </c>
      <c r="F33" s="9">
        <v>55.92</v>
      </c>
      <c r="G33" s="9">
        <v>77.819999999999993</v>
      </c>
      <c r="H33" s="27">
        <v>65.42</v>
      </c>
      <c r="I33" s="27">
        <v>76.28</v>
      </c>
      <c r="J33" s="27">
        <v>79.650000000000006</v>
      </c>
    </row>
    <row r="34" spans="5:10" hidden="1" x14ac:dyDescent="0.25">
      <c r="E34" s="50" t="s">
        <v>21</v>
      </c>
      <c r="F34" s="9">
        <v>363.69</v>
      </c>
      <c r="G34" s="9">
        <v>1877.84</v>
      </c>
      <c r="H34" s="27">
        <v>1516.57</v>
      </c>
      <c r="I34" s="27">
        <v>1358.41</v>
      </c>
      <c r="J34" s="27">
        <v>689.66</v>
      </c>
    </row>
    <row r="35" spans="5:10" x14ac:dyDescent="0.25">
      <c r="E35" s="44" t="s">
        <v>23</v>
      </c>
      <c r="F35" s="14">
        <f>SUM(F32:F34)</f>
        <v>2174.6799999999998</v>
      </c>
      <c r="G35" s="14">
        <f t="shared" ref="G35:J35" si="2">SUM(G32:G34)</f>
        <v>3681.74</v>
      </c>
      <c r="H35" s="14">
        <f t="shared" si="2"/>
        <v>4382.57</v>
      </c>
      <c r="I35" s="14">
        <f t="shared" si="2"/>
        <v>3543.2200000000003</v>
      </c>
      <c r="J35" s="53">
        <f t="shared" si="2"/>
        <v>2781.9199999999996</v>
      </c>
    </row>
    <row r="36" spans="5:10" x14ac:dyDescent="0.25">
      <c r="E36" s="44" t="s">
        <v>121</v>
      </c>
      <c r="F36" s="14">
        <f>F30-F35</f>
        <v>630.38000000000011</v>
      </c>
      <c r="G36" s="14">
        <f>G30-G35</f>
        <v>219.17000000000007</v>
      </c>
      <c r="H36" s="14">
        <f>H30-H35</f>
        <v>388.14000000000033</v>
      </c>
      <c r="I36" s="14">
        <f>I30-I35</f>
        <v>968.6299999999992</v>
      </c>
      <c r="J36" s="53">
        <f>J30-J35</f>
        <v>1490.4100000000003</v>
      </c>
    </row>
    <row r="37" spans="5:10" ht="30" x14ac:dyDescent="0.25">
      <c r="E37" s="64" t="s">
        <v>22</v>
      </c>
      <c r="F37" s="9">
        <v>518.82000000000005</v>
      </c>
      <c r="G37" s="9">
        <v>697.91</v>
      </c>
      <c r="H37" s="27">
        <v>695.21</v>
      </c>
      <c r="I37" s="27">
        <v>679.41</v>
      </c>
      <c r="J37" s="27">
        <v>672.38</v>
      </c>
    </row>
    <row r="38" spans="5:10" x14ac:dyDescent="0.25">
      <c r="E38" s="44" t="s">
        <v>122</v>
      </c>
      <c r="F38" s="14">
        <f>F36-F37</f>
        <v>111.56000000000006</v>
      </c>
      <c r="G38" s="14">
        <f t="shared" ref="G38:J38" si="3">G36-G37</f>
        <v>-478.7399999999999</v>
      </c>
      <c r="H38" s="14">
        <f t="shared" si="3"/>
        <v>-307.06999999999971</v>
      </c>
      <c r="I38" s="14">
        <f t="shared" si="3"/>
        <v>289.21999999999923</v>
      </c>
      <c r="J38" s="53">
        <f t="shared" si="3"/>
        <v>818.03000000000031</v>
      </c>
    </row>
    <row r="39" spans="5:10" x14ac:dyDescent="0.25">
      <c r="E39" s="15" t="s">
        <v>20</v>
      </c>
      <c r="F39" s="9">
        <v>1851.45</v>
      </c>
      <c r="G39" s="9">
        <v>76.78</v>
      </c>
      <c r="H39" s="27">
        <v>54.97</v>
      </c>
      <c r="I39" s="27">
        <v>36.31</v>
      </c>
      <c r="J39" s="27">
        <v>38.94</v>
      </c>
    </row>
    <row r="40" spans="5:10" x14ac:dyDescent="0.25">
      <c r="E40" s="44" t="s">
        <v>66</v>
      </c>
      <c r="F40" s="14">
        <f>F38-F39</f>
        <v>-1739.8899999999999</v>
      </c>
      <c r="G40" s="14">
        <f>G38-G39</f>
        <v>-555.51999999999987</v>
      </c>
      <c r="H40" s="14">
        <f>H38-H39</f>
        <v>-362.03999999999974</v>
      </c>
      <c r="I40" s="14">
        <f>I38-I39</f>
        <v>252.90999999999923</v>
      </c>
      <c r="J40" s="53">
        <f>J38-J39</f>
        <v>779.09000000000037</v>
      </c>
    </row>
    <row r="41" spans="5:10" hidden="1" x14ac:dyDescent="0.25">
      <c r="E41" s="16" t="s">
        <v>127</v>
      </c>
      <c r="F41" s="9"/>
      <c r="G41" s="9"/>
      <c r="H41" s="27"/>
      <c r="I41" s="27"/>
      <c r="J41" s="27"/>
    </row>
    <row r="42" spans="5:10" x14ac:dyDescent="0.25">
      <c r="E42" s="15" t="s">
        <v>42</v>
      </c>
      <c r="F42" s="9">
        <v>-178.74</v>
      </c>
      <c r="G42" s="9">
        <v>153.97</v>
      </c>
      <c r="H42" s="27">
        <v>162.09</v>
      </c>
      <c r="I42" s="27">
        <v>166.96</v>
      </c>
      <c r="J42" s="27">
        <v>447.67</v>
      </c>
    </row>
    <row r="43" spans="5:10" x14ac:dyDescent="0.25">
      <c r="E43" s="44" t="s">
        <v>24</v>
      </c>
      <c r="F43" s="14">
        <f>SUM(F42)</f>
        <v>-178.74</v>
      </c>
      <c r="G43" s="14">
        <f t="shared" ref="G43:J43" si="4">SUM(G42)</f>
        <v>153.97</v>
      </c>
      <c r="H43" s="36">
        <f t="shared" si="4"/>
        <v>162.09</v>
      </c>
      <c r="I43" s="36">
        <f t="shared" si="4"/>
        <v>166.96</v>
      </c>
      <c r="J43" s="36">
        <f t="shared" si="4"/>
        <v>447.67</v>
      </c>
    </row>
    <row r="44" spans="5:10" x14ac:dyDescent="0.25">
      <c r="E44" s="44" t="s">
        <v>215</v>
      </c>
      <c r="F44" s="14">
        <f>F40-F43</f>
        <v>-1561.1499999999999</v>
      </c>
      <c r="G44" s="14">
        <f>G40-G43</f>
        <v>-709.4899999999999</v>
      </c>
      <c r="H44" s="36">
        <f>H40-H43</f>
        <v>-524.12999999999977</v>
      </c>
      <c r="I44" s="36">
        <f>I40-I43</f>
        <v>85.949999999999221</v>
      </c>
      <c r="J44" s="36">
        <f>J40-J43</f>
        <v>331.42000000000036</v>
      </c>
    </row>
    <row r="49" spans="5:9" ht="60" x14ac:dyDescent="0.25">
      <c r="E49" s="138" t="s">
        <v>154</v>
      </c>
      <c r="F49" s="137" t="s">
        <v>226</v>
      </c>
      <c r="G49" s="137" t="s">
        <v>225</v>
      </c>
      <c r="H49" s="137" t="s">
        <v>224</v>
      </c>
      <c r="I49" s="137" t="s">
        <v>223</v>
      </c>
    </row>
    <row r="50" spans="5:9" x14ac:dyDescent="0.25">
      <c r="E50" s="136">
        <v>1</v>
      </c>
      <c r="F50" s="135" t="s">
        <v>222</v>
      </c>
      <c r="G50" s="104">
        <v>306395479925.90002</v>
      </c>
      <c r="H50" s="104">
        <v>295015527422.88</v>
      </c>
      <c r="I50" s="104">
        <v>1833803022</v>
      </c>
    </row>
    <row r="51" spans="5:9" ht="30" x14ac:dyDescent="0.25">
      <c r="E51" s="136">
        <v>2</v>
      </c>
      <c r="F51" s="135" t="s">
        <v>221</v>
      </c>
      <c r="G51" s="104">
        <v>15950340270.719999</v>
      </c>
      <c r="H51" s="104">
        <v>1353897315</v>
      </c>
      <c r="I51" s="104" t="s">
        <v>6</v>
      </c>
    </row>
    <row r="52" spans="5:9" ht="45" x14ac:dyDescent="0.25">
      <c r="E52" s="136">
        <v>3</v>
      </c>
      <c r="F52" s="135" t="s">
        <v>220</v>
      </c>
      <c r="G52" s="104">
        <v>66073718926.449997</v>
      </c>
      <c r="H52" s="104">
        <v>27603924280.830002</v>
      </c>
      <c r="I52" s="104">
        <v>4441506079.75</v>
      </c>
    </row>
    <row r="53" spans="5:9" ht="45" x14ac:dyDescent="0.25">
      <c r="E53" s="136">
        <v>4</v>
      </c>
      <c r="F53" s="135" t="s">
        <v>219</v>
      </c>
      <c r="G53" s="104">
        <v>130921968.48</v>
      </c>
      <c r="H53" s="104">
        <v>116283804</v>
      </c>
      <c r="I53" s="104" t="s">
        <v>6</v>
      </c>
    </row>
    <row r="54" spans="5:9" ht="30" x14ac:dyDescent="0.25">
      <c r="E54" s="136">
        <v>5</v>
      </c>
      <c r="F54" s="135" t="s">
        <v>218</v>
      </c>
      <c r="G54" s="104">
        <v>17230145.109999999</v>
      </c>
      <c r="H54" s="104">
        <v>17100555.109999999</v>
      </c>
      <c r="I54" s="104" t="s">
        <v>6</v>
      </c>
    </row>
    <row r="55" spans="5:9" x14ac:dyDescent="0.25">
      <c r="E55" s="185" t="s">
        <v>217</v>
      </c>
      <c r="F55" s="185"/>
      <c r="G55" s="134">
        <f>SUM(G50:G54)</f>
        <v>388567691236.65997</v>
      </c>
      <c r="H55" s="134">
        <f>SUM(H50:H54)</f>
        <v>324106733377.82001</v>
      </c>
      <c r="I55" s="134">
        <f>SUM(I50:I54)</f>
        <v>6275309101.75</v>
      </c>
    </row>
  </sheetData>
  <mergeCells count="1">
    <mergeCell ref="E55:F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4"/>
  <sheetViews>
    <sheetView showGridLines="0" topLeftCell="B1" workbookViewId="0">
      <selection activeCell="D6" sqref="D6"/>
    </sheetView>
  </sheetViews>
  <sheetFormatPr defaultRowHeight="15" x14ac:dyDescent="0.25"/>
  <cols>
    <col min="2" max="2" width="21" customWidth="1"/>
    <col min="3" max="3" width="10.5703125" customWidth="1"/>
    <col min="4" max="4" width="9.85546875" bestFit="1" customWidth="1"/>
    <col min="5" max="5" width="9.85546875" customWidth="1"/>
  </cols>
  <sheetData>
    <row r="2" spans="2:23" x14ac:dyDescent="0.25">
      <c r="B2" s="186" t="s">
        <v>235</v>
      </c>
      <c r="C2" s="186"/>
      <c r="D2" s="186"/>
      <c r="E2" s="186"/>
      <c r="F2" s="186"/>
      <c r="G2" s="186"/>
    </row>
    <row r="3" spans="2:23" ht="9" customHeight="1" x14ac:dyDescent="0.25"/>
    <row r="4" spans="2:23" x14ac:dyDescent="0.25">
      <c r="B4" s="125" t="s">
        <v>41</v>
      </c>
      <c r="C4" s="125">
        <f>2022+1</f>
        <v>2023</v>
      </c>
      <c r="D4" s="125">
        <f t="shared" ref="D4:G4" si="0">C4+1</f>
        <v>2024</v>
      </c>
      <c r="E4" s="125">
        <f t="shared" si="0"/>
        <v>2025</v>
      </c>
      <c r="F4" s="125">
        <f t="shared" si="0"/>
        <v>2026</v>
      </c>
      <c r="G4" s="125">
        <f t="shared" si="0"/>
        <v>2027</v>
      </c>
      <c r="H4" s="125">
        <f t="shared" ref="H4" si="1">G4+1</f>
        <v>2028</v>
      </c>
      <c r="I4" s="125">
        <f t="shared" ref="I4" si="2">H4+1</f>
        <v>2029</v>
      </c>
      <c r="J4" s="125">
        <f t="shared" ref="J4" si="3">I4+1</f>
        <v>2030</v>
      </c>
      <c r="K4" s="125">
        <f t="shared" ref="K4" si="4">J4+1</f>
        <v>2031</v>
      </c>
      <c r="L4" s="125">
        <f t="shared" ref="L4" si="5">K4+1</f>
        <v>2032</v>
      </c>
      <c r="M4" s="125">
        <f t="shared" ref="M4" si="6">L4+1</f>
        <v>2033</v>
      </c>
      <c r="N4" s="125">
        <f t="shared" ref="N4" si="7">M4+1</f>
        <v>2034</v>
      </c>
      <c r="O4" s="125">
        <f t="shared" ref="O4" si="8">N4+1</f>
        <v>2035</v>
      </c>
      <c r="P4" s="125">
        <f t="shared" ref="P4" si="9">O4+1</f>
        <v>2036</v>
      </c>
      <c r="Q4" s="125">
        <f t="shared" ref="Q4" si="10">P4+1</f>
        <v>2037</v>
      </c>
      <c r="R4" s="125">
        <f t="shared" ref="R4" si="11">Q4+1</f>
        <v>2038</v>
      </c>
      <c r="S4" s="125">
        <f t="shared" ref="S4" si="12">R4+1</f>
        <v>2039</v>
      </c>
      <c r="T4" s="125">
        <f t="shared" ref="T4" si="13">S4+1</f>
        <v>2040</v>
      </c>
      <c r="U4" s="125">
        <f t="shared" ref="U4" si="14">T4+1</f>
        <v>2041</v>
      </c>
      <c r="V4" s="125">
        <f t="shared" ref="V4" si="15">U4+1</f>
        <v>2042</v>
      </c>
      <c r="W4" s="125">
        <f t="shared" ref="W4" si="16">V4+1</f>
        <v>2043</v>
      </c>
    </row>
    <row r="5" spans="2:23" x14ac:dyDescent="0.25">
      <c r="B5" s="96" t="s">
        <v>216</v>
      </c>
      <c r="C5" s="104"/>
      <c r="D5" s="104">
        <f>C7</f>
        <v>11312.470000000001</v>
      </c>
      <c r="E5" s="104">
        <f t="shared" ref="E5:F5" si="17">D7</f>
        <v>10726.942433213961</v>
      </c>
      <c r="F5" s="104">
        <f t="shared" si="17"/>
        <v>10171.721468917594</v>
      </c>
      <c r="G5" s="104">
        <f>F7</f>
        <v>9645.2384531199259</v>
      </c>
      <c r="H5" s="104">
        <f t="shared" ref="H5:T5" si="18">G7</f>
        <v>9146.0059245451339</v>
      </c>
      <c r="I5" s="104">
        <f t="shared" si="18"/>
        <v>8672.61341213983</v>
      </c>
      <c r="J5" s="104">
        <f t="shared" si="18"/>
        <v>8223.7234500991599</v>
      </c>
      <c r="K5" s="104">
        <f t="shared" si="18"/>
        <v>7798.067799153092</v>
      </c>
      <c r="L5" s="104">
        <f t="shared" si="18"/>
        <v>7394.4438634369581</v>
      </c>
      <c r="M5" s="104">
        <f t="shared" si="18"/>
        <v>7011.7112928229171</v>
      </c>
      <c r="N5" s="104">
        <f t="shared" si="18"/>
        <v>6648.7887611129718</v>
      </c>
      <c r="O5" s="104">
        <f t="shared" si="18"/>
        <v>6304.6509109910394</v>
      </c>
      <c r="P5" s="104">
        <f t="shared" si="18"/>
        <v>5978.325457102721</v>
      </c>
      <c r="Q5" s="104">
        <f t="shared" si="18"/>
        <v>5668.8904390781518</v>
      </c>
      <c r="R5" s="104">
        <f t="shared" si="18"/>
        <v>5375.4716167369579</v>
      </c>
      <c r="S5" s="104">
        <f t="shared" si="18"/>
        <v>5097.2400001160595</v>
      </c>
      <c r="T5" s="104">
        <f t="shared" si="18"/>
        <v>4833.4095073419403</v>
      </c>
      <c r="U5" s="104">
        <f t="shared" ref="U5" si="19">T7</f>
        <v>4583.2347437302406</v>
      </c>
      <c r="V5" s="104">
        <f t="shared" ref="V5" si="20">U7</f>
        <v>4346.0088958379929</v>
      </c>
      <c r="W5" s="104">
        <f t="shared" ref="W5" si="21">V7</f>
        <v>4121.0617345186247</v>
      </c>
    </row>
    <row r="6" spans="2:23" x14ac:dyDescent="0.25">
      <c r="B6" s="96" t="s">
        <v>203</v>
      </c>
      <c r="C6" s="104"/>
      <c r="D6" s="104">
        <f>D5*BS!$M$23</f>
        <v>585.52756678604112</v>
      </c>
      <c r="E6" s="104">
        <f>E5*BS!$M$23</f>
        <v>555.22096429636542</v>
      </c>
      <c r="F6" s="104">
        <f>F5*BS!$M$23</f>
        <v>526.48301579766883</v>
      </c>
      <c r="G6" s="104">
        <f>G5*BS!$M$23</f>
        <v>499.23252857479122</v>
      </c>
      <c r="H6" s="104">
        <f>H5*BS!$M$23</f>
        <v>473.39251240530388</v>
      </c>
      <c r="I6" s="104">
        <f>I5*BS!$M$23</f>
        <v>448.88996204067013</v>
      </c>
      <c r="J6" s="104">
        <f>J5*BS!$M$23</f>
        <v>425.65565094606819</v>
      </c>
      <c r="K6" s="104">
        <f>K5*BS!$M$23</f>
        <v>403.62393571613347</v>
      </c>
      <c r="L6" s="104">
        <f>L5*BS!$M$23</f>
        <v>382.73257061404053</v>
      </c>
      <c r="M6" s="104">
        <f>M5*BS!$M$23</f>
        <v>362.92253170994564</v>
      </c>
      <c r="N6" s="104">
        <f>N5*BS!$M$23</f>
        <v>344.13785012193222</v>
      </c>
      <c r="O6" s="104">
        <f>O5*BS!$M$23</f>
        <v>326.32545388831795</v>
      </c>
      <c r="P6" s="104">
        <f>P5*BS!$M$23</f>
        <v>309.43501802456962</v>
      </c>
      <c r="Q6" s="104">
        <f>Q5*BS!$M$23</f>
        <v>293.41882234119356</v>
      </c>
      <c r="R6" s="104">
        <f>R5*BS!$M$23</f>
        <v>278.23161662089865</v>
      </c>
      <c r="S6" s="104">
        <f>S5*BS!$M$23</f>
        <v>263.8304927741188</v>
      </c>
      <c r="T6" s="104">
        <f>T5*BS!$M$23</f>
        <v>250.17476361169963</v>
      </c>
      <c r="U6" s="104">
        <f>U5*BS!$M$23</f>
        <v>237.22584789224743</v>
      </c>
      <c r="V6" s="104">
        <f>V5*BS!$M$23</f>
        <v>224.94716131936784</v>
      </c>
      <c r="W6" s="104">
        <f>W5*BS!$M$23</f>
        <v>213.30401318083074</v>
      </c>
    </row>
    <row r="7" spans="2:23" x14ac:dyDescent="0.25">
      <c r="B7" s="144" t="s">
        <v>202</v>
      </c>
      <c r="C7" s="145">
        <f>BS!Q20</f>
        <v>11312.470000000001</v>
      </c>
      <c r="D7" s="145">
        <f t="shared" ref="D7:G7" si="22">D5-D6</f>
        <v>10726.942433213961</v>
      </c>
      <c r="E7" s="145">
        <f t="shared" si="22"/>
        <v>10171.721468917594</v>
      </c>
      <c r="F7" s="145">
        <f t="shared" si="22"/>
        <v>9645.2384531199259</v>
      </c>
      <c r="G7" s="145">
        <f t="shared" si="22"/>
        <v>9146.0059245451339</v>
      </c>
      <c r="H7" s="145">
        <f t="shared" ref="H7:T7" si="23">H5-H6</f>
        <v>8672.61341213983</v>
      </c>
      <c r="I7" s="145">
        <f t="shared" si="23"/>
        <v>8223.7234500991599</v>
      </c>
      <c r="J7" s="145">
        <f t="shared" si="23"/>
        <v>7798.067799153092</v>
      </c>
      <c r="K7" s="145">
        <f t="shared" si="23"/>
        <v>7394.4438634369581</v>
      </c>
      <c r="L7" s="145">
        <f t="shared" si="23"/>
        <v>7011.7112928229171</v>
      </c>
      <c r="M7" s="145">
        <f t="shared" si="23"/>
        <v>6648.7887611129718</v>
      </c>
      <c r="N7" s="145">
        <f t="shared" si="23"/>
        <v>6304.6509109910394</v>
      </c>
      <c r="O7" s="145">
        <f t="shared" si="23"/>
        <v>5978.325457102721</v>
      </c>
      <c r="P7" s="145">
        <f t="shared" si="23"/>
        <v>5668.8904390781518</v>
      </c>
      <c r="Q7" s="145">
        <f t="shared" si="23"/>
        <v>5375.4716167369579</v>
      </c>
      <c r="R7" s="145">
        <f t="shared" si="23"/>
        <v>5097.2400001160595</v>
      </c>
      <c r="S7" s="145">
        <f t="shared" si="23"/>
        <v>4833.4095073419403</v>
      </c>
      <c r="T7" s="145">
        <f t="shared" si="23"/>
        <v>4583.2347437302406</v>
      </c>
      <c r="U7" s="145">
        <f t="shared" ref="U7:W7" si="24">U5-U6</f>
        <v>4346.0088958379929</v>
      </c>
      <c r="V7" s="145">
        <f t="shared" si="24"/>
        <v>4121.0617345186247</v>
      </c>
      <c r="W7" s="145">
        <f t="shared" si="24"/>
        <v>3907.757721337794</v>
      </c>
    </row>
    <row r="10" spans="2:23" ht="15.75" thickBot="1" x14ac:dyDescent="0.3"/>
    <row r="11" spans="2:23" ht="45.75" thickBot="1" x14ac:dyDescent="0.3">
      <c r="B11" s="170" t="s">
        <v>250</v>
      </c>
      <c r="C11" s="173" t="s">
        <v>251</v>
      </c>
      <c r="D11" s="173" t="s">
        <v>252</v>
      </c>
    </row>
    <row r="12" spans="2:23" ht="15.75" thickBot="1" x14ac:dyDescent="0.3">
      <c r="B12" s="171" t="s">
        <v>253</v>
      </c>
      <c r="C12" s="172">
        <v>41358</v>
      </c>
      <c r="D12" s="172">
        <v>43159</v>
      </c>
      <c r="E12" s="172">
        <f>EDATE(D12,300)</f>
        <v>52290</v>
      </c>
    </row>
    <row r="13" spans="2:23" ht="15.75" thickBot="1" x14ac:dyDescent="0.3">
      <c r="B13" s="171" t="s">
        <v>254</v>
      </c>
      <c r="C13" s="172">
        <v>41115</v>
      </c>
      <c r="D13" s="172">
        <v>41500</v>
      </c>
      <c r="E13" s="172">
        <f t="shared" ref="E13:E14" si="25">EDATE(D13,300)</f>
        <v>50631</v>
      </c>
    </row>
    <row r="14" spans="2:23" ht="15.75" thickBot="1" x14ac:dyDescent="0.3">
      <c r="B14" s="171" t="s">
        <v>255</v>
      </c>
      <c r="C14" s="172">
        <v>41238</v>
      </c>
      <c r="D14" s="172">
        <v>41877</v>
      </c>
      <c r="E14" s="172">
        <f t="shared" si="25"/>
        <v>51008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AB47"/>
  <sheetViews>
    <sheetView showGridLines="0" tabSelected="1" topLeftCell="A19" zoomScaleNormal="100" workbookViewId="0">
      <selection activeCell="I40" sqref="I40"/>
    </sheetView>
  </sheetViews>
  <sheetFormatPr defaultRowHeight="15" x14ac:dyDescent="0.25"/>
  <cols>
    <col min="1" max="1" width="7" bestFit="1" customWidth="1"/>
    <col min="2" max="2" width="34.28515625" bestFit="1" customWidth="1"/>
    <col min="3" max="4" width="9" hidden="1" customWidth="1"/>
    <col min="5" max="8" width="9" bestFit="1" customWidth="1"/>
    <col min="9" max="9" width="9.140625" bestFit="1" customWidth="1"/>
    <col min="10" max="13" width="8.7109375" bestFit="1" customWidth="1"/>
    <col min="14" max="14" width="9.28515625" customWidth="1"/>
    <col min="15" max="15" width="8.85546875" customWidth="1"/>
    <col min="16" max="16" width="9.28515625" customWidth="1"/>
    <col min="22" max="22" width="9.28515625" customWidth="1"/>
  </cols>
  <sheetData>
    <row r="1" spans="1:28" x14ac:dyDescent="0.25">
      <c r="A1" s="2"/>
      <c r="B1" s="2"/>
      <c r="C1" s="2"/>
      <c r="D1" s="2"/>
      <c r="E1" s="2"/>
      <c r="F1" s="2"/>
      <c r="G1" s="2"/>
    </row>
    <row r="2" spans="1:28" x14ac:dyDescent="0.25">
      <c r="A2" s="2"/>
      <c r="B2" s="178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28" ht="10.5" customHeight="1" x14ac:dyDescent="0.25">
      <c r="A3" s="2"/>
      <c r="B3" s="2"/>
      <c r="C3" s="2"/>
      <c r="D3" s="2"/>
      <c r="E3" s="2"/>
      <c r="F3" s="2"/>
      <c r="G3" s="2"/>
    </row>
    <row r="4" spans="1:28" x14ac:dyDescent="0.25">
      <c r="A4" s="2"/>
      <c r="B4" s="179" t="s">
        <v>107</v>
      </c>
      <c r="C4" s="179"/>
      <c r="D4" s="179"/>
      <c r="E4" s="179"/>
      <c r="F4" s="179"/>
      <c r="G4" s="17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x14ac:dyDescent="0.25">
      <c r="A5" s="2"/>
      <c r="B5" s="2"/>
      <c r="C5" s="2"/>
      <c r="D5" s="2"/>
      <c r="E5" s="2"/>
      <c r="F5" s="2"/>
      <c r="G5" s="2"/>
      <c r="H5" s="123"/>
      <c r="I5" s="123"/>
      <c r="J5" s="123">
        <v>1.4999999999999999E-2</v>
      </c>
      <c r="K5" s="123">
        <v>1.4999999999999999E-2</v>
      </c>
      <c r="L5" s="123">
        <v>1.4999999999999999E-2</v>
      </c>
      <c r="M5" s="123">
        <v>1.7500000000000002E-2</v>
      </c>
      <c r="N5" s="123">
        <v>1.7500000000000002E-2</v>
      </c>
      <c r="O5" s="123">
        <v>1.7500000000000002E-2</v>
      </c>
      <c r="P5" s="123">
        <v>1.7500000000000002E-2</v>
      </c>
      <c r="Q5" s="123">
        <v>1.7500000000000002E-2</v>
      </c>
      <c r="R5" s="123">
        <v>1.7500000000000002E-2</v>
      </c>
      <c r="S5" s="123">
        <v>1.7500000000000002E-2</v>
      </c>
      <c r="T5" s="123">
        <v>1.7500000000000002E-2</v>
      </c>
      <c r="U5" s="123">
        <v>1.7500000000000002E-2</v>
      </c>
      <c r="V5" s="123">
        <v>1.7500000000000002E-2</v>
      </c>
      <c r="W5" s="123">
        <v>1.7500000000000002E-2</v>
      </c>
      <c r="X5" s="123">
        <v>1.7500000000000002E-2</v>
      </c>
      <c r="Y5" s="123">
        <v>1.7500000000000002E-2</v>
      </c>
      <c r="Z5" s="123">
        <v>1.7500000000000002E-2</v>
      </c>
      <c r="AA5" s="123">
        <v>1.7500000000000002E-2</v>
      </c>
      <c r="AB5" s="123">
        <v>1.7500000000000002E-2</v>
      </c>
    </row>
    <row r="6" spans="1:28" ht="18" customHeight="1" x14ac:dyDescent="0.25">
      <c r="B6" s="3" t="s">
        <v>41</v>
      </c>
      <c r="C6" s="51"/>
      <c r="D6" s="51"/>
      <c r="E6" s="51">
        <v>2020</v>
      </c>
      <c r="F6" s="51">
        <f t="shared" ref="F6:I6" si="0">E6+1</f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ref="J6" si="1">I6+1</f>
        <v>2025</v>
      </c>
      <c r="K6" s="165">
        <f t="shared" ref="K6" si="2">J6+1</f>
        <v>2026</v>
      </c>
      <c r="L6" s="165">
        <f t="shared" ref="L6" si="3">K6+1</f>
        <v>2027</v>
      </c>
      <c r="M6" s="165">
        <f t="shared" ref="M6" si="4">L6+1</f>
        <v>2028</v>
      </c>
      <c r="N6" s="165">
        <f t="shared" ref="N6" si="5">M6+1</f>
        <v>2029</v>
      </c>
      <c r="O6" s="165">
        <f t="shared" ref="O6" si="6">N6+1</f>
        <v>2030</v>
      </c>
      <c r="P6" s="165">
        <f t="shared" ref="P6" si="7">O6+1</f>
        <v>2031</v>
      </c>
      <c r="Q6" s="165">
        <f t="shared" ref="Q6" si="8">P6+1</f>
        <v>2032</v>
      </c>
      <c r="R6" s="165">
        <f t="shared" ref="R6" si="9">Q6+1</f>
        <v>2033</v>
      </c>
      <c r="S6" s="165">
        <f t="shared" ref="S6" si="10">R6+1</f>
        <v>2034</v>
      </c>
      <c r="T6" s="165">
        <f t="shared" ref="T6" si="11">S6+1</f>
        <v>2035</v>
      </c>
      <c r="U6" s="165">
        <f t="shared" ref="U6" si="12">T6+1</f>
        <v>2036</v>
      </c>
      <c r="V6" s="165">
        <f t="shared" ref="V6" si="13">U6+1</f>
        <v>2037</v>
      </c>
      <c r="W6" s="165">
        <f t="shared" ref="W6" si="14">V6+1</f>
        <v>2038</v>
      </c>
      <c r="X6" s="165">
        <f t="shared" ref="X6" si="15">W6+1</f>
        <v>2039</v>
      </c>
      <c r="Y6" s="165">
        <f t="shared" ref="Y6" si="16">X6+1</f>
        <v>2040</v>
      </c>
      <c r="Z6" s="165">
        <f t="shared" ref="Z6" si="17">Y6+1</f>
        <v>2041</v>
      </c>
      <c r="AA6" s="165">
        <f t="shared" ref="AA6" si="18">Z6+1</f>
        <v>2042</v>
      </c>
      <c r="AB6" s="165">
        <f t="shared" ref="AB6" si="19">AA6+1</f>
        <v>2043</v>
      </c>
    </row>
    <row r="7" spans="1:28" ht="18" customHeight="1" x14ac:dyDescent="0.25">
      <c r="B7" s="3" t="s">
        <v>238</v>
      </c>
      <c r="C7" s="146"/>
      <c r="D7" s="146"/>
      <c r="E7" s="147"/>
      <c r="F7" s="147"/>
      <c r="G7" s="148"/>
      <c r="H7" s="149"/>
      <c r="I7" s="149">
        <v>0.5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>
        <v>12</v>
      </c>
      <c r="W7" s="149">
        <v>12</v>
      </c>
      <c r="X7" s="149">
        <v>12</v>
      </c>
      <c r="Y7" s="149">
        <v>12</v>
      </c>
      <c r="Z7" s="149">
        <v>12</v>
      </c>
      <c r="AA7" s="149">
        <v>12</v>
      </c>
      <c r="AB7" s="149">
        <v>11</v>
      </c>
    </row>
    <row r="8" spans="1:28" x14ac:dyDescent="0.25">
      <c r="B8" s="15" t="s">
        <v>123</v>
      </c>
      <c r="C8" s="9"/>
      <c r="D8" s="9"/>
      <c r="E8" s="9">
        <f>'P&amp;L'!E7</f>
        <v>4427.0600000000004</v>
      </c>
      <c r="F8" s="9">
        <f>'P&amp;L'!F7</f>
        <v>4275.6899999999996</v>
      </c>
      <c r="G8" s="9">
        <f>'P&amp;L'!G7</f>
        <v>4192.55</v>
      </c>
      <c r="H8" s="9">
        <f>'P&amp;L'!H7</f>
        <v>5116.1899999999996</v>
      </c>
      <c r="I8" s="27">
        <f>'P&amp;L'!I7*2</f>
        <v>5388.42</v>
      </c>
      <c r="J8" s="27">
        <f>Sheet1!D8</f>
        <v>5469.2462999999998</v>
      </c>
      <c r="K8" s="27">
        <f>Sheet1!E8</f>
        <v>5551.2849944999998</v>
      </c>
      <c r="L8" s="27">
        <f>Sheet1!F8</f>
        <v>5634.5542694174992</v>
      </c>
      <c r="M8" s="27">
        <f>Sheet1!G8</f>
        <v>5733.1589691323061</v>
      </c>
      <c r="N8" s="27">
        <f>Sheet1!H8</f>
        <v>5833.4892510921218</v>
      </c>
      <c r="O8" s="27">
        <f>Sheet1!I8</f>
        <v>5935.5753129862342</v>
      </c>
      <c r="P8" s="27">
        <f>Sheet1!J8</f>
        <v>6039.4478809634929</v>
      </c>
      <c r="Q8" s="27">
        <f>Sheet1!K8</f>
        <v>6145.1382188803545</v>
      </c>
      <c r="R8" s="27">
        <f>Sheet1!L8</f>
        <v>6252.6781377107618</v>
      </c>
      <c r="S8" s="27">
        <f>Sheet1!M8</f>
        <v>6362.1000051207011</v>
      </c>
      <c r="T8" s="27">
        <f>Sheet1!N8</f>
        <v>6473.436755210314</v>
      </c>
      <c r="U8" s="27">
        <f>Sheet1!O8</f>
        <v>6586.7218984264964</v>
      </c>
      <c r="V8" s="27">
        <f>Sheet1!P8</f>
        <v>6701.9895316489601</v>
      </c>
      <c r="W8" s="27">
        <f>Sheet1!Q8</f>
        <v>6819.2743484528182</v>
      </c>
      <c r="X8" s="27">
        <f>Sheet1!R8</f>
        <v>5493.0675558943385</v>
      </c>
      <c r="Y8" s="27">
        <f>Sheet1!S8</f>
        <v>3333.9065280028885</v>
      </c>
      <c r="Z8" s="27">
        <f>Sheet1!T8</f>
        <v>2394.5293357008982</v>
      </c>
      <c r="AA8" s="27">
        <f>Sheet1!U8</f>
        <v>2436.433599075664</v>
      </c>
      <c r="AB8" s="27">
        <f>Sheet1!V8</f>
        <v>2272.4819214711974</v>
      </c>
    </row>
    <row r="9" spans="1:28" x14ac:dyDescent="0.25">
      <c r="B9" s="15" t="s">
        <v>240</v>
      </c>
      <c r="C9" s="9"/>
      <c r="D9" s="9"/>
      <c r="E9" s="9">
        <f>'P&amp;L'!E8</f>
        <v>343.65</v>
      </c>
      <c r="F9" s="9">
        <f>'P&amp;L'!F8</f>
        <v>236.16</v>
      </c>
      <c r="G9" s="9">
        <f>'P&amp;L'!G8</f>
        <v>79.78</v>
      </c>
      <c r="H9" s="9">
        <f>'P&amp;L'!H8</f>
        <v>650.97</v>
      </c>
      <c r="I9" s="27">
        <f>'P&amp;L'!I8*2</f>
        <v>413.64</v>
      </c>
      <c r="J9" s="27">
        <f t="shared" ref="J9:AB9" si="20">J8*$I$44</f>
        <v>367.35002746411908</v>
      </c>
      <c r="K9" s="27">
        <f t="shared" si="20"/>
        <v>372.86027787608083</v>
      </c>
      <c r="L9" s="27">
        <f t="shared" si="20"/>
        <v>378.45318204422199</v>
      </c>
      <c r="M9" s="27">
        <f t="shared" si="20"/>
        <v>385.07611272999594</v>
      </c>
      <c r="N9" s="27">
        <f t="shared" si="20"/>
        <v>391.8149447027709</v>
      </c>
      <c r="O9" s="27">
        <f t="shared" si="20"/>
        <v>398.67170623506939</v>
      </c>
      <c r="P9" s="27">
        <f t="shared" si="20"/>
        <v>405.64846109418312</v>
      </c>
      <c r="Q9" s="27">
        <f t="shared" si="20"/>
        <v>412.74730916333135</v>
      </c>
      <c r="R9" s="27">
        <f t="shared" si="20"/>
        <v>419.97038707368972</v>
      </c>
      <c r="S9" s="27">
        <f t="shared" si="20"/>
        <v>427.31986884747931</v>
      </c>
      <c r="T9" s="27">
        <f t="shared" si="20"/>
        <v>434.79796655231024</v>
      </c>
      <c r="U9" s="27">
        <f t="shared" si="20"/>
        <v>442.40693096697584</v>
      </c>
      <c r="V9" s="27">
        <f t="shared" si="20"/>
        <v>450.14905225889788</v>
      </c>
      <c r="W9" s="27">
        <f t="shared" si="20"/>
        <v>458.02666067342869</v>
      </c>
      <c r="X9" s="27">
        <f t="shared" si="20"/>
        <v>368.9500173945442</v>
      </c>
      <c r="Y9" s="27">
        <f t="shared" si="20"/>
        <v>223.9267693291975</v>
      </c>
      <c r="Z9" s="27">
        <f t="shared" si="20"/>
        <v>160.83210902997067</v>
      </c>
      <c r="AA9" s="27">
        <f t="shared" si="20"/>
        <v>163.64667093799517</v>
      </c>
      <c r="AB9" s="27">
        <f t="shared" si="20"/>
        <v>152.63461370612592</v>
      </c>
    </row>
    <row r="10" spans="1:28" x14ac:dyDescent="0.25">
      <c r="B10" s="44" t="s">
        <v>239</v>
      </c>
      <c r="C10" s="14"/>
      <c r="D10" s="14"/>
      <c r="E10" s="14">
        <f t="shared" ref="E10:M10" si="21">SUM(E8:E9)</f>
        <v>4770.71</v>
      </c>
      <c r="F10" s="14">
        <f t="shared" si="21"/>
        <v>4511.8499999999995</v>
      </c>
      <c r="G10" s="14">
        <f t="shared" si="21"/>
        <v>4272.33</v>
      </c>
      <c r="H10" s="14">
        <f t="shared" si="21"/>
        <v>5767.16</v>
      </c>
      <c r="I10" s="14">
        <f t="shared" si="21"/>
        <v>5802.06</v>
      </c>
      <c r="J10" s="14">
        <f t="shared" si="21"/>
        <v>5836.596327464119</v>
      </c>
      <c r="K10" s="14">
        <f t="shared" si="21"/>
        <v>5924.1452723760804</v>
      </c>
      <c r="L10" s="14">
        <f t="shared" si="21"/>
        <v>6013.0074514617208</v>
      </c>
      <c r="M10" s="14">
        <f t="shared" si="21"/>
        <v>6118.2350818623017</v>
      </c>
      <c r="N10" s="14">
        <f t="shared" ref="N10:AB10" si="22">SUM(N8:N9)</f>
        <v>6225.3041957948926</v>
      </c>
      <c r="O10" s="14">
        <f t="shared" si="22"/>
        <v>6334.2470192213032</v>
      </c>
      <c r="P10" s="14">
        <f t="shared" si="22"/>
        <v>6445.0963420576763</v>
      </c>
      <c r="Q10" s="14">
        <f t="shared" si="22"/>
        <v>6557.8855280436856</v>
      </c>
      <c r="R10" s="14">
        <f t="shared" si="22"/>
        <v>6672.6485247844512</v>
      </c>
      <c r="S10" s="14">
        <f t="shared" si="22"/>
        <v>6789.4198739681806</v>
      </c>
      <c r="T10" s="14">
        <f t="shared" si="22"/>
        <v>6908.2347217626238</v>
      </c>
      <c r="U10" s="14">
        <f t="shared" si="22"/>
        <v>7029.1288293934722</v>
      </c>
      <c r="V10" s="14">
        <f t="shared" si="22"/>
        <v>7152.1385839078575</v>
      </c>
      <c r="W10" s="14">
        <f t="shared" si="22"/>
        <v>7277.3010091262468</v>
      </c>
      <c r="X10" s="14">
        <f t="shared" si="22"/>
        <v>5862.0175732888829</v>
      </c>
      <c r="Y10" s="14">
        <f t="shared" si="22"/>
        <v>3557.8332973320862</v>
      </c>
      <c r="Z10" s="14">
        <f t="shared" si="22"/>
        <v>2555.3614447308687</v>
      </c>
      <c r="AA10" s="14">
        <f t="shared" si="22"/>
        <v>2600.0802700136592</v>
      </c>
      <c r="AB10" s="14">
        <f t="shared" si="22"/>
        <v>2425.1165351773234</v>
      </c>
    </row>
    <row r="11" spans="1:28" ht="15.75" hidden="1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7.25" customHeight="1" x14ac:dyDescent="0.25">
      <c r="B12" s="50" t="s">
        <v>18</v>
      </c>
      <c r="C12" s="9"/>
      <c r="D12" s="9"/>
      <c r="E12" s="9">
        <f>'P&amp;L'!E11</f>
        <v>2800.58</v>
      </c>
      <c r="F12" s="9">
        <f>'P&amp;L'!F11</f>
        <v>2108.5300000000002</v>
      </c>
      <c r="G12" s="9">
        <f>'P&amp;L'!G11</f>
        <v>2012.61</v>
      </c>
      <c r="H12" s="9">
        <f>'P&amp;L'!H11</f>
        <v>3181.98</v>
      </c>
      <c r="I12" s="27">
        <f>'P&amp;L'!I11*2</f>
        <v>1955.8</v>
      </c>
      <c r="J12" s="27">
        <f>J8*$J$45</f>
        <v>2844.0080760000001</v>
      </c>
      <c r="K12" s="27">
        <f t="shared" ref="K12:AB12" si="23">K8*$J$45</f>
        <v>2886.6681971399998</v>
      </c>
      <c r="L12" s="27">
        <f t="shared" si="23"/>
        <v>2929.9682200970997</v>
      </c>
      <c r="M12" s="27">
        <f t="shared" si="23"/>
        <v>2981.2426639487994</v>
      </c>
      <c r="N12" s="27">
        <f t="shared" si="23"/>
        <v>3033.4144105679034</v>
      </c>
      <c r="O12" s="27">
        <f t="shared" si="23"/>
        <v>3086.499162752842</v>
      </c>
      <c r="P12" s="27">
        <f t="shared" si="23"/>
        <v>3140.5128981010166</v>
      </c>
      <c r="Q12" s="27">
        <f t="shared" si="23"/>
        <v>3195.4718738177844</v>
      </c>
      <c r="R12" s="27">
        <f t="shared" si="23"/>
        <v>3251.3926316095963</v>
      </c>
      <c r="S12" s="27">
        <f t="shared" si="23"/>
        <v>3308.2920026627648</v>
      </c>
      <c r="T12" s="27">
        <f t="shared" si="23"/>
        <v>3366.1871127093632</v>
      </c>
      <c r="U12" s="27">
        <f t="shared" si="23"/>
        <v>3425.0953871817783</v>
      </c>
      <c r="V12" s="27">
        <f t="shared" si="23"/>
        <v>3485.0345564574595</v>
      </c>
      <c r="W12" s="27">
        <f t="shared" si="23"/>
        <v>3546.0226611954654</v>
      </c>
      <c r="X12" s="27">
        <f t="shared" si="23"/>
        <v>2856.3951290650562</v>
      </c>
      <c r="Y12" s="27">
        <f t="shared" si="23"/>
        <v>1733.631394561502</v>
      </c>
      <c r="Z12" s="27">
        <f t="shared" si="23"/>
        <v>1245.155254564467</v>
      </c>
      <c r="AA12" s="27">
        <f t="shared" si="23"/>
        <v>1266.9454715193453</v>
      </c>
      <c r="AB12" s="27">
        <f t="shared" si="23"/>
        <v>1181.6905991650226</v>
      </c>
    </row>
    <row r="13" spans="1:28" ht="16.5" customHeight="1" x14ac:dyDescent="0.25">
      <c r="B13" s="47" t="s">
        <v>19</v>
      </c>
      <c r="C13" s="9"/>
      <c r="D13" s="9"/>
      <c r="E13" s="9">
        <f>'P&amp;L'!E12</f>
        <v>65.42</v>
      </c>
      <c r="F13" s="9">
        <f>'P&amp;L'!F12</f>
        <v>76.28</v>
      </c>
      <c r="G13" s="9">
        <f>'P&amp;L'!G12</f>
        <v>79.650000000000006</v>
      </c>
      <c r="H13" s="9">
        <f>'P&amp;L'!H12</f>
        <v>81.209999999999994</v>
      </c>
      <c r="I13" s="27">
        <f>'P&amp;L'!I12*2</f>
        <v>81.040000000000006</v>
      </c>
      <c r="J13" s="27">
        <f>J8*$J$46</f>
        <v>82.038694499999991</v>
      </c>
      <c r="K13" s="27">
        <f t="shared" ref="K13:AB13" si="24">K8*$J$46</f>
        <v>83.269274917499999</v>
      </c>
      <c r="L13" s="27">
        <f t="shared" si="24"/>
        <v>84.518314041262485</v>
      </c>
      <c r="M13" s="27">
        <f t="shared" si="24"/>
        <v>85.997384536984583</v>
      </c>
      <c r="N13" s="27">
        <f t="shared" si="24"/>
        <v>87.502338766381826</v>
      </c>
      <c r="O13" s="27">
        <f t="shared" si="24"/>
        <v>89.033629694793504</v>
      </c>
      <c r="P13" s="27">
        <f t="shared" si="24"/>
        <v>90.591718214452385</v>
      </c>
      <c r="Q13" s="27">
        <f t="shared" si="24"/>
        <v>92.177073283205317</v>
      </c>
      <c r="R13" s="27">
        <f t="shared" si="24"/>
        <v>93.790172065661423</v>
      </c>
      <c r="S13" s="27">
        <f t="shared" si="24"/>
        <v>95.431500076810508</v>
      </c>
      <c r="T13" s="27">
        <f t="shared" si="24"/>
        <v>97.101551328154713</v>
      </c>
      <c r="U13" s="27">
        <f t="shared" si="24"/>
        <v>98.800828476397442</v>
      </c>
      <c r="V13" s="27">
        <f t="shared" si="24"/>
        <v>100.52984297473439</v>
      </c>
      <c r="W13" s="27">
        <f t="shared" si="24"/>
        <v>102.28911522679228</v>
      </c>
      <c r="X13" s="27">
        <f t="shared" si="24"/>
        <v>82.396013338415074</v>
      </c>
      <c r="Y13" s="27">
        <f t="shared" si="24"/>
        <v>50.008597920043329</v>
      </c>
      <c r="Z13" s="27">
        <f t="shared" si="24"/>
        <v>35.917940035513475</v>
      </c>
      <c r="AA13" s="27">
        <f t="shared" si="24"/>
        <v>36.546503986134958</v>
      </c>
      <c r="AB13" s="27">
        <f t="shared" si="24"/>
        <v>34.087228822067964</v>
      </c>
    </row>
    <row r="14" spans="1:28" ht="15.75" customHeight="1" x14ac:dyDescent="0.25">
      <c r="B14" s="50" t="s">
        <v>21</v>
      </c>
      <c r="C14" s="9"/>
      <c r="D14" s="9"/>
      <c r="E14" s="9">
        <f>'P&amp;L'!E13</f>
        <v>1516.57</v>
      </c>
      <c r="F14" s="9">
        <f>'P&amp;L'!F13</f>
        <v>1358.41</v>
      </c>
      <c r="G14" s="9">
        <f>'P&amp;L'!G13</f>
        <v>689.66</v>
      </c>
      <c r="H14" s="9">
        <f>'P&amp;L'!H13</f>
        <v>1064.01</v>
      </c>
      <c r="I14" s="27">
        <f>'P&amp;L'!I13*2</f>
        <v>641.6</v>
      </c>
      <c r="J14" s="27">
        <f>J8*$J$47</f>
        <v>820.38694499999997</v>
      </c>
      <c r="K14" s="27">
        <f t="shared" ref="K14:AB14" si="25">K8*$J$47</f>
        <v>832.6927491749999</v>
      </c>
      <c r="L14" s="27">
        <f t="shared" si="25"/>
        <v>845.18314041262488</v>
      </c>
      <c r="M14" s="27">
        <f t="shared" si="25"/>
        <v>859.97384536984589</v>
      </c>
      <c r="N14" s="27">
        <f t="shared" si="25"/>
        <v>875.0233876638182</v>
      </c>
      <c r="O14" s="27">
        <f t="shared" si="25"/>
        <v>890.33629694793512</v>
      </c>
      <c r="P14" s="27">
        <f t="shared" si="25"/>
        <v>905.91718214452396</v>
      </c>
      <c r="Q14" s="27">
        <f t="shared" si="25"/>
        <v>921.77073283205311</v>
      </c>
      <c r="R14" s="27">
        <f t="shared" si="25"/>
        <v>937.9017206566142</v>
      </c>
      <c r="S14" s="27">
        <f t="shared" si="25"/>
        <v>954.31500076810516</v>
      </c>
      <c r="T14" s="27">
        <f t="shared" si="25"/>
        <v>971.0155132815471</v>
      </c>
      <c r="U14" s="27">
        <f t="shared" si="25"/>
        <v>988.00828476397442</v>
      </c>
      <c r="V14" s="27">
        <f t="shared" si="25"/>
        <v>1005.298429747344</v>
      </c>
      <c r="W14" s="27">
        <f t="shared" si="25"/>
        <v>1022.8911522679227</v>
      </c>
      <c r="X14" s="27">
        <f t="shared" si="25"/>
        <v>823.96013338415071</v>
      </c>
      <c r="Y14" s="27">
        <f t="shared" si="25"/>
        <v>500.08597920043326</v>
      </c>
      <c r="Z14" s="27">
        <f t="shared" si="25"/>
        <v>359.1794003551347</v>
      </c>
      <c r="AA14" s="27">
        <f t="shared" si="25"/>
        <v>365.46503986134957</v>
      </c>
      <c r="AB14" s="27">
        <f t="shared" si="25"/>
        <v>340.87228822067959</v>
      </c>
    </row>
    <row r="15" spans="1:28" x14ac:dyDescent="0.25">
      <c r="B15" s="44" t="s">
        <v>23</v>
      </c>
      <c r="C15" s="14"/>
      <c r="D15" s="14"/>
      <c r="E15" s="14">
        <f t="shared" ref="E15:M15" si="26">SUM(E12:E14)</f>
        <v>4382.57</v>
      </c>
      <c r="F15" s="14">
        <f t="shared" si="26"/>
        <v>3543.2200000000003</v>
      </c>
      <c r="G15" s="53">
        <f t="shared" si="26"/>
        <v>2781.9199999999996</v>
      </c>
      <c r="H15" s="53">
        <f t="shared" si="26"/>
        <v>4327.2</v>
      </c>
      <c r="I15" s="53">
        <f t="shared" si="26"/>
        <v>2678.44</v>
      </c>
      <c r="J15" s="53">
        <f t="shared" si="26"/>
        <v>3746.4337155000003</v>
      </c>
      <c r="K15" s="53">
        <f t="shared" si="26"/>
        <v>3802.6302212324995</v>
      </c>
      <c r="L15" s="53">
        <f t="shared" si="26"/>
        <v>3859.6696745509871</v>
      </c>
      <c r="M15" s="53">
        <f t="shared" si="26"/>
        <v>3927.21389385563</v>
      </c>
      <c r="N15" s="53">
        <f t="shared" ref="N15:AB15" si="27">SUM(N12:N14)</f>
        <v>3995.9401369981033</v>
      </c>
      <c r="O15" s="53">
        <f t="shared" si="27"/>
        <v>4065.8690893955709</v>
      </c>
      <c r="P15" s="53">
        <f t="shared" si="27"/>
        <v>4137.0217984599931</v>
      </c>
      <c r="Q15" s="53">
        <f t="shared" si="27"/>
        <v>4209.419679933043</v>
      </c>
      <c r="R15" s="53">
        <f t="shared" si="27"/>
        <v>4283.0845243318718</v>
      </c>
      <c r="S15" s="53">
        <f t="shared" si="27"/>
        <v>4358.0385035076806</v>
      </c>
      <c r="T15" s="53">
        <f t="shared" si="27"/>
        <v>4434.3041773190653</v>
      </c>
      <c r="U15" s="53">
        <f t="shared" si="27"/>
        <v>4511.9045004221498</v>
      </c>
      <c r="V15" s="53">
        <f t="shared" si="27"/>
        <v>4590.8628291795376</v>
      </c>
      <c r="W15" s="53">
        <f t="shared" si="27"/>
        <v>4671.2029286901798</v>
      </c>
      <c r="X15" s="53">
        <f t="shared" si="27"/>
        <v>3762.751275787622</v>
      </c>
      <c r="Y15" s="53">
        <f t="shared" si="27"/>
        <v>2283.7259716819785</v>
      </c>
      <c r="Z15" s="53">
        <f t="shared" si="27"/>
        <v>1640.2525949551152</v>
      </c>
      <c r="AA15" s="53">
        <f t="shared" si="27"/>
        <v>1668.9570153668299</v>
      </c>
      <c r="AB15" s="53">
        <f t="shared" si="27"/>
        <v>1556.6501162077702</v>
      </c>
    </row>
    <row r="16" spans="1:28" x14ac:dyDescent="0.25">
      <c r="B16" s="44" t="s">
        <v>121</v>
      </c>
      <c r="C16" s="14"/>
      <c r="D16" s="14"/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M16" si="28">H10-H15</f>
        <v>1439.96</v>
      </c>
      <c r="I16" s="53">
        <f t="shared" si="28"/>
        <v>3123.6200000000003</v>
      </c>
      <c r="J16" s="53">
        <f t="shared" si="28"/>
        <v>2090.1626119641187</v>
      </c>
      <c r="K16" s="53">
        <f t="shared" si="28"/>
        <v>2121.5150511435809</v>
      </c>
      <c r="L16" s="53">
        <f t="shared" si="28"/>
        <v>2153.3377769107337</v>
      </c>
      <c r="M16" s="53">
        <f t="shared" si="28"/>
        <v>2191.0211880066718</v>
      </c>
      <c r="N16" s="53">
        <f t="shared" ref="N16:AB16" si="29">N10-N15</f>
        <v>2229.3640587967893</v>
      </c>
      <c r="O16" s="53">
        <f t="shared" si="29"/>
        <v>2268.3779298257323</v>
      </c>
      <c r="P16" s="53">
        <f t="shared" si="29"/>
        <v>2308.0745435976833</v>
      </c>
      <c r="Q16" s="53">
        <f t="shared" si="29"/>
        <v>2348.4658481106426</v>
      </c>
      <c r="R16" s="53">
        <f t="shared" si="29"/>
        <v>2389.5640004525794</v>
      </c>
      <c r="S16" s="53">
        <f t="shared" si="29"/>
        <v>2431.3813704605</v>
      </c>
      <c r="T16" s="53">
        <f t="shared" si="29"/>
        <v>2473.9305444435586</v>
      </c>
      <c r="U16" s="53">
        <f t="shared" si="29"/>
        <v>2517.2243289713224</v>
      </c>
      <c r="V16" s="53">
        <f t="shared" si="29"/>
        <v>2561.27575472832</v>
      </c>
      <c r="W16" s="53">
        <f t="shared" si="29"/>
        <v>2606.098080436067</v>
      </c>
      <c r="X16" s="53">
        <f t="shared" si="29"/>
        <v>2099.2662975012609</v>
      </c>
      <c r="Y16" s="53">
        <f t="shared" si="29"/>
        <v>1274.1073256501077</v>
      </c>
      <c r="Z16" s="53">
        <f t="shared" si="29"/>
        <v>915.10884977575347</v>
      </c>
      <c r="AA16" s="53">
        <f t="shared" si="29"/>
        <v>931.12325464682931</v>
      </c>
      <c r="AB16" s="53">
        <f t="shared" si="29"/>
        <v>868.46641896955316</v>
      </c>
    </row>
    <row r="17" spans="1:28" ht="30" x14ac:dyDescent="0.25">
      <c r="B17" s="64" t="s">
        <v>22</v>
      </c>
      <c r="C17" s="9"/>
      <c r="D17" s="9"/>
      <c r="E17" s="9">
        <f>'P&amp;L'!E16</f>
        <v>695.21</v>
      </c>
      <c r="F17" s="9">
        <f>'P&amp;L'!F16</f>
        <v>679.41</v>
      </c>
      <c r="G17" s="9">
        <f>'P&amp;L'!G16</f>
        <v>672.38</v>
      </c>
      <c r="H17" s="9">
        <f>'P&amp;L'!H16</f>
        <v>665.53</v>
      </c>
      <c r="I17" s="27">
        <f>Depreciation!D6</f>
        <v>585.52756678604112</v>
      </c>
      <c r="J17" s="27">
        <f>Depreciation!E6</f>
        <v>555.22096429636542</v>
      </c>
      <c r="K17" s="27">
        <f>Depreciation!F6</f>
        <v>526.48301579766883</v>
      </c>
      <c r="L17" s="27">
        <f>Depreciation!G6</f>
        <v>499.23252857479122</v>
      </c>
      <c r="M17" s="27">
        <f>L17</f>
        <v>499.23252857479122</v>
      </c>
      <c r="N17" s="27">
        <f t="shared" ref="N17:AB17" si="30">M17</f>
        <v>499.23252857479122</v>
      </c>
      <c r="O17" s="27">
        <f t="shared" si="30"/>
        <v>499.23252857479122</v>
      </c>
      <c r="P17" s="27">
        <f t="shared" si="30"/>
        <v>499.23252857479122</v>
      </c>
      <c r="Q17" s="27">
        <f t="shared" si="30"/>
        <v>499.23252857479122</v>
      </c>
      <c r="R17" s="27">
        <f t="shared" si="30"/>
        <v>499.23252857479122</v>
      </c>
      <c r="S17" s="27">
        <f t="shared" si="30"/>
        <v>499.23252857479122</v>
      </c>
      <c r="T17" s="27">
        <f t="shared" si="30"/>
        <v>499.23252857479122</v>
      </c>
      <c r="U17" s="27">
        <f t="shared" si="30"/>
        <v>499.23252857479122</v>
      </c>
      <c r="V17" s="27">
        <f t="shared" si="30"/>
        <v>499.23252857479122</v>
      </c>
      <c r="W17" s="27">
        <f t="shared" si="30"/>
        <v>499.23252857479122</v>
      </c>
      <c r="X17" s="27">
        <f t="shared" si="30"/>
        <v>499.23252857479122</v>
      </c>
      <c r="Y17" s="27">
        <f t="shared" si="30"/>
        <v>499.23252857479122</v>
      </c>
      <c r="Z17" s="27">
        <f t="shared" si="30"/>
        <v>499.23252857479122</v>
      </c>
      <c r="AA17" s="27">
        <f t="shared" si="30"/>
        <v>499.23252857479122</v>
      </c>
      <c r="AB17" s="27">
        <f t="shared" si="30"/>
        <v>499.23252857479122</v>
      </c>
    </row>
    <row r="18" spans="1:28" x14ac:dyDescent="0.25">
      <c r="B18" s="110" t="s">
        <v>122</v>
      </c>
      <c r="C18" s="14"/>
      <c r="D18" s="14"/>
      <c r="E18" s="14">
        <f t="shared" ref="E18:M18" si="31">E16-E17</f>
        <v>-307.06999999999971</v>
      </c>
      <c r="F18" s="14">
        <f t="shared" si="31"/>
        <v>289.21999999999923</v>
      </c>
      <c r="G18" s="53">
        <f t="shared" si="31"/>
        <v>818.03000000000031</v>
      </c>
      <c r="H18" s="107">
        <f t="shared" si="31"/>
        <v>774.43000000000006</v>
      </c>
      <c r="I18" s="107">
        <f t="shared" si="31"/>
        <v>2538.0924332139593</v>
      </c>
      <c r="J18" s="107">
        <f t="shared" si="31"/>
        <v>1534.9416476677534</v>
      </c>
      <c r="K18" s="107">
        <f t="shared" si="31"/>
        <v>1595.0320353459119</v>
      </c>
      <c r="L18" s="107">
        <f t="shared" si="31"/>
        <v>1654.1052483359426</v>
      </c>
      <c r="M18" s="107">
        <f t="shared" si="31"/>
        <v>1691.7886594318807</v>
      </c>
      <c r="N18" s="107">
        <f t="shared" ref="N18:AB18" si="32">N16-N17</f>
        <v>1730.1315302219982</v>
      </c>
      <c r="O18" s="107">
        <f t="shared" si="32"/>
        <v>1769.1454012509412</v>
      </c>
      <c r="P18" s="107">
        <f t="shared" si="32"/>
        <v>1808.8420150228922</v>
      </c>
      <c r="Q18" s="107">
        <f t="shared" si="32"/>
        <v>1849.2333195358515</v>
      </c>
      <c r="R18" s="107">
        <f t="shared" si="32"/>
        <v>1890.3314718777883</v>
      </c>
      <c r="S18" s="107">
        <f t="shared" si="32"/>
        <v>1932.1488418857089</v>
      </c>
      <c r="T18" s="107">
        <f t="shared" si="32"/>
        <v>1974.6980158687675</v>
      </c>
      <c r="U18" s="107">
        <f t="shared" si="32"/>
        <v>2017.9918003965313</v>
      </c>
      <c r="V18" s="107">
        <f t="shared" si="32"/>
        <v>2062.0432261535288</v>
      </c>
      <c r="W18" s="107">
        <f t="shared" si="32"/>
        <v>2106.8655518612759</v>
      </c>
      <c r="X18" s="107">
        <f t="shared" si="32"/>
        <v>1600.0337689264697</v>
      </c>
      <c r="Y18" s="107">
        <f t="shared" si="32"/>
        <v>774.87479707531645</v>
      </c>
      <c r="Z18" s="107">
        <f t="shared" si="32"/>
        <v>415.87632120096225</v>
      </c>
      <c r="AA18" s="107">
        <f t="shared" si="32"/>
        <v>431.89072607203809</v>
      </c>
      <c r="AB18" s="107">
        <f t="shared" si="32"/>
        <v>369.23389039476194</v>
      </c>
    </row>
    <row r="19" spans="1:28" x14ac:dyDescent="0.25">
      <c r="A19" s="174">
        <f>30%*1.04*1.12</f>
        <v>0.34944000000000003</v>
      </c>
      <c r="B19" s="111" t="s">
        <v>185</v>
      </c>
      <c r="I19" s="61">
        <f t="shared" ref="I19:AB19" si="33">$A$19</f>
        <v>0.34944000000000003</v>
      </c>
      <c r="J19" s="61">
        <f t="shared" si="33"/>
        <v>0.34944000000000003</v>
      </c>
      <c r="K19" s="61">
        <f t="shared" si="33"/>
        <v>0.34944000000000003</v>
      </c>
      <c r="L19" s="61">
        <f t="shared" si="33"/>
        <v>0.34944000000000003</v>
      </c>
      <c r="M19" s="61">
        <f t="shared" si="33"/>
        <v>0.34944000000000003</v>
      </c>
      <c r="N19" s="61">
        <f t="shared" si="33"/>
        <v>0.34944000000000003</v>
      </c>
      <c r="O19" s="61">
        <f t="shared" si="33"/>
        <v>0.34944000000000003</v>
      </c>
      <c r="P19" s="61">
        <f t="shared" si="33"/>
        <v>0.34944000000000003</v>
      </c>
      <c r="Q19" s="61">
        <f t="shared" si="33"/>
        <v>0.34944000000000003</v>
      </c>
      <c r="R19" s="61">
        <f t="shared" si="33"/>
        <v>0.34944000000000003</v>
      </c>
      <c r="S19" s="61">
        <f t="shared" si="33"/>
        <v>0.34944000000000003</v>
      </c>
      <c r="T19" s="61">
        <f t="shared" si="33"/>
        <v>0.34944000000000003</v>
      </c>
      <c r="U19" s="61">
        <f t="shared" si="33"/>
        <v>0.34944000000000003</v>
      </c>
      <c r="V19" s="61">
        <f t="shared" si="33"/>
        <v>0.34944000000000003</v>
      </c>
      <c r="W19" s="61">
        <f t="shared" si="33"/>
        <v>0.34944000000000003</v>
      </c>
      <c r="X19" s="61">
        <f t="shared" si="33"/>
        <v>0.34944000000000003</v>
      </c>
      <c r="Y19" s="61">
        <f t="shared" si="33"/>
        <v>0.34944000000000003</v>
      </c>
      <c r="Z19" s="61">
        <f t="shared" si="33"/>
        <v>0.34944000000000003</v>
      </c>
      <c r="AA19" s="61">
        <f t="shared" si="33"/>
        <v>0.34944000000000003</v>
      </c>
      <c r="AB19" s="61">
        <f t="shared" si="33"/>
        <v>0.34944000000000003</v>
      </c>
    </row>
    <row r="20" spans="1:28" x14ac:dyDescent="0.25">
      <c r="A20" s="174"/>
      <c r="B20" s="111" t="s">
        <v>186</v>
      </c>
      <c r="I20" s="97">
        <f t="shared" ref="I20:M20" si="34">1-I19</f>
        <v>0.65056000000000003</v>
      </c>
      <c r="J20" s="97">
        <f t="shared" si="34"/>
        <v>0.65056000000000003</v>
      </c>
      <c r="K20" s="97">
        <f t="shared" si="34"/>
        <v>0.65056000000000003</v>
      </c>
      <c r="L20" s="97">
        <f t="shared" si="34"/>
        <v>0.65056000000000003</v>
      </c>
      <c r="M20" s="97">
        <f t="shared" si="34"/>
        <v>0.65056000000000003</v>
      </c>
      <c r="N20" s="97">
        <f t="shared" ref="N20:AB20" si="35">1-N19</f>
        <v>0.65056000000000003</v>
      </c>
      <c r="O20" s="97">
        <f t="shared" si="35"/>
        <v>0.65056000000000003</v>
      </c>
      <c r="P20" s="97">
        <f t="shared" si="35"/>
        <v>0.65056000000000003</v>
      </c>
      <c r="Q20" s="97">
        <f t="shared" si="35"/>
        <v>0.65056000000000003</v>
      </c>
      <c r="R20" s="97">
        <f t="shared" si="35"/>
        <v>0.65056000000000003</v>
      </c>
      <c r="S20" s="97">
        <f t="shared" si="35"/>
        <v>0.65056000000000003</v>
      </c>
      <c r="T20" s="97">
        <f t="shared" si="35"/>
        <v>0.65056000000000003</v>
      </c>
      <c r="U20" s="97">
        <f t="shared" si="35"/>
        <v>0.65056000000000003</v>
      </c>
      <c r="V20" s="97">
        <f t="shared" si="35"/>
        <v>0.65056000000000003</v>
      </c>
      <c r="W20" s="97">
        <f t="shared" si="35"/>
        <v>0.65056000000000003</v>
      </c>
      <c r="X20" s="97">
        <f t="shared" si="35"/>
        <v>0.65056000000000003</v>
      </c>
      <c r="Y20" s="97">
        <f t="shared" si="35"/>
        <v>0.65056000000000003</v>
      </c>
      <c r="Z20" s="97">
        <f t="shared" si="35"/>
        <v>0.65056000000000003</v>
      </c>
      <c r="AA20" s="97">
        <f t="shared" si="35"/>
        <v>0.65056000000000003</v>
      </c>
      <c r="AB20" s="97">
        <f t="shared" si="35"/>
        <v>0.65056000000000003</v>
      </c>
    </row>
    <row r="21" spans="1:28" x14ac:dyDescent="0.25">
      <c r="B21" s="112" t="s">
        <v>187</v>
      </c>
      <c r="I21" s="27">
        <f t="shared" ref="I21:M21" si="36">I18*I20</f>
        <v>1651.1814133516734</v>
      </c>
      <c r="J21" s="27">
        <f t="shared" si="36"/>
        <v>998.57163830673369</v>
      </c>
      <c r="K21" s="27">
        <f t="shared" si="36"/>
        <v>1037.6640409146364</v>
      </c>
      <c r="L21" s="27">
        <f t="shared" si="36"/>
        <v>1076.0947103574308</v>
      </c>
      <c r="M21" s="27">
        <f t="shared" si="36"/>
        <v>1100.6100302800044</v>
      </c>
      <c r="N21" s="27">
        <f t="shared" ref="N21:AB21" si="37">N18*N20</f>
        <v>1125.5543683012231</v>
      </c>
      <c r="O21" s="27">
        <f t="shared" si="37"/>
        <v>1150.9352322378124</v>
      </c>
      <c r="P21" s="27">
        <f t="shared" si="37"/>
        <v>1176.7602612932928</v>
      </c>
      <c r="Q21" s="27">
        <f t="shared" si="37"/>
        <v>1203.0372283572435</v>
      </c>
      <c r="R21" s="27">
        <f t="shared" si="37"/>
        <v>1229.774042344814</v>
      </c>
      <c r="S21" s="27">
        <f t="shared" si="37"/>
        <v>1256.9787505771669</v>
      </c>
      <c r="T21" s="27">
        <f t="shared" si="37"/>
        <v>1284.6595412035854</v>
      </c>
      <c r="U21" s="27">
        <f t="shared" si="37"/>
        <v>1312.8247456659674</v>
      </c>
      <c r="V21" s="27">
        <f t="shared" si="37"/>
        <v>1341.4828412064398</v>
      </c>
      <c r="W21" s="27">
        <f t="shared" si="37"/>
        <v>1370.6424534188718</v>
      </c>
      <c r="X21" s="27">
        <f t="shared" si="37"/>
        <v>1040.9179687128042</v>
      </c>
      <c r="Y21" s="27">
        <f t="shared" si="37"/>
        <v>504.10254798531787</v>
      </c>
      <c r="Z21" s="27">
        <f t="shared" si="37"/>
        <v>270.55249952049803</v>
      </c>
      <c r="AA21" s="27">
        <f t="shared" si="37"/>
        <v>280.9708307534251</v>
      </c>
      <c r="AB21" s="27">
        <f t="shared" si="37"/>
        <v>240.20879973521633</v>
      </c>
    </row>
    <row r="22" spans="1:28" x14ac:dyDescent="0.25">
      <c r="B22" s="111" t="s">
        <v>188</v>
      </c>
      <c r="I22" s="27">
        <f t="shared" ref="I22:M22" si="38">I17</f>
        <v>585.52756678604112</v>
      </c>
      <c r="J22" s="27">
        <f t="shared" si="38"/>
        <v>555.22096429636542</v>
      </c>
      <c r="K22" s="27">
        <f t="shared" si="38"/>
        <v>526.48301579766883</v>
      </c>
      <c r="L22" s="27">
        <f t="shared" si="38"/>
        <v>499.23252857479122</v>
      </c>
      <c r="M22" s="27">
        <f t="shared" si="38"/>
        <v>499.23252857479122</v>
      </c>
      <c r="N22" s="27">
        <f t="shared" ref="N22:AB22" si="39">N17</f>
        <v>499.23252857479122</v>
      </c>
      <c r="O22" s="27">
        <f t="shared" si="39"/>
        <v>499.23252857479122</v>
      </c>
      <c r="P22" s="27">
        <f t="shared" si="39"/>
        <v>499.23252857479122</v>
      </c>
      <c r="Q22" s="27">
        <f t="shared" si="39"/>
        <v>499.23252857479122</v>
      </c>
      <c r="R22" s="27">
        <f t="shared" si="39"/>
        <v>499.23252857479122</v>
      </c>
      <c r="S22" s="27">
        <f t="shared" si="39"/>
        <v>499.23252857479122</v>
      </c>
      <c r="T22" s="27">
        <f t="shared" si="39"/>
        <v>499.23252857479122</v>
      </c>
      <c r="U22" s="27">
        <f t="shared" si="39"/>
        <v>499.23252857479122</v>
      </c>
      <c r="V22" s="27">
        <f t="shared" si="39"/>
        <v>499.23252857479122</v>
      </c>
      <c r="W22" s="27">
        <f t="shared" si="39"/>
        <v>499.23252857479122</v>
      </c>
      <c r="X22" s="27">
        <f t="shared" si="39"/>
        <v>499.23252857479122</v>
      </c>
      <c r="Y22" s="27">
        <f t="shared" si="39"/>
        <v>499.23252857479122</v>
      </c>
      <c r="Z22" s="27">
        <f t="shared" si="39"/>
        <v>499.23252857479122</v>
      </c>
      <c r="AA22" s="27">
        <f t="shared" si="39"/>
        <v>499.23252857479122</v>
      </c>
      <c r="AB22" s="27">
        <f t="shared" si="39"/>
        <v>499.23252857479122</v>
      </c>
    </row>
    <row r="23" spans="1:28" x14ac:dyDescent="0.25">
      <c r="B23" s="111" t="s">
        <v>189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</row>
    <row r="24" spans="1:28" ht="15" customHeight="1" x14ac:dyDescent="0.25">
      <c r="B24" s="111" t="s">
        <v>190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</row>
    <row r="25" spans="1:28" x14ac:dyDescent="0.25">
      <c r="B25" s="113" t="s">
        <v>191</v>
      </c>
      <c r="I25" s="27">
        <f t="shared" ref="I25" si="40">I21+I22-I23-I24</f>
        <v>2236.7089801377147</v>
      </c>
      <c r="J25" s="27">
        <f>J21+J22-J23-J24</f>
        <v>1553.7926026030991</v>
      </c>
      <c r="K25" s="27">
        <f>K21+K22-K23-K24</f>
        <v>538.14705671230513</v>
      </c>
      <c r="L25" s="27">
        <f>L21+L22-L23-L24</f>
        <v>549.32723893222192</v>
      </c>
      <c r="M25" s="27">
        <f>M21+M22-M23-M24</f>
        <v>1599.8425588547957</v>
      </c>
      <c r="N25" s="27">
        <f t="shared" ref="N25:AB25" si="41">N21+N22-N23-N24</f>
        <v>1624.7868968760145</v>
      </c>
      <c r="O25" s="27">
        <f t="shared" si="41"/>
        <v>1650.1677608126038</v>
      </c>
      <c r="P25" s="27">
        <f t="shared" si="41"/>
        <v>1675.9927898680839</v>
      </c>
      <c r="Q25" s="27">
        <f t="shared" si="41"/>
        <v>1702.2697569320349</v>
      </c>
      <c r="R25" s="27">
        <f t="shared" si="41"/>
        <v>1729.0065709196051</v>
      </c>
      <c r="S25" s="27">
        <f t="shared" si="41"/>
        <v>1756.211279151958</v>
      </c>
      <c r="T25" s="27">
        <f t="shared" si="41"/>
        <v>1783.8920697783765</v>
      </c>
      <c r="U25" s="27">
        <f t="shared" si="41"/>
        <v>1812.0572742407585</v>
      </c>
      <c r="V25" s="27">
        <f t="shared" si="41"/>
        <v>1840.7153697812309</v>
      </c>
      <c r="W25" s="27">
        <f t="shared" si="41"/>
        <v>1869.8749819936629</v>
      </c>
      <c r="X25" s="27">
        <f t="shared" si="41"/>
        <v>1540.1504972875955</v>
      </c>
      <c r="Y25" s="27">
        <f t="shared" si="41"/>
        <v>1003.3350765601091</v>
      </c>
      <c r="Z25" s="27">
        <f t="shared" si="41"/>
        <v>769.78502809528925</v>
      </c>
      <c r="AA25" s="27">
        <f t="shared" si="41"/>
        <v>780.20335932821627</v>
      </c>
      <c r="AB25" s="27">
        <f t="shared" si="41"/>
        <v>739.44132831000752</v>
      </c>
    </row>
    <row r="26" spans="1:28" x14ac:dyDescent="0.25">
      <c r="B26" s="113" t="s">
        <v>237</v>
      </c>
      <c r="I26" s="27">
        <f>I25*0.5/12</f>
        <v>93.196207505738116</v>
      </c>
      <c r="J26" s="27">
        <f t="shared" ref="J26:M26" si="42">J25</f>
        <v>1553.7926026030991</v>
      </c>
      <c r="K26" s="27">
        <f t="shared" si="42"/>
        <v>538.14705671230513</v>
      </c>
      <c r="L26" s="27">
        <f t="shared" si="42"/>
        <v>549.32723893222192</v>
      </c>
      <c r="M26" s="27">
        <f t="shared" si="42"/>
        <v>1599.8425588547957</v>
      </c>
      <c r="N26" s="27">
        <f t="shared" ref="N26:AB26" si="43">N25</f>
        <v>1624.7868968760145</v>
      </c>
      <c r="O26" s="27">
        <f t="shared" si="43"/>
        <v>1650.1677608126038</v>
      </c>
      <c r="P26" s="27">
        <f t="shared" si="43"/>
        <v>1675.9927898680839</v>
      </c>
      <c r="Q26" s="27">
        <f t="shared" si="43"/>
        <v>1702.2697569320349</v>
      </c>
      <c r="R26" s="27">
        <f t="shared" si="43"/>
        <v>1729.0065709196051</v>
      </c>
      <c r="S26" s="27">
        <f t="shared" si="43"/>
        <v>1756.211279151958</v>
      </c>
      <c r="T26" s="27">
        <f t="shared" si="43"/>
        <v>1783.8920697783765</v>
      </c>
      <c r="U26" s="27">
        <f t="shared" si="43"/>
        <v>1812.0572742407585</v>
      </c>
      <c r="V26" s="27">
        <f t="shared" si="43"/>
        <v>1840.7153697812309</v>
      </c>
      <c r="W26" s="27">
        <f t="shared" si="43"/>
        <v>1869.8749819936629</v>
      </c>
      <c r="X26" s="27">
        <f t="shared" si="43"/>
        <v>1540.1504972875955</v>
      </c>
      <c r="Y26" s="27">
        <f t="shared" si="43"/>
        <v>1003.3350765601091</v>
      </c>
      <c r="Z26" s="27">
        <f t="shared" si="43"/>
        <v>769.78502809528925</v>
      </c>
      <c r="AA26" s="27">
        <f t="shared" si="43"/>
        <v>780.20335932821627</v>
      </c>
      <c r="AB26" s="27">
        <f t="shared" si="43"/>
        <v>739.44132831000752</v>
      </c>
    </row>
    <row r="27" spans="1:28" x14ac:dyDescent="0.25">
      <c r="B27" s="112" t="s">
        <v>192</v>
      </c>
      <c r="I27" s="180">
        <f>'Discount Rate'!C7</f>
        <v>0.14279999999999998</v>
      </c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2"/>
    </row>
    <row r="28" spans="1:28" x14ac:dyDescent="0.25">
      <c r="B28" s="112" t="s">
        <v>256</v>
      </c>
      <c r="I28" s="187">
        <v>45366</v>
      </c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9"/>
    </row>
    <row r="29" spans="1:28" ht="15.75" customHeight="1" x14ac:dyDescent="0.25">
      <c r="B29" s="114" t="s">
        <v>193</v>
      </c>
      <c r="I29" s="115">
        <f>0.5/12</f>
        <v>4.1666666666666664E-2</v>
      </c>
      <c r="J29" s="115">
        <f t="shared" ref="J29" si="44">I29+1</f>
        <v>1.0416666666666667</v>
      </c>
      <c r="K29" s="115">
        <f t="shared" ref="K29" si="45">J29+1</f>
        <v>2.041666666666667</v>
      </c>
      <c r="L29" s="115">
        <f t="shared" ref="L29" si="46">K29+1</f>
        <v>3.041666666666667</v>
      </c>
      <c r="M29" s="115">
        <f t="shared" ref="M29" si="47">L29+1</f>
        <v>4.041666666666667</v>
      </c>
      <c r="N29" s="115">
        <f t="shared" ref="N29" si="48">M29+1</f>
        <v>5.041666666666667</v>
      </c>
      <c r="O29" s="115">
        <f t="shared" ref="O29" si="49">N29+1</f>
        <v>6.041666666666667</v>
      </c>
      <c r="P29" s="115">
        <f t="shared" ref="P29" si="50">O29+1</f>
        <v>7.041666666666667</v>
      </c>
      <c r="Q29" s="115">
        <f t="shared" ref="Q29" si="51">P29+1</f>
        <v>8.0416666666666679</v>
      </c>
      <c r="R29" s="115">
        <f t="shared" ref="R29" si="52">Q29+1</f>
        <v>9.0416666666666679</v>
      </c>
      <c r="S29" s="115">
        <f t="shared" ref="S29" si="53">R29+1</f>
        <v>10.041666666666668</v>
      </c>
      <c r="T29" s="115">
        <f t="shared" ref="T29" si="54">S29+1</f>
        <v>11.041666666666668</v>
      </c>
      <c r="U29" s="115">
        <f t="shared" ref="U29" si="55">T29+1</f>
        <v>12.041666666666668</v>
      </c>
      <c r="V29" s="115">
        <f t="shared" ref="V29" si="56">U29+1</f>
        <v>13.041666666666668</v>
      </c>
      <c r="W29" s="115">
        <f t="shared" ref="W29" si="57">V29+1</f>
        <v>14.041666666666668</v>
      </c>
      <c r="X29" s="115">
        <f t="shared" ref="X29" si="58">W29+1</f>
        <v>15.041666666666668</v>
      </c>
      <c r="Y29" s="115">
        <f t="shared" ref="Y29" si="59">X29+1</f>
        <v>16.041666666666668</v>
      </c>
      <c r="Z29" s="115">
        <f t="shared" ref="Z29" si="60">Y29+1</f>
        <v>17.041666666666668</v>
      </c>
      <c r="AA29" s="115">
        <f t="shared" ref="AA29" si="61">Z29+1</f>
        <v>18.041666666666668</v>
      </c>
      <c r="AB29" s="115">
        <f t="shared" ref="AB29" si="62">AA29+1</f>
        <v>19.041666666666668</v>
      </c>
    </row>
    <row r="30" spans="1:28" ht="15.75" customHeight="1" x14ac:dyDescent="0.25">
      <c r="B30" s="111" t="s">
        <v>194</v>
      </c>
      <c r="I30" s="27">
        <f t="shared" ref="I30:AB30" si="63">1/(1+$I$27)^I29</f>
        <v>0.99445371311644104</v>
      </c>
      <c r="J30" s="27">
        <f t="shared" si="63"/>
        <v>0.87019050850231094</v>
      </c>
      <c r="K30" s="27">
        <f t="shared" si="63"/>
        <v>0.7614547676779061</v>
      </c>
      <c r="L30" s="27">
        <f t="shared" si="63"/>
        <v>0.66630623703001923</v>
      </c>
      <c r="M30" s="27">
        <f t="shared" si="63"/>
        <v>0.58304710975675467</v>
      </c>
      <c r="N30" s="27">
        <f t="shared" si="63"/>
        <v>0.5101917306236915</v>
      </c>
      <c r="O30" s="27">
        <f t="shared" si="63"/>
        <v>0.44644008630004511</v>
      </c>
      <c r="P30" s="27">
        <f t="shared" si="63"/>
        <v>0.39065460824295156</v>
      </c>
      <c r="Q30" s="27">
        <f t="shared" si="63"/>
        <v>0.34183987420629292</v>
      </c>
      <c r="R30" s="27">
        <f t="shared" si="63"/>
        <v>0.29912484617281493</v>
      </c>
      <c r="S30" s="27">
        <f t="shared" si="63"/>
        <v>0.26174732776760146</v>
      </c>
      <c r="T30" s="27">
        <f t="shared" si="63"/>
        <v>0.22904036381484197</v>
      </c>
      <c r="U30" s="27">
        <f t="shared" si="63"/>
        <v>0.20042033935495446</v>
      </c>
      <c r="V30" s="27">
        <f t="shared" si="63"/>
        <v>0.17537656576387334</v>
      </c>
      <c r="W30" s="27">
        <f t="shared" si="63"/>
        <v>0.15346216815179678</v>
      </c>
      <c r="X30" s="27">
        <f t="shared" si="63"/>
        <v>0.13428611143839408</v>
      </c>
      <c r="Y30" s="27">
        <f t="shared" si="63"/>
        <v>0.11750622281973579</v>
      </c>
      <c r="Z30" s="27">
        <f t="shared" si="63"/>
        <v>0.1028230861215749</v>
      </c>
      <c r="AA30" s="27">
        <f t="shared" si="63"/>
        <v>8.9974699091332599E-2</v>
      </c>
      <c r="AB30" s="27">
        <f t="shared" si="63"/>
        <v>7.873179829483079E-2</v>
      </c>
    </row>
    <row r="31" spans="1:28" x14ac:dyDescent="0.25">
      <c r="B31" s="32" t="s">
        <v>197</v>
      </c>
      <c r="I31" s="32"/>
      <c r="J31" s="32"/>
      <c r="K31" s="32"/>
      <c r="L31" s="27"/>
      <c r="M31" s="9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75">
        <f>Depreciation!W7*0.75</f>
        <v>2930.8182910033456</v>
      </c>
    </row>
    <row r="32" spans="1:28" x14ac:dyDescent="0.25">
      <c r="B32" s="116" t="s">
        <v>195</v>
      </c>
      <c r="I32" s="36">
        <f>I26*I30</f>
        <v>92.679314602451598</v>
      </c>
      <c r="J32" s="36">
        <f>J25*J30</f>
        <v>1352.0955749663199</v>
      </c>
      <c r="K32" s="36">
        <f>K25*K30</f>
        <v>409.77464204541724</v>
      </c>
      <c r="L32" s="36">
        <f>L25*L30</f>
        <v>366.02016547101908</v>
      </c>
      <c r="M32" s="36">
        <f t="shared" ref="M32:AB32" si="64">M25*M30</f>
        <v>932.78358000613935</v>
      </c>
      <c r="N32" s="36">
        <f t="shared" si="64"/>
        <v>828.95283881187117</v>
      </c>
      <c r="O32" s="36">
        <f t="shared" si="64"/>
        <v>736.70103754673107</v>
      </c>
      <c r="P32" s="36">
        <f t="shared" si="64"/>
        <v>654.73430674392773</v>
      </c>
      <c r="Q32" s="36">
        <f t="shared" si="64"/>
        <v>581.90367957482363</v>
      </c>
      <c r="R32" s="36">
        <f t="shared" si="64"/>
        <v>517.18882455811308</v>
      </c>
      <c r="S32" s="36">
        <f t="shared" si="64"/>
        <v>459.68360931334615</v>
      </c>
      <c r="T32" s="36">
        <f t="shared" si="64"/>
        <v>408.58328866845079</v>
      </c>
      <c r="U32" s="36">
        <f t="shared" si="64"/>
        <v>363.17313383394657</v>
      </c>
      <c r="V32" s="36">
        <f t="shared" si="64"/>
        <v>322.81834010101051</v>
      </c>
      <c r="W32" s="36">
        <f t="shared" si="64"/>
        <v>286.95506890954948</v>
      </c>
      <c r="X32" s="36">
        <f t="shared" si="64"/>
        <v>206.82082131066011</v>
      </c>
      <c r="Y32" s="36">
        <f t="shared" si="64"/>
        <v>117.89811506912885</v>
      </c>
      <c r="Z32" s="36">
        <f t="shared" si="64"/>
        <v>79.151672238940876</v>
      </c>
      <c r="AA32" s="36">
        <f t="shared" si="64"/>
        <v>70.198562485603105</v>
      </c>
      <c r="AB32" s="36">
        <f t="shared" si="64"/>
        <v>58.217545511365266</v>
      </c>
    </row>
    <row r="33" spans="2:28" x14ac:dyDescent="0.25">
      <c r="B33" s="112" t="s">
        <v>198</v>
      </c>
      <c r="I33" s="32"/>
      <c r="J33" s="32"/>
      <c r="K33" s="32"/>
      <c r="L33" s="27"/>
      <c r="M33" s="95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98">
        <f>AB30*AB31</f>
        <v>230.74859452607609</v>
      </c>
    </row>
    <row r="34" spans="2:28" x14ac:dyDescent="0.25">
      <c r="B34" s="112" t="s">
        <v>199</v>
      </c>
      <c r="I34" s="27">
        <f t="shared" ref="I34:AB34" si="65">I32+I33</f>
        <v>92.679314602451598</v>
      </c>
      <c r="J34" s="27">
        <f t="shared" si="65"/>
        <v>1352.0955749663199</v>
      </c>
      <c r="K34" s="27">
        <f t="shared" si="65"/>
        <v>409.77464204541724</v>
      </c>
      <c r="L34" s="27">
        <f t="shared" si="65"/>
        <v>366.02016547101908</v>
      </c>
      <c r="M34" s="27">
        <f t="shared" si="65"/>
        <v>932.78358000613935</v>
      </c>
      <c r="N34" s="27">
        <f t="shared" si="65"/>
        <v>828.95283881187117</v>
      </c>
      <c r="O34" s="27">
        <f t="shared" si="65"/>
        <v>736.70103754673107</v>
      </c>
      <c r="P34" s="27">
        <f t="shared" si="65"/>
        <v>654.73430674392773</v>
      </c>
      <c r="Q34" s="27">
        <f t="shared" si="65"/>
        <v>581.90367957482363</v>
      </c>
      <c r="R34" s="27">
        <f t="shared" si="65"/>
        <v>517.18882455811308</v>
      </c>
      <c r="S34" s="27">
        <f t="shared" si="65"/>
        <v>459.68360931334615</v>
      </c>
      <c r="T34" s="27">
        <f t="shared" si="65"/>
        <v>408.58328866845079</v>
      </c>
      <c r="U34" s="27">
        <f t="shared" si="65"/>
        <v>363.17313383394657</v>
      </c>
      <c r="V34" s="27">
        <f t="shared" si="65"/>
        <v>322.81834010101051</v>
      </c>
      <c r="W34" s="27">
        <f t="shared" si="65"/>
        <v>286.95506890954948</v>
      </c>
      <c r="X34" s="27">
        <f t="shared" si="65"/>
        <v>206.82082131066011</v>
      </c>
      <c r="Y34" s="27">
        <f t="shared" si="65"/>
        <v>117.89811506912885</v>
      </c>
      <c r="Z34" s="27">
        <f t="shared" si="65"/>
        <v>79.151672238940876</v>
      </c>
      <c r="AA34" s="27">
        <f t="shared" si="65"/>
        <v>70.198562485603105</v>
      </c>
      <c r="AB34" s="27">
        <f t="shared" si="65"/>
        <v>288.96614003744133</v>
      </c>
    </row>
    <row r="35" spans="2:28" x14ac:dyDescent="0.25">
      <c r="B35" s="120" t="s">
        <v>200</v>
      </c>
      <c r="C35" s="81"/>
      <c r="D35" s="81"/>
      <c r="E35" s="81"/>
      <c r="F35" s="81"/>
      <c r="G35" s="81"/>
      <c r="H35" s="81"/>
      <c r="I35" s="133">
        <f>SUM(I34:AB34)</f>
        <v>9077.0827162948899</v>
      </c>
      <c r="J35" s="131" t="s">
        <v>214</v>
      </c>
      <c r="K35" s="131"/>
      <c r="L35" s="132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</row>
    <row r="37" spans="2:28" x14ac:dyDescent="0.25">
      <c r="B37" t="s">
        <v>260</v>
      </c>
      <c r="I37" s="196">
        <v>8231</v>
      </c>
      <c r="J37" t="s">
        <v>214</v>
      </c>
    </row>
    <row r="38" spans="2:28" x14ac:dyDescent="0.25">
      <c r="B38" t="s">
        <v>261</v>
      </c>
      <c r="I38" s="66">
        <f>I37+I35</f>
        <v>17308.082716294892</v>
      </c>
      <c r="J38" t="s">
        <v>214</v>
      </c>
    </row>
    <row r="40" spans="2:28" x14ac:dyDescent="0.25">
      <c r="J40" s="102"/>
    </row>
    <row r="43" spans="2:28" x14ac:dyDescent="0.25">
      <c r="B43" s="58" t="s">
        <v>41</v>
      </c>
      <c r="C43" s="59"/>
      <c r="D43" s="59"/>
      <c r="E43" s="59">
        <v>2020</v>
      </c>
      <c r="F43" s="59">
        <f t="shared" ref="F43:G43" si="66">E43+1</f>
        <v>2021</v>
      </c>
      <c r="G43" s="60">
        <f t="shared" si="66"/>
        <v>2022</v>
      </c>
      <c r="H43" s="60">
        <f>'P&amp;L'!Q9</f>
        <v>2023</v>
      </c>
      <c r="I43" s="60" t="s">
        <v>146</v>
      </c>
    </row>
    <row r="44" spans="2:28" x14ac:dyDescent="0.25">
      <c r="B44" s="62" t="s">
        <v>124</v>
      </c>
      <c r="C44" s="61"/>
      <c r="D44" s="61"/>
      <c r="E44" s="61">
        <f>E9/E8</f>
        <v>7.7624879717013082E-2</v>
      </c>
      <c r="F44" s="61">
        <f>F9/F8</f>
        <v>5.523319043242144E-2</v>
      </c>
      <c r="G44" s="61">
        <f>G9/G8</f>
        <v>1.9028991902302894E-2</v>
      </c>
      <c r="H44" s="61">
        <f>H9/H8</f>
        <v>0.12723726053958123</v>
      </c>
      <c r="I44" s="61">
        <f>AVERAGE(F44:H44)</f>
        <v>6.7166480958101862E-2</v>
      </c>
      <c r="J44" s="61">
        <v>6.5000000000000002E-2</v>
      </c>
    </row>
    <row r="45" spans="2:28" x14ac:dyDescent="0.25">
      <c r="B45" s="32" t="s">
        <v>128</v>
      </c>
      <c r="C45" s="61"/>
      <c r="D45" s="61"/>
      <c r="E45" s="61">
        <f t="shared" ref="E45:G46" si="67">E12/E$8</f>
        <v>0.63260493420012376</v>
      </c>
      <c r="F45" s="61">
        <f t="shared" si="67"/>
        <v>0.49314379667375335</v>
      </c>
      <c r="G45" s="61">
        <f t="shared" si="67"/>
        <v>0.48004436440829562</v>
      </c>
      <c r="H45" s="61">
        <f>'P&amp;L'!Q11</f>
        <v>0.62194328201259141</v>
      </c>
      <c r="I45" s="61">
        <f>AVERAGE(F45:H45)</f>
        <v>0.53171048103154683</v>
      </c>
      <c r="J45" s="61">
        <v>0.52</v>
      </c>
    </row>
    <row r="46" spans="2:28" x14ac:dyDescent="0.25">
      <c r="B46" s="62" t="s">
        <v>19</v>
      </c>
      <c r="C46" s="61"/>
      <c r="D46" s="61"/>
      <c r="E46" s="61">
        <f t="shared" si="67"/>
        <v>1.4777301414482748E-2</v>
      </c>
      <c r="F46" s="61">
        <f t="shared" si="67"/>
        <v>1.7840395351393579E-2</v>
      </c>
      <c r="G46" s="61">
        <f t="shared" si="67"/>
        <v>1.8997984520160761E-2</v>
      </c>
      <c r="H46" s="61">
        <f>'P&amp;L'!Q12</f>
        <v>1.5873139973300445E-2</v>
      </c>
      <c r="I46" s="61">
        <f>AVERAGE(F46:H46)</f>
        <v>1.7570506614951593E-2</v>
      </c>
      <c r="J46" s="61">
        <v>1.4999999999999999E-2</v>
      </c>
    </row>
    <row r="47" spans="2:28" x14ac:dyDescent="0.25">
      <c r="B47" s="62" t="s">
        <v>208</v>
      </c>
      <c r="C47" s="61"/>
      <c r="D47" s="61"/>
      <c r="E47" s="61">
        <f>'P&amp;L'!N19</f>
        <v>0.13213735526511949</v>
      </c>
      <c r="F47" s="61">
        <f>'P&amp;L'!O19</f>
        <v>0.13100575579614054</v>
      </c>
      <c r="G47" s="61">
        <f>'P&amp;L'!P19</f>
        <v>0.16449654744725761</v>
      </c>
      <c r="H47" s="61">
        <f>'P&amp;L'!Q13</f>
        <v>0.2079692114639996</v>
      </c>
      <c r="I47" s="61">
        <f>AVERAGE(F47:H47)</f>
        <v>0.16782383823579927</v>
      </c>
      <c r="J47" s="61">
        <v>0.15</v>
      </c>
    </row>
  </sheetData>
  <mergeCells count="4">
    <mergeCell ref="I27:AB27"/>
    <mergeCell ref="I28:AB28"/>
    <mergeCell ref="B2:M2"/>
    <mergeCell ref="B4:G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AB47"/>
  <sheetViews>
    <sheetView showGridLines="0" topLeftCell="H17" zoomScaleNormal="100" workbookViewId="0">
      <selection activeCell="I35" sqref="I35"/>
    </sheetView>
  </sheetViews>
  <sheetFormatPr defaultRowHeight="15" x14ac:dyDescent="0.25"/>
  <cols>
    <col min="1" max="1" width="7" bestFit="1" customWidth="1"/>
    <col min="2" max="2" width="34.28515625" bestFit="1" customWidth="1"/>
    <col min="3" max="4" width="9" hidden="1" customWidth="1"/>
    <col min="5" max="8" width="9" bestFit="1" customWidth="1"/>
    <col min="9" max="13" width="8.7109375" bestFit="1" customWidth="1"/>
    <col min="14" max="14" width="9.28515625" customWidth="1"/>
    <col min="15" max="15" width="8.85546875" customWidth="1"/>
    <col min="16" max="16" width="9.28515625" customWidth="1"/>
    <col min="22" max="22" width="9.28515625" customWidth="1"/>
  </cols>
  <sheetData>
    <row r="1" spans="1:28" x14ac:dyDescent="0.25">
      <c r="A1" s="2"/>
      <c r="B1" s="2"/>
      <c r="C1" s="2"/>
      <c r="D1" s="2"/>
      <c r="E1" s="2"/>
      <c r="F1" s="2"/>
      <c r="G1" s="2"/>
    </row>
    <row r="2" spans="1:28" x14ac:dyDescent="0.25">
      <c r="A2" s="2"/>
      <c r="B2" s="178" t="s">
        <v>99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28" ht="10.5" customHeight="1" x14ac:dyDescent="0.25">
      <c r="A3" s="2"/>
      <c r="B3" s="2"/>
      <c r="C3" s="2"/>
      <c r="D3" s="2"/>
      <c r="E3" s="2"/>
      <c r="F3" s="2"/>
      <c r="G3" s="2"/>
    </row>
    <row r="4" spans="1:28" x14ac:dyDescent="0.25">
      <c r="A4" s="2"/>
      <c r="B4" s="179" t="s">
        <v>107</v>
      </c>
      <c r="C4" s="179"/>
      <c r="D4" s="179"/>
      <c r="E4" s="179"/>
      <c r="F4" s="179"/>
      <c r="G4" s="17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x14ac:dyDescent="0.25">
      <c r="A5" s="2"/>
      <c r="B5" s="2"/>
      <c r="C5" s="2"/>
      <c r="D5" s="2"/>
      <c r="E5" s="2"/>
      <c r="F5" s="2"/>
      <c r="G5" s="2"/>
      <c r="H5" s="123"/>
      <c r="I5" s="123"/>
      <c r="J5" s="123">
        <v>0</v>
      </c>
      <c r="K5" s="123">
        <v>0</v>
      </c>
      <c r="L5" s="123">
        <v>2.5000000000000001E-3</v>
      </c>
      <c r="M5" s="123">
        <v>2.5000000000000001E-3</v>
      </c>
      <c r="N5" s="123">
        <v>2.5000000000000001E-3</v>
      </c>
      <c r="O5" s="123">
        <v>2.5000000000000001E-3</v>
      </c>
      <c r="P5" s="123">
        <v>2.5000000000000001E-3</v>
      </c>
      <c r="Q5" s="123">
        <v>2.5000000000000001E-3</v>
      </c>
      <c r="R5" s="123">
        <v>2.5000000000000001E-3</v>
      </c>
      <c r="S5" s="123">
        <v>2.5000000000000001E-3</v>
      </c>
      <c r="T5" s="123">
        <v>2.5000000000000001E-3</v>
      </c>
      <c r="U5" s="123">
        <v>2.5000000000000001E-3</v>
      </c>
      <c r="V5" s="123">
        <v>2.5000000000000001E-3</v>
      </c>
      <c r="W5" s="123">
        <v>2.5000000000000001E-3</v>
      </c>
      <c r="X5" s="123">
        <v>2.5000000000000001E-3</v>
      </c>
      <c r="Y5" s="123">
        <v>2.5000000000000001E-3</v>
      </c>
      <c r="Z5" s="123">
        <v>2.5000000000000001E-3</v>
      </c>
      <c r="AA5" s="123">
        <v>2.5000000000000001E-3</v>
      </c>
      <c r="AB5" s="123">
        <v>2.5000000000000001E-3</v>
      </c>
    </row>
    <row r="6" spans="1:28" ht="18" customHeight="1" x14ac:dyDescent="0.25">
      <c r="B6" s="3" t="s">
        <v>41</v>
      </c>
      <c r="C6" s="51"/>
      <c r="D6" s="51"/>
      <c r="E6" s="51">
        <v>2020</v>
      </c>
      <c r="F6" s="51">
        <f t="shared" ref="F6:AB6" si="0">E6+1</f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si="0"/>
        <v>2025</v>
      </c>
      <c r="K6" s="165">
        <f t="shared" si="0"/>
        <v>2026</v>
      </c>
      <c r="L6" s="165">
        <f t="shared" si="0"/>
        <v>2027</v>
      </c>
      <c r="M6" s="165">
        <f t="shared" si="0"/>
        <v>2028</v>
      </c>
      <c r="N6" s="165">
        <f t="shared" si="0"/>
        <v>2029</v>
      </c>
      <c r="O6" s="165">
        <f t="shared" si="0"/>
        <v>2030</v>
      </c>
      <c r="P6" s="165">
        <f t="shared" si="0"/>
        <v>2031</v>
      </c>
      <c r="Q6" s="165">
        <f t="shared" si="0"/>
        <v>2032</v>
      </c>
      <c r="R6" s="165">
        <f t="shared" si="0"/>
        <v>2033</v>
      </c>
      <c r="S6" s="165">
        <f t="shared" si="0"/>
        <v>2034</v>
      </c>
      <c r="T6" s="165">
        <f t="shared" si="0"/>
        <v>2035</v>
      </c>
      <c r="U6" s="165">
        <f t="shared" si="0"/>
        <v>2036</v>
      </c>
      <c r="V6" s="165">
        <f t="shared" si="0"/>
        <v>2037</v>
      </c>
      <c r="W6" s="165">
        <f t="shared" si="0"/>
        <v>2038</v>
      </c>
      <c r="X6" s="165">
        <f t="shared" si="0"/>
        <v>2039</v>
      </c>
      <c r="Y6" s="165">
        <f t="shared" si="0"/>
        <v>2040</v>
      </c>
      <c r="Z6" s="165">
        <f t="shared" si="0"/>
        <v>2041</v>
      </c>
      <c r="AA6" s="165">
        <f t="shared" si="0"/>
        <v>2042</v>
      </c>
      <c r="AB6" s="165">
        <f t="shared" si="0"/>
        <v>2043</v>
      </c>
    </row>
    <row r="7" spans="1:28" ht="18" customHeight="1" x14ac:dyDescent="0.25">
      <c r="B7" s="3" t="s">
        <v>238</v>
      </c>
      <c r="C7" s="146"/>
      <c r="D7" s="146"/>
      <c r="E7" s="147"/>
      <c r="F7" s="147"/>
      <c r="G7" s="148"/>
      <c r="H7" s="149"/>
      <c r="I7" s="149">
        <v>0.5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>
        <v>12</v>
      </c>
      <c r="W7" s="149">
        <v>12</v>
      </c>
      <c r="X7" s="149">
        <v>12</v>
      </c>
      <c r="Y7" s="149">
        <v>12</v>
      </c>
      <c r="Z7" s="149">
        <v>12</v>
      </c>
      <c r="AA7" s="149">
        <v>12</v>
      </c>
      <c r="AB7" s="149">
        <v>11</v>
      </c>
    </row>
    <row r="8" spans="1:28" x14ac:dyDescent="0.25">
      <c r="B8" s="15" t="s">
        <v>123</v>
      </c>
      <c r="C8" s="9"/>
      <c r="D8" s="9"/>
      <c r="E8" s="9">
        <f>'P&amp;L'!E7</f>
        <v>4427.0600000000004</v>
      </c>
      <c r="F8" s="9">
        <f>'P&amp;L'!F7</f>
        <v>4275.6899999999996</v>
      </c>
      <c r="G8" s="9">
        <f>'P&amp;L'!G7</f>
        <v>4192.55</v>
      </c>
      <c r="H8" s="9">
        <f>'P&amp;L'!H7</f>
        <v>5116.1899999999996</v>
      </c>
      <c r="I8" s="27">
        <f>'P&amp;L'!I7*2</f>
        <v>5388.42</v>
      </c>
      <c r="J8" s="27">
        <f>Sheet1!D24</f>
        <v>5388.42</v>
      </c>
      <c r="K8" s="27">
        <f>Sheet1!E24</f>
        <v>5388.42</v>
      </c>
      <c r="L8" s="27">
        <f>Sheet1!F24</f>
        <v>5388.42</v>
      </c>
      <c r="M8" s="27">
        <f>Sheet1!G24</f>
        <v>5401.8910500000002</v>
      </c>
      <c r="N8" s="27">
        <f>Sheet1!H24</f>
        <v>5415.395777624999</v>
      </c>
      <c r="O8" s="27">
        <f>Sheet1!I24</f>
        <v>5428.9342670690612</v>
      </c>
      <c r="P8" s="27">
        <f>Sheet1!J24</f>
        <v>5442.5066027367338</v>
      </c>
      <c r="Q8" s="27">
        <f>Sheet1!K24</f>
        <v>5456.112869243575</v>
      </c>
      <c r="R8" s="27">
        <f>Sheet1!L24</f>
        <v>5469.753151416684</v>
      </c>
      <c r="S8" s="27">
        <f>Sheet1!M24</f>
        <v>5483.4275342952251</v>
      </c>
      <c r="T8" s="27">
        <f>Sheet1!N24</f>
        <v>5497.1361031309634</v>
      </c>
      <c r="U8" s="27">
        <f>Sheet1!O24</f>
        <v>5510.8789433887905</v>
      </c>
      <c r="V8" s="27">
        <f>Sheet1!P24</f>
        <v>5524.6561407472618</v>
      </c>
      <c r="W8" s="27">
        <f>Sheet1!Q24</f>
        <v>5538.4677810991298</v>
      </c>
      <c r="X8" s="27">
        <f>Sheet1!R24</f>
        <v>4423.2742164257324</v>
      </c>
      <c r="Y8" s="27">
        <f>Sheet1!S24</f>
        <v>2640.0481680158823</v>
      </c>
      <c r="Z8" s="27">
        <f>Sheet1!T24</f>
        <v>1860.0367407556091</v>
      </c>
      <c r="AA8" s="27">
        <f>Sheet1!U24</f>
        <v>1864.686832607498</v>
      </c>
      <c r="AB8" s="27">
        <f>Sheet1!V24</f>
        <v>1869.3485496890166</v>
      </c>
    </row>
    <row r="9" spans="1:28" x14ac:dyDescent="0.25">
      <c r="B9" s="15" t="s">
        <v>240</v>
      </c>
      <c r="C9" s="9"/>
      <c r="D9" s="9"/>
      <c r="E9" s="9">
        <f>'P&amp;L'!E8</f>
        <v>343.65</v>
      </c>
      <c r="F9" s="9">
        <f>'P&amp;L'!F8</f>
        <v>236.16</v>
      </c>
      <c r="G9" s="9">
        <f>'P&amp;L'!G8</f>
        <v>79.78</v>
      </c>
      <c r="H9" s="9">
        <f>'P&amp;L'!H8</f>
        <v>650.97</v>
      </c>
      <c r="I9" s="27">
        <f>'P&amp;L'!I8*2</f>
        <v>413.64</v>
      </c>
      <c r="J9" s="27">
        <f t="shared" ref="J9:AB9" si="1">J8*$I$44</f>
        <v>361.92120932425524</v>
      </c>
      <c r="K9" s="27">
        <f t="shared" si="1"/>
        <v>361.92120932425524</v>
      </c>
      <c r="L9" s="27">
        <f t="shared" si="1"/>
        <v>361.92120932425524</v>
      </c>
      <c r="M9" s="27">
        <f t="shared" si="1"/>
        <v>362.82601234756589</v>
      </c>
      <c r="N9" s="27">
        <f t="shared" si="1"/>
        <v>363.7330773784347</v>
      </c>
      <c r="O9" s="27">
        <f t="shared" si="1"/>
        <v>364.64241007188082</v>
      </c>
      <c r="P9" s="27">
        <f t="shared" si="1"/>
        <v>365.55401609706047</v>
      </c>
      <c r="Q9" s="27">
        <f t="shared" si="1"/>
        <v>366.4679011373031</v>
      </c>
      <c r="R9" s="27">
        <f t="shared" si="1"/>
        <v>367.38407089014635</v>
      </c>
      <c r="S9" s="27">
        <f t="shared" si="1"/>
        <v>368.30253106737166</v>
      </c>
      <c r="T9" s="27">
        <f t="shared" si="1"/>
        <v>369.22328739504013</v>
      </c>
      <c r="U9" s="27">
        <f t="shared" si="1"/>
        <v>370.14634561352773</v>
      </c>
      <c r="V9" s="27">
        <f t="shared" si="1"/>
        <v>371.07171147756151</v>
      </c>
      <c r="W9" s="27">
        <f t="shared" si="1"/>
        <v>371.99939075625537</v>
      </c>
      <c r="X9" s="27">
        <f t="shared" si="1"/>
        <v>297.09576343002192</v>
      </c>
      <c r="Y9" s="27">
        <f t="shared" si="1"/>
        <v>177.32274500551046</v>
      </c>
      <c r="Z9" s="27">
        <f t="shared" si="1"/>
        <v>124.93212232933146</v>
      </c>
      <c r="AA9" s="27">
        <f t="shared" si="1"/>
        <v>125.24445263515479</v>
      </c>
      <c r="AB9" s="27">
        <f t="shared" si="1"/>
        <v>125.55756376674267</v>
      </c>
    </row>
    <row r="10" spans="1:28" x14ac:dyDescent="0.25">
      <c r="B10" s="44" t="s">
        <v>239</v>
      </c>
      <c r="C10" s="14"/>
      <c r="D10" s="14"/>
      <c r="E10" s="14">
        <f t="shared" ref="E10:M10" si="2">SUM(E8:E9)</f>
        <v>4770.71</v>
      </c>
      <c r="F10" s="14">
        <f t="shared" si="2"/>
        <v>4511.8499999999995</v>
      </c>
      <c r="G10" s="14">
        <f t="shared" si="2"/>
        <v>4272.33</v>
      </c>
      <c r="H10" s="14">
        <f t="shared" si="2"/>
        <v>5767.16</v>
      </c>
      <c r="I10" s="14">
        <f t="shared" si="2"/>
        <v>5802.06</v>
      </c>
      <c r="J10" s="14">
        <f t="shared" si="2"/>
        <v>5750.341209324255</v>
      </c>
      <c r="K10" s="14">
        <f t="shared" si="2"/>
        <v>5750.341209324255</v>
      </c>
      <c r="L10" s="14">
        <f t="shared" si="2"/>
        <v>5750.341209324255</v>
      </c>
      <c r="M10" s="14">
        <f t="shared" si="2"/>
        <v>5764.7170623475658</v>
      </c>
      <c r="N10" s="14">
        <f t="shared" ref="N10:AB10" si="3">SUM(N8:N9)</f>
        <v>5779.1288550034333</v>
      </c>
      <c r="O10" s="14">
        <f t="shared" si="3"/>
        <v>5793.5766771409417</v>
      </c>
      <c r="P10" s="14">
        <f t="shared" si="3"/>
        <v>5808.0606188337943</v>
      </c>
      <c r="Q10" s="14">
        <f t="shared" si="3"/>
        <v>5822.5807703808778</v>
      </c>
      <c r="R10" s="14">
        <f t="shared" si="3"/>
        <v>5837.1372223068302</v>
      </c>
      <c r="S10" s="14">
        <f t="shared" si="3"/>
        <v>5851.7300653625971</v>
      </c>
      <c r="T10" s="14">
        <f t="shared" si="3"/>
        <v>5866.3593905260032</v>
      </c>
      <c r="U10" s="14">
        <f t="shared" si="3"/>
        <v>5881.0252890023185</v>
      </c>
      <c r="V10" s="14">
        <f t="shared" si="3"/>
        <v>5895.7278522248234</v>
      </c>
      <c r="W10" s="14">
        <f t="shared" si="3"/>
        <v>5910.4671718553855</v>
      </c>
      <c r="X10" s="14">
        <f t="shared" si="3"/>
        <v>4720.3699798557545</v>
      </c>
      <c r="Y10" s="14">
        <f t="shared" si="3"/>
        <v>2817.3709130213929</v>
      </c>
      <c r="Z10" s="14">
        <f t="shared" si="3"/>
        <v>1984.9688630849405</v>
      </c>
      <c r="AA10" s="14">
        <f t="shared" si="3"/>
        <v>1989.9312852426528</v>
      </c>
      <c r="AB10" s="14">
        <f t="shared" si="3"/>
        <v>1994.9061134557594</v>
      </c>
    </row>
    <row r="11" spans="1:28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7.25" customHeight="1" x14ac:dyDescent="0.25">
      <c r="B12" s="50" t="s">
        <v>18</v>
      </c>
      <c r="C12" s="9"/>
      <c r="D12" s="9"/>
      <c r="E12" s="9">
        <f>'P&amp;L'!E11</f>
        <v>2800.58</v>
      </c>
      <c r="F12" s="9">
        <f>'P&amp;L'!F11</f>
        <v>2108.5300000000002</v>
      </c>
      <c r="G12" s="9">
        <f>'P&amp;L'!G11</f>
        <v>2012.61</v>
      </c>
      <c r="H12" s="9">
        <f>'P&amp;L'!H11</f>
        <v>3181.98</v>
      </c>
      <c r="I12" s="27">
        <f>'P&amp;L'!I11*2</f>
        <v>1955.8</v>
      </c>
      <c r="J12" s="27">
        <f>J8*$J$45</f>
        <v>2801.9784</v>
      </c>
      <c r="K12" s="27">
        <f t="shared" ref="K12:AB12" si="4">K8*$J$45</f>
        <v>2801.9784</v>
      </c>
      <c r="L12" s="27">
        <f t="shared" si="4"/>
        <v>2801.9784</v>
      </c>
      <c r="M12" s="27">
        <f t="shared" si="4"/>
        <v>2808.983346</v>
      </c>
      <c r="N12" s="27">
        <f t="shared" si="4"/>
        <v>2816.0058043649997</v>
      </c>
      <c r="O12" s="27">
        <f t="shared" si="4"/>
        <v>2823.0458188759121</v>
      </c>
      <c r="P12" s="27">
        <f t="shared" si="4"/>
        <v>2830.1034334231017</v>
      </c>
      <c r="Q12" s="27">
        <f t="shared" si="4"/>
        <v>2837.1786920066593</v>
      </c>
      <c r="R12" s="27">
        <f t="shared" si="4"/>
        <v>2844.2716387366759</v>
      </c>
      <c r="S12" s="27">
        <f t="shared" si="4"/>
        <v>2851.3823178335169</v>
      </c>
      <c r="T12" s="27">
        <f t="shared" si="4"/>
        <v>2858.5107736281011</v>
      </c>
      <c r="U12" s="27">
        <f t="shared" si="4"/>
        <v>2865.6570505621712</v>
      </c>
      <c r="V12" s="27">
        <f t="shared" si="4"/>
        <v>2872.8211931885762</v>
      </c>
      <c r="W12" s="27">
        <f t="shared" si="4"/>
        <v>2880.0032461715477</v>
      </c>
      <c r="X12" s="27">
        <f t="shared" si="4"/>
        <v>2300.102592541381</v>
      </c>
      <c r="Y12" s="27">
        <f t="shared" si="4"/>
        <v>1372.8250473682588</v>
      </c>
      <c r="Z12" s="27">
        <f t="shared" si="4"/>
        <v>967.2191051929168</v>
      </c>
      <c r="AA12" s="27">
        <f t="shared" si="4"/>
        <v>969.63715295589896</v>
      </c>
      <c r="AB12" s="27">
        <f t="shared" si="4"/>
        <v>972.06124583828864</v>
      </c>
    </row>
    <row r="13" spans="1:28" ht="16.5" customHeight="1" x14ac:dyDescent="0.25">
      <c r="B13" s="47" t="s">
        <v>19</v>
      </c>
      <c r="C13" s="9"/>
      <c r="D13" s="9"/>
      <c r="E13" s="9">
        <f>'P&amp;L'!E12</f>
        <v>65.42</v>
      </c>
      <c r="F13" s="9">
        <f>'P&amp;L'!F12</f>
        <v>76.28</v>
      </c>
      <c r="G13" s="9">
        <f>'P&amp;L'!G12</f>
        <v>79.650000000000006</v>
      </c>
      <c r="H13" s="9">
        <f>'P&amp;L'!H12</f>
        <v>81.209999999999994</v>
      </c>
      <c r="I13" s="27">
        <f>'P&amp;L'!I12*2</f>
        <v>81.040000000000006</v>
      </c>
      <c r="J13" s="27">
        <f>J8*$J$46</f>
        <v>80.826300000000003</v>
      </c>
      <c r="K13" s="27">
        <f t="shared" ref="K13:AB13" si="5">K8*$J$46</f>
        <v>80.826300000000003</v>
      </c>
      <c r="L13" s="27">
        <f t="shared" si="5"/>
        <v>80.826300000000003</v>
      </c>
      <c r="M13" s="27">
        <f t="shared" si="5"/>
        <v>81.028365750000006</v>
      </c>
      <c r="N13" s="27">
        <f t="shared" si="5"/>
        <v>81.23093666437498</v>
      </c>
      <c r="O13" s="27">
        <f t="shared" si="5"/>
        <v>81.434014006035909</v>
      </c>
      <c r="P13" s="27">
        <f t="shared" si="5"/>
        <v>81.637599041051004</v>
      </c>
      <c r="Q13" s="27">
        <f t="shared" si="5"/>
        <v>81.841693038653617</v>
      </c>
      <c r="R13" s="27">
        <f t="shared" si="5"/>
        <v>82.046297271250253</v>
      </c>
      <c r="S13" s="27">
        <f t="shared" si="5"/>
        <v>82.25141301442838</v>
      </c>
      <c r="T13" s="27">
        <f t="shared" si="5"/>
        <v>82.457041546964447</v>
      </c>
      <c r="U13" s="27">
        <f t="shared" si="5"/>
        <v>82.663184150831853</v>
      </c>
      <c r="V13" s="27">
        <f t="shared" si="5"/>
        <v>82.869842111208925</v>
      </c>
      <c r="W13" s="27">
        <f t="shared" si="5"/>
        <v>83.077016716486938</v>
      </c>
      <c r="X13" s="27">
        <f t="shared" si="5"/>
        <v>66.349113246385983</v>
      </c>
      <c r="Y13" s="27">
        <f t="shared" si="5"/>
        <v>39.600722520238236</v>
      </c>
      <c r="Z13" s="27">
        <f t="shared" si="5"/>
        <v>27.900551111334135</v>
      </c>
      <c r="AA13" s="27">
        <f t="shared" si="5"/>
        <v>27.97030248911247</v>
      </c>
      <c r="AB13" s="27">
        <f t="shared" si="5"/>
        <v>28.04022824533525</v>
      </c>
    </row>
    <row r="14" spans="1:28" ht="15.75" customHeight="1" x14ac:dyDescent="0.25">
      <c r="B14" s="50" t="s">
        <v>21</v>
      </c>
      <c r="C14" s="9"/>
      <c r="D14" s="9"/>
      <c r="E14" s="9">
        <f>'P&amp;L'!E13</f>
        <v>1516.57</v>
      </c>
      <c r="F14" s="9">
        <f>'P&amp;L'!F13</f>
        <v>1358.41</v>
      </c>
      <c r="G14" s="9">
        <f>'P&amp;L'!G13</f>
        <v>689.66</v>
      </c>
      <c r="H14" s="9">
        <f>'P&amp;L'!H13</f>
        <v>1064.01</v>
      </c>
      <c r="I14" s="27">
        <f>'P&amp;L'!I13*2</f>
        <v>641.6</v>
      </c>
      <c r="J14" s="27">
        <f>J8*$J$47</f>
        <v>808.26300000000003</v>
      </c>
      <c r="K14" s="27">
        <f t="shared" ref="K14:AB14" si="6">K8*$J$47</f>
        <v>808.26300000000003</v>
      </c>
      <c r="L14" s="27">
        <f t="shared" si="6"/>
        <v>808.26300000000003</v>
      </c>
      <c r="M14" s="27">
        <f t="shared" si="6"/>
        <v>810.2836575</v>
      </c>
      <c r="N14" s="27">
        <f t="shared" si="6"/>
        <v>812.30936664374985</v>
      </c>
      <c r="O14" s="27">
        <f t="shared" si="6"/>
        <v>814.3401400603592</v>
      </c>
      <c r="P14" s="27">
        <f t="shared" si="6"/>
        <v>816.3759904105101</v>
      </c>
      <c r="Q14" s="27">
        <f t="shared" si="6"/>
        <v>818.41693038653625</v>
      </c>
      <c r="R14" s="27">
        <f t="shared" si="6"/>
        <v>820.46297271250262</v>
      </c>
      <c r="S14" s="27">
        <f t="shared" si="6"/>
        <v>822.51413014428374</v>
      </c>
      <c r="T14" s="27">
        <f t="shared" si="6"/>
        <v>824.57041546964444</v>
      </c>
      <c r="U14" s="27">
        <f t="shared" si="6"/>
        <v>826.63184150831853</v>
      </c>
      <c r="V14" s="27">
        <f t="shared" si="6"/>
        <v>828.69842111208925</v>
      </c>
      <c r="W14" s="27">
        <f t="shared" si="6"/>
        <v>830.77016716486946</v>
      </c>
      <c r="X14" s="27">
        <f t="shared" si="6"/>
        <v>663.4911324638598</v>
      </c>
      <c r="Y14" s="27">
        <f t="shared" si="6"/>
        <v>396.00722520238236</v>
      </c>
      <c r="Z14" s="27">
        <f t="shared" si="6"/>
        <v>279.00551111334136</v>
      </c>
      <c r="AA14" s="27">
        <f t="shared" si="6"/>
        <v>279.7030248911247</v>
      </c>
      <c r="AB14" s="27">
        <f t="shared" si="6"/>
        <v>280.40228245335248</v>
      </c>
    </row>
    <row r="15" spans="1:28" x14ac:dyDescent="0.25">
      <c r="B15" s="44" t="s">
        <v>23</v>
      </c>
      <c r="C15" s="14"/>
      <c r="D15" s="14"/>
      <c r="E15" s="14">
        <f t="shared" ref="E15:AB15" si="7">SUM(E12:E14)</f>
        <v>4382.57</v>
      </c>
      <c r="F15" s="14">
        <f t="shared" si="7"/>
        <v>3543.2200000000003</v>
      </c>
      <c r="G15" s="53">
        <f t="shared" si="7"/>
        <v>2781.9199999999996</v>
      </c>
      <c r="H15" s="53">
        <f t="shared" si="7"/>
        <v>4327.2</v>
      </c>
      <c r="I15" s="53">
        <f t="shared" si="7"/>
        <v>2678.44</v>
      </c>
      <c r="J15" s="53">
        <f t="shared" si="7"/>
        <v>3691.0677000000001</v>
      </c>
      <c r="K15" s="53">
        <f t="shared" si="7"/>
        <v>3691.0677000000001</v>
      </c>
      <c r="L15" s="53">
        <f t="shared" si="7"/>
        <v>3691.0677000000001</v>
      </c>
      <c r="M15" s="53">
        <f t="shared" si="7"/>
        <v>3700.29536925</v>
      </c>
      <c r="N15" s="53">
        <f t="shared" si="7"/>
        <v>3709.5461076731244</v>
      </c>
      <c r="O15" s="53">
        <f t="shared" si="7"/>
        <v>3718.8199729423072</v>
      </c>
      <c r="P15" s="53">
        <f t="shared" si="7"/>
        <v>3728.1170228746628</v>
      </c>
      <c r="Q15" s="53">
        <f t="shared" si="7"/>
        <v>3737.4373154318491</v>
      </c>
      <c r="R15" s="53">
        <f t="shared" si="7"/>
        <v>3746.7809087204287</v>
      </c>
      <c r="S15" s="53">
        <f t="shared" si="7"/>
        <v>3756.1478609922287</v>
      </c>
      <c r="T15" s="53">
        <f t="shared" si="7"/>
        <v>3765.53823064471</v>
      </c>
      <c r="U15" s="53">
        <f t="shared" si="7"/>
        <v>3774.9520762213215</v>
      </c>
      <c r="V15" s="53">
        <f t="shared" si="7"/>
        <v>3784.3894564118746</v>
      </c>
      <c r="W15" s="53">
        <f t="shared" si="7"/>
        <v>3793.8504300529039</v>
      </c>
      <c r="X15" s="53">
        <f t="shared" si="7"/>
        <v>3029.9428382516267</v>
      </c>
      <c r="Y15" s="53">
        <f t="shared" si="7"/>
        <v>1808.4329950908793</v>
      </c>
      <c r="Z15" s="53">
        <f t="shared" si="7"/>
        <v>1274.1251674175924</v>
      </c>
      <c r="AA15" s="53">
        <f t="shared" si="7"/>
        <v>1277.3104803361362</v>
      </c>
      <c r="AB15" s="53">
        <f t="shared" si="7"/>
        <v>1280.5037565369764</v>
      </c>
    </row>
    <row r="16" spans="1:28" x14ac:dyDescent="0.25">
      <c r="B16" s="44" t="s">
        <v>121</v>
      </c>
      <c r="C16" s="14"/>
      <c r="D16" s="14"/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AB16" si="8">H10-H15</f>
        <v>1439.96</v>
      </c>
      <c r="I16" s="53">
        <f t="shared" si="8"/>
        <v>3123.6200000000003</v>
      </c>
      <c r="J16" s="53">
        <f t="shared" si="8"/>
        <v>2059.273509324255</v>
      </c>
      <c r="K16" s="53">
        <f t="shared" si="8"/>
        <v>2059.273509324255</v>
      </c>
      <c r="L16" s="53">
        <f t="shared" si="8"/>
        <v>2059.273509324255</v>
      </c>
      <c r="M16" s="53">
        <f t="shared" si="8"/>
        <v>2064.4216930975658</v>
      </c>
      <c r="N16" s="53">
        <f t="shared" si="8"/>
        <v>2069.5827473303088</v>
      </c>
      <c r="O16" s="53">
        <f t="shared" si="8"/>
        <v>2074.7567041986345</v>
      </c>
      <c r="P16" s="53">
        <f t="shared" si="8"/>
        <v>2079.9435959591315</v>
      </c>
      <c r="Q16" s="53">
        <f t="shared" si="8"/>
        <v>2085.1434549490286</v>
      </c>
      <c r="R16" s="53">
        <f t="shared" si="8"/>
        <v>2090.3563135864015</v>
      </c>
      <c r="S16" s="53">
        <f t="shared" si="8"/>
        <v>2095.5822043703683</v>
      </c>
      <c r="T16" s="53">
        <f t="shared" si="8"/>
        <v>2100.8211598812932</v>
      </c>
      <c r="U16" s="53">
        <f t="shared" si="8"/>
        <v>2106.073212780997</v>
      </c>
      <c r="V16" s="53">
        <f t="shared" si="8"/>
        <v>2111.3383958129489</v>
      </c>
      <c r="W16" s="53">
        <f t="shared" si="8"/>
        <v>2116.6167418024816</v>
      </c>
      <c r="X16" s="53">
        <f t="shared" si="8"/>
        <v>1690.4271416041279</v>
      </c>
      <c r="Y16" s="53">
        <f t="shared" si="8"/>
        <v>1008.9379179305135</v>
      </c>
      <c r="Z16" s="53">
        <f t="shared" si="8"/>
        <v>710.84369566734813</v>
      </c>
      <c r="AA16" s="53">
        <f t="shared" si="8"/>
        <v>712.6208049065167</v>
      </c>
      <c r="AB16" s="53">
        <f t="shared" si="8"/>
        <v>714.40235691878297</v>
      </c>
    </row>
    <row r="17" spans="1:28" ht="30" x14ac:dyDescent="0.25">
      <c r="B17" s="64" t="s">
        <v>22</v>
      </c>
      <c r="C17" s="9"/>
      <c r="D17" s="9"/>
      <c r="E17" s="9">
        <f>'P&amp;L'!E16</f>
        <v>695.21</v>
      </c>
      <c r="F17" s="9">
        <f>'P&amp;L'!F16</f>
        <v>679.41</v>
      </c>
      <c r="G17" s="9">
        <f>'P&amp;L'!G16</f>
        <v>672.38</v>
      </c>
      <c r="H17" s="9">
        <f>'P&amp;L'!H16</f>
        <v>665.53</v>
      </c>
      <c r="I17" s="27">
        <f>Depreciation!D6</f>
        <v>585.52756678604112</v>
      </c>
      <c r="J17" s="27">
        <f>Depreciation!E6</f>
        <v>555.22096429636542</v>
      </c>
      <c r="K17" s="27">
        <f>Depreciation!F6</f>
        <v>526.48301579766883</v>
      </c>
      <c r="L17" s="27">
        <f>Depreciation!G6</f>
        <v>499.23252857479122</v>
      </c>
      <c r="M17" s="27">
        <f>L17</f>
        <v>499.23252857479122</v>
      </c>
      <c r="N17" s="27">
        <f t="shared" ref="N17:AB17" si="9">M17</f>
        <v>499.23252857479122</v>
      </c>
      <c r="O17" s="27">
        <f t="shared" si="9"/>
        <v>499.23252857479122</v>
      </c>
      <c r="P17" s="27">
        <f t="shared" si="9"/>
        <v>499.23252857479122</v>
      </c>
      <c r="Q17" s="27">
        <f t="shared" si="9"/>
        <v>499.23252857479122</v>
      </c>
      <c r="R17" s="27">
        <f t="shared" si="9"/>
        <v>499.23252857479122</v>
      </c>
      <c r="S17" s="27">
        <f t="shared" si="9"/>
        <v>499.23252857479122</v>
      </c>
      <c r="T17" s="27">
        <f t="shared" si="9"/>
        <v>499.23252857479122</v>
      </c>
      <c r="U17" s="27">
        <f t="shared" si="9"/>
        <v>499.23252857479122</v>
      </c>
      <c r="V17" s="27">
        <f t="shared" si="9"/>
        <v>499.23252857479122</v>
      </c>
      <c r="W17" s="27">
        <f t="shared" si="9"/>
        <v>499.23252857479122</v>
      </c>
      <c r="X17" s="27">
        <f t="shared" si="9"/>
        <v>499.23252857479122</v>
      </c>
      <c r="Y17" s="27">
        <f t="shared" si="9"/>
        <v>499.23252857479122</v>
      </c>
      <c r="Z17" s="27">
        <f t="shared" si="9"/>
        <v>499.23252857479122</v>
      </c>
      <c r="AA17" s="27">
        <f t="shared" si="9"/>
        <v>499.23252857479122</v>
      </c>
      <c r="AB17" s="27">
        <f t="shared" si="9"/>
        <v>499.23252857479122</v>
      </c>
    </row>
    <row r="18" spans="1:28" x14ac:dyDescent="0.25">
      <c r="B18" s="110" t="s">
        <v>122</v>
      </c>
      <c r="C18" s="14"/>
      <c r="D18" s="14"/>
      <c r="E18" s="14">
        <f t="shared" ref="E18:AB18" si="10">E16-E17</f>
        <v>-307.06999999999971</v>
      </c>
      <c r="F18" s="14">
        <f t="shared" si="10"/>
        <v>289.21999999999923</v>
      </c>
      <c r="G18" s="53">
        <f t="shared" si="10"/>
        <v>818.03000000000031</v>
      </c>
      <c r="H18" s="107">
        <f t="shared" si="10"/>
        <v>774.43000000000006</v>
      </c>
      <c r="I18" s="107">
        <f t="shared" si="10"/>
        <v>2538.0924332139593</v>
      </c>
      <c r="J18" s="107">
        <f t="shared" si="10"/>
        <v>1504.0525450278897</v>
      </c>
      <c r="K18" s="107">
        <f t="shared" si="10"/>
        <v>1532.790493526586</v>
      </c>
      <c r="L18" s="107">
        <f t="shared" si="10"/>
        <v>1560.0409807494639</v>
      </c>
      <c r="M18" s="107">
        <f t="shared" si="10"/>
        <v>1565.1891645227747</v>
      </c>
      <c r="N18" s="107">
        <f t="shared" si="10"/>
        <v>1570.3502187555177</v>
      </c>
      <c r="O18" s="107">
        <f t="shared" si="10"/>
        <v>1575.5241756238433</v>
      </c>
      <c r="P18" s="107">
        <f t="shared" si="10"/>
        <v>1580.7110673843404</v>
      </c>
      <c r="Q18" s="107">
        <f t="shared" si="10"/>
        <v>1585.9109263742375</v>
      </c>
      <c r="R18" s="107">
        <f t="shared" si="10"/>
        <v>1591.1237850116104</v>
      </c>
      <c r="S18" s="107">
        <f t="shared" si="10"/>
        <v>1596.3496757955772</v>
      </c>
      <c r="T18" s="107">
        <f t="shared" si="10"/>
        <v>1601.5886313065021</v>
      </c>
      <c r="U18" s="107">
        <f t="shared" si="10"/>
        <v>1606.8406842062059</v>
      </c>
      <c r="V18" s="107">
        <f t="shared" si="10"/>
        <v>1612.1058672381578</v>
      </c>
      <c r="W18" s="107">
        <f t="shared" si="10"/>
        <v>1617.3842132276905</v>
      </c>
      <c r="X18" s="107">
        <f t="shared" si="10"/>
        <v>1191.1946130293368</v>
      </c>
      <c r="Y18" s="107">
        <f t="shared" si="10"/>
        <v>509.70538935572233</v>
      </c>
      <c r="Z18" s="107">
        <f t="shared" si="10"/>
        <v>211.61116709255691</v>
      </c>
      <c r="AA18" s="107">
        <f t="shared" si="10"/>
        <v>213.38827633172548</v>
      </c>
      <c r="AB18" s="107">
        <f t="shared" si="10"/>
        <v>215.16982834399175</v>
      </c>
    </row>
    <row r="19" spans="1:28" x14ac:dyDescent="0.25">
      <c r="A19" s="174">
        <f>30%*1.04*1.12</f>
        <v>0.34944000000000003</v>
      </c>
      <c r="B19" s="111" t="s">
        <v>185</v>
      </c>
      <c r="I19" s="61">
        <f t="shared" ref="I19:AB19" si="11">$A$19</f>
        <v>0.34944000000000003</v>
      </c>
      <c r="J19" s="61">
        <f t="shared" si="11"/>
        <v>0.34944000000000003</v>
      </c>
      <c r="K19" s="61">
        <f t="shared" si="11"/>
        <v>0.34944000000000003</v>
      </c>
      <c r="L19" s="61">
        <f t="shared" si="11"/>
        <v>0.34944000000000003</v>
      </c>
      <c r="M19" s="61">
        <f t="shared" si="11"/>
        <v>0.34944000000000003</v>
      </c>
      <c r="N19" s="61">
        <f t="shared" si="11"/>
        <v>0.34944000000000003</v>
      </c>
      <c r="O19" s="61">
        <f t="shared" si="11"/>
        <v>0.34944000000000003</v>
      </c>
      <c r="P19" s="61">
        <f t="shared" si="11"/>
        <v>0.34944000000000003</v>
      </c>
      <c r="Q19" s="61">
        <f t="shared" si="11"/>
        <v>0.34944000000000003</v>
      </c>
      <c r="R19" s="61">
        <f t="shared" si="11"/>
        <v>0.34944000000000003</v>
      </c>
      <c r="S19" s="61">
        <f t="shared" si="11"/>
        <v>0.34944000000000003</v>
      </c>
      <c r="T19" s="61">
        <f t="shared" si="11"/>
        <v>0.34944000000000003</v>
      </c>
      <c r="U19" s="61">
        <f t="shared" si="11"/>
        <v>0.34944000000000003</v>
      </c>
      <c r="V19" s="61">
        <f t="shared" si="11"/>
        <v>0.34944000000000003</v>
      </c>
      <c r="W19" s="61">
        <f t="shared" si="11"/>
        <v>0.34944000000000003</v>
      </c>
      <c r="X19" s="61">
        <f t="shared" si="11"/>
        <v>0.34944000000000003</v>
      </c>
      <c r="Y19" s="61">
        <f t="shared" si="11"/>
        <v>0.34944000000000003</v>
      </c>
      <c r="Z19" s="61">
        <f t="shared" si="11"/>
        <v>0.34944000000000003</v>
      </c>
      <c r="AA19" s="61">
        <f t="shared" si="11"/>
        <v>0.34944000000000003</v>
      </c>
      <c r="AB19" s="61">
        <f t="shared" si="11"/>
        <v>0.34944000000000003</v>
      </c>
    </row>
    <row r="20" spans="1:28" x14ac:dyDescent="0.25">
      <c r="B20" s="111" t="s">
        <v>186</v>
      </c>
      <c r="I20" s="97">
        <f t="shared" ref="I20:AB20" si="12">1-I19</f>
        <v>0.65056000000000003</v>
      </c>
      <c r="J20" s="97">
        <f t="shared" si="12"/>
        <v>0.65056000000000003</v>
      </c>
      <c r="K20" s="97">
        <f t="shared" si="12"/>
        <v>0.65056000000000003</v>
      </c>
      <c r="L20" s="97">
        <f t="shared" si="12"/>
        <v>0.65056000000000003</v>
      </c>
      <c r="M20" s="97">
        <f t="shared" si="12"/>
        <v>0.65056000000000003</v>
      </c>
      <c r="N20" s="97">
        <f t="shared" si="12"/>
        <v>0.65056000000000003</v>
      </c>
      <c r="O20" s="97">
        <f t="shared" si="12"/>
        <v>0.65056000000000003</v>
      </c>
      <c r="P20" s="97">
        <f t="shared" si="12"/>
        <v>0.65056000000000003</v>
      </c>
      <c r="Q20" s="97">
        <f t="shared" si="12"/>
        <v>0.65056000000000003</v>
      </c>
      <c r="R20" s="97">
        <f t="shared" si="12"/>
        <v>0.65056000000000003</v>
      </c>
      <c r="S20" s="97">
        <f t="shared" si="12"/>
        <v>0.65056000000000003</v>
      </c>
      <c r="T20" s="97">
        <f t="shared" si="12"/>
        <v>0.65056000000000003</v>
      </c>
      <c r="U20" s="97">
        <f t="shared" si="12"/>
        <v>0.65056000000000003</v>
      </c>
      <c r="V20" s="97">
        <f t="shared" si="12"/>
        <v>0.65056000000000003</v>
      </c>
      <c r="W20" s="97">
        <f t="shared" si="12"/>
        <v>0.65056000000000003</v>
      </c>
      <c r="X20" s="97">
        <f t="shared" si="12"/>
        <v>0.65056000000000003</v>
      </c>
      <c r="Y20" s="97">
        <f t="shared" si="12"/>
        <v>0.65056000000000003</v>
      </c>
      <c r="Z20" s="97">
        <f t="shared" si="12"/>
        <v>0.65056000000000003</v>
      </c>
      <c r="AA20" s="97">
        <f t="shared" si="12"/>
        <v>0.65056000000000003</v>
      </c>
      <c r="AB20" s="97">
        <f t="shared" si="12"/>
        <v>0.65056000000000003</v>
      </c>
    </row>
    <row r="21" spans="1:28" x14ac:dyDescent="0.25">
      <c r="B21" s="112" t="s">
        <v>187</v>
      </c>
      <c r="I21" s="27">
        <f t="shared" ref="I21:AB21" si="13">I18*I20</f>
        <v>1651.1814133516734</v>
      </c>
      <c r="J21" s="27">
        <f t="shared" si="13"/>
        <v>978.47642369334392</v>
      </c>
      <c r="K21" s="27">
        <f t="shared" si="13"/>
        <v>997.17218346865582</v>
      </c>
      <c r="L21" s="27">
        <f t="shared" si="13"/>
        <v>1014.9002604363712</v>
      </c>
      <c r="M21" s="27">
        <f t="shared" si="13"/>
        <v>1018.2494628719363</v>
      </c>
      <c r="N21" s="27">
        <f t="shared" si="13"/>
        <v>1021.6070383135897</v>
      </c>
      <c r="O21" s="27">
        <f t="shared" si="13"/>
        <v>1024.9730076938476</v>
      </c>
      <c r="P21" s="27">
        <f t="shared" si="13"/>
        <v>1028.3473919975565</v>
      </c>
      <c r="Q21" s="27">
        <f t="shared" si="13"/>
        <v>1031.730212262024</v>
      </c>
      <c r="R21" s="27">
        <f t="shared" si="13"/>
        <v>1035.1214895771534</v>
      </c>
      <c r="S21" s="27">
        <f t="shared" si="13"/>
        <v>1038.5212450855709</v>
      </c>
      <c r="T21" s="27">
        <f t="shared" si="13"/>
        <v>1041.929499982758</v>
      </c>
      <c r="U21" s="27">
        <f t="shared" si="13"/>
        <v>1045.3462755171893</v>
      </c>
      <c r="V21" s="27">
        <f t="shared" si="13"/>
        <v>1048.7715929904559</v>
      </c>
      <c r="W21" s="27">
        <f t="shared" si="13"/>
        <v>1052.2054737574063</v>
      </c>
      <c r="X21" s="27">
        <f t="shared" si="13"/>
        <v>774.94356745236541</v>
      </c>
      <c r="Y21" s="27">
        <f t="shared" si="13"/>
        <v>331.59393809925871</v>
      </c>
      <c r="Z21" s="27">
        <f t="shared" si="13"/>
        <v>137.66576086373382</v>
      </c>
      <c r="AA21" s="27">
        <f t="shared" si="13"/>
        <v>138.82187705036733</v>
      </c>
      <c r="AB21" s="27">
        <f t="shared" si="13"/>
        <v>139.98088352746728</v>
      </c>
    </row>
    <row r="22" spans="1:28" x14ac:dyDescent="0.25">
      <c r="B22" s="111" t="s">
        <v>188</v>
      </c>
      <c r="I22" s="27">
        <f t="shared" ref="I22:AB22" si="14">I17</f>
        <v>585.52756678604112</v>
      </c>
      <c r="J22" s="27">
        <f t="shared" si="14"/>
        <v>555.22096429636542</v>
      </c>
      <c r="K22" s="27">
        <f t="shared" si="14"/>
        <v>526.48301579766883</v>
      </c>
      <c r="L22" s="27">
        <f t="shared" si="14"/>
        <v>499.23252857479122</v>
      </c>
      <c r="M22" s="27">
        <f t="shared" si="14"/>
        <v>499.23252857479122</v>
      </c>
      <c r="N22" s="27">
        <f t="shared" si="14"/>
        <v>499.23252857479122</v>
      </c>
      <c r="O22" s="27">
        <f t="shared" si="14"/>
        <v>499.23252857479122</v>
      </c>
      <c r="P22" s="27">
        <f t="shared" si="14"/>
        <v>499.23252857479122</v>
      </c>
      <c r="Q22" s="27">
        <f t="shared" si="14"/>
        <v>499.23252857479122</v>
      </c>
      <c r="R22" s="27">
        <f t="shared" si="14"/>
        <v>499.23252857479122</v>
      </c>
      <c r="S22" s="27">
        <f t="shared" si="14"/>
        <v>499.23252857479122</v>
      </c>
      <c r="T22" s="27">
        <f t="shared" si="14"/>
        <v>499.23252857479122</v>
      </c>
      <c r="U22" s="27">
        <f t="shared" si="14"/>
        <v>499.23252857479122</v>
      </c>
      <c r="V22" s="27">
        <f t="shared" si="14"/>
        <v>499.23252857479122</v>
      </c>
      <c r="W22" s="27">
        <f t="shared" si="14"/>
        <v>499.23252857479122</v>
      </c>
      <c r="X22" s="27">
        <f t="shared" si="14"/>
        <v>499.23252857479122</v>
      </c>
      <c r="Y22" s="27">
        <f t="shared" si="14"/>
        <v>499.23252857479122</v>
      </c>
      <c r="Z22" s="27">
        <f t="shared" si="14"/>
        <v>499.23252857479122</v>
      </c>
      <c r="AA22" s="27">
        <f t="shared" si="14"/>
        <v>499.23252857479122</v>
      </c>
      <c r="AB22" s="27">
        <f t="shared" si="14"/>
        <v>499.23252857479122</v>
      </c>
    </row>
    <row r="23" spans="1:28" x14ac:dyDescent="0.25">
      <c r="B23" s="111" t="s">
        <v>189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</row>
    <row r="24" spans="1:28" ht="15" customHeight="1" x14ac:dyDescent="0.25">
      <c r="B24" s="111" t="s">
        <v>190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</row>
    <row r="25" spans="1:28" x14ac:dyDescent="0.25">
      <c r="B25" s="113" t="s">
        <v>191</v>
      </c>
      <c r="I25" s="27">
        <f t="shared" ref="I25" si="15">I21+I22-I23-I24</f>
        <v>2236.7089801377147</v>
      </c>
      <c r="J25" s="27">
        <f>J21+J22-J23-J24</f>
        <v>1533.6973879897093</v>
      </c>
      <c r="K25" s="27">
        <f>K21+K22-K23-K24</f>
        <v>497.65519926632464</v>
      </c>
      <c r="L25" s="27">
        <f>L21+L22-L23-L24</f>
        <v>488.13278901116246</v>
      </c>
      <c r="M25" s="27">
        <f>M21+M22-M23-M24</f>
        <v>1517.4819914467275</v>
      </c>
      <c r="N25" s="27">
        <f t="shared" ref="N25:AB25" si="16">N21+N22-N23-N24</f>
        <v>1520.8395668883809</v>
      </c>
      <c r="O25" s="27">
        <f t="shared" si="16"/>
        <v>1524.2055362686388</v>
      </c>
      <c r="P25" s="27">
        <f t="shared" si="16"/>
        <v>1527.5799205723479</v>
      </c>
      <c r="Q25" s="27">
        <f t="shared" si="16"/>
        <v>1530.9627408368151</v>
      </c>
      <c r="R25" s="27">
        <f t="shared" si="16"/>
        <v>1534.3540181519447</v>
      </c>
      <c r="S25" s="27">
        <f t="shared" si="16"/>
        <v>1537.7537736603622</v>
      </c>
      <c r="T25" s="27">
        <f t="shared" si="16"/>
        <v>1541.1620285575491</v>
      </c>
      <c r="U25" s="27">
        <f t="shared" si="16"/>
        <v>1544.5788040919806</v>
      </c>
      <c r="V25" s="27">
        <f t="shared" si="16"/>
        <v>1548.0041215652473</v>
      </c>
      <c r="W25" s="27">
        <f t="shared" si="16"/>
        <v>1551.4380023321974</v>
      </c>
      <c r="X25" s="27">
        <f t="shared" si="16"/>
        <v>1274.1760960271567</v>
      </c>
      <c r="Y25" s="27">
        <f t="shared" si="16"/>
        <v>830.82646667404993</v>
      </c>
      <c r="Z25" s="27">
        <f t="shared" si="16"/>
        <v>636.89828943852501</v>
      </c>
      <c r="AA25" s="27">
        <f t="shared" si="16"/>
        <v>638.05440562515855</v>
      </c>
      <c r="AB25" s="27">
        <f t="shared" si="16"/>
        <v>639.21341210225853</v>
      </c>
    </row>
    <row r="26" spans="1:28" x14ac:dyDescent="0.25">
      <c r="B26" s="113" t="s">
        <v>237</v>
      </c>
      <c r="I26" s="27">
        <f>I25*0.5/12</f>
        <v>93.196207505738116</v>
      </c>
      <c r="J26" s="27">
        <f t="shared" ref="J26:AB26" si="17">J25</f>
        <v>1533.6973879897093</v>
      </c>
      <c r="K26" s="27">
        <f t="shared" si="17"/>
        <v>497.65519926632464</v>
      </c>
      <c r="L26" s="27">
        <f t="shared" si="17"/>
        <v>488.13278901116246</v>
      </c>
      <c r="M26" s="27">
        <f t="shared" si="17"/>
        <v>1517.4819914467275</v>
      </c>
      <c r="N26" s="27">
        <f t="shared" si="17"/>
        <v>1520.8395668883809</v>
      </c>
      <c r="O26" s="27">
        <f t="shared" si="17"/>
        <v>1524.2055362686388</v>
      </c>
      <c r="P26" s="27">
        <f t="shared" si="17"/>
        <v>1527.5799205723479</v>
      </c>
      <c r="Q26" s="27">
        <f t="shared" si="17"/>
        <v>1530.9627408368151</v>
      </c>
      <c r="R26" s="27">
        <f t="shared" si="17"/>
        <v>1534.3540181519447</v>
      </c>
      <c r="S26" s="27">
        <f t="shared" si="17"/>
        <v>1537.7537736603622</v>
      </c>
      <c r="T26" s="27">
        <f t="shared" si="17"/>
        <v>1541.1620285575491</v>
      </c>
      <c r="U26" s="27">
        <f t="shared" si="17"/>
        <v>1544.5788040919806</v>
      </c>
      <c r="V26" s="27">
        <f t="shared" si="17"/>
        <v>1548.0041215652473</v>
      </c>
      <c r="W26" s="27">
        <f t="shared" si="17"/>
        <v>1551.4380023321974</v>
      </c>
      <c r="X26" s="27">
        <f t="shared" si="17"/>
        <v>1274.1760960271567</v>
      </c>
      <c r="Y26" s="27">
        <f t="shared" si="17"/>
        <v>830.82646667404993</v>
      </c>
      <c r="Z26" s="27">
        <f t="shared" si="17"/>
        <v>636.89828943852501</v>
      </c>
      <c r="AA26" s="27">
        <f t="shared" si="17"/>
        <v>638.05440562515855</v>
      </c>
      <c r="AB26" s="27">
        <f t="shared" si="17"/>
        <v>639.21341210225853</v>
      </c>
    </row>
    <row r="27" spans="1:28" x14ac:dyDescent="0.25">
      <c r="B27" s="112" t="s">
        <v>192</v>
      </c>
      <c r="I27" s="180">
        <f>'Discount Rate'!C7</f>
        <v>0.14279999999999998</v>
      </c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2"/>
    </row>
    <row r="28" spans="1:28" x14ac:dyDescent="0.25">
      <c r="B28" s="112" t="s">
        <v>256</v>
      </c>
      <c r="I28" s="187">
        <v>45366</v>
      </c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9"/>
    </row>
    <row r="29" spans="1:28" ht="15.75" customHeight="1" x14ac:dyDescent="0.25">
      <c r="B29" s="114" t="s">
        <v>193</v>
      </c>
      <c r="I29" s="115">
        <f>0.5/12</f>
        <v>4.1666666666666664E-2</v>
      </c>
      <c r="J29" s="115">
        <f t="shared" ref="J29:AB29" si="18">I29+1</f>
        <v>1.0416666666666667</v>
      </c>
      <c r="K29" s="115">
        <f t="shared" si="18"/>
        <v>2.041666666666667</v>
      </c>
      <c r="L29" s="115">
        <f t="shared" si="18"/>
        <v>3.041666666666667</v>
      </c>
      <c r="M29" s="115">
        <f t="shared" si="18"/>
        <v>4.041666666666667</v>
      </c>
      <c r="N29" s="115">
        <f t="shared" si="18"/>
        <v>5.041666666666667</v>
      </c>
      <c r="O29" s="115">
        <f t="shared" si="18"/>
        <v>6.041666666666667</v>
      </c>
      <c r="P29" s="115">
        <f t="shared" si="18"/>
        <v>7.041666666666667</v>
      </c>
      <c r="Q29" s="115">
        <f t="shared" si="18"/>
        <v>8.0416666666666679</v>
      </c>
      <c r="R29" s="115">
        <f t="shared" si="18"/>
        <v>9.0416666666666679</v>
      </c>
      <c r="S29" s="115">
        <f t="shared" si="18"/>
        <v>10.041666666666668</v>
      </c>
      <c r="T29" s="115">
        <f t="shared" si="18"/>
        <v>11.041666666666668</v>
      </c>
      <c r="U29" s="115">
        <f t="shared" si="18"/>
        <v>12.041666666666668</v>
      </c>
      <c r="V29" s="115">
        <f t="shared" si="18"/>
        <v>13.041666666666668</v>
      </c>
      <c r="W29" s="115">
        <f t="shared" si="18"/>
        <v>14.041666666666668</v>
      </c>
      <c r="X29" s="115">
        <f t="shared" si="18"/>
        <v>15.041666666666668</v>
      </c>
      <c r="Y29" s="115">
        <f t="shared" si="18"/>
        <v>16.041666666666668</v>
      </c>
      <c r="Z29" s="115">
        <f t="shared" si="18"/>
        <v>17.041666666666668</v>
      </c>
      <c r="AA29" s="115">
        <f t="shared" si="18"/>
        <v>18.041666666666668</v>
      </c>
      <c r="AB29" s="115">
        <f t="shared" si="18"/>
        <v>19.041666666666668</v>
      </c>
    </row>
    <row r="30" spans="1:28" ht="15.75" customHeight="1" x14ac:dyDescent="0.25">
      <c r="B30" s="111" t="s">
        <v>194</v>
      </c>
      <c r="I30" s="27">
        <f t="shared" ref="I30:AB30" si="19">1/(1+$I$27)^I29</f>
        <v>0.99445371311644104</v>
      </c>
      <c r="J30" s="27">
        <f t="shared" si="19"/>
        <v>0.87019050850231094</v>
      </c>
      <c r="K30" s="27">
        <f t="shared" si="19"/>
        <v>0.7614547676779061</v>
      </c>
      <c r="L30" s="27">
        <f t="shared" si="19"/>
        <v>0.66630623703001923</v>
      </c>
      <c r="M30" s="27">
        <f t="shared" si="19"/>
        <v>0.58304710975675467</v>
      </c>
      <c r="N30" s="27">
        <f t="shared" si="19"/>
        <v>0.5101917306236915</v>
      </c>
      <c r="O30" s="27">
        <f t="shared" si="19"/>
        <v>0.44644008630004511</v>
      </c>
      <c r="P30" s="27">
        <f t="shared" si="19"/>
        <v>0.39065460824295156</v>
      </c>
      <c r="Q30" s="27">
        <f t="shared" si="19"/>
        <v>0.34183987420629292</v>
      </c>
      <c r="R30" s="27">
        <f t="shared" si="19"/>
        <v>0.29912484617281493</v>
      </c>
      <c r="S30" s="27">
        <f t="shared" si="19"/>
        <v>0.26174732776760146</v>
      </c>
      <c r="T30" s="27">
        <f t="shared" si="19"/>
        <v>0.22904036381484197</v>
      </c>
      <c r="U30" s="27">
        <f t="shared" si="19"/>
        <v>0.20042033935495446</v>
      </c>
      <c r="V30" s="27">
        <f t="shared" si="19"/>
        <v>0.17537656576387334</v>
      </c>
      <c r="W30" s="27">
        <f t="shared" si="19"/>
        <v>0.15346216815179678</v>
      </c>
      <c r="X30" s="27">
        <f t="shared" si="19"/>
        <v>0.13428611143839408</v>
      </c>
      <c r="Y30" s="27">
        <f t="shared" si="19"/>
        <v>0.11750622281973579</v>
      </c>
      <c r="Z30" s="27">
        <f t="shared" si="19"/>
        <v>0.1028230861215749</v>
      </c>
      <c r="AA30" s="27">
        <f t="shared" si="19"/>
        <v>8.9974699091332599E-2</v>
      </c>
      <c r="AB30" s="27">
        <f t="shared" si="19"/>
        <v>7.873179829483079E-2</v>
      </c>
    </row>
    <row r="31" spans="1:28" x14ac:dyDescent="0.25">
      <c r="B31" s="32" t="s">
        <v>197</v>
      </c>
      <c r="I31" s="32"/>
      <c r="J31" s="32"/>
      <c r="K31" s="32"/>
      <c r="L31" s="27"/>
      <c r="M31" s="9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75">
        <f>Depreciation!W7*0.75</f>
        <v>2930.8182910033456</v>
      </c>
    </row>
    <row r="32" spans="1:28" x14ac:dyDescent="0.25">
      <c r="B32" s="116" t="s">
        <v>195</v>
      </c>
      <c r="I32" s="36">
        <f>I26*I30</f>
        <v>92.679314602451598</v>
      </c>
      <c r="J32" s="36">
        <f>J25*J30</f>
        <v>1334.6089099434312</v>
      </c>
      <c r="K32" s="36">
        <f>K25*K30</f>
        <v>378.94192414104128</v>
      </c>
      <c r="L32" s="36">
        <f>L25*L30</f>
        <v>325.24592181699597</v>
      </c>
      <c r="M32" s="36">
        <f t="shared" ref="M32:AB32" si="20">M25*M30</f>
        <v>884.76348922093882</v>
      </c>
      <c r="N32" s="36">
        <f t="shared" si="20"/>
        <v>775.91977063176842</v>
      </c>
      <c r="O32" s="36">
        <f t="shared" si="20"/>
        <v>680.46645115077763</v>
      </c>
      <c r="P32" s="36">
        <f t="shared" si="20"/>
        <v>596.75613543098962</v>
      </c>
      <c r="Q32" s="36">
        <f t="shared" si="20"/>
        <v>523.34411074217826</v>
      </c>
      <c r="R32" s="36">
        <f t="shared" si="20"/>
        <v>458.96340965434098</v>
      </c>
      <c r="S32" s="36">
        <f t="shared" si="20"/>
        <v>402.50294102014482</v>
      </c>
      <c r="T32" s="36">
        <f t="shared" si="20"/>
        <v>352.98831171844091</v>
      </c>
      <c r="U32" s="36">
        <f t="shared" si="20"/>
        <v>309.56500807658449</v>
      </c>
      <c r="V32" s="36">
        <f t="shared" si="20"/>
        <v>271.48364662843454</v>
      </c>
      <c r="W32" s="36">
        <f t="shared" si="20"/>
        <v>238.08703959099137</v>
      </c>
      <c r="X32" s="36">
        <f t="shared" si="20"/>
        <v>171.1041532232407</v>
      </c>
      <c r="Y32" s="36">
        <f t="shared" si="20"/>
        <v>97.627279917534693</v>
      </c>
      <c r="Z32" s="36">
        <f t="shared" si="20"/>
        <v>65.487847665621189</v>
      </c>
      <c r="AA32" s="36">
        <f t="shared" si="20"/>
        <v>57.408753150022712</v>
      </c>
      <c r="AB32" s="36">
        <f t="shared" si="20"/>
        <v>50.326421428985569</v>
      </c>
    </row>
    <row r="33" spans="2:28" x14ac:dyDescent="0.25">
      <c r="B33" s="112" t="s">
        <v>198</v>
      </c>
      <c r="I33" s="32"/>
      <c r="J33" s="32"/>
      <c r="K33" s="32"/>
      <c r="L33" s="27"/>
      <c r="M33" s="95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98">
        <f>AB30*AB31</f>
        <v>230.74859452607609</v>
      </c>
    </row>
    <row r="34" spans="2:28" x14ac:dyDescent="0.25">
      <c r="B34" s="112" t="s">
        <v>199</v>
      </c>
      <c r="I34" s="27">
        <f t="shared" ref="I34:AB34" si="21">I32+I33</f>
        <v>92.679314602451598</v>
      </c>
      <c r="J34" s="27">
        <f t="shared" si="21"/>
        <v>1334.6089099434312</v>
      </c>
      <c r="K34" s="27">
        <f t="shared" si="21"/>
        <v>378.94192414104128</v>
      </c>
      <c r="L34" s="27">
        <f t="shared" si="21"/>
        <v>325.24592181699597</v>
      </c>
      <c r="M34" s="27">
        <f t="shared" si="21"/>
        <v>884.76348922093882</v>
      </c>
      <c r="N34" s="27">
        <f t="shared" si="21"/>
        <v>775.91977063176842</v>
      </c>
      <c r="O34" s="27">
        <f t="shared" si="21"/>
        <v>680.46645115077763</v>
      </c>
      <c r="P34" s="27">
        <f t="shared" si="21"/>
        <v>596.75613543098962</v>
      </c>
      <c r="Q34" s="27">
        <f t="shared" si="21"/>
        <v>523.34411074217826</v>
      </c>
      <c r="R34" s="27">
        <f t="shared" si="21"/>
        <v>458.96340965434098</v>
      </c>
      <c r="S34" s="27">
        <f t="shared" si="21"/>
        <v>402.50294102014482</v>
      </c>
      <c r="T34" s="27">
        <f t="shared" si="21"/>
        <v>352.98831171844091</v>
      </c>
      <c r="U34" s="27">
        <f t="shared" si="21"/>
        <v>309.56500807658449</v>
      </c>
      <c r="V34" s="27">
        <f t="shared" si="21"/>
        <v>271.48364662843454</v>
      </c>
      <c r="W34" s="27">
        <f t="shared" si="21"/>
        <v>238.08703959099137</v>
      </c>
      <c r="X34" s="27">
        <f t="shared" si="21"/>
        <v>171.1041532232407</v>
      </c>
      <c r="Y34" s="27">
        <f t="shared" si="21"/>
        <v>97.627279917534693</v>
      </c>
      <c r="Z34" s="27">
        <f t="shared" si="21"/>
        <v>65.487847665621189</v>
      </c>
      <c r="AA34" s="27">
        <f t="shared" si="21"/>
        <v>57.408753150022712</v>
      </c>
      <c r="AB34" s="27">
        <f t="shared" si="21"/>
        <v>281.07501595506164</v>
      </c>
    </row>
    <row r="35" spans="2:28" x14ac:dyDescent="0.25">
      <c r="B35" s="120" t="s">
        <v>200</v>
      </c>
      <c r="C35" s="81"/>
      <c r="D35" s="81"/>
      <c r="E35" s="81"/>
      <c r="F35" s="81"/>
      <c r="G35" s="81"/>
      <c r="H35" s="81"/>
      <c r="I35" s="133">
        <f>SUM(I34:AB34)</f>
        <v>8299.0194342809918</v>
      </c>
      <c r="J35" s="131" t="s">
        <v>214</v>
      </c>
      <c r="K35" s="131"/>
      <c r="L35" s="132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</row>
    <row r="40" spans="2:28" x14ac:dyDescent="0.25">
      <c r="J40" s="102"/>
    </row>
    <row r="43" spans="2:28" x14ac:dyDescent="0.25">
      <c r="B43" s="58" t="s">
        <v>41</v>
      </c>
      <c r="C43" s="59"/>
      <c r="D43" s="59"/>
      <c r="E43" s="59">
        <v>2020</v>
      </c>
      <c r="F43" s="59">
        <f t="shared" ref="F43:G43" si="22">E43+1</f>
        <v>2021</v>
      </c>
      <c r="G43" s="60">
        <f t="shared" si="22"/>
        <v>2022</v>
      </c>
      <c r="H43" s="60">
        <f>'P&amp;L'!Q9</f>
        <v>2023</v>
      </c>
      <c r="I43" s="60" t="s">
        <v>146</v>
      </c>
    </row>
    <row r="44" spans="2:28" x14ac:dyDescent="0.25">
      <c r="B44" s="62" t="s">
        <v>124</v>
      </c>
      <c r="C44" s="61"/>
      <c r="D44" s="61"/>
      <c r="E44" s="61">
        <f>E9/E8</f>
        <v>7.7624879717013082E-2</v>
      </c>
      <c r="F44" s="61">
        <f>F9/F8</f>
        <v>5.523319043242144E-2</v>
      </c>
      <c r="G44" s="61">
        <f>G9/G8</f>
        <v>1.9028991902302894E-2</v>
      </c>
      <c r="H44" s="61">
        <f>H9/H8</f>
        <v>0.12723726053958123</v>
      </c>
      <c r="I44" s="61">
        <f>AVERAGE(F44:H44)</f>
        <v>6.7166480958101862E-2</v>
      </c>
      <c r="J44" s="61">
        <v>6.5000000000000002E-2</v>
      </c>
    </row>
    <row r="45" spans="2:28" x14ac:dyDescent="0.25">
      <c r="B45" s="32" t="s">
        <v>128</v>
      </c>
      <c r="C45" s="61"/>
      <c r="D45" s="61"/>
      <c r="E45" s="61">
        <f t="shared" ref="E45:G46" si="23">E12/E$8</f>
        <v>0.63260493420012376</v>
      </c>
      <c r="F45" s="61">
        <f t="shared" si="23"/>
        <v>0.49314379667375335</v>
      </c>
      <c r="G45" s="61">
        <f t="shared" si="23"/>
        <v>0.48004436440829562</v>
      </c>
      <c r="H45" s="61">
        <f>'P&amp;L'!Q11</f>
        <v>0.62194328201259141</v>
      </c>
      <c r="I45" s="61">
        <f>AVERAGE(F45:H45)</f>
        <v>0.53171048103154683</v>
      </c>
      <c r="J45" s="61">
        <v>0.52</v>
      </c>
    </row>
    <row r="46" spans="2:28" x14ac:dyDescent="0.25">
      <c r="B46" s="62" t="s">
        <v>19</v>
      </c>
      <c r="C46" s="61"/>
      <c r="D46" s="61"/>
      <c r="E46" s="61">
        <f t="shared" si="23"/>
        <v>1.4777301414482748E-2</v>
      </c>
      <c r="F46" s="61">
        <f t="shared" si="23"/>
        <v>1.7840395351393579E-2</v>
      </c>
      <c r="G46" s="61">
        <f t="shared" si="23"/>
        <v>1.8997984520160761E-2</v>
      </c>
      <c r="H46" s="61">
        <f>'P&amp;L'!Q12</f>
        <v>1.5873139973300445E-2</v>
      </c>
      <c r="I46" s="61">
        <f>AVERAGE(F46:H46)</f>
        <v>1.7570506614951593E-2</v>
      </c>
      <c r="J46" s="61">
        <v>1.4999999999999999E-2</v>
      </c>
    </row>
    <row r="47" spans="2:28" x14ac:dyDescent="0.25">
      <c r="B47" s="62" t="s">
        <v>208</v>
      </c>
      <c r="C47" s="61"/>
      <c r="D47" s="61"/>
      <c r="E47" s="61">
        <f>'P&amp;L'!N19</f>
        <v>0.13213735526511949</v>
      </c>
      <c r="F47" s="61">
        <f>'P&amp;L'!O19</f>
        <v>0.13100575579614054</v>
      </c>
      <c r="G47" s="61">
        <f>'P&amp;L'!P19</f>
        <v>0.16449654744725761</v>
      </c>
      <c r="H47" s="61">
        <f>'P&amp;L'!Q13</f>
        <v>0.2079692114639996</v>
      </c>
      <c r="I47" s="61">
        <f>AVERAGE(F47:H47)</f>
        <v>0.16782383823579927</v>
      </c>
      <c r="J47" s="61">
        <v>0.15</v>
      </c>
    </row>
  </sheetData>
  <mergeCells count="4">
    <mergeCell ref="B2:M2"/>
    <mergeCell ref="B4:G4"/>
    <mergeCell ref="I27:AB27"/>
    <mergeCell ref="I28:AB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OLD Payback</vt:lpstr>
      <vt:lpstr>Payback</vt:lpstr>
      <vt:lpstr>P&amp;L</vt:lpstr>
      <vt:lpstr>BS</vt:lpstr>
      <vt:lpstr>CFS</vt:lpstr>
      <vt:lpstr>Sheet2</vt:lpstr>
      <vt:lpstr>Depreciation</vt:lpstr>
      <vt:lpstr>DCF Valuation (1)</vt:lpstr>
      <vt:lpstr>DCF Valuation (2)</vt:lpstr>
      <vt:lpstr>DCF Valuation (3)</vt:lpstr>
      <vt:lpstr>Sheet1</vt:lpstr>
      <vt:lpstr>Discount Rate</vt:lpstr>
      <vt:lpstr>Relative Valuation 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2024-05-13T06:50:00Z</dcterms:modified>
</cp:coreProperties>
</file>