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D\13.09.23\"/>
    </mc:Choice>
  </mc:AlternateContent>
  <xr:revisionPtr revIDLastSave="0" documentId="13_ncr:1_{113E4C49-75E3-44C0-94D9-1138330949CD}" xr6:coauthVersionLast="47" xr6:coauthVersionMax="47" xr10:uidLastSave="{00000000-0000-0000-0000-000000000000}"/>
  <bookViews>
    <workbookView xWindow="-110" yWindow="-110" windowWidth="22780" windowHeight="14540" tabRatio="561" xr2:uid="{00000000-000D-0000-FFFF-FFFF00000000}"/>
  </bookViews>
  <sheets>
    <sheet name="L&amp;SD" sheetId="1" r:id="rId1"/>
    <sheet name="NFB" sheetId="3" r:id="rId2"/>
    <sheet name="FB" sheetId="4" r:id="rId3"/>
    <sheet name="P&amp;M" sheetId="8" r:id="rId4"/>
    <sheet name="E.I" sheetId="11" r:id="rId5"/>
    <sheet name="GENERATOR" sheetId="10" r:id="rId6"/>
    <sheet name="LAB" sheetId="9" r:id="rId7"/>
    <sheet name="MHE" sheetId="7" r:id="rId8"/>
    <sheet name="WB" sheetId="6" r:id="rId9"/>
    <sheet name="PCU" sheetId="5" r:id="rId10"/>
    <sheet name="VEH" sheetId="15" r:id="rId11"/>
    <sheet name="F&amp;F" sheetId="12" r:id="rId12"/>
    <sheet name="O.E" sheetId="13" r:id="rId13"/>
    <sheet name="Comp" sheetId="14" r:id="rId14"/>
    <sheet name="Sheet1" sheetId="16" r:id="rId15"/>
  </sheets>
  <definedNames>
    <definedName name="_xlnm._FilterDatabase" localSheetId="0" hidden="1">'L&amp;SD'!$A$25:$F$25</definedName>
    <definedName name="Cost">#REF!</definedName>
    <definedName name="Life">#REF!</definedName>
    <definedName name="_xlnm.Print_Area" localSheetId="13">Comp!$A$1:$Z$29</definedName>
    <definedName name="_xlnm.Print_Area" localSheetId="4">E.I!$A$1:$AH$16</definedName>
    <definedName name="_xlnm.Print_Area" localSheetId="11">'F&amp;F'!$A$1:$AH$11</definedName>
    <definedName name="_xlnm.Print_Area" localSheetId="2">FB!$A$1:$AG$16</definedName>
    <definedName name="_xlnm.Print_Area" localSheetId="5">GENERATOR!$A$1:$AG$9</definedName>
    <definedName name="_xlnm.Print_Area" localSheetId="6">LAB!$A$1:$AH$7</definedName>
    <definedName name="_xlnm.Print_Area" localSheetId="7">MHE!$A$1:$AG$12</definedName>
    <definedName name="_xlnm.Print_Area" localSheetId="1">NFB!$A$1:$AG$14</definedName>
    <definedName name="_xlnm.Print_Area" localSheetId="12">O.E!$A$1:$AH$29</definedName>
    <definedName name="_xlnm.Print_Area" localSheetId="3">'P&amp;M'!$A$1:$AI$34</definedName>
    <definedName name="_xlnm.Print_Area" localSheetId="9">PCU!$A$1:$AH$18</definedName>
    <definedName name="_xlnm.Print_Area" localSheetId="10">VEH!$A$1:$AH$17</definedName>
    <definedName name="_xlnm.Print_Area" localSheetId="8">WB!$A$1:$AG$12</definedName>
    <definedName name="Salva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T26" i="1"/>
  <c r="F26" i="1"/>
  <c r="AL72" i="1" l="1"/>
  <c r="AJ61" i="1"/>
  <c r="AJ60" i="1"/>
  <c r="AJ59" i="1"/>
  <c r="AJ57" i="1"/>
  <c r="AS28" i="14" l="1"/>
  <c r="AS27" i="14"/>
  <c r="AS26" i="14"/>
  <c r="AS25" i="14"/>
  <c r="AS24" i="14"/>
  <c r="AS23" i="14"/>
  <c r="AS22" i="14"/>
  <c r="AS21" i="14"/>
  <c r="AS20" i="14"/>
  <c r="F29" i="14"/>
  <c r="U28" i="14"/>
  <c r="U27" i="14"/>
  <c r="U26" i="14"/>
  <c r="U25" i="14"/>
  <c r="U24" i="14"/>
  <c r="U23" i="14"/>
  <c r="U22" i="14"/>
  <c r="U21" i="14"/>
  <c r="W28" i="14"/>
  <c r="AO28" i="14" s="1"/>
  <c r="AP28" i="14" s="1"/>
  <c r="AQ28" i="14" s="1"/>
  <c r="W27" i="14"/>
  <c r="AO27" i="14" s="1"/>
  <c r="AP27" i="14" s="1"/>
  <c r="AQ27" i="14" s="1"/>
  <c r="W26" i="14"/>
  <c r="AO26" i="14" s="1"/>
  <c r="AP26" i="14" s="1"/>
  <c r="AQ26" i="14" s="1"/>
  <c r="W25" i="14"/>
  <c r="AO25" i="14" s="1"/>
  <c r="AP25" i="14" s="1"/>
  <c r="AQ25" i="14" s="1"/>
  <c r="W24" i="14"/>
  <c r="AO24" i="14" s="1"/>
  <c r="AP24" i="14" s="1"/>
  <c r="AQ24" i="14" s="1"/>
  <c r="W23" i="14"/>
  <c r="AO23" i="14" s="1"/>
  <c r="AP23" i="14" s="1"/>
  <c r="AQ23" i="14" s="1"/>
  <c r="W22" i="14"/>
  <c r="AO22" i="14" s="1"/>
  <c r="AP22" i="14" s="1"/>
  <c r="AQ22" i="14" s="1"/>
  <c r="W21" i="14"/>
  <c r="AO21" i="14" s="1"/>
  <c r="AP21" i="14" s="1"/>
  <c r="AQ21" i="14" s="1"/>
  <c r="W20" i="14"/>
  <c r="AO20" i="14" s="1"/>
  <c r="AP20" i="14" s="1"/>
  <c r="AQ20" i="14" s="1"/>
  <c r="U20" i="14"/>
  <c r="F29" i="13"/>
  <c r="AW27" i="13"/>
  <c r="AX27" i="13" s="1"/>
  <c r="AW23" i="13"/>
  <c r="AX23" i="13" s="1"/>
  <c r="AY23" i="13" s="1"/>
  <c r="BA28" i="13"/>
  <c r="BA27" i="13"/>
  <c r="BA26" i="13"/>
  <c r="BA25" i="13"/>
  <c r="BA24" i="13"/>
  <c r="BA23" i="13"/>
  <c r="BA22" i="13"/>
  <c r="AF28" i="13"/>
  <c r="AW28" i="13" s="1"/>
  <c r="AX28" i="13" s="1"/>
  <c r="AY28" i="13" s="1"/>
  <c r="AF27" i="13"/>
  <c r="AF26" i="13"/>
  <c r="AW26" i="13" s="1"/>
  <c r="AX26" i="13" s="1"/>
  <c r="AY26" i="13" s="1"/>
  <c r="AF25" i="13"/>
  <c r="AW25" i="13" s="1"/>
  <c r="AX25" i="13" s="1"/>
  <c r="AY25" i="13" s="1"/>
  <c r="AF24" i="13"/>
  <c r="AW24" i="13" s="1"/>
  <c r="AX24" i="13" s="1"/>
  <c r="AY24" i="13" s="1"/>
  <c r="AF23" i="13"/>
  <c r="AF22" i="13"/>
  <c r="AW22" i="13" s="1"/>
  <c r="AX22" i="13" s="1"/>
  <c r="AY22" i="13" s="1"/>
  <c r="U28" i="13"/>
  <c r="U27" i="13"/>
  <c r="U26" i="13"/>
  <c r="U25" i="13"/>
  <c r="U24" i="13"/>
  <c r="U23" i="13"/>
  <c r="U22" i="13"/>
  <c r="BA10" i="12"/>
  <c r="F15" i="15"/>
  <c r="AF10" i="12"/>
  <c r="AW10" i="12" s="1"/>
  <c r="AX10" i="12" s="1"/>
  <c r="AY10" i="12" s="1"/>
  <c r="U10" i="12"/>
  <c r="BA14" i="15"/>
  <c r="AF14" i="15"/>
  <c r="AW14" i="15" s="1"/>
  <c r="AX14" i="15" s="1"/>
  <c r="U14" i="15"/>
  <c r="AT21" i="13"/>
  <c r="AW16" i="5"/>
  <c r="AW6" i="5"/>
  <c r="AV7" i="6"/>
  <c r="AY14" i="15" l="1"/>
  <c r="AY27" i="13"/>
  <c r="AV6" i="7"/>
  <c r="AW7" i="9"/>
  <c r="AW7" i="10"/>
  <c r="AX30" i="8"/>
  <c r="AX16" i="8"/>
  <c r="AM15" i="1"/>
  <c r="AM18" i="1"/>
  <c r="AM17" i="1"/>
  <c r="AM16" i="1"/>
  <c r="AL19" i="1"/>
  <c r="AM6" i="1"/>
  <c r="AM5" i="1"/>
  <c r="AL13" i="1"/>
  <c r="AX7" i="10"/>
  <c r="AM28" i="1"/>
  <c r="AM27" i="1"/>
  <c r="AF21" i="13"/>
  <c r="AU21" i="13" s="1"/>
  <c r="U21" i="13"/>
  <c r="AK46" i="1"/>
  <c r="AU16" i="5"/>
  <c r="AK54" i="1" s="1"/>
  <c r="AU6" i="5"/>
  <c r="AT7" i="6"/>
  <c r="AK49" i="1" s="1"/>
  <c r="AT6" i="7"/>
  <c r="AK47" i="1" s="1"/>
  <c r="AU7" i="9"/>
  <c r="AV30" i="8"/>
  <c r="AK42" i="1" s="1"/>
  <c r="AV16" i="8"/>
  <c r="AH12" i="1"/>
  <c r="AJ12" i="1" s="1"/>
  <c r="AM12" i="1" s="1"/>
  <c r="AI19" i="1"/>
  <c r="AJ19" i="1"/>
  <c r="AI13" i="1"/>
  <c r="AL21" i="1" l="1"/>
  <c r="AI21" i="1"/>
  <c r="AM19" i="1"/>
  <c r="AV21" i="13"/>
  <c r="AT20" i="13"/>
  <c r="AF20" i="13"/>
  <c r="U20" i="13"/>
  <c r="AS6" i="5"/>
  <c r="AK52" i="1" s="1"/>
  <c r="AS7" i="9"/>
  <c r="AT30" i="8"/>
  <c r="AT16" i="8"/>
  <c r="AD8" i="1"/>
  <c r="U12" i="1"/>
  <c r="AG19" i="1"/>
  <c r="AG13" i="1"/>
  <c r="BA11" i="5"/>
  <c r="AG21" i="1" l="1"/>
  <c r="AK26" i="1"/>
  <c r="AU20" i="13"/>
  <c r="AV20" i="13" s="1"/>
  <c r="AW21" i="13"/>
  <c r="AX21" i="13" s="1"/>
  <c r="AY21" i="13" s="1"/>
  <c r="AS16" i="5"/>
  <c r="AR7" i="6"/>
  <c r="AR6" i="7"/>
  <c r="AW20" i="13" l="1"/>
  <c r="AX20" i="13" s="1"/>
  <c r="AY20" i="13" s="1"/>
  <c r="AF11" i="1"/>
  <c r="AH11" i="1" s="1"/>
  <c r="AJ11" i="1" s="1"/>
  <c r="AM11" i="1" s="1"/>
  <c r="AF10" i="1"/>
  <c r="AH10" i="1" s="1"/>
  <c r="AJ10" i="1" s="1"/>
  <c r="AM10" i="1" s="1"/>
  <c r="W13" i="1"/>
  <c r="U11" i="1"/>
  <c r="W19" i="14"/>
  <c r="U19" i="14"/>
  <c r="AE11" i="5"/>
  <c r="AQ11" i="5" s="1"/>
  <c r="AR11" i="5" s="1"/>
  <c r="AF19" i="13"/>
  <c r="U11" i="5"/>
  <c r="F12" i="5"/>
  <c r="Z10" i="1"/>
  <c r="U10" i="1"/>
  <c r="U19" i="13"/>
  <c r="AQ7" i="9"/>
  <c r="AR30" i="8"/>
  <c r="AR16" i="8"/>
  <c r="AS11" i="5" l="1"/>
  <c r="AS12" i="5" s="1"/>
  <c r="AS18" i="5" s="1"/>
  <c r="AI19" i="14"/>
  <c r="AJ19" i="14" s="1"/>
  <c r="AQ19" i="13"/>
  <c r="AR19" i="13" s="1"/>
  <c r="AZ7" i="9"/>
  <c r="AE19" i="1"/>
  <c r="AE13" i="1"/>
  <c r="AF9" i="1"/>
  <c r="AH9" i="1" s="1"/>
  <c r="AJ9" i="1" s="1"/>
  <c r="AM9" i="1" s="1"/>
  <c r="AD7" i="1"/>
  <c r="AF7" i="1" s="1"/>
  <c r="AH7" i="1" s="1"/>
  <c r="AJ7" i="1" s="1"/>
  <c r="AF8" i="1"/>
  <c r="AH8" i="1" s="1"/>
  <c r="AJ8" i="1" s="1"/>
  <c r="AM8" i="1" s="1"/>
  <c r="AB6" i="1"/>
  <c r="Z9" i="1"/>
  <c r="U9" i="1"/>
  <c r="AK12" i="3"/>
  <c r="AC13" i="1"/>
  <c r="AA13" i="1"/>
  <c r="Y13" i="1"/>
  <c r="V13" i="1"/>
  <c r="Z8" i="1"/>
  <c r="U8" i="1"/>
  <c r="AT11" i="5" l="1"/>
  <c r="AM7" i="1"/>
  <c r="AJ13" i="1"/>
  <c r="AK19" i="14"/>
  <c r="AL19" i="14" s="1"/>
  <c r="AM19" i="14" s="1"/>
  <c r="AM29" i="14" s="1"/>
  <c r="AS19" i="13"/>
  <c r="AT19" i="13" s="1"/>
  <c r="AE21" i="1"/>
  <c r="U5" i="14"/>
  <c r="AF18" i="13"/>
  <c r="AO18" i="13" s="1"/>
  <c r="AP18" i="13" s="1"/>
  <c r="AF17" i="13"/>
  <c r="AO17" i="13" s="1"/>
  <c r="AP17" i="13" s="1"/>
  <c r="U18" i="13"/>
  <c r="U17" i="13"/>
  <c r="AU11" i="5" l="1"/>
  <c r="AU12" i="5" s="1"/>
  <c r="AU18" i="5" s="1"/>
  <c r="AM13" i="1"/>
  <c r="AM21" i="1" s="1"/>
  <c r="AM26" i="1"/>
  <c r="AI26" i="1"/>
  <c r="AL26" i="1" s="1"/>
  <c r="AJ21" i="1"/>
  <c r="AN19" i="14"/>
  <c r="AU19" i="13"/>
  <c r="AV19" i="13" s="1"/>
  <c r="AW19" i="13" s="1"/>
  <c r="AX19" i="13" s="1"/>
  <c r="AY19" i="13" s="1"/>
  <c r="AQ17" i="13"/>
  <c r="AR17" i="13" s="1"/>
  <c r="AQ18" i="13"/>
  <c r="AR18" i="13" s="1"/>
  <c r="AS18" i="13" s="1"/>
  <c r="AT18" i="13" s="1"/>
  <c r="AF13" i="11"/>
  <c r="F15" i="7"/>
  <c r="AE9" i="7"/>
  <c r="AN9" i="7" s="1"/>
  <c r="AO9" i="7" s="1"/>
  <c r="F10" i="7"/>
  <c r="U9" i="7"/>
  <c r="AP30" i="8"/>
  <c r="AP16" i="8"/>
  <c r="AE12" i="3"/>
  <c r="AN12" i="3" s="1"/>
  <c r="AC19" i="1"/>
  <c r="AC21" i="1" s="1"/>
  <c r="AD6" i="1"/>
  <c r="AF6" i="1" s="1"/>
  <c r="AH6" i="1" s="1"/>
  <c r="AK6" i="1" s="1"/>
  <c r="Z7" i="1"/>
  <c r="U7" i="1"/>
  <c r="Z16" i="13"/>
  <c r="U16" i="13"/>
  <c r="T16" i="13"/>
  <c r="R16" i="13"/>
  <c r="Z15" i="13"/>
  <c r="U15" i="13"/>
  <c r="T15" i="13"/>
  <c r="R15" i="13"/>
  <c r="AV11" i="5" l="1"/>
  <c r="AW11" i="5" s="1"/>
  <c r="AO19" i="14"/>
  <c r="AO29" i="14" s="1"/>
  <c r="AK61" i="1" s="1"/>
  <c r="AU18" i="13"/>
  <c r="AV18" i="13" s="1"/>
  <c r="AW18" i="13" s="1"/>
  <c r="AX18" i="13" s="1"/>
  <c r="AY18" i="13" s="1"/>
  <c r="AS17" i="13"/>
  <c r="AT17" i="13" s="1"/>
  <c r="AP9" i="7"/>
  <c r="AQ9" i="7" s="1"/>
  <c r="AF15" i="13"/>
  <c r="AG15" i="13" s="1"/>
  <c r="AH15" i="13" s="1"/>
  <c r="AE16" i="13"/>
  <c r="AF16" i="13"/>
  <c r="AM16" i="13" s="1"/>
  <c r="AN16" i="13" s="1"/>
  <c r="AJ42" i="1"/>
  <c r="AA16" i="13"/>
  <c r="AE15" i="13"/>
  <c r="AA15" i="13"/>
  <c r="AW12" i="5" l="1"/>
  <c r="AX11" i="5"/>
  <c r="AY11" i="5" s="1"/>
  <c r="AR9" i="7"/>
  <c r="AR10" i="7" s="1"/>
  <c r="AR12" i="7" s="1"/>
  <c r="AP19" i="14"/>
  <c r="AQ19" i="14" s="1"/>
  <c r="AG16" i="13"/>
  <c r="AH16" i="13" s="1"/>
  <c r="AI16" i="13" s="1"/>
  <c r="AK53" i="1"/>
  <c r="AW18" i="5"/>
  <c r="AU17" i="13"/>
  <c r="AV17" i="13" s="1"/>
  <c r="AK16" i="13"/>
  <c r="AL16" i="13" s="1"/>
  <c r="AO16" i="13"/>
  <c r="AP16" i="13" s="1"/>
  <c r="AI15" i="13"/>
  <c r="AJ15" i="13" s="1"/>
  <c r="AS9" i="7" l="1"/>
  <c r="AT9" i="7" s="1"/>
  <c r="AT10" i="7" s="1"/>
  <c r="AT12" i="7" s="1"/>
  <c r="AW17" i="13"/>
  <c r="AQ16" i="13"/>
  <c r="AR16" i="13" s="1"/>
  <c r="AK15" i="13"/>
  <c r="AL15" i="13" s="1"/>
  <c r="AU9" i="7" l="1"/>
  <c r="AV9" i="7" s="1"/>
  <c r="AV10" i="7" s="1"/>
  <c r="AK48" i="1" s="1"/>
  <c r="AS16" i="13"/>
  <c r="AS29" i="13" s="1"/>
  <c r="AX17" i="13"/>
  <c r="AY17" i="13" s="1"/>
  <c r="AM15" i="13"/>
  <c r="AN15" i="13" s="1"/>
  <c r="AT16" i="13" l="1"/>
  <c r="AW9" i="7"/>
  <c r="AX9" i="7" s="1"/>
  <c r="AU16" i="13"/>
  <c r="AU29" i="13" s="1"/>
  <c r="AO15" i="13"/>
  <c r="AP15" i="13" s="1"/>
  <c r="AQ15" i="13" s="1"/>
  <c r="AR15" i="13" s="1"/>
  <c r="AT15" i="13" s="1"/>
  <c r="AV15" i="13" s="1"/>
  <c r="AX15" i="13" s="1"/>
  <c r="AY15" i="13" s="1"/>
  <c r="AV16" i="13" l="1"/>
  <c r="F61" i="1"/>
  <c r="AW16" i="13" l="1"/>
  <c r="AW29" i="13" s="1"/>
  <c r="AK60" i="1" s="1"/>
  <c r="AJ62" i="1"/>
  <c r="AJ40" i="1"/>
  <c r="AA29" i="14"/>
  <c r="W18" i="14"/>
  <c r="AE18" i="14" s="1"/>
  <c r="AF18" i="14" s="1"/>
  <c r="U18" i="14"/>
  <c r="AX16" i="13" l="1"/>
  <c r="AY16" i="13" s="1"/>
  <c r="AG18" i="14"/>
  <c r="AH18" i="14" s="1"/>
  <c r="AJ34" i="1"/>
  <c r="G14" i="12"/>
  <c r="H14" i="12" s="1"/>
  <c r="I14" i="12" s="1"/>
  <c r="H15" i="12"/>
  <c r="I15" i="12" s="1"/>
  <c r="I16" i="12"/>
  <c r="U17" i="12"/>
  <c r="W17" i="12" s="1"/>
  <c r="F8" i="15"/>
  <c r="AF7" i="15"/>
  <c r="AM7" i="15" s="1"/>
  <c r="AN7" i="15" s="1"/>
  <c r="U7" i="15"/>
  <c r="O5" i="16"/>
  <c r="P5" i="16" s="1"/>
  <c r="AM13" i="11"/>
  <c r="AN13" i="11" s="1"/>
  <c r="AO13" i="11" s="1"/>
  <c r="AP13" i="11" s="1"/>
  <c r="AQ13" i="11" s="1"/>
  <c r="AR13" i="11" s="1"/>
  <c r="F14" i="11"/>
  <c r="U13" i="11"/>
  <c r="T32" i="8"/>
  <c r="U14" i="4"/>
  <c r="AA14" i="4" s="1"/>
  <c r="AE14" i="4"/>
  <c r="AL14" i="4" s="1"/>
  <c r="Y14" i="4"/>
  <c r="Z14" i="4" s="1"/>
  <c r="U12" i="3"/>
  <c r="AA19" i="1"/>
  <c r="AA21" i="1" s="1"/>
  <c r="Z6" i="1"/>
  <c r="U6" i="1"/>
  <c r="B9" i="16"/>
  <c r="G5" i="16"/>
  <c r="Q5" i="16" l="1"/>
  <c r="P7" i="16"/>
  <c r="Q7" i="16" s="1"/>
  <c r="AS13" i="11"/>
  <c r="AS14" i="11" s="1"/>
  <c r="AO7" i="15"/>
  <c r="AP7" i="15" s="1"/>
  <c r="AI18" i="14"/>
  <c r="AJ18" i="14" s="1"/>
  <c r="AK18" i="14" s="1"/>
  <c r="AK29" i="14" s="1"/>
  <c r="R5" i="16"/>
  <c r="AO12" i="3"/>
  <c r="AC14" i="4"/>
  <c r="AD14" i="4"/>
  <c r="AM14" i="4"/>
  <c r="AK28" i="1"/>
  <c r="AL28" i="1" s="1"/>
  <c r="AK27" i="1"/>
  <c r="AL27" i="1" s="1"/>
  <c r="AJ58" i="1"/>
  <c r="AJ55" i="1"/>
  <c r="AJ51" i="1"/>
  <c r="AJ29" i="1"/>
  <c r="AT13" i="11" l="1"/>
  <c r="AU13" i="11" s="1"/>
  <c r="AU14" i="11" s="1"/>
  <c r="AJ63" i="1"/>
  <c r="AL18" i="14"/>
  <c r="AN18" i="14" s="1"/>
  <c r="AP18" i="14" s="1"/>
  <c r="AQ18" i="14" s="1"/>
  <c r="AQ7" i="15"/>
  <c r="AR7" i="15" s="1"/>
  <c r="AP12" i="3"/>
  <c r="AQ12" i="3" s="1"/>
  <c r="AN14" i="4"/>
  <c r="AO14" i="4" s="1"/>
  <c r="AK29" i="1"/>
  <c r="AV13" i="11" l="1"/>
  <c r="AW13" i="11"/>
  <c r="AW14" i="11" s="1"/>
  <c r="AK44" i="1" s="1"/>
  <c r="AS7" i="15"/>
  <c r="AS8" i="15" s="1"/>
  <c r="AP14" i="4"/>
  <c r="AQ14" i="4" s="1"/>
  <c r="AR14" i="4" s="1"/>
  <c r="AS14" i="4" s="1"/>
  <c r="AR12" i="3"/>
  <c r="AT7" i="15" l="1"/>
  <c r="AU7" i="15" s="1"/>
  <c r="AU8" i="15" s="1"/>
  <c r="AU14" i="4"/>
  <c r="AT14" i="4"/>
  <c r="AX13" i="11"/>
  <c r="AY13" i="11" s="1"/>
  <c r="AS12" i="3"/>
  <c r="AT12" i="3" s="1"/>
  <c r="AU12" i="3" s="1"/>
  <c r="Z9" i="12"/>
  <c r="AF9" i="12" s="1"/>
  <c r="AK9" i="12" s="1"/>
  <c r="AK11" i="12" s="1"/>
  <c r="U9" i="12"/>
  <c r="AB17" i="14"/>
  <c r="V17" i="14"/>
  <c r="W17" i="14" s="1"/>
  <c r="AC17" i="14" s="1"/>
  <c r="AC34" i="14" s="1"/>
  <c r="U17" i="14"/>
  <c r="W32" i="8"/>
  <c r="X32" i="8" s="1"/>
  <c r="AF32" i="8" s="1"/>
  <c r="AI32" i="8"/>
  <c r="U32" i="8"/>
  <c r="AA32" i="8" s="1"/>
  <c r="AK16" i="5"/>
  <c r="AK6" i="5"/>
  <c r="Y19" i="1"/>
  <c r="Y21" i="1" s="1"/>
  <c r="F5" i="1"/>
  <c r="AI16" i="5"/>
  <c r="AI6" i="5"/>
  <c r="V19" i="1"/>
  <c r="V21" i="1" s="1"/>
  <c r="W19" i="1"/>
  <c r="W21" i="1" s="1"/>
  <c r="Z10" i="14"/>
  <c r="AB10" i="14" s="1"/>
  <c r="AD10" i="14" s="1"/>
  <c r="AF10" i="14" s="1"/>
  <c r="AG10" i="14" s="1"/>
  <c r="AH10" i="14" s="1"/>
  <c r="AF6" i="5"/>
  <c r="AF7" i="10"/>
  <c r="AG7" i="10" s="1"/>
  <c r="Y14" i="13"/>
  <c r="Z14" i="13" s="1"/>
  <c r="U14" i="13"/>
  <c r="R14" i="13"/>
  <c r="S14" i="13" s="1"/>
  <c r="T14" i="13" s="1"/>
  <c r="AV12" i="3" l="1"/>
  <c r="AW12" i="3" s="1"/>
  <c r="AV7" i="15"/>
  <c r="AI39" i="1"/>
  <c r="AV14" i="4"/>
  <c r="AK39" i="1" s="1"/>
  <c r="AL9" i="12"/>
  <c r="AM9" i="12" s="1"/>
  <c r="AN9" i="12" s="1"/>
  <c r="AI10" i="14"/>
  <c r="AJ10" i="14" s="1"/>
  <c r="AL10" i="14" s="1"/>
  <c r="AN10" i="14" s="1"/>
  <c r="AP10" i="14" s="1"/>
  <c r="AQ10" i="14" s="1"/>
  <c r="AH7" i="10"/>
  <c r="AI7" i="10" s="1"/>
  <c r="AJ7" i="10" s="1"/>
  <c r="AK7" i="10" s="1"/>
  <c r="AL7" i="10" s="1"/>
  <c r="AM7" i="10" s="1"/>
  <c r="AE32" i="8"/>
  <c r="AC32" i="8"/>
  <c r="AJ32" i="8"/>
  <c r="AK32" i="8" s="1"/>
  <c r="U5" i="1"/>
  <c r="U13" i="1" s="1"/>
  <c r="AC29" i="14"/>
  <c r="AD17" i="14"/>
  <c r="AF14" i="13"/>
  <c r="AG14" i="13" s="1"/>
  <c r="AH14" i="13" s="1"/>
  <c r="AA14" i="13"/>
  <c r="AE14" i="13"/>
  <c r="AL39" i="1" l="1"/>
  <c r="AW7" i="15"/>
  <c r="AW8" i="15" s="1"/>
  <c r="AW14" i="4"/>
  <c r="AI33" i="1"/>
  <c r="AX12" i="3"/>
  <c r="AK33" i="1" s="1"/>
  <c r="AO9" i="12"/>
  <c r="AP9" i="12" s="1"/>
  <c r="AL32" i="8"/>
  <c r="AM32" i="8" s="1"/>
  <c r="AI14" i="13"/>
  <c r="AJ14" i="13" s="1"/>
  <c r="AE17" i="14"/>
  <c r="AE29" i="14" s="1"/>
  <c r="Y8" i="12"/>
  <c r="Z8" i="12" s="1"/>
  <c r="Y7" i="12"/>
  <c r="Z7" i="12" s="1"/>
  <c r="Y6" i="12"/>
  <c r="Z6" i="12" s="1"/>
  <c r="Y5" i="12"/>
  <c r="Z5" i="12" s="1"/>
  <c r="Y13" i="13"/>
  <c r="Z13" i="13" s="1"/>
  <c r="Y12" i="13"/>
  <c r="Z12" i="13" s="1"/>
  <c r="Y11" i="13"/>
  <c r="Z11" i="13" s="1"/>
  <c r="Y10" i="13"/>
  <c r="Z10" i="13" s="1"/>
  <c r="Y9" i="13"/>
  <c r="Z9" i="13" s="1"/>
  <c r="Y8" i="13"/>
  <c r="Z8" i="13" s="1"/>
  <c r="Y7" i="13"/>
  <c r="Z7" i="13" s="1"/>
  <c r="Y6" i="13"/>
  <c r="Z6" i="13" s="1"/>
  <c r="Y5" i="13"/>
  <c r="Z5" i="13" s="1"/>
  <c r="Y13" i="15"/>
  <c r="Z13" i="15" s="1"/>
  <c r="Y12" i="15"/>
  <c r="Z12" i="15" s="1"/>
  <c r="Y6" i="15"/>
  <c r="Z6" i="15" s="1"/>
  <c r="Y11" i="15"/>
  <c r="Z11" i="15" s="1"/>
  <c r="Y5" i="15"/>
  <c r="Z5" i="15" s="1"/>
  <c r="Y15" i="5"/>
  <c r="Z15" i="5" s="1"/>
  <c r="Y14" i="5"/>
  <c r="Z14" i="5" s="1"/>
  <c r="Y10" i="5"/>
  <c r="Z10" i="5" s="1"/>
  <c r="Y9" i="5"/>
  <c r="Z9" i="5" s="1"/>
  <c r="Y8" i="5"/>
  <c r="Z8" i="5" s="1"/>
  <c r="Y5" i="5"/>
  <c r="Z5" i="5" s="1"/>
  <c r="Y9" i="6"/>
  <c r="Z9" i="6" s="1"/>
  <c r="Y6" i="6"/>
  <c r="Z6" i="6" s="1"/>
  <c r="Y5" i="6"/>
  <c r="Z5" i="6" s="1"/>
  <c r="Y8" i="7"/>
  <c r="Z8" i="7" s="1"/>
  <c r="Y5" i="7"/>
  <c r="Z5" i="7" s="1"/>
  <c r="W6" i="9"/>
  <c r="X6" i="9" s="1"/>
  <c r="W5" i="9"/>
  <c r="X5" i="9" s="1"/>
  <c r="W8" i="10"/>
  <c r="X8" i="10" s="1"/>
  <c r="W6" i="10"/>
  <c r="X6" i="10" s="1"/>
  <c r="W5" i="10"/>
  <c r="X5" i="10" s="1"/>
  <c r="W12" i="11"/>
  <c r="X12" i="11" s="1"/>
  <c r="W11" i="11"/>
  <c r="X11" i="11" s="1"/>
  <c r="W8" i="11"/>
  <c r="X8" i="11" s="1"/>
  <c r="W7" i="11"/>
  <c r="X7" i="11" s="1"/>
  <c r="W6" i="11"/>
  <c r="X6" i="11" s="1"/>
  <c r="W5" i="11"/>
  <c r="X5" i="11" s="1"/>
  <c r="W29" i="8"/>
  <c r="X29" i="8" s="1"/>
  <c r="W28" i="8"/>
  <c r="X28" i="8" s="1"/>
  <c r="W27" i="8"/>
  <c r="X27" i="8" s="1"/>
  <c r="W26" i="8"/>
  <c r="X26" i="8" s="1"/>
  <c r="W25" i="8"/>
  <c r="X25" i="8" s="1"/>
  <c r="W24" i="8"/>
  <c r="X24" i="8" s="1"/>
  <c r="W23" i="8"/>
  <c r="X23" i="8" s="1"/>
  <c r="W22" i="8"/>
  <c r="X22" i="8" s="1"/>
  <c r="W21" i="8"/>
  <c r="X21" i="8" s="1"/>
  <c r="W20" i="8"/>
  <c r="X20" i="8" s="1"/>
  <c r="W19" i="8"/>
  <c r="X19" i="8" s="1"/>
  <c r="W18" i="8"/>
  <c r="X18" i="8" s="1"/>
  <c r="W15" i="8"/>
  <c r="X15" i="8" s="1"/>
  <c r="W14" i="8"/>
  <c r="X14" i="8" s="1"/>
  <c r="W13" i="8"/>
  <c r="X13" i="8" s="1"/>
  <c r="W12" i="8"/>
  <c r="X12" i="8" s="1"/>
  <c r="W11" i="8"/>
  <c r="X11" i="8" s="1"/>
  <c r="W10" i="8"/>
  <c r="X10" i="8" s="1"/>
  <c r="W9" i="8"/>
  <c r="X9" i="8" s="1"/>
  <c r="W8" i="8"/>
  <c r="X8" i="8" s="1"/>
  <c r="W7" i="8"/>
  <c r="X7" i="8" s="1"/>
  <c r="W6" i="8"/>
  <c r="X6" i="8" s="1"/>
  <c r="W5" i="8"/>
  <c r="X5" i="8" s="1"/>
  <c r="Y11" i="4"/>
  <c r="Z11" i="4" s="1"/>
  <c r="Y10" i="4"/>
  <c r="Z10" i="4" s="1"/>
  <c r="Y9" i="4"/>
  <c r="Z9" i="4" s="1"/>
  <c r="Y6" i="4"/>
  <c r="Z6" i="4" s="1"/>
  <c r="Y5" i="4"/>
  <c r="Z5" i="4" s="1"/>
  <c r="W9" i="3"/>
  <c r="X9" i="3" s="1"/>
  <c r="W8" i="3"/>
  <c r="X8" i="3" s="1"/>
  <c r="W5" i="3"/>
  <c r="X5" i="3" s="1"/>
  <c r="AB30" i="8"/>
  <c r="AE18" i="5"/>
  <c r="AD30" i="8"/>
  <c r="AD16" i="8"/>
  <c r="V29" i="13"/>
  <c r="AC29" i="13"/>
  <c r="W32" i="13"/>
  <c r="AC11" i="12"/>
  <c r="AC15" i="15"/>
  <c r="AC17" i="15" s="1"/>
  <c r="V15" i="15"/>
  <c r="W15" i="15"/>
  <c r="W17" i="15" s="1"/>
  <c r="V8" i="15"/>
  <c r="AB16" i="5"/>
  <c r="AB12" i="5"/>
  <c r="AB6" i="5"/>
  <c r="T21" i="5"/>
  <c r="V21" i="5" s="1"/>
  <c r="H21" i="5"/>
  <c r="J21" i="5" s="1"/>
  <c r="AB10" i="6"/>
  <c r="AB7" i="6"/>
  <c r="T17" i="6"/>
  <c r="V17" i="6" s="1"/>
  <c r="H17" i="6"/>
  <c r="J17" i="6" s="1"/>
  <c r="AB10" i="7"/>
  <c r="AB6" i="7"/>
  <c r="AB12" i="7" s="1"/>
  <c r="AB7" i="9"/>
  <c r="T11" i="9"/>
  <c r="Y11" i="9" s="1"/>
  <c r="H11" i="9"/>
  <c r="J11" i="9" s="1"/>
  <c r="AB9" i="10"/>
  <c r="T16" i="10"/>
  <c r="Y16" i="10" s="1"/>
  <c r="H16" i="10"/>
  <c r="J16" i="10" s="1"/>
  <c r="AC14" i="11"/>
  <c r="AC16" i="11" s="1"/>
  <c r="AA7" i="10"/>
  <c r="H22" i="11"/>
  <c r="J22" i="11" s="1"/>
  <c r="H21" i="11"/>
  <c r="J21" i="11" s="1"/>
  <c r="AB16" i="8"/>
  <c r="Y41" i="8"/>
  <c r="Y43" i="8"/>
  <c r="Y45" i="8"/>
  <c r="Y40" i="8"/>
  <c r="Y42" i="8"/>
  <c r="Y44" i="8"/>
  <c r="Y46" i="8"/>
  <c r="Y48" i="8"/>
  <c r="Y49" i="8"/>
  <c r="Y39" i="8"/>
  <c r="AB12" i="4"/>
  <c r="AB7" i="4"/>
  <c r="AB14" i="3"/>
  <c r="Y18" i="3"/>
  <c r="Z18" i="3" s="1"/>
  <c r="Y17" i="3"/>
  <c r="Z17" i="3" s="1"/>
  <c r="U13" i="15"/>
  <c r="Q13" i="15"/>
  <c r="U12" i="15"/>
  <c r="L12" i="15"/>
  <c r="M12" i="15" s="1"/>
  <c r="U5" i="15"/>
  <c r="J5" i="15"/>
  <c r="K5" i="15" s="1"/>
  <c r="U6" i="15"/>
  <c r="I6" i="15"/>
  <c r="J6" i="15" s="1"/>
  <c r="U11" i="15"/>
  <c r="H11" i="15"/>
  <c r="I11" i="15" s="1"/>
  <c r="G15" i="15"/>
  <c r="G8" i="15"/>
  <c r="U10" i="15"/>
  <c r="U16" i="14"/>
  <c r="O16" i="14"/>
  <c r="P16" i="14" s="1"/>
  <c r="U15" i="14"/>
  <c r="U14" i="14"/>
  <c r="N15" i="14"/>
  <c r="N14" i="14"/>
  <c r="U13" i="14"/>
  <c r="U12" i="14"/>
  <c r="L13" i="14"/>
  <c r="M13" i="14" s="1"/>
  <c r="L12" i="14"/>
  <c r="U11" i="14"/>
  <c r="J11" i="14"/>
  <c r="U8" i="14"/>
  <c r="U7" i="14"/>
  <c r="U6" i="14"/>
  <c r="I8" i="14"/>
  <c r="J8" i="14" s="1"/>
  <c r="I10" i="14"/>
  <c r="I9" i="14"/>
  <c r="J9" i="14" s="1"/>
  <c r="H7" i="14"/>
  <c r="H6" i="14"/>
  <c r="G5" i="14"/>
  <c r="G29" i="14" s="1"/>
  <c r="U9" i="14"/>
  <c r="M10" i="13"/>
  <c r="N10" i="13" s="1"/>
  <c r="U13" i="13"/>
  <c r="U12" i="13"/>
  <c r="N13" i="13"/>
  <c r="N12" i="13"/>
  <c r="O12" i="13" s="1"/>
  <c r="P12" i="13" s="1"/>
  <c r="M11" i="13"/>
  <c r="N11" i="13" s="1"/>
  <c r="J9" i="13"/>
  <c r="U8" i="13"/>
  <c r="I8" i="13"/>
  <c r="J8" i="13" s="1"/>
  <c r="U7" i="13"/>
  <c r="U6" i="13"/>
  <c r="H7" i="13"/>
  <c r="I7" i="13" s="1"/>
  <c r="J7" i="13" s="1"/>
  <c r="H6" i="13"/>
  <c r="I6" i="13" s="1"/>
  <c r="U11" i="13"/>
  <c r="U10" i="13"/>
  <c r="U9" i="13"/>
  <c r="W5" i="13"/>
  <c r="J8" i="12"/>
  <c r="F5" i="12"/>
  <c r="F11" i="12" s="1"/>
  <c r="U8" i="12"/>
  <c r="U7" i="12"/>
  <c r="U6" i="12"/>
  <c r="I7" i="12"/>
  <c r="J7" i="12" s="1"/>
  <c r="I6" i="12"/>
  <c r="W5" i="12"/>
  <c r="N8" i="11"/>
  <c r="G18" i="11"/>
  <c r="F5" i="11"/>
  <c r="U5" i="11" s="1"/>
  <c r="J7" i="11"/>
  <c r="I12" i="11"/>
  <c r="I6" i="11"/>
  <c r="U12" i="11"/>
  <c r="Z11" i="11"/>
  <c r="U11" i="11"/>
  <c r="U14" i="11" s="1"/>
  <c r="G11" i="11"/>
  <c r="F9" i="11"/>
  <c r="F16" i="11" s="1"/>
  <c r="U8" i="11"/>
  <c r="U7" i="11"/>
  <c r="U6" i="11"/>
  <c r="Z5" i="11"/>
  <c r="G5" i="11"/>
  <c r="G9" i="11" s="1"/>
  <c r="Z7" i="10"/>
  <c r="M8" i="10"/>
  <c r="F9" i="10"/>
  <c r="U8" i="10"/>
  <c r="H7" i="10"/>
  <c r="H6" i="10"/>
  <c r="U6" i="10"/>
  <c r="U5" i="10"/>
  <c r="G5" i="10"/>
  <c r="H5" i="10" s="1"/>
  <c r="H9" i="10" s="1"/>
  <c r="U6" i="9"/>
  <c r="L6" i="9"/>
  <c r="M6" i="9" s="1"/>
  <c r="F7" i="9"/>
  <c r="Z5" i="9"/>
  <c r="U5" i="9"/>
  <c r="G5" i="9"/>
  <c r="G7" i="9" s="1"/>
  <c r="N29" i="8"/>
  <c r="U29" i="8"/>
  <c r="U28" i="8"/>
  <c r="U27" i="8"/>
  <c r="F30" i="8"/>
  <c r="I28" i="8"/>
  <c r="I27" i="8"/>
  <c r="AB34" i="8" l="1"/>
  <c r="AB16" i="4"/>
  <c r="AK56" i="1"/>
  <c r="AM39" i="1"/>
  <c r="AN39" i="1" s="1"/>
  <c r="AX14" i="4"/>
  <c r="U15" i="15"/>
  <c r="AY12" i="3"/>
  <c r="AX7" i="15"/>
  <c r="AY7" i="15" s="1"/>
  <c r="U29" i="14"/>
  <c r="AF17" i="14"/>
  <c r="AG17" i="14" s="1"/>
  <c r="AH17" i="14" s="1"/>
  <c r="AI17" i="14" s="1"/>
  <c r="AJ17" i="14" s="1"/>
  <c r="AL17" i="14" s="1"/>
  <c r="AN17" i="14" s="1"/>
  <c r="AP17" i="14" s="1"/>
  <c r="AQ17" i="14" s="1"/>
  <c r="AL33" i="1"/>
  <c r="AN32" i="8"/>
  <c r="AO32" i="8" s="1"/>
  <c r="U7" i="9"/>
  <c r="Q12" i="13"/>
  <c r="R12" i="13" s="1"/>
  <c r="S12" i="13" s="1"/>
  <c r="T12" i="13" s="1"/>
  <c r="O13" i="13"/>
  <c r="P13" i="13" s="1"/>
  <c r="Q13" i="13" s="1"/>
  <c r="U8" i="15"/>
  <c r="K9" i="13"/>
  <c r="AB12" i="6"/>
  <c r="V17" i="15"/>
  <c r="AI8" i="15"/>
  <c r="AK14" i="13"/>
  <c r="AK29" i="13" s="1"/>
  <c r="AQ9" i="12"/>
  <c r="AR9" i="12"/>
  <c r="N6" i="9"/>
  <c r="AD34" i="8"/>
  <c r="U5" i="12"/>
  <c r="U11" i="12" s="1"/>
  <c r="G5" i="12"/>
  <c r="H5" i="12" s="1"/>
  <c r="H11" i="12" s="1"/>
  <c r="AF6" i="15"/>
  <c r="AG6" i="15"/>
  <c r="R13" i="15"/>
  <c r="S13" i="15" s="1"/>
  <c r="T13" i="15" s="1"/>
  <c r="O8" i="11"/>
  <c r="P8" i="11" s="1"/>
  <c r="AB18" i="5"/>
  <c r="N12" i="15"/>
  <c r="J11" i="15"/>
  <c r="K6" i="15"/>
  <c r="L5" i="15"/>
  <c r="F17" i="15"/>
  <c r="G17" i="15"/>
  <c r="I7" i="14"/>
  <c r="J7" i="14" s="1"/>
  <c r="I6" i="14"/>
  <c r="J6" i="14" s="1"/>
  <c r="K11" i="14"/>
  <c r="M12" i="14"/>
  <c r="N12" i="14" s="1"/>
  <c r="O14" i="14"/>
  <c r="P14" i="14" s="1"/>
  <c r="O15" i="14"/>
  <c r="P15" i="14" s="1"/>
  <c r="Q15" i="14" s="1"/>
  <c r="Q16" i="14"/>
  <c r="R16" i="14" s="1"/>
  <c r="N13" i="14"/>
  <c r="K8" i="14"/>
  <c r="K9" i="14"/>
  <c r="O10" i="13"/>
  <c r="O11" i="13"/>
  <c r="P11" i="13" s="1"/>
  <c r="J6" i="13"/>
  <c r="K8" i="13"/>
  <c r="L8" i="13" s="1"/>
  <c r="K7" i="13"/>
  <c r="L7" i="13" s="1"/>
  <c r="G5" i="13"/>
  <c r="G29" i="13" s="1"/>
  <c r="U5" i="13"/>
  <c r="U29" i="13" s="1"/>
  <c r="J6" i="12"/>
  <c r="K8" i="12"/>
  <c r="L8" i="12" s="1"/>
  <c r="K7" i="12"/>
  <c r="L7" i="12" s="1"/>
  <c r="H18" i="11"/>
  <c r="I18" i="11" s="1"/>
  <c r="U9" i="11"/>
  <c r="U16" i="11" s="1"/>
  <c r="J6" i="11"/>
  <c r="K6" i="11" s="1"/>
  <c r="J12" i="11"/>
  <c r="H5" i="11"/>
  <c r="H9" i="11" s="1"/>
  <c r="G14" i="11"/>
  <c r="G16" i="11" s="1"/>
  <c r="K7" i="11"/>
  <c r="H11" i="11"/>
  <c r="H14" i="11" s="1"/>
  <c r="G9" i="10"/>
  <c r="U9" i="10"/>
  <c r="N8" i="10"/>
  <c r="I7" i="10"/>
  <c r="J7" i="10" s="1"/>
  <c r="I6" i="10"/>
  <c r="J6" i="10" s="1"/>
  <c r="I5" i="10"/>
  <c r="H5" i="9"/>
  <c r="H7" i="9" s="1"/>
  <c r="O29" i="8"/>
  <c r="J27" i="8"/>
  <c r="J28" i="8"/>
  <c r="U26" i="8"/>
  <c r="U25" i="8"/>
  <c r="U24" i="8"/>
  <c r="U23" i="8"/>
  <c r="U22" i="8"/>
  <c r="U21" i="8"/>
  <c r="U20" i="8"/>
  <c r="U19" i="8"/>
  <c r="H26" i="8"/>
  <c r="I26" i="8" s="1"/>
  <c r="H25" i="8"/>
  <c r="H24" i="8"/>
  <c r="I24" i="8" s="1"/>
  <c r="H23" i="8"/>
  <c r="I23" i="8" s="1"/>
  <c r="J23" i="8" s="1"/>
  <c r="H22" i="8"/>
  <c r="I22" i="8" s="1"/>
  <c r="H21" i="8"/>
  <c r="H20" i="8"/>
  <c r="I20" i="8" s="1"/>
  <c r="H19" i="8"/>
  <c r="N15" i="8"/>
  <c r="U15" i="8"/>
  <c r="U14" i="8"/>
  <c r="U13" i="8"/>
  <c r="U12" i="8"/>
  <c r="M14" i="8"/>
  <c r="N14" i="8" s="1"/>
  <c r="M13" i="8"/>
  <c r="N13" i="8" s="1"/>
  <c r="M12" i="8"/>
  <c r="U11" i="8"/>
  <c r="U10" i="8"/>
  <c r="U9" i="8"/>
  <c r="U8" i="8"/>
  <c r="U7" i="8"/>
  <c r="U6" i="8"/>
  <c r="L11" i="8"/>
  <c r="M11" i="8" s="1"/>
  <c r="L10" i="8"/>
  <c r="M10" i="8" s="1"/>
  <c r="L9" i="8"/>
  <c r="M9" i="8" s="1"/>
  <c r="L8" i="8"/>
  <c r="J6" i="8"/>
  <c r="J7" i="8"/>
  <c r="K7" i="8" s="1"/>
  <c r="U17" i="15" l="1"/>
  <c r="I9" i="10"/>
  <c r="I5" i="11"/>
  <c r="AZ12" i="3"/>
  <c r="AM33" i="1"/>
  <c r="AN33" i="1" s="1"/>
  <c r="AS9" i="12"/>
  <c r="AS11" i="12" s="1"/>
  <c r="I5" i="12"/>
  <c r="J5" i="12" s="1"/>
  <c r="J11" i="12" s="1"/>
  <c r="AF12" i="13"/>
  <c r="AA12" i="13"/>
  <c r="AE12" i="13"/>
  <c r="AG12" i="13"/>
  <c r="AP32" i="8"/>
  <c r="AP34" i="8" s="1"/>
  <c r="AH6" i="15"/>
  <c r="AJ6" i="15" s="1"/>
  <c r="AL6" i="15" s="1"/>
  <c r="AL14" i="13"/>
  <c r="M9" i="13"/>
  <c r="L9" i="13"/>
  <c r="O6" i="9"/>
  <c r="P6" i="9" s="1"/>
  <c r="Q6" i="9" s="1"/>
  <c r="AK8" i="15"/>
  <c r="AI29" i="13"/>
  <c r="G11" i="12"/>
  <c r="AA13" i="15"/>
  <c r="AE13" i="15"/>
  <c r="AF13" i="15"/>
  <c r="AG13" i="15" s="1"/>
  <c r="AH13" i="15" s="1"/>
  <c r="Q8" i="11"/>
  <c r="R8" i="11" s="1"/>
  <c r="J5" i="11"/>
  <c r="O12" i="15"/>
  <c r="P12" i="15" s="1"/>
  <c r="M5" i="15"/>
  <c r="L6" i="15"/>
  <c r="L8" i="15" s="1"/>
  <c r="K11" i="15"/>
  <c r="I15" i="15"/>
  <c r="H15" i="15"/>
  <c r="J15" i="15"/>
  <c r="K7" i="14"/>
  <c r="L7" i="14" s="1"/>
  <c r="M7" i="14" s="1"/>
  <c r="O12" i="14"/>
  <c r="S16" i="14"/>
  <c r="T16" i="14" s="1"/>
  <c r="K6" i="14"/>
  <c r="L11" i="14"/>
  <c r="Q14" i="14"/>
  <c r="R15" i="14"/>
  <c r="S15" i="14" s="1"/>
  <c r="T15" i="14" s="1"/>
  <c r="O13" i="14"/>
  <c r="L8" i="14"/>
  <c r="L9" i="14"/>
  <c r="H5" i="14"/>
  <c r="H29" i="14" s="1"/>
  <c r="P10" i="13"/>
  <c r="R13" i="13"/>
  <c r="S13" i="13" s="1"/>
  <c r="T13" i="13" s="1"/>
  <c r="Q11" i="13"/>
  <c r="R11" i="13" s="1"/>
  <c r="K6" i="13"/>
  <c r="M8" i="13"/>
  <c r="N8" i="13" s="1"/>
  <c r="M7" i="13"/>
  <c r="H5" i="13"/>
  <c r="H29" i="13" s="1"/>
  <c r="M8" i="12"/>
  <c r="K6" i="12"/>
  <c r="L6" i="12" s="1"/>
  <c r="M6" i="12" s="1"/>
  <c r="M7" i="12"/>
  <c r="J18" i="11"/>
  <c r="S18" i="11" s="1"/>
  <c r="T18" i="11" s="1"/>
  <c r="I9" i="11"/>
  <c r="L6" i="11"/>
  <c r="M6" i="11" s="1"/>
  <c r="K12" i="11"/>
  <c r="L12" i="11" s="1"/>
  <c r="H16" i="11"/>
  <c r="I11" i="11"/>
  <c r="L7" i="11"/>
  <c r="K7" i="10"/>
  <c r="O8" i="10"/>
  <c r="K6" i="10"/>
  <c r="J5" i="10"/>
  <c r="J9" i="10" s="1"/>
  <c r="I5" i="9"/>
  <c r="I7" i="9" s="1"/>
  <c r="P29" i="8"/>
  <c r="K27" i="8"/>
  <c r="K28" i="8"/>
  <c r="L27" i="8"/>
  <c r="I21" i="8"/>
  <c r="J21" i="8" s="1"/>
  <c r="K21" i="8" s="1"/>
  <c r="L21" i="8" s="1"/>
  <c r="I25" i="8"/>
  <c r="J25" i="8" s="1"/>
  <c r="K25" i="8" s="1"/>
  <c r="N12" i="8"/>
  <c r="O12" i="8" s="1"/>
  <c r="O15" i="8"/>
  <c r="P15" i="8" s="1"/>
  <c r="I19" i="8"/>
  <c r="M8" i="8"/>
  <c r="J20" i="8"/>
  <c r="J22" i="8"/>
  <c r="K23" i="8"/>
  <c r="J24" i="8"/>
  <c r="J26" i="8"/>
  <c r="O13" i="8"/>
  <c r="P13" i="8" s="1"/>
  <c r="O14" i="8"/>
  <c r="N9" i="8"/>
  <c r="O9" i="8" s="1"/>
  <c r="P9" i="8" s="1"/>
  <c r="Q9" i="8" s="1"/>
  <c r="N10" i="8"/>
  <c r="O10" i="8" s="1"/>
  <c r="N11" i="8"/>
  <c r="K6" i="8"/>
  <c r="L7" i="8"/>
  <c r="M7" i="8" s="1"/>
  <c r="I11" i="12" l="1"/>
  <c r="AT9" i="12"/>
  <c r="AU9" i="12" s="1"/>
  <c r="AU11" i="12" s="1"/>
  <c r="AI13" i="15"/>
  <c r="AJ13" i="15" s="1"/>
  <c r="AF13" i="13"/>
  <c r="AE13" i="13"/>
  <c r="AA13" i="13"/>
  <c r="AB13" i="13" s="1"/>
  <c r="AG13" i="13"/>
  <c r="AH13" i="13" s="1"/>
  <c r="AJ13" i="13" s="1"/>
  <c r="AL13" i="13" s="1"/>
  <c r="AM6" i="15"/>
  <c r="AN6" i="15" s="1"/>
  <c r="AO6" i="15" s="1"/>
  <c r="AP6" i="15" s="1"/>
  <c r="AM14" i="13"/>
  <c r="AN14" i="13" s="1"/>
  <c r="AH12" i="13"/>
  <c r="AJ12" i="13" s="1"/>
  <c r="AL12" i="13" s="1"/>
  <c r="AM12" i="13" s="1"/>
  <c r="AN12" i="13" s="1"/>
  <c r="O8" i="13"/>
  <c r="P8" i="13" s="1"/>
  <c r="R6" i="9"/>
  <c r="S6" i="9" s="1"/>
  <c r="T6" i="9" s="1"/>
  <c r="AE29" i="13"/>
  <c r="Y15" i="14"/>
  <c r="Z15" i="14" s="1"/>
  <c r="AB15" i="14" s="1"/>
  <c r="AD15" i="14" s="1"/>
  <c r="AF15" i="14" s="1"/>
  <c r="Y16" i="14"/>
  <c r="Z16" i="14" s="1"/>
  <c r="AB16" i="14" s="1"/>
  <c r="AD16" i="14" s="1"/>
  <c r="AF16" i="14" s="1"/>
  <c r="N9" i="13"/>
  <c r="AQ32" i="8"/>
  <c r="AB12" i="13"/>
  <c r="H8" i="15"/>
  <c r="H17" i="15" s="1"/>
  <c r="K15" i="15"/>
  <c r="Q12" i="15"/>
  <c r="L11" i="15"/>
  <c r="M6" i="15"/>
  <c r="M8" i="15" s="1"/>
  <c r="N5" i="15"/>
  <c r="I8" i="15"/>
  <c r="I17" i="15" s="1"/>
  <c r="M11" i="14"/>
  <c r="R14" i="14"/>
  <c r="S14" i="14" s="1"/>
  <c r="T14" i="14" s="1"/>
  <c r="L6" i="14"/>
  <c r="P12" i="14"/>
  <c r="Q12" i="14" s="1"/>
  <c r="P13" i="14"/>
  <c r="Q13" i="14" s="1"/>
  <c r="N7" i="14"/>
  <c r="O7" i="14" s="1"/>
  <c r="M8" i="14"/>
  <c r="M9" i="14"/>
  <c r="I5" i="14"/>
  <c r="I29" i="14" s="1"/>
  <c r="Q10" i="13"/>
  <c r="N7" i="13"/>
  <c r="L6" i="13"/>
  <c r="M6" i="13" s="1"/>
  <c r="I5" i="13"/>
  <c r="I29" i="13" s="1"/>
  <c r="N8" i="12"/>
  <c r="O8" i="12" s="1"/>
  <c r="K5" i="12"/>
  <c r="L5" i="12" s="1"/>
  <c r="N6" i="12"/>
  <c r="O6" i="12" s="1"/>
  <c r="P6" i="12" s="1"/>
  <c r="N7" i="12"/>
  <c r="N6" i="11"/>
  <c r="O6" i="11" s="1"/>
  <c r="M12" i="11"/>
  <c r="J9" i="11"/>
  <c r="K5" i="11"/>
  <c r="M7" i="11"/>
  <c r="N7" i="11" s="1"/>
  <c r="I14" i="11"/>
  <c r="I16" i="11" s="1"/>
  <c r="J11" i="11"/>
  <c r="K5" i="10"/>
  <c r="K9" i="10" s="1"/>
  <c r="P8" i="10"/>
  <c r="L6" i="10"/>
  <c r="J5" i="9"/>
  <c r="J7" i="9" s="1"/>
  <c r="Q29" i="8"/>
  <c r="M27" i="8"/>
  <c r="N27" i="8" s="1"/>
  <c r="L28" i="8"/>
  <c r="J19" i="8"/>
  <c r="K19" i="8" s="1"/>
  <c r="N8" i="8"/>
  <c r="O8" i="8" s="1"/>
  <c r="Q15" i="8"/>
  <c r="R15" i="8" s="1"/>
  <c r="P12" i="8"/>
  <c r="Q12" i="8" s="1"/>
  <c r="M21" i="8"/>
  <c r="N21" i="8" s="1"/>
  <c r="K26" i="8"/>
  <c r="K24" i="8"/>
  <c r="K22" i="8"/>
  <c r="K20" i="8"/>
  <c r="L20" i="8" s="1"/>
  <c r="L25" i="8"/>
  <c r="L23" i="8"/>
  <c r="M23" i="8" s="1"/>
  <c r="Q13" i="8"/>
  <c r="R13" i="8" s="1"/>
  <c r="P14" i="8"/>
  <c r="Q14" i="8" s="1"/>
  <c r="O11" i="8"/>
  <c r="P11" i="8" s="1"/>
  <c r="P10" i="8"/>
  <c r="Q10" i="8" s="1"/>
  <c r="R10" i="8" s="1"/>
  <c r="S10" i="8" s="1"/>
  <c r="T10" i="8" s="1"/>
  <c r="R9" i="8"/>
  <c r="S9" i="8" s="1"/>
  <c r="T9" i="8" s="1"/>
  <c r="L6" i="8"/>
  <c r="N7" i="8"/>
  <c r="AB29" i="13" l="1"/>
  <c r="L5" i="10"/>
  <c r="Q8" i="13"/>
  <c r="R8" i="13" s="1"/>
  <c r="J5" i="14"/>
  <c r="J29" i="14" s="1"/>
  <c r="AV9" i="12"/>
  <c r="AW9" i="12" s="1"/>
  <c r="AA29" i="13"/>
  <c r="AG29" i="13"/>
  <c r="O9" i="13"/>
  <c r="P9" i="13" s="1"/>
  <c r="AQ6" i="15"/>
  <c r="AR6" i="15" s="1"/>
  <c r="AT6" i="15" s="1"/>
  <c r="AV6" i="15" s="1"/>
  <c r="AF6" i="9"/>
  <c r="AC6" i="9"/>
  <c r="AA6" i="9"/>
  <c r="AE6" i="9"/>
  <c r="AE7" i="9" s="1"/>
  <c r="AP14" i="13"/>
  <c r="AO14" i="13"/>
  <c r="AG16" i="14"/>
  <c r="AH16" i="14" s="1"/>
  <c r="AF10" i="8"/>
  <c r="AG10" i="8" s="1"/>
  <c r="AI10" i="8" s="1"/>
  <c r="AM13" i="13"/>
  <c r="AN13" i="13" s="1"/>
  <c r="AO13" i="13" s="1"/>
  <c r="AP13" i="13" s="1"/>
  <c r="AQ13" i="13" s="1"/>
  <c r="AR13" i="13" s="1"/>
  <c r="AT13" i="13" s="1"/>
  <c r="AV13" i="13" s="1"/>
  <c r="AX13" i="13" s="1"/>
  <c r="AY13" i="13" s="1"/>
  <c r="AK13" i="15"/>
  <c r="AL13" i="15" s="1"/>
  <c r="AR32" i="8"/>
  <c r="AF9" i="8"/>
  <c r="AG9" i="8" s="1"/>
  <c r="AI9" i="8" s="1"/>
  <c r="AO12" i="13"/>
  <c r="AP12" i="13" s="1"/>
  <c r="N11" i="14"/>
  <c r="O11" i="14" s="1"/>
  <c r="Y14" i="14"/>
  <c r="Y29" i="14" s="1"/>
  <c r="AG15" i="14"/>
  <c r="AH15" i="14" s="1"/>
  <c r="S8" i="13"/>
  <c r="T8" i="13" s="1"/>
  <c r="K11" i="12"/>
  <c r="Q6" i="12"/>
  <c r="R6" i="12" s="1"/>
  <c r="S6" i="12" s="1"/>
  <c r="T6" i="12" s="1"/>
  <c r="P8" i="12"/>
  <c r="AG8" i="15"/>
  <c r="R12" i="15"/>
  <c r="S12" i="15" s="1"/>
  <c r="T12" i="15" s="1"/>
  <c r="AE9" i="8"/>
  <c r="AA9" i="8"/>
  <c r="AC9" i="8"/>
  <c r="AC10" i="8"/>
  <c r="AE10" i="8"/>
  <c r="AA10" i="8"/>
  <c r="N6" i="15"/>
  <c r="O6" i="15" s="1"/>
  <c r="O5" i="15"/>
  <c r="M11" i="15"/>
  <c r="J8" i="15"/>
  <c r="J17" i="15" s="1"/>
  <c r="R12" i="14"/>
  <c r="S12" i="14" s="1"/>
  <c r="T12" i="14" s="1"/>
  <c r="P7" i="14"/>
  <c r="Q7" i="14" s="1"/>
  <c r="R7" i="14" s="1"/>
  <c r="S7" i="14" s="1"/>
  <c r="T7" i="14" s="1"/>
  <c r="M6" i="14"/>
  <c r="N6" i="14" s="1"/>
  <c r="R13" i="14"/>
  <c r="S13" i="14" s="1"/>
  <c r="T13" i="14" s="1"/>
  <c r="N8" i="14"/>
  <c r="O8" i="14" s="1"/>
  <c r="P8" i="14" s="1"/>
  <c r="S10" i="14"/>
  <c r="N9" i="14"/>
  <c r="K5" i="14"/>
  <c r="K29" i="14" s="1"/>
  <c r="R10" i="13"/>
  <c r="O7" i="13"/>
  <c r="P7" i="13" s="1"/>
  <c r="N6" i="13"/>
  <c r="J5" i="13"/>
  <c r="J29" i="13" s="1"/>
  <c r="S11" i="13"/>
  <c r="T11" i="13" s="1"/>
  <c r="Q8" i="12"/>
  <c r="R8" i="12" s="1"/>
  <c r="O7" i="12"/>
  <c r="P7" i="12" s="1"/>
  <c r="L11" i="12"/>
  <c r="M5" i="12"/>
  <c r="P6" i="11"/>
  <c r="Q6" i="11" s="1"/>
  <c r="N12" i="11"/>
  <c r="K9" i="11"/>
  <c r="L5" i="11"/>
  <c r="O7" i="11"/>
  <c r="J14" i="11"/>
  <c r="J16" i="11" s="1"/>
  <c r="K11" i="11"/>
  <c r="S8" i="11"/>
  <c r="T8" i="11" s="1"/>
  <c r="Q8" i="10"/>
  <c r="R8" i="10" s="1"/>
  <c r="L9" i="10"/>
  <c r="M6" i="10"/>
  <c r="N6" i="10" s="1"/>
  <c r="M5" i="10"/>
  <c r="K5" i="9"/>
  <c r="K7" i="9" s="1"/>
  <c r="R29" i="8"/>
  <c r="S29" i="8" s="1"/>
  <c r="T29" i="8" s="1"/>
  <c r="M28" i="8"/>
  <c r="O27" i="8"/>
  <c r="P27" i="8" s="1"/>
  <c r="R12" i="8"/>
  <c r="S12" i="8" s="1"/>
  <c r="T12" i="8" s="1"/>
  <c r="P8" i="8"/>
  <c r="O7" i="8"/>
  <c r="P7" i="8" s="1"/>
  <c r="Q7" i="8" s="1"/>
  <c r="R7" i="8" s="1"/>
  <c r="S7" i="8" s="1"/>
  <c r="T7" i="8" s="1"/>
  <c r="L19" i="8"/>
  <c r="M19" i="8" s="1"/>
  <c r="M20" i="8"/>
  <c r="N20" i="8" s="1"/>
  <c r="N23" i="8"/>
  <c r="O23" i="8" s="1"/>
  <c r="L22" i="8"/>
  <c r="L24" i="8"/>
  <c r="M25" i="8"/>
  <c r="L26" i="8"/>
  <c r="M26" i="8" s="1"/>
  <c r="O21" i="8"/>
  <c r="S13" i="8"/>
  <c r="T13" i="8" s="1"/>
  <c r="S15" i="8"/>
  <c r="T15" i="8" s="1"/>
  <c r="R14" i="8"/>
  <c r="S14" i="8" s="1"/>
  <c r="T14" i="8" s="1"/>
  <c r="Q11" i="8"/>
  <c r="R11" i="8" s="1"/>
  <c r="S11" i="8" s="1"/>
  <c r="T11" i="8" s="1"/>
  <c r="M6" i="8"/>
  <c r="N6" i="8" s="1"/>
  <c r="AW11" i="12" l="1"/>
  <c r="AK59" i="1" s="1"/>
  <c r="AX9" i="12"/>
  <c r="AY9" i="12" s="1"/>
  <c r="AY6" i="15"/>
  <c r="AX6" i="15"/>
  <c r="Q9" i="13"/>
  <c r="R9" i="13" s="1"/>
  <c r="Z7" i="14"/>
  <c r="AB7" i="14" s="1"/>
  <c r="AD7" i="14" s="1"/>
  <c r="AF7" i="14" s="1"/>
  <c r="P11" i="14"/>
  <c r="Q11" i="14" s="1"/>
  <c r="R11" i="14" s="1"/>
  <c r="S11" i="14" s="1"/>
  <c r="T11" i="14" s="1"/>
  <c r="AM13" i="15"/>
  <c r="AN13" i="15" s="1"/>
  <c r="AO13" i="15" s="1"/>
  <c r="AP13" i="15" s="1"/>
  <c r="AI16" i="14"/>
  <c r="AJ16" i="14" s="1"/>
  <c r="AL16" i="14" s="1"/>
  <c r="AN16" i="14" s="1"/>
  <c r="AP16" i="14" s="1"/>
  <c r="AQ16" i="14" s="1"/>
  <c r="AQ12" i="13"/>
  <c r="AR12" i="13" s="1"/>
  <c r="AT12" i="13" s="1"/>
  <c r="AV12" i="13" s="1"/>
  <c r="AX12" i="13" s="1"/>
  <c r="AY12" i="13" s="1"/>
  <c r="AJ9" i="8"/>
  <c r="AK9" i="8" s="1"/>
  <c r="AM9" i="8" s="1"/>
  <c r="AO9" i="8" s="1"/>
  <c r="AQ9" i="8" s="1"/>
  <c r="AS9" i="8" s="1"/>
  <c r="AU9" i="8" s="1"/>
  <c r="AW9" i="8" s="1"/>
  <c r="AY9" i="8" s="1"/>
  <c r="AZ9" i="8" s="1"/>
  <c r="AJ10" i="8"/>
  <c r="AK10" i="8"/>
  <c r="AM10" i="8" s="1"/>
  <c r="AO10" i="8" s="1"/>
  <c r="AQ10" i="8" s="1"/>
  <c r="AS10" i="8" s="1"/>
  <c r="AU10" i="8" s="1"/>
  <c r="AW10" i="8" s="1"/>
  <c r="AY10" i="8" s="1"/>
  <c r="AZ10" i="8" s="1"/>
  <c r="AF13" i="8"/>
  <c r="AG13" i="8" s="1"/>
  <c r="AI13" i="8" s="1"/>
  <c r="AF29" i="8"/>
  <c r="AG29" i="8" s="1"/>
  <c r="AI29" i="8" s="1"/>
  <c r="AJ29" i="8" s="1"/>
  <c r="Q7" i="13"/>
  <c r="R7" i="13" s="1"/>
  <c r="S7" i="13" s="1"/>
  <c r="T7" i="13" s="1"/>
  <c r="AI15" i="14"/>
  <c r="AJ15" i="14" s="1"/>
  <c r="AL15" i="14" s="1"/>
  <c r="AN15" i="14" s="1"/>
  <c r="AP15" i="14" s="1"/>
  <c r="AQ15" i="14" s="1"/>
  <c r="AR34" i="8"/>
  <c r="AQ14" i="13"/>
  <c r="AR14" i="13" s="1"/>
  <c r="AT14" i="13" s="1"/>
  <c r="AV14" i="13" s="1"/>
  <c r="AX14" i="13" s="1"/>
  <c r="AY14" i="13" s="1"/>
  <c r="AF7" i="9"/>
  <c r="AG6" i="9"/>
  <c r="AF12" i="8"/>
  <c r="AG12" i="8" s="1"/>
  <c r="AI12" i="8" s="1"/>
  <c r="AD11" i="13"/>
  <c r="AH11" i="13" s="1"/>
  <c r="AJ11" i="13" s="1"/>
  <c r="AL11" i="13" s="1"/>
  <c r="Z13" i="14"/>
  <c r="AB13" i="14" s="1"/>
  <c r="AD13" i="14" s="1"/>
  <c r="AF13" i="14" s="1"/>
  <c r="AG13" i="14" s="1"/>
  <c r="AH8" i="13"/>
  <c r="AJ8" i="13" s="1"/>
  <c r="AL8" i="13" s="1"/>
  <c r="AM8" i="13" s="1"/>
  <c r="AN8" i="13" s="1"/>
  <c r="AD8" i="13"/>
  <c r="AF11" i="8"/>
  <c r="AG11" i="8" s="1"/>
  <c r="AI11" i="8" s="1"/>
  <c r="AF14" i="8"/>
  <c r="AG14" i="8" s="1"/>
  <c r="AI14" i="8" s="1"/>
  <c r="Z12" i="14"/>
  <c r="AB12" i="14" s="1"/>
  <c r="AD12" i="14" s="1"/>
  <c r="AF12" i="14" s="1"/>
  <c r="AG12" i="14" s="1"/>
  <c r="AH12" i="14" s="1"/>
  <c r="Z14" i="14"/>
  <c r="AB14" i="14" s="1"/>
  <c r="AD14" i="14" s="1"/>
  <c r="AF14" i="14" s="1"/>
  <c r="AF15" i="8"/>
  <c r="AG15" i="8" s="1"/>
  <c r="AI15" i="8" s="1"/>
  <c r="AF6" i="12"/>
  <c r="AG6" i="12"/>
  <c r="AS32" i="8"/>
  <c r="AT32" i="8" s="1"/>
  <c r="AA6" i="12"/>
  <c r="AE6" i="12"/>
  <c r="N8" i="15"/>
  <c r="AE12" i="15"/>
  <c r="AA12" i="15"/>
  <c r="AF12" i="15"/>
  <c r="AG12" i="15" s="1"/>
  <c r="AF8" i="11"/>
  <c r="AG8" i="11" s="1"/>
  <c r="AH8" i="11" s="1"/>
  <c r="AE8" i="11"/>
  <c r="AC8" i="11"/>
  <c r="AA8" i="11"/>
  <c r="AC14" i="8"/>
  <c r="AE14" i="8"/>
  <c r="AA14" i="8"/>
  <c r="AE13" i="8"/>
  <c r="AA13" i="8"/>
  <c r="AC13" i="8"/>
  <c r="AA29" i="8"/>
  <c r="AE29" i="8"/>
  <c r="AC29" i="8"/>
  <c r="AE11" i="8"/>
  <c r="AA11" i="8"/>
  <c r="AC11" i="8"/>
  <c r="AE15" i="8"/>
  <c r="AA15" i="8"/>
  <c r="AC15" i="8"/>
  <c r="AE7" i="8"/>
  <c r="AA7" i="8"/>
  <c r="AH7" i="8" s="1"/>
  <c r="AI7" i="8" s="1"/>
  <c r="AK7" i="8" s="1"/>
  <c r="AM7" i="8" s="1"/>
  <c r="AO7" i="8" s="1"/>
  <c r="AQ7" i="8" s="1"/>
  <c r="AS7" i="8" s="1"/>
  <c r="AU7" i="8" s="1"/>
  <c r="AW7" i="8" s="1"/>
  <c r="AY7" i="8" s="1"/>
  <c r="AZ7" i="8" s="1"/>
  <c r="AC7" i="8"/>
  <c r="AC12" i="8"/>
  <c r="AE12" i="8"/>
  <c r="AA12" i="8"/>
  <c r="P5" i="15"/>
  <c r="Q5" i="15" s="1"/>
  <c r="O8" i="15"/>
  <c r="L15" i="15"/>
  <c r="L17" i="15" s="1"/>
  <c r="K8" i="15"/>
  <c r="K17" i="15" s="1"/>
  <c r="M15" i="15"/>
  <c r="P6" i="15"/>
  <c r="Q6" i="15" s="1"/>
  <c r="R6" i="15" s="1"/>
  <c r="N11" i="15"/>
  <c r="S10" i="15"/>
  <c r="T10" i="15" s="1"/>
  <c r="O6" i="14"/>
  <c r="Q8" i="14"/>
  <c r="R8" i="14" s="1"/>
  <c r="O9" i="14"/>
  <c r="P9" i="14" s="1"/>
  <c r="L5" i="14"/>
  <c r="L29" i="14" s="1"/>
  <c r="O6" i="13"/>
  <c r="P6" i="13" s="1"/>
  <c r="K5" i="13"/>
  <c r="S9" i="13"/>
  <c r="T9" i="13" s="1"/>
  <c r="S10" i="13"/>
  <c r="Q7" i="12"/>
  <c r="R7" i="12" s="1"/>
  <c r="S7" i="12" s="1"/>
  <c r="T7" i="12" s="1"/>
  <c r="M11" i="12"/>
  <c r="N5" i="12"/>
  <c r="O5" i="12" s="1"/>
  <c r="P5" i="12" s="1"/>
  <c r="R6" i="11"/>
  <c r="S6" i="11" s="1"/>
  <c r="T6" i="11" s="1"/>
  <c r="O12" i="11"/>
  <c r="L9" i="11"/>
  <c r="M5" i="11"/>
  <c r="M9" i="11" s="1"/>
  <c r="K14" i="11"/>
  <c r="K16" i="11" s="1"/>
  <c r="L11" i="11"/>
  <c r="M11" i="11" s="1"/>
  <c r="P7" i="11"/>
  <c r="Q7" i="11" s="1"/>
  <c r="R7" i="11" s="1"/>
  <c r="S7" i="11" s="1"/>
  <c r="T7" i="11" s="1"/>
  <c r="S8" i="10"/>
  <c r="T8" i="10" s="1"/>
  <c r="M9" i="10"/>
  <c r="O6" i="10"/>
  <c r="N5" i="10"/>
  <c r="N9" i="10" s="1"/>
  <c r="L5" i="9"/>
  <c r="Q27" i="8"/>
  <c r="R27" i="8" s="1"/>
  <c r="S27" i="8" s="1"/>
  <c r="T27" i="8" s="1"/>
  <c r="N28" i="8"/>
  <c r="Q8" i="8"/>
  <c r="R8" i="8" s="1"/>
  <c r="S8" i="8" s="1"/>
  <c r="T8" i="8" s="1"/>
  <c r="P23" i="8"/>
  <c r="Q23" i="8" s="1"/>
  <c r="R23" i="8" s="1"/>
  <c r="S23" i="8" s="1"/>
  <c r="T23" i="8" s="1"/>
  <c r="N19" i="8"/>
  <c r="O19" i="8" s="1"/>
  <c r="N26" i="8"/>
  <c r="O26" i="8" s="1"/>
  <c r="P21" i="8"/>
  <c r="Q21" i="8" s="1"/>
  <c r="M22" i="8"/>
  <c r="O20" i="8"/>
  <c r="N25" i="8"/>
  <c r="O25" i="8" s="1"/>
  <c r="M24" i="8"/>
  <c r="O6" i="8"/>
  <c r="P6" i="8" s="1"/>
  <c r="AU32" i="8" l="1"/>
  <c r="AV32" i="8" s="1"/>
  <c r="AT34" i="8"/>
  <c r="P8" i="15"/>
  <c r="AG15" i="15"/>
  <c r="AG17" i="15" s="1"/>
  <c r="AH12" i="15"/>
  <c r="AJ14" i="8"/>
  <c r="AK14" i="8" s="1"/>
  <c r="AJ15" i="8"/>
  <c r="AK15" i="8" s="1"/>
  <c r="AL15" i="8" s="1"/>
  <c r="AM15" i="8" s="1"/>
  <c r="AJ12" i="8"/>
  <c r="AK12" i="8" s="1"/>
  <c r="AJ13" i="8"/>
  <c r="AK13" i="8" s="1"/>
  <c r="AJ11" i="8"/>
  <c r="AK11" i="8" s="1"/>
  <c r="AM11" i="8" s="1"/>
  <c r="AO11" i="8" s="1"/>
  <c r="AQ11" i="8" s="1"/>
  <c r="AS11" i="8" s="1"/>
  <c r="AU11" i="8" s="1"/>
  <c r="AW11" i="8" s="1"/>
  <c r="AY11" i="8" s="1"/>
  <c r="AZ11" i="8" s="1"/>
  <c r="Z11" i="14"/>
  <c r="AB11" i="14" s="1"/>
  <c r="AD11" i="14" s="1"/>
  <c r="AF11" i="14" s="1"/>
  <c r="AI8" i="11"/>
  <c r="AJ8" i="11" s="1"/>
  <c r="AI12" i="14"/>
  <c r="AJ12" i="14" s="1"/>
  <c r="AL12" i="14" s="1"/>
  <c r="AN12" i="14" s="1"/>
  <c r="AP12" i="14" s="1"/>
  <c r="AQ12" i="14" s="1"/>
  <c r="AF8" i="8"/>
  <c r="AG8" i="8" s="1"/>
  <c r="AI8" i="8" s="1"/>
  <c r="AG14" i="14"/>
  <c r="AH14" i="14" s="1"/>
  <c r="AI14" i="14" s="1"/>
  <c r="AJ14" i="14" s="1"/>
  <c r="AL14" i="14" s="1"/>
  <c r="AN14" i="14" s="1"/>
  <c r="AP14" i="14" s="1"/>
  <c r="AQ14" i="14" s="1"/>
  <c r="AO8" i="13"/>
  <c r="AP8" i="13" s="1"/>
  <c r="AH13" i="14"/>
  <c r="AI13" i="14" s="1"/>
  <c r="AJ13" i="14" s="1"/>
  <c r="AL13" i="14" s="1"/>
  <c r="AN13" i="14" s="1"/>
  <c r="AP13" i="14" s="1"/>
  <c r="AQ13" i="14" s="1"/>
  <c r="AM11" i="13"/>
  <c r="AN11" i="13" s="1"/>
  <c r="AO11" i="13" s="1"/>
  <c r="AP11" i="13" s="1"/>
  <c r="AQ11" i="13" s="1"/>
  <c r="AR11" i="13" s="1"/>
  <c r="AT11" i="13" s="1"/>
  <c r="AV11" i="13" s="1"/>
  <c r="AX11" i="13" s="1"/>
  <c r="AY11" i="13" s="1"/>
  <c r="AK29" i="8"/>
  <c r="AJ30" i="8"/>
  <c r="AD9" i="13"/>
  <c r="AH9" i="13" s="1"/>
  <c r="AJ9" i="13" s="1"/>
  <c r="AL9" i="13" s="1"/>
  <c r="AG7" i="9"/>
  <c r="AH6" i="9"/>
  <c r="AR13" i="15"/>
  <c r="AS13" i="15" s="1"/>
  <c r="AQ13" i="15"/>
  <c r="L5" i="13"/>
  <c r="L29" i="13" s="1"/>
  <c r="K29" i="13"/>
  <c r="AD7" i="13"/>
  <c r="AH7" i="13" s="1"/>
  <c r="AJ7" i="13" s="1"/>
  <c r="AL7" i="13" s="1"/>
  <c r="AG7" i="14"/>
  <c r="AH7" i="14" s="1"/>
  <c r="AI7" i="14" s="1"/>
  <c r="AJ7" i="14" s="1"/>
  <c r="AL7" i="14" s="1"/>
  <c r="AN7" i="14" s="1"/>
  <c r="AP7" i="14" s="1"/>
  <c r="AQ7" i="14" s="1"/>
  <c r="M5" i="9"/>
  <c r="M7" i="9" s="1"/>
  <c r="L7" i="9"/>
  <c r="AD8" i="10"/>
  <c r="AA8" i="10"/>
  <c r="AC8" i="10"/>
  <c r="AE8" i="10"/>
  <c r="AF8" i="10" s="1"/>
  <c r="AG8" i="10" s="1"/>
  <c r="AF7" i="12"/>
  <c r="AG7" i="12"/>
  <c r="AH6" i="12"/>
  <c r="AJ6" i="12" s="1"/>
  <c r="AL6" i="12" s="1"/>
  <c r="AG30" i="8"/>
  <c r="AL29" i="8"/>
  <c r="AL30" i="8" s="1"/>
  <c r="AF30" i="8"/>
  <c r="AF34" i="8" s="1"/>
  <c r="AB6" i="12"/>
  <c r="AA7" i="12"/>
  <c r="AE7" i="12"/>
  <c r="AF6" i="11"/>
  <c r="AG6" i="11" s="1"/>
  <c r="AH6" i="11" s="1"/>
  <c r="AE6" i="11"/>
  <c r="AA6" i="11"/>
  <c r="AE7" i="11"/>
  <c r="AC7" i="11"/>
  <c r="AA7" i="11"/>
  <c r="AF7" i="11"/>
  <c r="AG7" i="11" s="1"/>
  <c r="AH7" i="11" s="1"/>
  <c r="AC8" i="8"/>
  <c r="AE8" i="8"/>
  <c r="AA8" i="8"/>
  <c r="AA27" i="8"/>
  <c r="AH27" i="8" s="1"/>
  <c r="AI27" i="8" s="1"/>
  <c r="AK27" i="8" s="1"/>
  <c r="AM27" i="8" s="1"/>
  <c r="AO27" i="8" s="1"/>
  <c r="AQ27" i="8" s="1"/>
  <c r="AS27" i="8" s="1"/>
  <c r="AU27" i="8" s="1"/>
  <c r="AW27" i="8" s="1"/>
  <c r="AY27" i="8" s="1"/>
  <c r="AZ27" i="8" s="1"/>
  <c r="AE27" i="8"/>
  <c r="AC27" i="8"/>
  <c r="AA23" i="8"/>
  <c r="AH23" i="8" s="1"/>
  <c r="AI23" i="8" s="1"/>
  <c r="AK23" i="8" s="1"/>
  <c r="AM23" i="8" s="1"/>
  <c r="AO23" i="8" s="1"/>
  <c r="AQ23" i="8" s="1"/>
  <c r="AS23" i="8" s="1"/>
  <c r="AU23" i="8" s="1"/>
  <c r="AW23" i="8" s="1"/>
  <c r="AY23" i="8" s="1"/>
  <c r="AZ23" i="8" s="1"/>
  <c r="AE23" i="8"/>
  <c r="AC23" i="8"/>
  <c r="R5" i="15"/>
  <c r="Q8" i="15"/>
  <c r="S6" i="15"/>
  <c r="N15" i="15"/>
  <c r="N17" i="15" s="1"/>
  <c r="O11" i="15"/>
  <c r="P6" i="14"/>
  <c r="S8" i="14"/>
  <c r="T8" i="14" s="1"/>
  <c r="Q9" i="14"/>
  <c r="R9" i="14" s="1"/>
  <c r="S9" i="14" s="1"/>
  <c r="T9" i="14" s="1"/>
  <c r="M5" i="14"/>
  <c r="M29" i="14" s="1"/>
  <c r="T10" i="13"/>
  <c r="Q6" i="13"/>
  <c r="R6" i="13" s="1"/>
  <c r="S6" i="13" s="1"/>
  <c r="T6" i="13" s="1"/>
  <c r="M5" i="13"/>
  <c r="M29" i="13" s="1"/>
  <c r="N11" i="12"/>
  <c r="M14" i="11"/>
  <c r="M16" i="11" s="1"/>
  <c r="P12" i="11"/>
  <c r="N5" i="11"/>
  <c r="N9" i="11" s="1"/>
  <c r="N11" i="11"/>
  <c r="N14" i="11" s="1"/>
  <c r="L14" i="11"/>
  <c r="L16" i="11" s="1"/>
  <c r="O5" i="10"/>
  <c r="P5" i="10" s="1"/>
  <c r="P9" i="10" s="1"/>
  <c r="P6" i="10"/>
  <c r="Q6" i="10" s="1"/>
  <c r="N5" i="9"/>
  <c r="N7" i="9" s="1"/>
  <c r="O28" i="8"/>
  <c r="P19" i="8"/>
  <c r="P20" i="8"/>
  <c r="R21" i="8"/>
  <c r="S21" i="8" s="1"/>
  <c r="T21" i="8" s="1"/>
  <c r="P26" i="8"/>
  <c r="Q26" i="8" s="1"/>
  <c r="Q20" i="8"/>
  <c r="P25" i="8"/>
  <c r="N22" i="8"/>
  <c r="N24" i="8"/>
  <c r="Q6" i="8"/>
  <c r="R6" i="8" s="1"/>
  <c r="AW32" i="8" l="1"/>
  <c r="AX32" i="8" s="1"/>
  <c r="AV34" i="8"/>
  <c r="AT13" i="15"/>
  <c r="AU13" i="15" s="1"/>
  <c r="AU15" i="15" s="1"/>
  <c r="AS15" i="15"/>
  <c r="AS17" i="15" s="1"/>
  <c r="AM7" i="13"/>
  <c r="AN7" i="13" s="1"/>
  <c r="AO7" i="13" s="1"/>
  <c r="AP7" i="13" s="1"/>
  <c r="AQ7" i="13" s="1"/>
  <c r="AR7" i="13" s="1"/>
  <c r="AT7" i="13" s="1"/>
  <c r="AV7" i="13" s="1"/>
  <c r="AX7" i="13" s="1"/>
  <c r="AY7" i="13" s="1"/>
  <c r="AM9" i="13"/>
  <c r="AN9" i="13" s="1"/>
  <c r="AO9" i="13" s="1"/>
  <c r="AP9" i="13" s="1"/>
  <c r="AQ9" i="13" s="1"/>
  <c r="AR9" i="13" s="1"/>
  <c r="AT9" i="13" s="1"/>
  <c r="AV9" i="13" s="1"/>
  <c r="AX9" i="13" s="1"/>
  <c r="AY9" i="13" s="1"/>
  <c r="AJ8" i="8"/>
  <c r="AJ16" i="8" s="1"/>
  <c r="AJ34" i="8" s="1"/>
  <c r="AN15" i="8"/>
  <c r="AO15" i="8" s="1"/>
  <c r="AQ15" i="8" s="1"/>
  <c r="AS15" i="8" s="1"/>
  <c r="AU15" i="8" s="1"/>
  <c r="AW15" i="8" s="1"/>
  <c r="AY15" i="8" s="1"/>
  <c r="AZ15" i="8" s="1"/>
  <c r="AI7" i="11"/>
  <c r="AJ7" i="11" s="1"/>
  <c r="AL14" i="8"/>
  <c r="AM14" i="8" s="1"/>
  <c r="AO14" i="8" s="1"/>
  <c r="AQ14" i="8" s="1"/>
  <c r="AS14" i="8" s="1"/>
  <c r="AU14" i="8" s="1"/>
  <c r="AW14" i="8" s="1"/>
  <c r="AY14" i="8" s="1"/>
  <c r="AZ14" i="8" s="1"/>
  <c r="AQ8" i="13"/>
  <c r="AR8" i="13" s="1"/>
  <c r="AT8" i="13" s="1"/>
  <c r="AV8" i="13" s="1"/>
  <c r="AX8" i="13" s="1"/>
  <c r="AY8" i="13" s="1"/>
  <c r="AK8" i="11"/>
  <c r="AL8" i="11" s="1"/>
  <c r="AL13" i="8"/>
  <c r="AM13" i="8" s="1"/>
  <c r="AI6" i="11"/>
  <c r="AJ6" i="11" s="1"/>
  <c r="AL12" i="8"/>
  <c r="AM12" i="8"/>
  <c r="AO12" i="8" s="1"/>
  <c r="AQ12" i="8" s="1"/>
  <c r="AS12" i="8" s="1"/>
  <c r="AU12" i="8" s="1"/>
  <c r="AW12" i="8" s="1"/>
  <c r="AY12" i="8" s="1"/>
  <c r="AZ12" i="8" s="1"/>
  <c r="AD10" i="13"/>
  <c r="AH10" i="13" s="1"/>
  <c r="AJ10" i="13" s="1"/>
  <c r="AL10" i="13" s="1"/>
  <c r="AM10" i="13" s="1"/>
  <c r="AN10" i="13" s="1"/>
  <c r="AM6" i="12"/>
  <c r="AN6" i="12" s="1"/>
  <c r="AO6" i="12" s="1"/>
  <c r="AP6" i="12" s="1"/>
  <c r="AH8" i="10"/>
  <c r="AI8" i="10" s="1"/>
  <c r="AJ8" i="10" s="1"/>
  <c r="AK8" i="10" s="1"/>
  <c r="AI6" i="9"/>
  <c r="AI7" i="9" s="1"/>
  <c r="AM29" i="8"/>
  <c r="AD6" i="13"/>
  <c r="AH6" i="13" s="1"/>
  <c r="AJ6" i="13" s="1"/>
  <c r="AL6" i="13" s="1"/>
  <c r="AM6" i="13" s="1"/>
  <c r="AN6" i="13" s="1"/>
  <c r="Z9" i="14"/>
  <c r="AB9" i="14" s="1"/>
  <c r="AD9" i="14" s="1"/>
  <c r="AF9" i="14" s="1"/>
  <c r="AE9" i="11"/>
  <c r="AG16" i="8"/>
  <c r="AG34" i="8" s="1"/>
  <c r="AG11" i="14"/>
  <c r="AH11" i="14" s="1"/>
  <c r="AI11" i="14" s="1"/>
  <c r="AJ11" i="14" s="1"/>
  <c r="AL11" i="14" s="1"/>
  <c r="AN11" i="14" s="1"/>
  <c r="AP11" i="14" s="1"/>
  <c r="AQ11" i="14" s="1"/>
  <c r="AI12" i="15"/>
  <c r="AI15" i="15" s="1"/>
  <c r="AI17" i="15" s="1"/>
  <c r="AG8" i="14"/>
  <c r="AH8" i="14" s="1"/>
  <c r="Z8" i="14"/>
  <c r="AB8" i="14" s="1"/>
  <c r="AD8" i="14" s="1"/>
  <c r="AF8" i="14" s="1"/>
  <c r="AH7" i="12"/>
  <c r="AJ7" i="12" s="1"/>
  <c r="AL7" i="12" s="1"/>
  <c r="AB7" i="12"/>
  <c r="AB11" i="12" s="1"/>
  <c r="AA6" i="15"/>
  <c r="AD15" i="15"/>
  <c r="AE6" i="15"/>
  <c r="AB6" i="11"/>
  <c r="AA21" i="8"/>
  <c r="AH21" i="8" s="1"/>
  <c r="AI21" i="8" s="1"/>
  <c r="AK21" i="8" s="1"/>
  <c r="AM21" i="8" s="1"/>
  <c r="AO21" i="8" s="1"/>
  <c r="AQ21" i="8" s="1"/>
  <c r="AS21" i="8" s="1"/>
  <c r="AU21" i="8" s="1"/>
  <c r="AW21" i="8" s="1"/>
  <c r="AY21" i="8" s="1"/>
  <c r="AZ21" i="8" s="1"/>
  <c r="AE21" i="8"/>
  <c r="AC21" i="8"/>
  <c r="S5" i="15"/>
  <c r="T5" i="15" s="1"/>
  <c r="R8" i="15"/>
  <c r="O5" i="11"/>
  <c r="P5" i="11" s="1"/>
  <c r="Q5" i="11" s="1"/>
  <c r="Q9" i="11" s="1"/>
  <c r="O15" i="15"/>
  <c r="P11" i="15"/>
  <c r="Q11" i="15" s="1"/>
  <c r="M17" i="15"/>
  <c r="Q6" i="14"/>
  <c r="R6" i="14" s="1"/>
  <c r="S6" i="14" s="1"/>
  <c r="T6" i="14" s="1"/>
  <c r="N5" i="14"/>
  <c r="N29" i="14" s="1"/>
  <c r="N5" i="13"/>
  <c r="N29" i="13" s="1"/>
  <c r="S8" i="12"/>
  <c r="T8" i="12" s="1"/>
  <c r="P11" i="12"/>
  <c r="O11" i="12"/>
  <c r="Q5" i="12"/>
  <c r="Q12" i="11"/>
  <c r="R12" i="11" s="1"/>
  <c r="N16" i="11"/>
  <c r="O11" i="11"/>
  <c r="P11" i="11" s="1"/>
  <c r="P14" i="11" s="1"/>
  <c r="O9" i="10"/>
  <c r="R6" i="10"/>
  <c r="Q5" i="10"/>
  <c r="O5" i="9"/>
  <c r="O7" i="9" s="1"/>
  <c r="P28" i="8"/>
  <c r="Q19" i="8"/>
  <c r="R19" i="8" s="1"/>
  <c r="O24" i="8"/>
  <c r="P24" i="8" s="1"/>
  <c r="R20" i="8"/>
  <c r="O22" i="8"/>
  <c r="P22" i="8" s="1"/>
  <c r="S20" i="8"/>
  <c r="T20" i="8" s="1"/>
  <c r="R26" i="8"/>
  <c r="S26" i="8" s="1"/>
  <c r="T26" i="8" s="1"/>
  <c r="Q25" i="8"/>
  <c r="R25" i="8" s="1"/>
  <c r="S25" i="8" s="1"/>
  <c r="T25" i="8" s="1"/>
  <c r="O9" i="11" l="1"/>
  <c r="AK8" i="8"/>
  <c r="AM8" i="8" s="1"/>
  <c r="AO8" i="8" s="1"/>
  <c r="AQ8" i="8" s="1"/>
  <c r="AS8" i="8" s="1"/>
  <c r="AU8" i="8" s="1"/>
  <c r="AW8" i="8" s="1"/>
  <c r="AY8" i="8" s="1"/>
  <c r="AZ8" i="8" s="1"/>
  <c r="AY32" i="8"/>
  <c r="AZ32" i="8" s="1"/>
  <c r="AK41" i="1"/>
  <c r="AX34" i="8"/>
  <c r="AV13" i="15"/>
  <c r="AW13" i="15" s="1"/>
  <c r="AK6" i="11"/>
  <c r="AL6" i="11" s="1"/>
  <c r="AN13" i="8"/>
  <c r="AN16" i="8" s="1"/>
  <c r="AM8" i="11"/>
  <c r="AN8" i="11" s="1"/>
  <c r="AO8" i="11" s="1"/>
  <c r="AP8" i="11" s="1"/>
  <c r="AQ8" i="11" s="1"/>
  <c r="AR8" i="11" s="1"/>
  <c r="AO6" i="13"/>
  <c r="AP6" i="13" s="1"/>
  <c r="AQ6" i="12"/>
  <c r="AR6" i="12" s="1"/>
  <c r="AT6" i="12" s="1"/>
  <c r="AV6" i="12" s="1"/>
  <c r="S6" i="10"/>
  <c r="T6" i="10" s="1"/>
  <c r="Z6" i="14"/>
  <c r="AB6" i="14" s="1"/>
  <c r="AD6" i="14" s="1"/>
  <c r="AF6" i="14" s="1"/>
  <c r="AG6" i="14" s="1"/>
  <c r="AH6" i="14" s="1"/>
  <c r="AI6" i="14" s="1"/>
  <c r="AI8" i="14"/>
  <c r="AJ8" i="14" s="1"/>
  <c r="AL8" i="14" s="1"/>
  <c r="AN8" i="14" s="1"/>
  <c r="AP8" i="14" s="1"/>
  <c r="AQ8" i="14" s="1"/>
  <c r="AG9" i="14"/>
  <c r="AH9" i="14" s="1"/>
  <c r="AI9" i="14" s="1"/>
  <c r="AJ9" i="14" s="1"/>
  <c r="AL9" i="14" s="1"/>
  <c r="AN9" i="14" s="1"/>
  <c r="AP9" i="14" s="1"/>
  <c r="AQ9" i="14" s="1"/>
  <c r="AL16" i="8"/>
  <c r="AL34" i="8" s="1"/>
  <c r="AF8" i="12"/>
  <c r="AG8" i="12" s="1"/>
  <c r="AM7" i="12"/>
  <c r="AN7" i="12" s="1"/>
  <c r="AN29" i="8"/>
  <c r="AN30" i="8" s="1"/>
  <c r="AL8" i="10"/>
  <c r="AM8" i="10" s="1"/>
  <c r="AO10" i="13"/>
  <c r="AP10" i="13" s="1"/>
  <c r="AK7" i="11"/>
  <c r="AL7" i="11" s="1"/>
  <c r="AM7" i="11" s="1"/>
  <c r="AN7" i="11" s="1"/>
  <c r="AJ12" i="15"/>
  <c r="AJ6" i="9"/>
  <c r="AK6" i="9" s="1"/>
  <c r="AA8" i="12"/>
  <c r="AE8" i="12"/>
  <c r="AE11" i="12" s="1"/>
  <c r="AE15" i="15"/>
  <c r="AE8" i="15"/>
  <c r="AA15" i="15"/>
  <c r="AB6" i="15"/>
  <c r="T8" i="15"/>
  <c r="AD5" i="15"/>
  <c r="AD8" i="15" s="1"/>
  <c r="AD17" i="15" s="1"/>
  <c r="S12" i="11"/>
  <c r="T12" i="11" s="1"/>
  <c r="AB9" i="11"/>
  <c r="AC6" i="11"/>
  <c r="AA25" i="8"/>
  <c r="AH25" i="8" s="1"/>
  <c r="AI25" i="8" s="1"/>
  <c r="AK25" i="8" s="1"/>
  <c r="AM25" i="8" s="1"/>
  <c r="AO25" i="8" s="1"/>
  <c r="AQ25" i="8" s="1"/>
  <c r="AS25" i="8" s="1"/>
  <c r="AU25" i="8" s="1"/>
  <c r="AW25" i="8" s="1"/>
  <c r="AY25" i="8" s="1"/>
  <c r="AZ25" i="8" s="1"/>
  <c r="AE25" i="8"/>
  <c r="AC25" i="8"/>
  <c r="AE26" i="8"/>
  <c r="AC26" i="8"/>
  <c r="AA26" i="8"/>
  <c r="AH26" i="8" s="1"/>
  <c r="AI26" i="8" s="1"/>
  <c r="AK26" i="8" s="1"/>
  <c r="AM26" i="8" s="1"/>
  <c r="AO26" i="8" s="1"/>
  <c r="AQ26" i="8" s="1"/>
  <c r="AS26" i="8" s="1"/>
  <c r="AU26" i="8" s="1"/>
  <c r="AW26" i="8" s="1"/>
  <c r="AY26" i="8" s="1"/>
  <c r="AZ26" i="8" s="1"/>
  <c r="AE20" i="8"/>
  <c r="AC20" i="8"/>
  <c r="AA20" i="8"/>
  <c r="AH20" i="8" s="1"/>
  <c r="O17" i="15"/>
  <c r="R11" i="15"/>
  <c r="S11" i="15" s="1"/>
  <c r="T11" i="15" s="1"/>
  <c r="AH11" i="15" s="1"/>
  <c r="Q15" i="15"/>
  <c r="P15" i="15"/>
  <c r="P17" i="15" s="1"/>
  <c r="O5" i="14"/>
  <c r="O5" i="13"/>
  <c r="O29" i="13" s="1"/>
  <c r="Q11" i="12"/>
  <c r="R5" i="12"/>
  <c r="S5" i="12" s="1"/>
  <c r="Q11" i="11"/>
  <c r="Q14" i="11" s="1"/>
  <c r="Q16" i="11" s="1"/>
  <c r="O14" i="11"/>
  <c r="O16" i="11" s="1"/>
  <c r="P9" i="11"/>
  <c r="P16" i="11" s="1"/>
  <c r="R5" i="11"/>
  <c r="Q9" i="10"/>
  <c r="R5" i="10"/>
  <c r="P5" i="9"/>
  <c r="Q28" i="8"/>
  <c r="R28" i="8" s="1"/>
  <c r="S28" i="8" s="1"/>
  <c r="T28" i="8" s="1"/>
  <c r="Q24" i="8"/>
  <c r="R24" i="8" s="1"/>
  <c r="S24" i="8" s="1"/>
  <c r="T24" i="8" s="1"/>
  <c r="Q22" i="8"/>
  <c r="R22" i="8" s="1"/>
  <c r="S22" i="8" s="1"/>
  <c r="T22" i="8" s="1"/>
  <c r="S6" i="8"/>
  <c r="AO29" i="8" l="1"/>
  <c r="AQ29" i="8" s="1"/>
  <c r="AS29" i="8" s="1"/>
  <c r="AU29" i="8" s="1"/>
  <c r="AW29" i="8" s="1"/>
  <c r="AY29" i="8" s="1"/>
  <c r="AZ29" i="8" s="1"/>
  <c r="AO13" i="8"/>
  <c r="AQ13" i="8" s="1"/>
  <c r="AS13" i="8" s="1"/>
  <c r="AU13" i="8" s="1"/>
  <c r="AW13" i="8" s="1"/>
  <c r="AY13" i="8" s="1"/>
  <c r="AZ13" i="8" s="1"/>
  <c r="AS8" i="11"/>
  <c r="AS9" i="11" s="1"/>
  <c r="AS16" i="11" s="1"/>
  <c r="AX13" i="15"/>
  <c r="AY13" i="15" s="1"/>
  <c r="AW15" i="15"/>
  <c r="AX6" i="12"/>
  <c r="AY6" i="12"/>
  <c r="AU17" i="15"/>
  <c r="AG11" i="12"/>
  <c r="AH8" i="12"/>
  <c r="AO7" i="11"/>
  <c r="AP7" i="11" s="1"/>
  <c r="AQ10" i="13"/>
  <c r="AR10" i="13" s="1"/>
  <c r="AT10" i="13" s="1"/>
  <c r="AV10" i="13" s="1"/>
  <c r="AX10" i="13" s="1"/>
  <c r="AY10" i="13" s="1"/>
  <c r="AQ6" i="13"/>
  <c r="AR6" i="13" s="1"/>
  <c r="AT6" i="13" s="1"/>
  <c r="AV6" i="13" s="1"/>
  <c r="AX6" i="13" s="1"/>
  <c r="AY6" i="13" s="1"/>
  <c r="AN8" i="10"/>
  <c r="AO8" i="10" s="1"/>
  <c r="AE6" i="10"/>
  <c r="AF6" i="10" s="1"/>
  <c r="AG6" i="10" s="1"/>
  <c r="AD6" i="10"/>
  <c r="AC6" i="10"/>
  <c r="AA6" i="10"/>
  <c r="Q5" i="9"/>
  <c r="Q7" i="9" s="1"/>
  <c r="P7" i="9"/>
  <c r="AL6" i="9"/>
  <c r="AK7" i="9"/>
  <c r="AJ6" i="14"/>
  <c r="AL6" i="14" s="1"/>
  <c r="AN6" i="14" s="1"/>
  <c r="AP6" i="14" s="1"/>
  <c r="AQ6" i="14" s="1"/>
  <c r="AN34" i="8"/>
  <c r="R9" i="10"/>
  <c r="S5" i="10"/>
  <c r="P5" i="13"/>
  <c r="P29" i="13" s="1"/>
  <c r="AE17" i="15"/>
  <c r="AK12" i="15"/>
  <c r="AK15" i="15" s="1"/>
  <c r="AK17" i="15" s="1"/>
  <c r="AJ11" i="15"/>
  <c r="AH15" i="15"/>
  <c r="AH5" i="15"/>
  <c r="AO7" i="12"/>
  <c r="AP7" i="12" s="1"/>
  <c r="AQ7" i="12" s="1"/>
  <c r="AR7" i="12" s="1"/>
  <c r="AT7" i="12" s="1"/>
  <c r="AV7" i="12" s="1"/>
  <c r="AI20" i="8"/>
  <c r="AK20" i="8" s="1"/>
  <c r="AM20" i="8" s="1"/>
  <c r="AO20" i="8" s="1"/>
  <c r="AQ20" i="8" s="1"/>
  <c r="AS20" i="8" s="1"/>
  <c r="AU20" i="8" s="1"/>
  <c r="AW20" i="8" s="1"/>
  <c r="AY20" i="8" s="1"/>
  <c r="AZ20" i="8" s="1"/>
  <c r="AM6" i="11"/>
  <c r="AN6" i="11" s="1"/>
  <c r="AO6" i="11" s="1"/>
  <c r="P5" i="14"/>
  <c r="P29" i="14" s="1"/>
  <c r="O29" i="14"/>
  <c r="AB15" i="15"/>
  <c r="AB8" i="15"/>
  <c r="AE12" i="11"/>
  <c r="AE14" i="11" s="1"/>
  <c r="AE16" i="11" s="1"/>
  <c r="AA12" i="11"/>
  <c r="AF12" i="11"/>
  <c r="AG12" i="11" s="1"/>
  <c r="AH12" i="11" s="1"/>
  <c r="AE22" i="8"/>
  <c r="AC22" i="8"/>
  <c r="AA22" i="8"/>
  <c r="AH22" i="8" s="1"/>
  <c r="AI22" i="8" s="1"/>
  <c r="AK22" i="8" s="1"/>
  <c r="AM22" i="8" s="1"/>
  <c r="AO22" i="8" s="1"/>
  <c r="AQ22" i="8" s="1"/>
  <c r="AS22" i="8" s="1"/>
  <c r="AU22" i="8" s="1"/>
  <c r="AW22" i="8" s="1"/>
  <c r="AY22" i="8" s="1"/>
  <c r="AZ22" i="8" s="1"/>
  <c r="AE28" i="8"/>
  <c r="AC28" i="8"/>
  <c r="AA28" i="8"/>
  <c r="AH28" i="8" s="1"/>
  <c r="AI28" i="8" s="1"/>
  <c r="AK28" i="8" s="1"/>
  <c r="AM28" i="8" s="1"/>
  <c r="AO28" i="8" s="1"/>
  <c r="AQ28" i="8" s="1"/>
  <c r="AS28" i="8" s="1"/>
  <c r="AU28" i="8" s="1"/>
  <c r="AW28" i="8" s="1"/>
  <c r="AY28" i="8" s="1"/>
  <c r="AZ28" i="8" s="1"/>
  <c r="AE24" i="8"/>
  <c r="AC24" i="8"/>
  <c r="AA24" i="8"/>
  <c r="AH24" i="8" s="1"/>
  <c r="AI24" i="8" s="1"/>
  <c r="AK24" i="8" s="1"/>
  <c r="AM24" i="8" s="1"/>
  <c r="AO24" i="8" s="1"/>
  <c r="AQ24" i="8" s="1"/>
  <c r="AS24" i="8" s="1"/>
  <c r="AU24" i="8" s="1"/>
  <c r="AW24" i="8" s="1"/>
  <c r="AY24" i="8" s="1"/>
  <c r="AZ24" i="8" s="1"/>
  <c r="Q17" i="15"/>
  <c r="R15" i="15"/>
  <c r="Q5" i="13"/>
  <c r="Q29" i="13" s="1"/>
  <c r="R11" i="11"/>
  <c r="R14" i="11" s="1"/>
  <c r="R9" i="11"/>
  <c r="S5" i="11"/>
  <c r="S11" i="11"/>
  <c r="S7" i="10"/>
  <c r="R5" i="9"/>
  <c r="R7" i="9" s="1"/>
  <c r="T6" i="8"/>
  <c r="F16" i="8"/>
  <c r="U18" i="8"/>
  <c r="U30" i="8" s="1"/>
  <c r="G18" i="8"/>
  <c r="G30" i="8" s="1"/>
  <c r="U5" i="8"/>
  <c r="U16" i="8" s="1"/>
  <c r="G5" i="8"/>
  <c r="G16" i="8" s="1"/>
  <c r="G8" i="7"/>
  <c r="G10" i="7" s="1"/>
  <c r="U8" i="7"/>
  <c r="F6" i="7"/>
  <c r="U5" i="7"/>
  <c r="G5" i="7"/>
  <c r="G6" i="7" s="1"/>
  <c r="L9" i="6"/>
  <c r="I16" i="6"/>
  <c r="I6" i="6"/>
  <c r="J6" i="6" s="1"/>
  <c r="K6" i="6" s="1"/>
  <c r="L6" i="6" s="1"/>
  <c r="M6" i="6" s="1"/>
  <c r="N6" i="6" s="1"/>
  <c r="O6" i="6" s="1"/>
  <c r="P6" i="6" s="1"/>
  <c r="AT8" i="11" l="1"/>
  <c r="AU8" i="11" s="1"/>
  <c r="AK57" i="1"/>
  <c r="AW17" i="15"/>
  <c r="AX7" i="12"/>
  <c r="AY7" i="12"/>
  <c r="AI12" i="11"/>
  <c r="AJ12" i="11" s="1"/>
  <c r="AP8" i="10"/>
  <c r="AP9" i="10" s="1"/>
  <c r="AQ7" i="11"/>
  <c r="AR7" i="11" s="1"/>
  <c r="AT7" i="11" s="1"/>
  <c r="AV7" i="11" s="1"/>
  <c r="AX7" i="11" s="1"/>
  <c r="AY7" i="11" s="1"/>
  <c r="AP6" i="11"/>
  <c r="AO9" i="11"/>
  <c r="AJ5" i="15"/>
  <c r="AH8" i="15"/>
  <c r="AH17" i="15" s="1"/>
  <c r="U6" i="7"/>
  <c r="AM6" i="9"/>
  <c r="AM7" i="9" s="1"/>
  <c r="AH6" i="10"/>
  <c r="AI6" i="10" s="1"/>
  <c r="Q5" i="14"/>
  <c r="Q29" i="14" s="1"/>
  <c r="AB17" i="15"/>
  <c r="AL11" i="15"/>
  <c r="AN11" i="15" s="1"/>
  <c r="AP11" i="15" s="1"/>
  <c r="AJ15" i="15"/>
  <c r="AI8" i="12"/>
  <c r="AI11" i="12" s="1"/>
  <c r="U10" i="7"/>
  <c r="AL12" i="15"/>
  <c r="R17" i="15"/>
  <c r="M9" i="6"/>
  <c r="N9" i="6" s="1"/>
  <c r="H8" i="7"/>
  <c r="H10" i="7" s="1"/>
  <c r="AB12" i="11"/>
  <c r="AB14" i="11" s="1"/>
  <c r="AB16" i="11" s="1"/>
  <c r="AC6" i="8"/>
  <c r="AE6" i="8"/>
  <c r="AA6" i="8"/>
  <c r="AH6" i="8" s="1"/>
  <c r="AI6" i="8" s="1"/>
  <c r="AK6" i="8" s="1"/>
  <c r="AM6" i="8" s="1"/>
  <c r="AO6" i="8" s="1"/>
  <c r="AQ6" i="8" s="1"/>
  <c r="AS6" i="8" s="1"/>
  <c r="AU6" i="8" s="1"/>
  <c r="AW6" i="8" s="1"/>
  <c r="AY6" i="8" s="1"/>
  <c r="AZ6" i="8" s="1"/>
  <c r="T15" i="15"/>
  <c r="S15" i="15"/>
  <c r="R5" i="13"/>
  <c r="R29" i="13" s="1"/>
  <c r="R11" i="12"/>
  <c r="T5" i="12"/>
  <c r="S11" i="12"/>
  <c r="R16" i="11"/>
  <c r="T11" i="11"/>
  <c r="S14" i="11"/>
  <c r="S9" i="11"/>
  <c r="T5" i="11"/>
  <c r="S9" i="10"/>
  <c r="T5" i="10"/>
  <c r="S5" i="9"/>
  <c r="S7" i="9" s="1"/>
  <c r="F34" i="8"/>
  <c r="U34" i="8"/>
  <c r="H5" i="8"/>
  <c r="H16" i="8" s="1"/>
  <c r="H18" i="8"/>
  <c r="H30" i="8" s="1"/>
  <c r="H5" i="7"/>
  <c r="H6" i="7" s="1"/>
  <c r="F10" i="6"/>
  <c r="U9" i="6"/>
  <c r="U10" i="6" s="1"/>
  <c r="F7" i="6"/>
  <c r="F12" i="6" s="1"/>
  <c r="U6" i="6"/>
  <c r="U5" i="6"/>
  <c r="G5" i="6"/>
  <c r="G7" i="6" s="1"/>
  <c r="H16" i="5"/>
  <c r="G16" i="5"/>
  <c r="U15" i="5"/>
  <c r="K15" i="5"/>
  <c r="U14" i="5"/>
  <c r="I14" i="5"/>
  <c r="F16" i="5"/>
  <c r="G12" i="5"/>
  <c r="U10" i="5"/>
  <c r="P10" i="5"/>
  <c r="Q10" i="5" s="1"/>
  <c r="R10" i="5" s="1"/>
  <c r="U9" i="5"/>
  <c r="J9" i="5"/>
  <c r="K9" i="5" s="1"/>
  <c r="H8" i="5"/>
  <c r="H12" i="5" s="1"/>
  <c r="G5" i="5"/>
  <c r="U8" i="5"/>
  <c r="F6" i="5"/>
  <c r="F18" i="5" s="1"/>
  <c r="U5" i="5"/>
  <c r="U6" i="5" s="1"/>
  <c r="U11" i="4"/>
  <c r="H11" i="4"/>
  <c r="I11" i="4" s="1"/>
  <c r="F12" i="4"/>
  <c r="F7" i="4"/>
  <c r="U6" i="4"/>
  <c r="G6" i="4"/>
  <c r="U10" i="4"/>
  <c r="G10" i="4"/>
  <c r="U9" i="4"/>
  <c r="G9" i="4"/>
  <c r="U5" i="4"/>
  <c r="G5" i="4"/>
  <c r="G9" i="3"/>
  <c r="G8" i="3"/>
  <c r="G5" i="3"/>
  <c r="G6" i="3" s="1"/>
  <c r="F10" i="3"/>
  <c r="U9" i="3"/>
  <c r="U8" i="3"/>
  <c r="F6" i="3"/>
  <c r="U5" i="3"/>
  <c r="U6" i="3" s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F21" i="1" s="1"/>
  <c r="U18" i="1"/>
  <c r="S18" i="1"/>
  <c r="T18" i="1" s="1"/>
  <c r="X18" i="1" s="1"/>
  <c r="U17" i="1"/>
  <c r="S17" i="1"/>
  <c r="T17" i="1" s="1"/>
  <c r="X17" i="1" s="1"/>
  <c r="Z17" i="1" s="1"/>
  <c r="AB17" i="1" s="1"/>
  <c r="AD17" i="1" s="1"/>
  <c r="AF17" i="1" s="1"/>
  <c r="AH17" i="1" s="1"/>
  <c r="AK17" i="1" s="1"/>
  <c r="U16" i="1"/>
  <c r="S16" i="1"/>
  <c r="T16" i="1" s="1"/>
  <c r="X16" i="1" s="1"/>
  <c r="Z16" i="1" s="1"/>
  <c r="AB16" i="1" s="1"/>
  <c r="AD16" i="1" s="1"/>
  <c r="AF16" i="1" s="1"/>
  <c r="AH16" i="1" s="1"/>
  <c r="AK16" i="1" s="1"/>
  <c r="U15" i="1"/>
  <c r="S15" i="1"/>
  <c r="T15" i="1" s="1"/>
  <c r="R13" i="1"/>
  <c r="Q13" i="1"/>
  <c r="P13" i="1"/>
  <c r="O13" i="1"/>
  <c r="N13" i="1"/>
  <c r="M13" i="1"/>
  <c r="M21" i="1" s="1"/>
  <c r="L13" i="1"/>
  <c r="K13" i="1"/>
  <c r="J13" i="1"/>
  <c r="I13" i="1"/>
  <c r="H13" i="1"/>
  <c r="G13" i="1"/>
  <c r="S5" i="1"/>
  <c r="S13" i="1" s="1"/>
  <c r="U19" i="1" l="1"/>
  <c r="U21" i="1" s="1"/>
  <c r="G10" i="3"/>
  <c r="G14" i="3" s="1"/>
  <c r="I21" i="1"/>
  <c r="Q21" i="1"/>
  <c r="F14" i="3"/>
  <c r="AJ8" i="12"/>
  <c r="AL8" i="12" s="1"/>
  <c r="AM8" i="12" s="1"/>
  <c r="AN8" i="12" s="1"/>
  <c r="AO8" i="12" s="1"/>
  <c r="AP8" i="12" s="1"/>
  <c r="G12" i="4"/>
  <c r="AV8" i="11"/>
  <c r="AU9" i="11"/>
  <c r="AU16" i="11" s="1"/>
  <c r="H21" i="1"/>
  <c r="L21" i="1"/>
  <c r="P21" i="1"/>
  <c r="G21" i="1"/>
  <c r="K21" i="1"/>
  <c r="O21" i="1"/>
  <c r="J21" i="1"/>
  <c r="N21" i="1"/>
  <c r="R21" i="1"/>
  <c r="R5" i="14"/>
  <c r="R29" i="14" s="1"/>
  <c r="Z18" i="1"/>
  <c r="AB18" i="1" s="1"/>
  <c r="X15" i="1"/>
  <c r="T19" i="1"/>
  <c r="AJ6" i="10"/>
  <c r="AK6" i="10" s="1"/>
  <c r="AK12" i="11"/>
  <c r="AL12" i="11" s="1"/>
  <c r="G7" i="4"/>
  <c r="F16" i="4"/>
  <c r="J11" i="4"/>
  <c r="I8" i="5"/>
  <c r="I12" i="5" s="1"/>
  <c r="AA5" i="11"/>
  <c r="AF5" i="11"/>
  <c r="AG5" i="11" s="1"/>
  <c r="I8" i="7"/>
  <c r="I10" i="7" s="1"/>
  <c r="AL15" i="15"/>
  <c r="AM12" i="15"/>
  <c r="AM15" i="15" s="1"/>
  <c r="U12" i="5"/>
  <c r="U16" i="5"/>
  <c r="AQ8" i="12"/>
  <c r="AR8" i="12" s="1"/>
  <c r="AT8" i="12" s="1"/>
  <c r="AV8" i="12" s="1"/>
  <c r="AQ6" i="11"/>
  <c r="AQ9" i="11" s="1"/>
  <c r="AQ8" i="10"/>
  <c r="AR8" i="10" s="1"/>
  <c r="T5" i="1"/>
  <c r="L9" i="5"/>
  <c r="I16" i="5"/>
  <c r="T9" i="10"/>
  <c r="AE5" i="10"/>
  <c r="AF5" i="10" s="1"/>
  <c r="AD5" i="10"/>
  <c r="AD9" i="10" s="1"/>
  <c r="AA5" i="10"/>
  <c r="AC5" i="10"/>
  <c r="AN6" i="9"/>
  <c r="S19" i="1"/>
  <c r="S21" i="1" s="1"/>
  <c r="U12" i="4"/>
  <c r="U7" i="4"/>
  <c r="U16" i="4" s="1"/>
  <c r="J14" i="5"/>
  <c r="L15" i="5"/>
  <c r="AD11" i="11"/>
  <c r="AD14" i="11" s="1"/>
  <c r="AF11" i="11"/>
  <c r="AG11" i="11" s="1"/>
  <c r="AR11" i="15"/>
  <c r="AT11" i="15" s="1"/>
  <c r="AJ8" i="15"/>
  <c r="AJ17" i="15" s="1"/>
  <c r="AL5" i="15"/>
  <c r="AD5" i="12"/>
  <c r="AD11" i="12" s="1"/>
  <c r="H5" i="4"/>
  <c r="I5" i="4" s="1"/>
  <c r="K11" i="4"/>
  <c r="O9" i="6"/>
  <c r="I5" i="7"/>
  <c r="I6" i="7" s="1"/>
  <c r="AC5" i="11"/>
  <c r="AD5" i="11"/>
  <c r="AD9" i="11" s="1"/>
  <c r="S5" i="14"/>
  <c r="S29" i="14" s="1"/>
  <c r="S5" i="13"/>
  <c r="S29" i="13" s="1"/>
  <c r="T11" i="12"/>
  <c r="T9" i="11"/>
  <c r="T14" i="11"/>
  <c r="S16" i="11"/>
  <c r="T5" i="9"/>
  <c r="I18" i="8"/>
  <c r="I30" i="8" s="1"/>
  <c r="H34" i="8"/>
  <c r="H39" i="8"/>
  <c r="S19" i="8"/>
  <c r="T19" i="8" s="1"/>
  <c r="G34" i="8"/>
  <c r="I5" i="8"/>
  <c r="I16" i="8" s="1"/>
  <c r="J8" i="7"/>
  <c r="J10" i="7" s="1"/>
  <c r="U7" i="6"/>
  <c r="U12" i="6" s="1"/>
  <c r="G10" i="6"/>
  <c r="G12" i="6" s="1"/>
  <c r="H5" i="6"/>
  <c r="I5" i="6" s="1"/>
  <c r="S10" i="5"/>
  <c r="T10" i="5" s="1"/>
  <c r="G6" i="5"/>
  <c r="G18" i="5" s="1"/>
  <c r="J8" i="5"/>
  <c r="H5" i="5"/>
  <c r="H6" i="4"/>
  <c r="I6" i="4" s="1"/>
  <c r="H9" i="4"/>
  <c r="H10" i="4"/>
  <c r="I10" i="4" s="1"/>
  <c r="G16" i="4"/>
  <c r="U10" i="3"/>
  <c r="U14" i="3" s="1"/>
  <c r="H9" i="3"/>
  <c r="I9" i="3" s="1"/>
  <c r="H8" i="3"/>
  <c r="I8" i="3" s="1"/>
  <c r="H5" i="3"/>
  <c r="H6" i="3" s="1"/>
  <c r="U18" i="5" l="1"/>
  <c r="AD16" i="11"/>
  <c r="AG14" i="11"/>
  <c r="AH11" i="11"/>
  <c r="AG9" i="11"/>
  <c r="AH5" i="11"/>
  <c r="AW8" i="11"/>
  <c r="AW9" i="11" s="1"/>
  <c r="AS8" i="10"/>
  <c r="AT8" i="10" s="1"/>
  <c r="AR9" i="10"/>
  <c r="J5" i="7"/>
  <c r="AR6" i="11"/>
  <c r="AT6" i="11" s="1"/>
  <c r="AV6" i="11" s="1"/>
  <c r="AX6" i="11" s="1"/>
  <c r="AY6" i="11" s="1"/>
  <c r="AX8" i="12"/>
  <c r="AY8" i="12"/>
  <c r="AV11" i="15"/>
  <c r="AM12" i="11"/>
  <c r="AN12" i="11"/>
  <c r="AL6" i="10"/>
  <c r="AM6" i="10" s="1"/>
  <c r="AN6" i="10" s="1"/>
  <c r="AL8" i="15"/>
  <c r="AL17" i="15" s="1"/>
  <c r="AM5" i="15"/>
  <c r="J16" i="5"/>
  <c r="AN12" i="15"/>
  <c r="M9" i="5"/>
  <c r="AE10" i="5"/>
  <c r="AF10" i="5" s="1"/>
  <c r="AF12" i="5" s="1"/>
  <c r="AD10" i="5"/>
  <c r="AC10" i="5"/>
  <c r="AA10" i="5"/>
  <c r="AC5" i="9"/>
  <c r="AD5" i="9"/>
  <c r="AD7" i="9" s="1"/>
  <c r="T7" i="9"/>
  <c r="L11" i="4"/>
  <c r="M11" i="4" s="1"/>
  <c r="N11" i="4" s="1"/>
  <c r="AO6" i="9"/>
  <c r="AP6" i="9" s="1"/>
  <c r="AR6" i="9" s="1"/>
  <c r="AT6" i="9" s="1"/>
  <c r="AV6" i="9" s="1"/>
  <c r="X5" i="1"/>
  <c r="T13" i="1"/>
  <c r="M15" i="5"/>
  <c r="X19" i="1"/>
  <c r="Z15" i="1"/>
  <c r="AI11" i="11"/>
  <c r="AI14" i="11" s="1"/>
  <c r="AH14" i="11"/>
  <c r="AG5" i="10"/>
  <c r="AF9" i="10"/>
  <c r="AH9" i="11"/>
  <c r="AI5" i="11"/>
  <c r="AI9" i="11" s="1"/>
  <c r="K14" i="5"/>
  <c r="AD18" i="1"/>
  <c r="AF18" i="1" s="1"/>
  <c r="AH18" i="1" s="1"/>
  <c r="AK18" i="1" s="1"/>
  <c r="K8" i="5"/>
  <c r="K12" i="5" s="1"/>
  <c r="J12" i="5"/>
  <c r="AN28" i="1"/>
  <c r="AH5" i="12"/>
  <c r="I7" i="4"/>
  <c r="H12" i="4"/>
  <c r="H16" i="4" s="1"/>
  <c r="H7" i="4"/>
  <c r="T21" i="1"/>
  <c r="P9" i="6"/>
  <c r="Q9" i="6" s="1"/>
  <c r="AA19" i="8"/>
  <c r="AH19" i="8" s="1"/>
  <c r="AI19" i="8" s="1"/>
  <c r="AK19" i="8" s="1"/>
  <c r="AM19" i="8" s="1"/>
  <c r="AO19" i="8" s="1"/>
  <c r="AQ19" i="8" s="1"/>
  <c r="AS19" i="8" s="1"/>
  <c r="AU19" i="8" s="1"/>
  <c r="AW19" i="8" s="1"/>
  <c r="AY19" i="8" s="1"/>
  <c r="AZ19" i="8" s="1"/>
  <c r="AE19" i="8"/>
  <c r="AC19" i="8"/>
  <c r="T5" i="14"/>
  <c r="T5" i="13"/>
  <c r="V11" i="12"/>
  <c r="AA11" i="12"/>
  <c r="AA14" i="11"/>
  <c r="T16" i="11"/>
  <c r="AA9" i="11"/>
  <c r="AA9" i="10"/>
  <c r="AA7" i="9"/>
  <c r="J18" i="8"/>
  <c r="J30" i="8" s="1"/>
  <c r="J5" i="8"/>
  <c r="I34" i="8"/>
  <c r="K5" i="8"/>
  <c r="K16" i="8" s="1"/>
  <c r="K8" i="7"/>
  <c r="K10" i="7" s="1"/>
  <c r="K5" i="7"/>
  <c r="K6" i="7" s="1"/>
  <c r="J6" i="7"/>
  <c r="J5" i="6"/>
  <c r="K5" i="6" s="1"/>
  <c r="H10" i="6"/>
  <c r="H7" i="6"/>
  <c r="H6" i="5"/>
  <c r="H18" i="5" s="1"/>
  <c r="L8" i="5"/>
  <c r="L12" i="5" s="1"/>
  <c r="I5" i="5"/>
  <c r="J6" i="4"/>
  <c r="J5" i="4"/>
  <c r="I9" i="4"/>
  <c r="J10" i="4"/>
  <c r="K5" i="4"/>
  <c r="I10" i="3"/>
  <c r="J9" i="3"/>
  <c r="J8" i="3"/>
  <c r="H10" i="3"/>
  <c r="H14" i="3" s="1"/>
  <c r="I5" i="3"/>
  <c r="AI16" i="11" l="1"/>
  <c r="AX6" i="9"/>
  <c r="AY6" i="9"/>
  <c r="AU8" i="10"/>
  <c r="AV8" i="10" s="1"/>
  <c r="AT9" i="10"/>
  <c r="AX8" i="11"/>
  <c r="AY8" i="11" s="1"/>
  <c r="AJ11" i="11"/>
  <c r="AJ14" i="11" s="1"/>
  <c r="AX11" i="15"/>
  <c r="AK43" i="1"/>
  <c r="AW16" i="11"/>
  <c r="AG16" i="11"/>
  <c r="AY11" i="15"/>
  <c r="AO6" i="10"/>
  <c r="AQ6" i="10" s="1"/>
  <c r="AS6" i="10" s="1"/>
  <c r="AU6" i="10" s="1"/>
  <c r="AN9" i="10"/>
  <c r="H12" i="6"/>
  <c r="K16" i="5"/>
  <c r="AH16" i="11"/>
  <c r="AB15" i="1"/>
  <c r="Z19" i="1"/>
  <c r="AH5" i="9"/>
  <c r="AD5" i="13"/>
  <c r="AD29" i="13" s="1"/>
  <c r="T29" i="13"/>
  <c r="X13" i="1"/>
  <c r="X21" i="1" s="1"/>
  <c r="Z5" i="1"/>
  <c r="AK11" i="11"/>
  <c r="AK14" i="11" s="1"/>
  <c r="N15" i="5"/>
  <c r="N9" i="5"/>
  <c r="AN5" i="15"/>
  <c r="AM8" i="15"/>
  <c r="AM17" i="15" s="1"/>
  <c r="AO12" i="11"/>
  <c r="AO14" i="11" s="1"/>
  <c r="AO16" i="11" s="1"/>
  <c r="T29" i="14"/>
  <c r="U33" i="14" s="1"/>
  <c r="Z5" i="14"/>
  <c r="AJ5" i="11"/>
  <c r="AG9" i="10"/>
  <c r="AH5" i="10"/>
  <c r="AH9" i="10" s="1"/>
  <c r="AH10" i="5"/>
  <c r="AI10" i="5" s="1"/>
  <c r="AN15" i="15"/>
  <c r="AO12" i="15"/>
  <c r="L14" i="5"/>
  <c r="L16" i="5" s="1"/>
  <c r="AJ5" i="12"/>
  <c r="AH11" i="12"/>
  <c r="O11" i="4"/>
  <c r="P11" i="4" s="1"/>
  <c r="J7" i="4"/>
  <c r="L5" i="4"/>
  <c r="J9" i="4"/>
  <c r="J12" i="4" s="1"/>
  <c r="I12" i="4"/>
  <c r="I16" i="4" s="1"/>
  <c r="J10" i="3"/>
  <c r="R9" i="6"/>
  <c r="S8" i="15"/>
  <c r="AA16" i="11"/>
  <c r="K18" i="8"/>
  <c r="K30" i="8" s="1"/>
  <c r="K34" i="8" s="1"/>
  <c r="J16" i="8"/>
  <c r="J34" i="8" s="1"/>
  <c r="L5" i="8"/>
  <c r="L16" i="8" s="1"/>
  <c r="L8" i="7"/>
  <c r="L10" i="7" s="1"/>
  <c r="L5" i="7"/>
  <c r="Q6" i="6"/>
  <c r="R6" i="6" s="1"/>
  <c r="K7" i="6"/>
  <c r="I7" i="6"/>
  <c r="I10" i="6"/>
  <c r="L5" i="6"/>
  <c r="I6" i="5"/>
  <c r="I18" i="5" s="1"/>
  <c r="J5" i="5"/>
  <c r="J6" i="5" s="1"/>
  <c r="J18" i="5" s="1"/>
  <c r="M8" i="5"/>
  <c r="K6" i="4"/>
  <c r="L6" i="4" s="1"/>
  <c r="K10" i="4"/>
  <c r="K9" i="3"/>
  <c r="K8" i="3"/>
  <c r="L8" i="3" s="1"/>
  <c r="I6" i="3"/>
  <c r="I14" i="3" s="1"/>
  <c r="J5" i="3"/>
  <c r="J6" i="3" s="1"/>
  <c r="AX6" i="10" l="1"/>
  <c r="AW6" i="10"/>
  <c r="J16" i="4"/>
  <c r="AW8" i="10"/>
  <c r="AX8" i="10" s="1"/>
  <c r="AV9" i="10"/>
  <c r="AK45" i="1" s="1"/>
  <c r="J14" i="3"/>
  <c r="AI5" i="10"/>
  <c r="AB5" i="14"/>
  <c r="Z29" i="14"/>
  <c r="AN8" i="15"/>
  <c r="AN17" i="15" s="1"/>
  <c r="AO5" i="15"/>
  <c r="AO8" i="15" s="1"/>
  <c r="O15" i="5"/>
  <c r="Z13" i="1"/>
  <c r="Z21" i="1" s="1"/>
  <c r="AB5" i="1"/>
  <c r="AH5" i="13"/>
  <c r="AH7" i="9"/>
  <c r="AJ5" i="9"/>
  <c r="AJ10" i="5"/>
  <c r="AI12" i="5"/>
  <c r="AI18" i="5" s="1"/>
  <c r="AJ5" i="10"/>
  <c r="AJ9" i="10" s="1"/>
  <c r="AI9" i="10"/>
  <c r="M14" i="5"/>
  <c r="M16" i="5" s="1"/>
  <c r="N8" i="5"/>
  <c r="M12" i="5"/>
  <c r="AP12" i="11"/>
  <c r="AL11" i="11"/>
  <c r="O9" i="5"/>
  <c r="P9" i="5" s="1"/>
  <c r="Q9" i="5" s="1"/>
  <c r="AD15" i="1"/>
  <c r="AB19" i="1"/>
  <c r="AP12" i="15"/>
  <c r="AO15" i="15"/>
  <c r="AJ9" i="11"/>
  <c r="AJ16" i="11" s="1"/>
  <c r="AK5" i="11"/>
  <c r="AK9" i="11" s="1"/>
  <c r="AK16" i="11" s="1"/>
  <c r="AL5" i="12"/>
  <c r="AJ11" i="12"/>
  <c r="Q11" i="4"/>
  <c r="R11" i="4" s="1"/>
  <c r="S11" i="4" s="1"/>
  <c r="T11" i="4" s="1"/>
  <c r="M6" i="4"/>
  <c r="K7" i="4"/>
  <c r="L7" i="4"/>
  <c r="K9" i="4"/>
  <c r="S17" i="15"/>
  <c r="V29" i="14"/>
  <c r="X29" i="14"/>
  <c r="L18" i="8"/>
  <c r="M5" i="8"/>
  <c r="M8" i="7"/>
  <c r="M10" i="7" s="1"/>
  <c r="L6" i="7"/>
  <c r="M5" i="7"/>
  <c r="J7" i="6"/>
  <c r="I12" i="6"/>
  <c r="J10" i="6"/>
  <c r="L7" i="6"/>
  <c r="M5" i="6"/>
  <c r="K5" i="5"/>
  <c r="N6" i="4"/>
  <c r="O6" i="4" s="1"/>
  <c r="M5" i="4"/>
  <c r="L10" i="4"/>
  <c r="M10" i="4" s="1"/>
  <c r="L9" i="3"/>
  <c r="L10" i="3" s="1"/>
  <c r="K10" i="3"/>
  <c r="M8" i="3"/>
  <c r="N8" i="3" s="1"/>
  <c r="K5" i="3"/>
  <c r="K6" i="3" s="1"/>
  <c r="AM11" i="11" l="1"/>
  <c r="AM14" i="11" s="1"/>
  <c r="AL14" i="11"/>
  <c r="AJ7" i="9"/>
  <c r="AL5" i="9"/>
  <c r="AP5" i="15"/>
  <c r="O8" i="5"/>
  <c r="N12" i="5"/>
  <c r="AL11" i="12"/>
  <c r="AM5" i="12"/>
  <c r="AM11" i="12" s="1"/>
  <c r="AL5" i="11"/>
  <c r="AQ12" i="15"/>
  <c r="AP15" i="15"/>
  <c r="AF15" i="1"/>
  <c r="AN27" i="1"/>
  <c r="AD19" i="1"/>
  <c r="N14" i="5"/>
  <c r="AK5" i="10"/>
  <c r="AK10" i="5"/>
  <c r="AK12" i="5" s="1"/>
  <c r="AK18" i="5" s="1"/>
  <c r="AJ5" i="13"/>
  <c r="AH29" i="13"/>
  <c r="P15" i="5"/>
  <c r="Q15" i="5" s="1"/>
  <c r="R9" i="5"/>
  <c r="S9" i="5" s="1"/>
  <c r="T9" i="5" s="1"/>
  <c r="AQ12" i="11"/>
  <c r="AQ14" i="11" s="1"/>
  <c r="AB13" i="1"/>
  <c r="AB21" i="1" s="1"/>
  <c r="AD5" i="1"/>
  <c r="AO17" i="15"/>
  <c r="AB29" i="14"/>
  <c r="AD5" i="14"/>
  <c r="L9" i="4"/>
  <c r="L12" i="4" s="1"/>
  <c r="K12" i="4"/>
  <c r="K16" i="4" s="1"/>
  <c r="M9" i="4"/>
  <c r="M12" i="4" s="1"/>
  <c r="AC11" i="4"/>
  <c r="AA11" i="4"/>
  <c r="AE11" i="4"/>
  <c r="AD11" i="4"/>
  <c r="M7" i="4"/>
  <c r="J12" i="6"/>
  <c r="N5" i="4"/>
  <c r="N7" i="4" s="1"/>
  <c r="T17" i="15"/>
  <c r="L30" i="8"/>
  <c r="L34" i="8" s="1"/>
  <c r="M18" i="8"/>
  <c r="N5" i="8"/>
  <c r="N16" i="8" s="1"/>
  <c r="M16" i="8"/>
  <c r="N8" i="7"/>
  <c r="N10" i="7" s="1"/>
  <c r="M6" i="7"/>
  <c r="N5" i="7"/>
  <c r="K10" i="6"/>
  <c r="K12" i="6" s="1"/>
  <c r="N5" i="6"/>
  <c r="K6" i="5"/>
  <c r="K18" i="5" s="1"/>
  <c r="L5" i="5"/>
  <c r="P6" i="4"/>
  <c r="Q6" i="4" s="1"/>
  <c r="N10" i="4"/>
  <c r="O10" i="4" s="1"/>
  <c r="L16" i="4"/>
  <c r="K14" i="3"/>
  <c r="M9" i="3"/>
  <c r="M10" i="3" s="1"/>
  <c r="O8" i="3"/>
  <c r="L5" i="3"/>
  <c r="L6" i="3" s="1"/>
  <c r="L14" i="3" s="1"/>
  <c r="AR12" i="11" l="1"/>
  <c r="AT12" i="11" s="1"/>
  <c r="AV12" i="11" s="1"/>
  <c r="M16" i="4"/>
  <c r="N9" i="4"/>
  <c r="N12" i="4" s="1"/>
  <c r="N16" i="4" s="1"/>
  <c r="AF19" i="1"/>
  <c r="AH15" i="1"/>
  <c r="AA9" i="5"/>
  <c r="AG9" i="5"/>
  <c r="AH9" i="5" s="1"/>
  <c r="AJ9" i="5" s="1"/>
  <c r="AL9" i="5" s="1"/>
  <c r="AD9" i="5"/>
  <c r="AC9" i="5"/>
  <c r="O5" i="8"/>
  <c r="AL9" i="11"/>
  <c r="AL16" i="11" s="1"/>
  <c r="AM5" i="11"/>
  <c r="AM9" i="11" s="1"/>
  <c r="AM16" i="11" s="1"/>
  <c r="R15" i="5"/>
  <c r="S15" i="5" s="1"/>
  <c r="T15" i="5" s="1"/>
  <c r="AN11" i="11"/>
  <c r="AD13" i="1"/>
  <c r="AF5" i="1"/>
  <c r="AQ16" i="11"/>
  <c r="AK9" i="10"/>
  <c r="AL5" i="10"/>
  <c r="AQ5" i="15"/>
  <c r="AP8" i="15"/>
  <c r="AF5" i="14"/>
  <c r="AD29" i="14"/>
  <c r="AJ29" i="13"/>
  <c r="AL5" i="13"/>
  <c r="N16" i="5"/>
  <c r="O14" i="5"/>
  <c r="AN5" i="12"/>
  <c r="AN5" i="9"/>
  <c r="AL7" i="9"/>
  <c r="AL10" i="5"/>
  <c r="AR12" i="15"/>
  <c r="AT12" i="15" s="1"/>
  <c r="AQ15" i="15"/>
  <c r="O12" i="5"/>
  <c r="P8" i="5"/>
  <c r="O5" i="4"/>
  <c r="P5" i="4" s="1"/>
  <c r="P7" i="4" s="1"/>
  <c r="AF11" i="4"/>
  <c r="AG11" i="4" s="1"/>
  <c r="AA8" i="15"/>
  <c r="AA17" i="15" s="1"/>
  <c r="M30" i="8"/>
  <c r="M34" i="8" s="1"/>
  <c r="N18" i="8"/>
  <c r="N30" i="8" s="1"/>
  <c r="N34" i="8" s="1"/>
  <c r="P5" i="8"/>
  <c r="P16" i="8" s="1"/>
  <c r="O16" i="8"/>
  <c r="Q5" i="8"/>
  <c r="Q16" i="8" s="1"/>
  <c r="O8" i="7"/>
  <c r="O10" i="7" s="1"/>
  <c r="N6" i="7"/>
  <c r="O5" i="7"/>
  <c r="O6" i="7" s="1"/>
  <c r="L10" i="6"/>
  <c r="L12" i="6" s="1"/>
  <c r="O5" i="6"/>
  <c r="P5" i="6" s="1"/>
  <c r="M7" i="6"/>
  <c r="L6" i="5"/>
  <c r="L18" i="5" s="1"/>
  <c r="M5" i="5"/>
  <c r="M6" i="5" s="1"/>
  <c r="M18" i="5" s="1"/>
  <c r="R6" i="4"/>
  <c r="P10" i="4"/>
  <c r="O9" i="4"/>
  <c r="O12" i="4" s="1"/>
  <c r="N9" i="3"/>
  <c r="P8" i="3"/>
  <c r="M5" i="3"/>
  <c r="M6" i="3" s="1"/>
  <c r="M14" i="3" s="1"/>
  <c r="AX12" i="11" l="1"/>
  <c r="AY12" i="11"/>
  <c r="AH5" i="1"/>
  <c r="AF13" i="1"/>
  <c r="AF21" i="1" s="1"/>
  <c r="AH19" i="1"/>
  <c r="AK15" i="1"/>
  <c r="AV12" i="15"/>
  <c r="AT15" i="15"/>
  <c r="AM9" i="5"/>
  <c r="AN9" i="5" s="1"/>
  <c r="Q8" i="5"/>
  <c r="P12" i="5"/>
  <c r="AM10" i="5"/>
  <c r="AN10" i="5" s="1"/>
  <c r="AN11" i="12"/>
  <c r="AO5" i="12"/>
  <c r="AO11" i="12" s="1"/>
  <c r="AR5" i="15"/>
  <c r="AT5" i="15" s="1"/>
  <c r="AQ8" i="15"/>
  <c r="AP11" i="11"/>
  <c r="AN14" i="11"/>
  <c r="AL29" i="13"/>
  <c r="AM5" i="13"/>
  <c r="AM29" i="13" s="1"/>
  <c r="AA15" i="5"/>
  <c r="AE15" i="5"/>
  <c r="AD15" i="5"/>
  <c r="AC15" i="5"/>
  <c r="AF15" i="5"/>
  <c r="AF16" i="5" s="1"/>
  <c r="AF18" i="5" s="1"/>
  <c r="O16" i="5"/>
  <c r="P14" i="5"/>
  <c r="Q14" i="5" s="1"/>
  <c r="Q16" i="5" s="1"/>
  <c r="AF29" i="14"/>
  <c r="AG5" i="14"/>
  <c r="AG29" i="14" s="1"/>
  <c r="AM5" i="10"/>
  <c r="AL9" i="10"/>
  <c r="AM29" i="1"/>
  <c r="AR15" i="15"/>
  <c r="AN7" i="9"/>
  <c r="AO5" i="9"/>
  <c r="AO7" i="9" s="1"/>
  <c r="AP17" i="15"/>
  <c r="AD21" i="1"/>
  <c r="AN5" i="11"/>
  <c r="S6" i="4"/>
  <c r="T6" i="4" s="1"/>
  <c r="AH11" i="4"/>
  <c r="AI11" i="4" s="1"/>
  <c r="O7" i="4"/>
  <c r="O18" i="8"/>
  <c r="O30" i="8" s="1"/>
  <c r="O34" i="8" s="1"/>
  <c r="R5" i="8"/>
  <c r="R16" i="8" s="1"/>
  <c r="P8" i="7"/>
  <c r="P10" i="7" s="1"/>
  <c r="P5" i="7"/>
  <c r="P6" i="7" s="1"/>
  <c r="O7" i="6"/>
  <c r="N7" i="6"/>
  <c r="M10" i="6"/>
  <c r="M12" i="6" s="1"/>
  <c r="Q5" i="6"/>
  <c r="N5" i="5"/>
  <c r="N6" i="5" s="1"/>
  <c r="N18" i="5" s="1"/>
  <c r="Q10" i="4"/>
  <c r="R10" i="4" s="1"/>
  <c r="S10" i="4" s="1"/>
  <c r="T10" i="4" s="1"/>
  <c r="Q5" i="4"/>
  <c r="Q7" i="4" s="1"/>
  <c r="O16" i="4"/>
  <c r="P9" i="4"/>
  <c r="N10" i="3"/>
  <c r="O9" i="3"/>
  <c r="O10" i="3" s="1"/>
  <c r="Q8" i="3"/>
  <c r="N5" i="3"/>
  <c r="AH5" i="14" l="1"/>
  <c r="AH15" i="5"/>
  <c r="AJ15" i="5" s="1"/>
  <c r="AL15" i="5" s="1"/>
  <c r="AX12" i="15"/>
  <c r="AX15" i="15" s="1"/>
  <c r="AM57" i="1" s="1"/>
  <c r="AV15" i="15"/>
  <c r="AI57" i="1" s="1"/>
  <c r="AL57" i="1" s="1"/>
  <c r="AK5" i="1"/>
  <c r="AH13" i="1"/>
  <c r="AH21" i="1" s="1"/>
  <c r="AN5" i="13"/>
  <c r="AN29" i="13" s="1"/>
  <c r="AT8" i="15"/>
  <c r="AV5" i="15"/>
  <c r="AX5" i="15" s="1"/>
  <c r="AX8" i="15" s="1"/>
  <c r="AY12" i="15"/>
  <c r="P18" i="8"/>
  <c r="P30" i="8" s="1"/>
  <c r="AK58" i="1"/>
  <c r="AQ17" i="15"/>
  <c r="AP5" i="12"/>
  <c r="AI29" i="1"/>
  <c r="AO5" i="10"/>
  <c r="AM9" i="10"/>
  <c r="P16" i="5"/>
  <c r="R14" i="5"/>
  <c r="AM15" i="5"/>
  <c r="AN15" i="5" s="1"/>
  <c r="AR8" i="15"/>
  <c r="AO10" i="5"/>
  <c r="AP10" i="5" s="1"/>
  <c r="R8" i="5"/>
  <c r="Q12" i="5"/>
  <c r="AO9" i="5"/>
  <c r="AP9" i="5" s="1"/>
  <c r="AP5" i="11"/>
  <c r="AN9" i="11"/>
  <c r="AN16" i="11" s="1"/>
  <c r="AP5" i="9"/>
  <c r="AH29" i="14"/>
  <c r="AI5" i="14"/>
  <c r="AI29" i="14" s="1"/>
  <c r="AR11" i="11"/>
  <c r="AT11" i="11" s="1"/>
  <c r="AP14" i="11"/>
  <c r="AD6" i="4"/>
  <c r="AC6" i="4"/>
  <c r="AA6" i="4"/>
  <c r="AE6" i="4"/>
  <c r="AE10" i="4"/>
  <c r="AF10" i="4" s="1"/>
  <c r="AG10" i="4" s="1"/>
  <c r="AC10" i="4"/>
  <c r="AA10" i="4"/>
  <c r="AD10" i="4"/>
  <c r="AJ11" i="4"/>
  <c r="AK11" i="4" s="1"/>
  <c r="P12" i="4"/>
  <c r="P16" i="4" s="1"/>
  <c r="Q8" i="7"/>
  <c r="Q10" i="7" s="1"/>
  <c r="P34" i="8"/>
  <c r="Q18" i="8"/>
  <c r="Q30" i="8" s="1"/>
  <c r="S5" i="8"/>
  <c r="S16" i="8" s="1"/>
  <c r="Q5" i="7"/>
  <c r="Q7" i="6"/>
  <c r="R5" i="6"/>
  <c r="S6" i="6"/>
  <c r="T6" i="6" s="1"/>
  <c r="N10" i="6"/>
  <c r="N12" i="6" s="1"/>
  <c r="P7" i="6"/>
  <c r="O5" i="5"/>
  <c r="O6" i="5" s="1"/>
  <c r="O18" i="5" s="1"/>
  <c r="R5" i="4"/>
  <c r="Q9" i="4"/>
  <c r="Q12" i="4" s="1"/>
  <c r="P9" i="3"/>
  <c r="R8" i="3"/>
  <c r="S8" i="3" s="1"/>
  <c r="O5" i="3"/>
  <c r="O6" i="3" s="1"/>
  <c r="O14" i="3" s="1"/>
  <c r="N6" i="3"/>
  <c r="N14" i="3" s="1"/>
  <c r="R8" i="7" l="1"/>
  <c r="R10" i="7" s="1"/>
  <c r="AM56" i="1"/>
  <c r="AX17" i="15"/>
  <c r="AV11" i="11"/>
  <c r="AT14" i="11"/>
  <c r="AO5" i="13"/>
  <c r="AO29" i="13" s="1"/>
  <c r="AY5" i="15"/>
  <c r="AV8" i="15"/>
  <c r="AN57" i="1"/>
  <c r="AT17" i="15"/>
  <c r="AO15" i="5"/>
  <c r="AP15" i="5" s="1"/>
  <c r="AQ15" i="5" s="1"/>
  <c r="AR15" i="5" s="1"/>
  <c r="AT15" i="5" s="1"/>
  <c r="AV15" i="5" s="1"/>
  <c r="AQ10" i="5"/>
  <c r="AR10" i="5" s="1"/>
  <c r="AT10" i="5" s="1"/>
  <c r="AV10" i="5" s="1"/>
  <c r="AR14" i="11"/>
  <c r="AR5" i="9"/>
  <c r="AT5" i="9" s="1"/>
  <c r="AP7" i="9"/>
  <c r="AQ9" i="5"/>
  <c r="AR9" i="5" s="1"/>
  <c r="AT9" i="5" s="1"/>
  <c r="AV9" i="5" s="1"/>
  <c r="R16" i="5"/>
  <c r="S14" i="5"/>
  <c r="P5" i="3"/>
  <c r="P6" i="3" s="1"/>
  <c r="AL11" i="4"/>
  <c r="R12" i="5"/>
  <c r="S8" i="5"/>
  <c r="AL29" i="1"/>
  <c r="AN26" i="1"/>
  <c r="AN29" i="1" s="1"/>
  <c r="AO29" i="1" s="1"/>
  <c r="AR5" i="11"/>
  <c r="AT5" i="11" s="1"/>
  <c r="AP9" i="11"/>
  <c r="AP5" i="13"/>
  <c r="AP29" i="13" s="1"/>
  <c r="AP11" i="12"/>
  <c r="AQ5" i="12"/>
  <c r="AQ11" i="12" s="1"/>
  <c r="AR17" i="15"/>
  <c r="AJ5" i="14"/>
  <c r="AL5" i="14" s="1"/>
  <c r="AL29" i="14" s="1"/>
  <c r="AQ5" i="10"/>
  <c r="AS5" i="10" s="1"/>
  <c r="AO9" i="10"/>
  <c r="R7" i="4"/>
  <c r="S5" i="4"/>
  <c r="S7" i="4" s="1"/>
  <c r="AH10" i="4"/>
  <c r="AI10" i="4" s="1"/>
  <c r="AF6" i="4"/>
  <c r="AG6" i="4" s="1"/>
  <c r="AH6" i="4" s="1"/>
  <c r="AE6" i="6"/>
  <c r="AF6" i="6" s="1"/>
  <c r="AG6" i="6" s="1"/>
  <c r="AA6" i="6"/>
  <c r="AD6" i="6"/>
  <c r="AC6" i="6"/>
  <c r="R18" i="8"/>
  <c r="R30" i="8" s="1"/>
  <c r="Q34" i="8"/>
  <c r="T5" i="8"/>
  <c r="S8" i="7"/>
  <c r="S10" i="7" s="1"/>
  <c r="Q6" i="7"/>
  <c r="R5" i="7"/>
  <c r="O10" i="6"/>
  <c r="O12" i="6" s="1"/>
  <c r="P10" i="6"/>
  <c r="P12" i="6" s="1"/>
  <c r="Q10" i="6"/>
  <c r="Q12" i="6" s="1"/>
  <c r="R7" i="6"/>
  <c r="S5" i="6"/>
  <c r="P5" i="5"/>
  <c r="P6" i="5" s="1"/>
  <c r="P18" i="5" s="1"/>
  <c r="Q16" i="4"/>
  <c r="R9" i="4"/>
  <c r="R12" i="4" s="1"/>
  <c r="P10" i="3"/>
  <c r="Q9" i="3"/>
  <c r="Q10" i="3" s="1"/>
  <c r="T8" i="3"/>
  <c r="Q5" i="3"/>
  <c r="Q6" i="3" s="1"/>
  <c r="P14" i="3" l="1"/>
  <c r="AX9" i="5"/>
  <c r="AY9" i="5"/>
  <c r="AX10" i="5"/>
  <c r="AY10" i="5"/>
  <c r="AM58" i="1"/>
  <c r="AI56" i="1"/>
  <c r="AY11" i="11"/>
  <c r="AX11" i="11"/>
  <c r="AX14" i="11" s="1"/>
  <c r="AM44" i="1" s="1"/>
  <c r="AV14" i="11"/>
  <c r="AI44" i="1" s="1"/>
  <c r="AL44" i="1" s="1"/>
  <c r="AX15" i="5"/>
  <c r="AY15" i="5"/>
  <c r="AV5" i="11"/>
  <c r="AT9" i="11"/>
  <c r="AT16" i="11" s="1"/>
  <c r="AT7" i="9"/>
  <c r="AV5" i="9"/>
  <c r="AU5" i="10"/>
  <c r="AS9" i="10"/>
  <c r="AN44" i="1"/>
  <c r="AN5" i="14"/>
  <c r="AN29" i="14" s="1"/>
  <c r="AI61" i="1" s="1"/>
  <c r="AL61" i="1" s="1"/>
  <c r="AR5" i="12"/>
  <c r="AT5" i="12" s="1"/>
  <c r="AT11" i="12" s="1"/>
  <c r="AL56" i="1"/>
  <c r="AL58" i="1" s="1"/>
  <c r="AI58" i="1"/>
  <c r="AV17" i="15"/>
  <c r="AH6" i="6"/>
  <c r="AI6" i="6" s="1"/>
  <c r="AJ6" i="6" s="1"/>
  <c r="AK6" i="6" s="1"/>
  <c r="AQ9" i="10"/>
  <c r="AQ5" i="13"/>
  <c r="AQ29" i="13" s="1"/>
  <c r="AR7" i="9"/>
  <c r="AJ29" i="14"/>
  <c r="AZ11" i="12"/>
  <c r="AP16" i="11"/>
  <c r="S16" i="5"/>
  <c r="T14" i="5"/>
  <c r="AR9" i="11"/>
  <c r="S12" i="5"/>
  <c r="T8" i="5"/>
  <c r="AM11" i="4"/>
  <c r="AI6" i="4"/>
  <c r="AJ10" i="4"/>
  <c r="AK10" i="4" s="1"/>
  <c r="Q14" i="3"/>
  <c r="AE8" i="3"/>
  <c r="AF8" i="3" s="1"/>
  <c r="AA8" i="3"/>
  <c r="AD8" i="3"/>
  <c r="AC8" i="3"/>
  <c r="T16" i="8"/>
  <c r="AA5" i="8"/>
  <c r="AH5" i="8" s="1"/>
  <c r="AH16" i="8" s="1"/>
  <c r="AE5" i="8"/>
  <c r="AE16" i="8" s="1"/>
  <c r="AC5" i="8"/>
  <c r="AC16" i="8" s="1"/>
  <c r="R34" i="8"/>
  <c r="S18" i="8"/>
  <c r="S30" i="8" s="1"/>
  <c r="T8" i="7"/>
  <c r="R6" i="7"/>
  <c r="S5" i="7"/>
  <c r="S7" i="6"/>
  <c r="T5" i="6"/>
  <c r="Q5" i="5"/>
  <c r="Q6" i="5" s="1"/>
  <c r="Q18" i="5" s="1"/>
  <c r="T5" i="4"/>
  <c r="R16" i="4"/>
  <c r="S9" i="4"/>
  <c r="S12" i="4" s="1"/>
  <c r="R9" i="3"/>
  <c r="R5" i="3"/>
  <c r="AR11" i="12" l="1"/>
  <c r="AR5" i="13"/>
  <c r="AW5" i="10"/>
  <c r="AW9" i="10" s="1"/>
  <c r="AM45" i="1" s="1"/>
  <c r="AX5" i="10"/>
  <c r="AU9" i="10"/>
  <c r="AI45" i="1" s="1"/>
  <c r="AL45" i="1" s="1"/>
  <c r="AX5" i="11"/>
  <c r="AV9" i="11"/>
  <c r="AV7" i="9"/>
  <c r="AI46" i="1" s="1"/>
  <c r="AL46" i="1" s="1"/>
  <c r="AX5" i="9"/>
  <c r="AX7" i="9" s="1"/>
  <c r="AM46" i="1" s="1"/>
  <c r="AY5" i="9"/>
  <c r="AP5" i="14"/>
  <c r="AP29" i="14" s="1"/>
  <c r="AM61" i="1" s="1"/>
  <c r="AN61" i="1" s="1"/>
  <c r="AT5" i="13"/>
  <c r="AT29" i="13" s="1"/>
  <c r="AR29" i="13"/>
  <c r="AV5" i="12"/>
  <c r="AV11" i="12" s="1"/>
  <c r="AI59" i="1" s="1"/>
  <c r="AN56" i="1"/>
  <c r="AN58" i="1" s="1"/>
  <c r="AO58" i="1" s="1"/>
  <c r="AL10" i="4"/>
  <c r="AM10" i="4" s="1"/>
  <c r="AN10" i="4" s="1"/>
  <c r="AO10" i="4" s="1"/>
  <c r="AL6" i="6"/>
  <c r="AM6" i="6" s="1"/>
  <c r="AN6" i="6" s="1"/>
  <c r="AO6" i="6" s="1"/>
  <c r="AA8" i="5"/>
  <c r="AA12" i="5" s="1"/>
  <c r="AG8" i="5"/>
  <c r="AG12" i="5" s="1"/>
  <c r="AD8" i="5"/>
  <c r="AD12" i="5" s="1"/>
  <c r="AC8" i="5"/>
  <c r="AC12" i="5" s="1"/>
  <c r="T12" i="5"/>
  <c r="AD14" i="5"/>
  <c r="AD16" i="5" s="1"/>
  <c r="AC14" i="5"/>
  <c r="AC16" i="5" s="1"/>
  <c r="AG14" i="5"/>
  <c r="AG16" i="5" s="1"/>
  <c r="AA14" i="5"/>
  <c r="AA16" i="5" s="1"/>
  <c r="T16" i="5"/>
  <c r="T10" i="7"/>
  <c r="AR16" i="11"/>
  <c r="AK62" i="1"/>
  <c r="AN11" i="4"/>
  <c r="AO11" i="4" s="1"/>
  <c r="AP11" i="4" s="1"/>
  <c r="AQ11" i="4" s="1"/>
  <c r="AI5" i="8"/>
  <c r="AA5" i="4"/>
  <c r="AD5" i="4"/>
  <c r="AD7" i="4" s="1"/>
  <c r="AC5" i="4"/>
  <c r="AC7" i="4" s="1"/>
  <c r="AE5" i="4"/>
  <c r="AJ6" i="4"/>
  <c r="AG8" i="3"/>
  <c r="AD5" i="6"/>
  <c r="AD7" i="6" s="1"/>
  <c r="AC5" i="6"/>
  <c r="AC7" i="6" s="1"/>
  <c r="AE5" i="6"/>
  <c r="AF5" i="6" s="1"/>
  <c r="AA5" i="6"/>
  <c r="AE8" i="7"/>
  <c r="AF8" i="7" s="1"/>
  <c r="AD8" i="7"/>
  <c r="AD10" i="7" s="1"/>
  <c r="AC8" i="7"/>
  <c r="AC10" i="7" s="1"/>
  <c r="AA8" i="7"/>
  <c r="T7" i="4"/>
  <c r="T18" i="8"/>
  <c r="S34" i="8"/>
  <c r="AA16" i="8"/>
  <c r="S6" i="7"/>
  <c r="T5" i="7"/>
  <c r="T7" i="6"/>
  <c r="R10" i="6"/>
  <c r="R12" i="6" s="1"/>
  <c r="S9" i="6"/>
  <c r="R5" i="5"/>
  <c r="R6" i="5" s="1"/>
  <c r="R18" i="5" s="1"/>
  <c r="S16" i="4"/>
  <c r="T9" i="4"/>
  <c r="S9" i="3"/>
  <c r="R10" i="3"/>
  <c r="R6" i="3"/>
  <c r="S5" i="3"/>
  <c r="AN45" i="1" l="1"/>
  <c r="AN46" i="1"/>
  <c r="AR11" i="4"/>
  <c r="AS11" i="4" s="1"/>
  <c r="AV16" i="11"/>
  <c r="AI43" i="1"/>
  <c r="AL43" i="1" s="1"/>
  <c r="AY5" i="11"/>
  <c r="AX9" i="11"/>
  <c r="AQ5" i="14"/>
  <c r="AV5" i="13"/>
  <c r="AV29" i="13" s="1"/>
  <c r="AI60" i="1" s="1"/>
  <c r="AL60" i="1" s="1"/>
  <c r="AX5" i="12"/>
  <c r="AX11" i="12" s="1"/>
  <c r="AM59" i="1" s="1"/>
  <c r="AY5" i="12"/>
  <c r="AL59" i="1"/>
  <c r="AN59" i="1" s="1"/>
  <c r="AG8" i="7"/>
  <c r="AF10" i="7"/>
  <c r="AP6" i="6"/>
  <c r="AQ6" i="6" s="1"/>
  <c r="AS6" i="6" s="1"/>
  <c r="AU6" i="6" s="1"/>
  <c r="AF7" i="6"/>
  <c r="AG5" i="6"/>
  <c r="AP10" i="4"/>
  <c r="AK5" i="8"/>
  <c r="AI16" i="8"/>
  <c r="AH14" i="5"/>
  <c r="AH8" i="5"/>
  <c r="AK6" i="4"/>
  <c r="AF5" i="4"/>
  <c r="AE9" i="4"/>
  <c r="AD9" i="4"/>
  <c r="AD12" i="4" s="1"/>
  <c r="AD16" i="4" s="1"/>
  <c r="AC9" i="4"/>
  <c r="AC12" i="4" s="1"/>
  <c r="AC16" i="4" s="1"/>
  <c r="AA9" i="4"/>
  <c r="AA12" i="4" s="1"/>
  <c r="T12" i="4"/>
  <c r="T16" i="4" s="1"/>
  <c r="AI8" i="3"/>
  <c r="AJ8" i="3" s="1"/>
  <c r="R14" i="3"/>
  <c r="AE5" i="7"/>
  <c r="AF5" i="7" s="1"/>
  <c r="AD5" i="7"/>
  <c r="AD6" i="7" s="1"/>
  <c r="AD12" i="7" s="1"/>
  <c r="AC5" i="7"/>
  <c r="AC6" i="7" s="1"/>
  <c r="AC12" i="7" s="1"/>
  <c r="AA5" i="7"/>
  <c r="T30" i="8"/>
  <c r="T34" i="8" s="1"/>
  <c r="AE18" i="8"/>
  <c r="AC18" i="8"/>
  <c r="AC30" i="8" s="1"/>
  <c r="AC34" i="8" s="1"/>
  <c r="AA18" i="8"/>
  <c r="AH18" i="8" s="1"/>
  <c r="AH30" i="8" s="1"/>
  <c r="AH34" i="8" s="1"/>
  <c r="AA7" i="4"/>
  <c r="AA10" i="7"/>
  <c r="T6" i="7"/>
  <c r="T9" i="6"/>
  <c r="S10" i="6"/>
  <c r="S12" i="6" s="1"/>
  <c r="AA7" i="6"/>
  <c r="S5" i="5"/>
  <c r="S6" i="5" s="1"/>
  <c r="S18" i="5" s="1"/>
  <c r="T9" i="3"/>
  <c r="S10" i="3"/>
  <c r="T5" i="3"/>
  <c r="S6" i="3"/>
  <c r="AA16" i="4" l="1"/>
  <c r="AW6" i="6"/>
  <c r="AX6" i="6" s="1"/>
  <c r="AM43" i="1"/>
  <c r="AN43" i="1" s="1"/>
  <c r="AX16" i="11"/>
  <c r="AT11" i="4"/>
  <c r="AU11" i="4" s="1"/>
  <c r="AX5" i="13"/>
  <c r="AX29" i="13" s="1"/>
  <c r="AM60" i="1" s="1"/>
  <c r="AM62" i="1" s="1"/>
  <c r="AI62" i="1"/>
  <c r="AL62" i="1"/>
  <c r="AF6" i="7"/>
  <c r="AF12" i="7" s="1"/>
  <c r="AG5" i="7"/>
  <c r="AH12" i="5"/>
  <c r="AJ8" i="5"/>
  <c r="AM5" i="8"/>
  <c r="AK16" i="8"/>
  <c r="AQ10" i="4"/>
  <c r="AR10" i="4" s="1"/>
  <c r="AS10" i="4" s="1"/>
  <c r="AT10" i="4" s="1"/>
  <c r="AU10" i="4" s="1"/>
  <c r="AE30" i="8"/>
  <c r="AE34" i="8" s="1"/>
  <c r="AJ14" i="5"/>
  <c r="AH16" i="5"/>
  <c r="AI18" i="8"/>
  <c r="AG7" i="6"/>
  <c r="AH5" i="6"/>
  <c r="AH7" i="6" s="1"/>
  <c r="AL6" i="4"/>
  <c r="AM6" i="4" s="1"/>
  <c r="AN6" i="4" s="1"/>
  <c r="AO6" i="4" s="1"/>
  <c r="AG10" i="7"/>
  <c r="AH8" i="7"/>
  <c r="AH10" i="7" s="1"/>
  <c r="AF9" i="4"/>
  <c r="AF7" i="4"/>
  <c r="AG5" i="4"/>
  <c r="AL8" i="3"/>
  <c r="AM8" i="3" s="1"/>
  <c r="AD5" i="3"/>
  <c r="AE5" i="3"/>
  <c r="AF5" i="3" s="1"/>
  <c r="AC5" i="3"/>
  <c r="AA5" i="3"/>
  <c r="AA6" i="3" s="1"/>
  <c r="AD9" i="3"/>
  <c r="AC9" i="3"/>
  <c r="AE9" i="3"/>
  <c r="AF9" i="3" s="1"/>
  <c r="AA9" i="3"/>
  <c r="AA10" i="3" s="1"/>
  <c r="AD9" i="6"/>
  <c r="AD10" i="6" s="1"/>
  <c r="AD12" i="6" s="1"/>
  <c r="AC9" i="6"/>
  <c r="AC10" i="6" s="1"/>
  <c r="AC12" i="6" s="1"/>
  <c r="AE9" i="6"/>
  <c r="AF9" i="6" s="1"/>
  <c r="AA9" i="6"/>
  <c r="AA30" i="8"/>
  <c r="AA6" i="7"/>
  <c r="AA12" i="7" s="1"/>
  <c r="T10" i="6"/>
  <c r="T12" i="6" s="1"/>
  <c r="T5" i="5"/>
  <c r="T10" i="3"/>
  <c r="AC10" i="3" s="1"/>
  <c r="S14" i="3"/>
  <c r="T6" i="3"/>
  <c r="AV11" i="4" l="1"/>
  <c r="AW11" i="4" s="1"/>
  <c r="AX11" i="4" s="1"/>
  <c r="AI38" i="1"/>
  <c r="AV10" i="4"/>
  <c r="AY5" i="13"/>
  <c r="AN60" i="1"/>
  <c r="AP6" i="4"/>
  <c r="AN8" i="3"/>
  <c r="AO8" i="3" s="1"/>
  <c r="AP8" i="3" s="1"/>
  <c r="AQ8" i="3" s="1"/>
  <c r="AG9" i="6"/>
  <c r="AF10" i="6"/>
  <c r="AF12" i="6" s="1"/>
  <c r="AI8" i="7"/>
  <c r="AI5" i="6"/>
  <c r="AK18" i="8"/>
  <c r="AI30" i="8"/>
  <c r="AI34" i="8" s="1"/>
  <c r="AL8" i="5"/>
  <c r="AJ12" i="5"/>
  <c r="AJ16" i="5"/>
  <c r="AL14" i="5"/>
  <c r="AH5" i="7"/>
  <c r="AH6" i="7" s="1"/>
  <c r="AH12" i="7" s="1"/>
  <c r="AG6" i="7"/>
  <c r="AG12" i="7" s="1"/>
  <c r="AG5" i="5"/>
  <c r="AG6" i="5" s="1"/>
  <c r="AG18" i="5" s="1"/>
  <c r="AD5" i="5"/>
  <c r="AD6" i="5" s="1"/>
  <c r="AD18" i="5" s="1"/>
  <c r="AA5" i="5"/>
  <c r="AA6" i="5" s="1"/>
  <c r="AA18" i="5" s="1"/>
  <c r="AC5" i="5"/>
  <c r="AC6" i="5" s="1"/>
  <c r="AC18" i="5" s="1"/>
  <c r="AO5" i="8"/>
  <c r="AM16" i="8"/>
  <c r="AG9" i="4"/>
  <c r="AF12" i="4"/>
  <c r="AF16" i="4" s="1"/>
  <c r="AG7" i="4"/>
  <c r="AH5" i="4"/>
  <c r="AH7" i="4" s="1"/>
  <c r="AG9" i="3"/>
  <c r="AF10" i="3"/>
  <c r="AF6" i="3"/>
  <c r="AG5" i="3"/>
  <c r="AD14" i="3"/>
  <c r="T14" i="3"/>
  <c r="AC6" i="3"/>
  <c r="AA14" i="3"/>
  <c r="AA34" i="8"/>
  <c r="AA10" i="6"/>
  <c r="AA12" i="6" s="1"/>
  <c r="T6" i="5"/>
  <c r="T18" i="5" s="1"/>
  <c r="S12" i="7"/>
  <c r="T12" i="7"/>
  <c r="U12" i="7"/>
  <c r="AW10" i="4" l="1"/>
  <c r="AK38" i="1"/>
  <c r="AL38" i="1"/>
  <c r="AH5" i="5"/>
  <c r="AJ5" i="5" s="1"/>
  <c r="AN62" i="1"/>
  <c r="AO62" i="1" s="1"/>
  <c r="AN63" i="1"/>
  <c r="AR8" i="3"/>
  <c r="AI5" i="7"/>
  <c r="AM8" i="5"/>
  <c r="AL12" i="5"/>
  <c r="AI10" i="7"/>
  <c r="AJ8" i="7"/>
  <c r="AJ10" i="7" s="1"/>
  <c r="AH6" i="5"/>
  <c r="AH18" i="5" s="1"/>
  <c r="AI5" i="4"/>
  <c r="AI7" i="4" s="1"/>
  <c r="AQ5" i="8"/>
  <c r="AO16" i="8"/>
  <c r="AL16" i="5"/>
  <c r="AM14" i="5"/>
  <c r="AM18" i="8"/>
  <c r="AK30" i="8"/>
  <c r="AK34" i="8" s="1"/>
  <c r="AH9" i="6"/>
  <c r="AH10" i="6" s="1"/>
  <c r="AH12" i="6" s="1"/>
  <c r="AG10" i="6"/>
  <c r="AG12" i="6" s="1"/>
  <c r="AQ6" i="4"/>
  <c r="AJ5" i="6"/>
  <c r="AJ7" i="6" s="1"/>
  <c r="AI7" i="6"/>
  <c r="AG12" i="4"/>
  <c r="AG16" i="4" s="1"/>
  <c r="AH9" i="4"/>
  <c r="AH12" i="4" s="1"/>
  <c r="AH16" i="4"/>
  <c r="AJ5" i="4"/>
  <c r="AG6" i="3"/>
  <c r="AI5" i="3"/>
  <c r="AI6" i="3" s="1"/>
  <c r="AG10" i="3"/>
  <c r="AI9" i="3"/>
  <c r="AI10" i="3" s="1"/>
  <c r="AF14" i="3"/>
  <c r="AC14" i="3"/>
  <c r="AR6" i="4" l="1"/>
  <c r="AS6" i="4" s="1"/>
  <c r="AT6" i="4" s="1"/>
  <c r="AU6" i="4" s="1"/>
  <c r="AJ5" i="3"/>
  <c r="AK5" i="6"/>
  <c r="AK7" i="6" s="1"/>
  <c r="AG14" i="3"/>
  <c r="AX10" i="4"/>
  <c r="AM38" i="1"/>
  <c r="AN38" i="1" s="1"/>
  <c r="AN14" i="5"/>
  <c r="AM16" i="5"/>
  <c r="AK8" i="7"/>
  <c r="AN8" i="5"/>
  <c r="AM12" i="5"/>
  <c r="AI9" i="4"/>
  <c r="AI9" i="6"/>
  <c r="AL5" i="5"/>
  <c r="AJ6" i="5"/>
  <c r="AJ18" i="5" s="1"/>
  <c r="AI6" i="7"/>
  <c r="AI12" i="7" s="1"/>
  <c r="AJ5" i="7"/>
  <c r="AJ6" i="7" s="1"/>
  <c r="AJ12" i="7" s="1"/>
  <c r="AS8" i="3"/>
  <c r="AM5" i="3"/>
  <c r="AL5" i="3"/>
  <c r="AL5" i="6"/>
  <c r="AO18" i="8"/>
  <c r="AM30" i="8"/>
  <c r="AM34" i="8" s="1"/>
  <c r="AS5" i="8"/>
  <c r="AU5" i="8" s="1"/>
  <c r="AQ16" i="8"/>
  <c r="AJ7" i="4"/>
  <c r="AI12" i="4"/>
  <c r="AI16" i="4" s="1"/>
  <c r="AJ9" i="4"/>
  <c r="AK5" i="4"/>
  <c r="AJ6" i="3"/>
  <c r="AL6" i="3"/>
  <c r="AI14" i="3"/>
  <c r="AJ9" i="3"/>
  <c r="F12" i="7"/>
  <c r="AI36" i="1" l="1"/>
  <c r="AV6" i="4"/>
  <c r="AK36" i="1" s="1"/>
  <c r="AU16" i="8"/>
  <c r="AW5" i="8"/>
  <c r="AT8" i="3"/>
  <c r="AU8" i="3" s="1"/>
  <c r="AL5" i="4"/>
  <c r="AL7" i="4" s="1"/>
  <c r="AM5" i="4"/>
  <c r="AS16" i="8"/>
  <c r="AK10" i="7"/>
  <c r="AL8" i="7"/>
  <c r="AL10" i="7" s="1"/>
  <c r="AQ18" i="8"/>
  <c r="AO30" i="8"/>
  <c r="AN5" i="3"/>
  <c r="AN6" i="3" s="1"/>
  <c r="AK5" i="7"/>
  <c r="AL6" i="5"/>
  <c r="AL18" i="5" s="1"/>
  <c r="AM5" i="5"/>
  <c r="AM6" i="5" s="1"/>
  <c r="AM18" i="5" s="1"/>
  <c r="AN16" i="5"/>
  <c r="AO14" i="5"/>
  <c r="AO16" i="5" s="1"/>
  <c r="AM5" i="6"/>
  <c r="AL7" i="6"/>
  <c r="AI10" i="6"/>
  <c r="AI12" i="6" s="1"/>
  <c r="AJ9" i="6"/>
  <c r="AJ10" i="6" s="1"/>
  <c r="AJ12" i="6" s="1"/>
  <c r="AN12" i="5"/>
  <c r="AO8" i="5"/>
  <c r="AO12" i="5" s="1"/>
  <c r="AJ12" i="4"/>
  <c r="AJ16" i="4" s="1"/>
  <c r="AK7" i="4"/>
  <c r="AK9" i="4"/>
  <c r="AL9" i="3"/>
  <c r="AL10" i="3" s="1"/>
  <c r="AL14" i="3" s="1"/>
  <c r="AJ10" i="3"/>
  <c r="AJ14" i="3"/>
  <c r="AM6" i="3"/>
  <c r="AO5" i="3" l="1"/>
  <c r="AW6" i="4"/>
  <c r="AL36" i="1"/>
  <c r="AN36" i="1" s="1"/>
  <c r="AV8" i="3"/>
  <c r="AM36" i="1"/>
  <c r="AX6" i="4"/>
  <c r="AW16" i="8"/>
  <c r="AY5" i="8"/>
  <c r="AP8" i="5"/>
  <c r="AM8" i="7"/>
  <c r="AL9" i="4"/>
  <c r="AL12" i="4" s="1"/>
  <c r="AL16" i="4" s="1"/>
  <c r="AK12" i="4"/>
  <c r="AK16" i="4" s="1"/>
  <c r="AK9" i="6"/>
  <c r="AN5" i="6"/>
  <c r="AN7" i="6" s="1"/>
  <c r="AM7" i="6"/>
  <c r="AO34" i="8"/>
  <c r="AP14" i="5"/>
  <c r="AK6" i="7"/>
  <c r="AK12" i="7" s="1"/>
  <c r="AL5" i="7"/>
  <c r="AL6" i="7" s="1"/>
  <c r="AL12" i="7" s="1"/>
  <c r="AS18" i="8"/>
  <c r="AU18" i="8" s="1"/>
  <c r="AQ30" i="8"/>
  <c r="AN5" i="4"/>
  <c r="AN7" i="4" s="1"/>
  <c r="AM7" i="4"/>
  <c r="AN5" i="5"/>
  <c r="AO6" i="3"/>
  <c r="AP5" i="3"/>
  <c r="AP6" i="3" s="1"/>
  <c r="AM9" i="3"/>
  <c r="AO5" i="4" l="1"/>
  <c r="AI41" i="1"/>
  <c r="AL41" i="1" s="1"/>
  <c r="AW8" i="3"/>
  <c r="AU30" i="8"/>
  <c r="AU34" i="8" s="1"/>
  <c r="AW18" i="8"/>
  <c r="AY16" i="8"/>
  <c r="AZ5" i="8"/>
  <c r="AP5" i="4"/>
  <c r="AO7" i="4"/>
  <c r="AM5" i="7"/>
  <c r="AK10" i="6"/>
  <c r="AK12" i="6" s="1"/>
  <c r="AL9" i="6"/>
  <c r="AL10" i="6" s="1"/>
  <c r="AL12" i="6" s="1"/>
  <c r="AM10" i="7"/>
  <c r="AN8" i="7"/>
  <c r="AN10" i="7" s="1"/>
  <c r="AQ34" i="8"/>
  <c r="AM9" i="4"/>
  <c r="AQ5" i="3"/>
  <c r="AO5" i="5"/>
  <c r="AO6" i="5" s="1"/>
  <c r="AO18" i="5" s="1"/>
  <c r="AN6" i="5"/>
  <c r="AN18" i="5" s="1"/>
  <c r="AS30" i="8"/>
  <c r="AS34" i="8" s="1"/>
  <c r="AQ14" i="5"/>
  <c r="AQ16" i="5" s="1"/>
  <c r="AP16" i="5"/>
  <c r="AO5" i="6"/>
  <c r="AQ8" i="5"/>
  <c r="AP12" i="5"/>
  <c r="AM10" i="3"/>
  <c r="AM14" i="3" s="1"/>
  <c r="AN9" i="3"/>
  <c r="P12" i="7"/>
  <c r="H12" i="7"/>
  <c r="L12" i="7"/>
  <c r="J12" i="7"/>
  <c r="M12" i="7"/>
  <c r="I12" i="7"/>
  <c r="N12" i="7"/>
  <c r="Q12" i="7"/>
  <c r="O12" i="7"/>
  <c r="R12" i="7"/>
  <c r="K12" i="7"/>
  <c r="G12" i="7"/>
  <c r="AI31" i="1" l="1"/>
  <c r="AX8" i="3"/>
  <c r="AY8" i="3"/>
  <c r="AW30" i="8"/>
  <c r="AY18" i="8"/>
  <c r="AR14" i="5"/>
  <c r="AT14" i="5" s="1"/>
  <c r="AM41" i="1"/>
  <c r="AN41" i="1" s="1"/>
  <c r="AR8" i="5"/>
  <c r="AT8" i="5" s="1"/>
  <c r="AQ12" i="5"/>
  <c r="AQ6" i="3"/>
  <c r="AR5" i="3"/>
  <c r="AS5" i="3" s="1"/>
  <c r="AT5" i="3" s="1"/>
  <c r="AM9" i="6"/>
  <c r="AP7" i="4"/>
  <c r="AP5" i="6"/>
  <c r="AO7" i="6"/>
  <c r="AN9" i="4"/>
  <c r="AN12" i="4" s="1"/>
  <c r="AN16" i="4" s="1"/>
  <c r="AM12" i="4"/>
  <c r="AM16" i="4" s="1"/>
  <c r="AP5" i="5"/>
  <c r="AO8" i="7"/>
  <c r="AM6" i="7"/>
  <c r="AM12" i="7" s="1"/>
  <c r="AN5" i="7"/>
  <c r="AN6" i="7" s="1"/>
  <c r="AN12" i="7" s="1"/>
  <c r="AQ5" i="4"/>
  <c r="AO9" i="3"/>
  <c r="AN10" i="3"/>
  <c r="AN14" i="3" s="1"/>
  <c r="AR16" i="5" l="1"/>
  <c r="AR5" i="4"/>
  <c r="AR7" i="4" s="1"/>
  <c r="AM31" i="1"/>
  <c r="AZ8" i="3"/>
  <c r="AU5" i="3"/>
  <c r="AT6" i="3"/>
  <c r="AT12" i="5"/>
  <c r="AV8" i="5"/>
  <c r="AT16" i="5"/>
  <c r="AV14" i="5"/>
  <c r="AK31" i="1"/>
  <c r="AL31" i="1" s="1"/>
  <c r="AN31" i="1" s="1"/>
  <c r="AO5" i="7"/>
  <c r="AZ18" i="8"/>
  <c r="AY30" i="8"/>
  <c r="AY34" i="8" s="1"/>
  <c r="AI42" i="1"/>
  <c r="AL42" i="1" s="1"/>
  <c r="AN42" i="1" s="1"/>
  <c r="AM42" i="1"/>
  <c r="AW34" i="8"/>
  <c r="AS6" i="3"/>
  <c r="AO9" i="4"/>
  <c r="AO10" i="7"/>
  <c r="AP8" i="7"/>
  <c r="AP10" i="7" s="1"/>
  <c r="AN9" i="6"/>
  <c r="AM10" i="6"/>
  <c r="AM12" i="6" s="1"/>
  <c r="AR6" i="3"/>
  <c r="AO6" i="7"/>
  <c r="AP5" i="7"/>
  <c r="AQ5" i="5"/>
  <c r="AR5" i="5" s="1"/>
  <c r="AT5" i="5" s="1"/>
  <c r="AP6" i="5"/>
  <c r="AP18" i="5" s="1"/>
  <c r="AQ5" i="6"/>
  <c r="AS5" i="6" s="1"/>
  <c r="AP7" i="6"/>
  <c r="AQ7" i="4"/>
  <c r="AR12" i="5"/>
  <c r="AO10" i="3"/>
  <c r="AO14" i="3" s="1"/>
  <c r="AP9" i="3"/>
  <c r="AQ8" i="7" l="1"/>
  <c r="AS8" i="7" s="1"/>
  <c r="AT6" i="5"/>
  <c r="AV5" i="5"/>
  <c r="AV16" i="5"/>
  <c r="AX14" i="5"/>
  <c r="AX16" i="5" s="1"/>
  <c r="AY14" i="5"/>
  <c r="AU5" i="6"/>
  <c r="AS7" i="6"/>
  <c r="AU6" i="3"/>
  <c r="AV5" i="3"/>
  <c r="AW5" i="3" s="1"/>
  <c r="AX8" i="5"/>
  <c r="AX12" i="5" s="1"/>
  <c r="AM53" i="1" s="1"/>
  <c r="AY8" i="5"/>
  <c r="AV12" i="5"/>
  <c r="AS5" i="4"/>
  <c r="AS10" i="7"/>
  <c r="AU8" i="7"/>
  <c r="AT18" i="5"/>
  <c r="AR6" i="5"/>
  <c r="AR18" i="5" s="1"/>
  <c r="AQ10" i="7"/>
  <c r="AQ7" i="6"/>
  <c r="AQ6" i="5"/>
  <c r="AQ18" i="5" s="1"/>
  <c r="AZ18" i="5" s="1"/>
  <c r="AK55" i="1"/>
  <c r="AQ5" i="7"/>
  <c r="AS5" i="7" s="1"/>
  <c r="AP6" i="7"/>
  <c r="AO12" i="4"/>
  <c r="AO16" i="4" s="1"/>
  <c r="AP9" i="4"/>
  <c r="AO12" i="7"/>
  <c r="AO9" i="6"/>
  <c r="AN10" i="6"/>
  <c r="AN12" i="6" s="1"/>
  <c r="AP10" i="3"/>
  <c r="AP14" i="3" s="1"/>
  <c r="AQ9" i="3"/>
  <c r="AS7" i="4" l="1"/>
  <c r="AT5" i="4"/>
  <c r="AU5" i="4" s="1"/>
  <c r="AW6" i="3"/>
  <c r="AI30" i="1" s="1"/>
  <c r="AV6" i="3"/>
  <c r="AW5" i="6"/>
  <c r="AU7" i="6"/>
  <c r="AI54" i="1"/>
  <c r="AL54" i="1" s="1"/>
  <c r="AM54" i="1"/>
  <c r="AS6" i="7"/>
  <c r="AU5" i="7"/>
  <c r="AW8" i="7"/>
  <c r="AW10" i="7" s="1"/>
  <c r="AM48" i="1" s="1"/>
  <c r="AX8" i="7"/>
  <c r="AU10" i="7"/>
  <c r="AI53" i="1"/>
  <c r="AL53" i="1" s="1"/>
  <c r="AN53" i="1" s="1"/>
  <c r="AX5" i="3"/>
  <c r="AX6" i="3" s="1"/>
  <c r="AX5" i="5"/>
  <c r="AX6" i="5" s="1"/>
  <c r="AX18" i="5" s="1"/>
  <c r="AY5" i="5"/>
  <c r="AV6" i="5"/>
  <c r="AS12" i="7"/>
  <c r="AP9" i="6"/>
  <c r="AP10" i="6" s="1"/>
  <c r="AO10" i="6"/>
  <c r="AP12" i="7"/>
  <c r="AY12" i="7" s="1"/>
  <c r="AQ9" i="4"/>
  <c r="AR9" i="4" s="1"/>
  <c r="AP12" i="4"/>
  <c r="AP16" i="4" s="1"/>
  <c r="AQ6" i="7"/>
  <c r="AR9" i="3"/>
  <c r="AQ10" i="3"/>
  <c r="AQ14" i="3" s="1"/>
  <c r="AY5" i="3" l="1"/>
  <c r="AI35" i="1"/>
  <c r="AV5" i="4"/>
  <c r="AI52" i="1"/>
  <c r="AM52" i="1"/>
  <c r="AM55" i="1" s="1"/>
  <c r="AN54" i="1"/>
  <c r="AS9" i="4"/>
  <c r="AR12" i="4"/>
  <c r="AR16" i="4" s="1"/>
  <c r="AV18" i="5"/>
  <c r="AU6" i="7"/>
  <c r="AI47" i="1" s="1"/>
  <c r="AL47" i="1" s="1"/>
  <c r="AW5" i="7"/>
  <c r="AI49" i="1"/>
  <c r="AL49" i="1" s="1"/>
  <c r="AN49" i="1" s="1"/>
  <c r="AM49" i="1"/>
  <c r="AQ9" i="6"/>
  <c r="AR9" i="6" s="1"/>
  <c r="AK30" i="1"/>
  <c r="AL30" i="1" s="1"/>
  <c r="AU12" i="7"/>
  <c r="AI48" i="1"/>
  <c r="AL48" i="1" s="1"/>
  <c r="AN48" i="1" s="1"/>
  <c r="AW7" i="6"/>
  <c r="AX5" i="6"/>
  <c r="AZ5" i="3"/>
  <c r="AY6" i="3"/>
  <c r="AO12" i="6"/>
  <c r="AR10" i="3"/>
  <c r="AR14" i="3" s="1"/>
  <c r="AQ12" i="7"/>
  <c r="AS9" i="3"/>
  <c r="AT9" i="3" s="1"/>
  <c r="AQ12" i="4"/>
  <c r="AQ16" i="4" s="1"/>
  <c r="AP12" i="6"/>
  <c r="AQ10" i="6" l="1"/>
  <c r="AU9" i="3"/>
  <c r="AT10" i="3"/>
  <c r="AT14" i="3" s="1"/>
  <c r="AI55" i="1"/>
  <c r="AL52" i="1"/>
  <c r="AM30" i="1"/>
  <c r="AN30" i="1" s="1"/>
  <c r="AS9" i="6"/>
  <c r="AR10" i="6"/>
  <c r="AR12" i="6" s="1"/>
  <c r="AX5" i="7"/>
  <c r="AW6" i="7"/>
  <c r="AM47" i="1" s="1"/>
  <c r="AN47" i="1" s="1"/>
  <c r="AT9" i="4"/>
  <c r="AT12" i="4" s="1"/>
  <c r="AS12" i="4"/>
  <c r="AS16" i="4" s="1"/>
  <c r="AW5" i="4"/>
  <c r="AK35" i="1"/>
  <c r="AV7" i="4"/>
  <c r="AL35" i="1"/>
  <c r="AQ12" i="6"/>
  <c r="AS10" i="3"/>
  <c r="AS14" i="3" s="1"/>
  <c r="AS10" i="6" l="1"/>
  <c r="AS12" i="6" s="1"/>
  <c r="AT9" i="6"/>
  <c r="AT10" i="6" s="1"/>
  <c r="AT12" i="6" s="1"/>
  <c r="AV9" i="3"/>
  <c r="AV10" i="3" s="1"/>
  <c r="AV14" i="3" s="1"/>
  <c r="AU10" i="3"/>
  <c r="AU14" i="3" s="1"/>
  <c r="AM35" i="1"/>
  <c r="AN35" i="1" s="1"/>
  <c r="AW7" i="4"/>
  <c r="AX5" i="4"/>
  <c r="AU9" i="4"/>
  <c r="AL55" i="1"/>
  <c r="AN52" i="1"/>
  <c r="AN55" i="1" s="1"/>
  <c r="AO55" i="1" s="1"/>
  <c r="AW9" i="3" l="1"/>
  <c r="AU9" i="6"/>
  <c r="AI37" i="1"/>
  <c r="AV9" i="4"/>
  <c r="AU12" i="4"/>
  <c r="AI32" i="1"/>
  <c r="AX9" i="3"/>
  <c r="AY9" i="3" s="1"/>
  <c r="AW10" i="3"/>
  <c r="AW14" i="3" s="1"/>
  <c r="AT7" i="4"/>
  <c r="AT16" i="4"/>
  <c r="AU7" i="4"/>
  <c r="AU16" i="4" l="1"/>
  <c r="AM32" i="1"/>
  <c r="AM34" i="1" s="1"/>
  <c r="AZ9" i="3"/>
  <c r="AY10" i="3"/>
  <c r="AY14" i="3" s="1"/>
  <c r="AW9" i="4"/>
  <c r="AK37" i="1"/>
  <c r="AK40" i="1" s="1"/>
  <c r="AV12" i="4"/>
  <c r="AV16" i="4" s="1"/>
  <c r="AI40" i="1"/>
  <c r="AK32" i="1"/>
  <c r="AK34" i="1" s="1"/>
  <c r="AX10" i="3"/>
  <c r="AX14" i="3" s="1"/>
  <c r="AI34" i="1"/>
  <c r="AU10" i="6"/>
  <c r="AV9" i="6"/>
  <c r="AU12" i="6" l="1"/>
  <c r="AI50" i="1"/>
  <c r="AL32" i="1"/>
  <c r="AX9" i="4"/>
  <c r="AM37" i="1"/>
  <c r="AM40" i="1" s="1"/>
  <c r="AW12" i="4"/>
  <c r="AW16" i="4" s="1"/>
  <c r="AL37" i="1"/>
  <c r="AW9" i="6"/>
  <c r="AV10" i="6"/>
  <c r="AK50" i="1" l="1"/>
  <c r="AK51" i="1" s="1"/>
  <c r="AK63" i="1" s="1"/>
  <c r="AV12" i="6"/>
  <c r="AN32" i="1"/>
  <c r="AN34" i="1" s="1"/>
  <c r="AO34" i="1" s="1"/>
  <c r="AL34" i="1"/>
  <c r="AX9" i="6"/>
  <c r="AW10" i="6"/>
  <c r="AL50" i="1"/>
  <c r="AI51" i="1"/>
  <c r="AI63" i="1" s="1"/>
  <c r="AL40" i="1"/>
  <c r="AN37" i="1"/>
  <c r="AN40" i="1" s="1"/>
  <c r="AO40" i="1" s="1"/>
  <c r="AL64" i="1" l="1"/>
  <c r="AL51" i="1"/>
  <c r="AL63" i="1" s="1"/>
  <c r="AM50" i="1"/>
  <c r="AM51" i="1" s="1"/>
  <c r="AM63" i="1" s="1"/>
  <c r="AW12" i="6"/>
  <c r="AN50" i="1" l="1"/>
  <c r="AN51" i="1" s="1"/>
  <c r="AO51" i="1" l="1"/>
  <c r="AO66" i="1" s="1"/>
  <c r="AN65" i="1"/>
</calcChain>
</file>

<file path=xl/sharedStrings.xml><?xml version="1.0" encoding="utf-8"?>
<sst xmlns="http://schemas.openxmlformats.org/spreadsheetml/2006/main" count="1624" uniqueCount="263">
  <si>
    <t>Land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</si>
  <si>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</si>
  <si>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</si>
  <si>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</si>
  <si>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</si>
  <si>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</si>
  <si>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</si>
  <si>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</si>
  <si>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</si>
  <si>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</si>
  <si>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</si>
  <si>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</si>
  <si>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</si>
  <si>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Total</t>
  </si>
  <si>
    <t>Sl.</t>
  </si>
  <si>
    <t>Value</t>
  </si>
  <si>
    <t>No.</t>
  </si>
  <si>
    <t xml:space="preserve">Fixed </t>
  </si>
  <si>
    <t>Assets</t>
  </si>
  <si>
    <t xml:space="preserve">Useful </t>
  </si>
  <si>
    <t xml:space="preserve">Date of </t>
  </si>
  <si>
    <t>Addition</t>
  </si>
  <si>
    <t>Depreciation</t>
  </si>
  <si>
    <t>Original</t>
  </si>
  <si>
    <t xml:space="preserve">5% of </t>
  </si>
  <si>
    <t>F.A.</t>
  </si>
  <si>
    <t>ASSETS WISE FIXED ASSETS RE-STRUCTURES OF LAND &amp; SITE DEVELOPMENT</t>
  </si>
  <si>
    <t>24.07.2002</t>
  </si>
  <si>
    <t>Lives (Years)</t>
  </si>
  <si>
    <t>Site Development</t>
  </si>
  <si>
    <t>Site Development-II</t>
  </si>
  <si>
    <t>Nil</t>
  </si>
  <si>
    <t>01.07.2005</t>
  </si>
  <si>
    <t>20.06.2008</t>
  </si>
  <si>
    <t>Rate of</t>
  </si>
  <si>
    <t>Dep.</t>
  </si>
  <si>
    <t>WDV</t>
  </si>
  <si>
    <t>on 01/04/14</t>
  </si>
  <si>
    <t>Sub Total:-</t>
  </si>
  <si>
    <t>TOTAL:-</t>
  </si>
  <si>
    <t>ASSETS WISE FIXED ASSETS RE-STRUCTURES OF NON FACTORY BUILDINGS</t>
  </si>
  <si>
    <t>Boundry Wall</t>
  </si>
  <si>
    <t>Staff Quarter</t>
  </si>
  <si>
    <t>Staff Quarter-II</t>
  </si>
  <si>
    <t>Non Factory Building</t>
  </si>
  <si>
    <t>Land &amp; Site Development</t>
  </si>
  <si>
    <t>Factory Building</t>
  </si>
  <si>
    <t>Factory Building-II</t>
  </si>
  <si>
    <t>Structural</t>
  </si>
  <si>
    <t>Structural-II</t>
  </si>
  <si>
    <t xml:space="preserve"> Factory Building</t>
  </si>
  <si>
    <t>ASSETS WISE FIXED ASSETS RE-STRUCTURES OF FACTORY BUILDINGS</t>
  </si>
  <si>
    <t xml:space="preserve">No. of </t>
  </si>
  <si>
    <t>Years Left</t>
  </si>
  <si>
    <t>Depreciation in</t>
  </si>
  <si>
    <t>Future Years</t>
  </si>
  <si>
    <t>ASSETS WISE FIXED ASSETS RE-STRUCTURES OF POLLUTION CONTROL EQUIPMENTS</t>
  </si>
  <si>
    <t>Pollution Control Equipments</t>
  </si>
  <si>
    <t>Venturi</t>
  </si>
  <si>
    <t>ESP-I</t>
  </si>
  <si>
    <t>ESP-II</t>
  </si>
  <si>
    <t>ASSETS WISE FIXED ASSETS RE-STRUCTURES OF WEIGH BRIDGE</t>
  </si>
  <si>
    <t>Weigh Bridge</t>
  </si>
  <si>
    <t>Weigh Bridge-II</t>
  </si>
  <si>
    <t>Material lost by fire</t>
  </si>
  <si>
    <t>ASSETS WISE FIXED ASSETS RE-STRUCTURES OF MATERIALS HANDLING EQUIPMENTS</t>
  </si>
  <si>
    <t>Material Handling Equip.-II</t>
  </si>
  <si>
    <t>Material Handling Equip.</t>
  </si>
  <si>
    <t>Material Handling Equipments</t>
  </si>
  <si>
    <t>Plant &amp; Machineries</t>
  </si>
  <si>
    <t>ASSETS WISE FIXED ASSETS RE-STRUCTURES OF PLANT &amp; MACHINERIES</t>
  </si>
  <si>
    <t>Plant &amp; Machineries-II</t>
  </si>
  <si>
    <t>16.08.2003</t>
  </si>
  <si>
    <t>ASSETS WISE FIXED ASSETS RE-STRUCTURES OF LAB EQUIPMENTS</t>
  </si>
  <si>
    <t>Lab Equipments</t>
  </si>
  <si>
    <t>ASSETS WISE FIXED ASSETS RE-STRUCTURES OF GENERATOR</t>
  </si>
  <si>
    <t>Generator</t>
  </si>
  <si>
    <t xml:space="preserve">ASSETS WISE FIXED ASSETS RE-STRUCTURES OF ELECTRICAL INSTALLATION </t>
  </si>
  <si>
    <t>Electrical Installation</t>
  </si>
  <si>
    <t>Electrical Installation-II</t>
  </si>
  <si>
    <t>ASSETS WISE FIXED ASSETS RE-STRUCTURES OF FURNITURE &amp; FIXTURE</t>
  </si>
  <si>
    <t>Furniture &amp; Fixture</t>
  </si>
  <si>
    <t>ASSETS WISE FIXED ASSETS RE-STRUCTURES OF OFFICE EQUIPMENTS</t>
  </si>
  <si>
    <t>Office Equipments</t>
  </si>
  <si>
    <t>ASSETS WISE FIXED ASSETS RE-STRUCTURES OF COMPUTER</t>
  </si>
  <si>
    <t>Computer</t>
  </si>
  <si>
    <t>01.04.2002</t>
  </si>
  <si>
    <t>13.06.2003</t>
  </si>
  <si>
    <t>31.03.2004</t>
  </si>
  <si>
    <t>30.09.2004</t>
  </si>
  <si>
    <t>24.04.2005</t>
  </si>
  <si>
    <t>16.07.2007</t>
  </si>
  <si>
    <t>24.03.2008</t>
  </si>
  <si>
    <t>09.07.2009</t>
  </si>
  <si>
    <t>03.11.2009</t>
  </si>
  <si>
    <t>31.03.2011</t>
  </si>
  <si>
    <t>ASSETS WISE FIXED ASSETS RE-STRUCTURES OF VEHICLE</t>
  </si>
  <si>
    <t>Scooter</t>
  </si>
  <si>
    <t>Motor Cycle</t>
  </si>
  <si>
    <t>Motor Car</t>
  </si>
  <si>
    <t>Motor Cycle 2 nos.</t>
  </si>
  <si>
    <t>Vehicles</t>
  </si>
  <si>
    <t>Innova Car</t>
  </si>
  <si>
    <t>No. of</t>
  </si>
  <si>
    <t>Years</t>
  </si>
  <si>
    <t>11/251</t>
  </si>
  <si>
    <t>11/22</t>
  </si>
  <si>
    <t>10/328</t>
  </si>
  <si>
    <t>10/353</t>
  </si>
  <si>
    <t>10/245</t>
  </si>
  <si>
    <t>10/229</t>
  </si>
  <si>
    <t>10/192</t>
  </si>
  <si>
    <t>10/161</t>
  </si>
  <si>
    <t>10/123</t>
  </si>
  <si>
    <t>10/92</t>
  </si>
  <si>
    <t>10/42</t>
  </si>
  <si>
    <t>11/16</t>
  </si>
  <si>
    <t>10/170</t>
  </si>
  <si>
    <t>11/365</t>
  </si>
  <si>
    <t>10/292</t>
  </si>
  <si>
    <t>0</t>
  </si>
  <si>
    <t>10/293</t>
  </si>
  <si>
    <t>10/228</t>
  </si>
  <si>
    <t>10/360</t>
  </si>
  <si>
    <t>10/26</t>
  </si>
  <si>
    <t>10/306</t>
  </si>
  <si>
    <t>9/219</t>
  </si>
  <si>
    <t>9/130</t>
  </si>
  <si>
    <t>9/1</t>
  </si>
  <si>
    <t>9/364</t>
  </si>
  <si>
    <t>9/90</t>
  </si>
  <si>
    <t>9/195</t>
  </si>
  <si>
    <t>9/365</t>
  </si>
  <si>
    <t>9/183</t>
  </si>
  <si>
    <t>9/304</t>
  </si>
  <si>
    <t>9/265</t>
  </si>
  <si>
    <t>8/213</t>
  </si>
  <si>
    <t>8/178</t>
  </si>
  <si>
    <t>8/60</t>
  </si>
  <si>
    <t>9/91</t>
  </si>
  <si>
    <t>8/32</t>
  </si>
  <si>
    <t>8/336</t>
  </si>
  <si>
    <t>8/342</t>
  </si>
  <si>
    <t>8/254</t>
  </si>
  <si>
    <t>7/122</t>
  </si>
  <si>
    <t>6/145</t>
  </si>
  <si>
    <t>6/260</t>
  </si>
  <si>
    <t>6/8</t>
  </si>
  <si>
    <t>6/229</t>
  </si>
  <si>
    <t>6/213</t>
  </si>
  <si>
    <t>6/60</t>
  </si>
  <si>
    <t>6/336</t>
  </si>
  <si>
    <t>6/152</t>
  </si>
  <si>
    <t>5/212</t>
  </si>
  <si>
    <t>5/72</t>
  </si>
  <si>
    <t>5/304</t>
  </si>
  <si>
    <t>5/90</t>
  </si>
  <si>
    <t>5/335</t>
  </si>
  <si>
    <t>4/268</t>
  </si>
  <si>
    <t>4/149</t>
  </si>
  <si>
    <t>4/151</t>
  </si>
  <si>
    <t>4/244</t>
  </si>
  <si>
    <t>4/329</t>
  </si>
  <si>
    <t>2/172</t>
  </si>
  <si>
    <t>1/304</t>
  </si>
  <si>
    <t>4/233</t>
  </si>
  <si>
    <t>4/220</t>
  </si>
  <si>
    <t>99</t>
  </si>
  <si>
    <t>3/1</t>
  </si>
  <si>
    <t>FY 2014-15</t>
  </si>
  <si>
    <t xml:space="preserve">rate of </t>
  </si>
  <si>
    <t>Depr</t>
  </si>
  <si>
    <t>213</t>
  </si>
  <si>
    <t>178</t>
  </si>
  <si>
    <t>229</t>
  </si>
  <si>
    <t>60</t>
  </si>
  <si>
    <t>304</t>
  </si>
  <si>
    <t>90</t>
  </si>
  <si>
    <t>151</t>
  </si>
  <si>
    <t>22</t>
  </si>
  <si>
    <t>Charged in</t>
  </si>
  <si>
    <t>earlier PL A/C</t>
  </si>
  <si>
    <t>336</t>
  </si>
  <si>
    <t>Charged to PL of earlier year</t>
  </si>
  <si>
    <t>SLM</t>
  </si>
  <si>
    <t>Dep</t>
  </si>
  <si>
    <t>251</t>
  </si>
  <si>
    <t>Site Dev</t>
  </si>
  <si>
    <t xml:space="preserve">Arrear </t>
  </si>
  <si>
    <t>31.03.15</t>
  </si>
  <si>
    <t>Arrear</t>
  </si>
  <si>
    <t>Days</t>
  </si>
  <si>
    <t>Used</t>
  </si>
  <si>
    <t>Left</t>
  </si>
  <si>
    <t>Rate</t>
  </si>
  <si>
    <t>2014-15</t>
  </si>
  <si>
    <t>2105-16</t>
  </si>
  <si>
    <t>31.03.16</t>
  </si>
  <si>
    <t>2106-17</t>
  </si>
  <si>
    <t>31.03.17</t>
  </si>
  <si>
    <t>2016-17</t>
  </si>
  <si>
    <t>2015-16</t>
  </si>
  <si>
    <t>21.01.2017</t>
  </si>
  <si>
    <t>OP WDV</t>
  </si>
  <si>
    <t>ADDITION</t>
  </si>
  <si>
    <t>C Y Dep</t>
  </si>
  <si>
    <t>CL WDV</t>
  </si>
  <si>
    <t>Site Dev-II</t>
  </si>
  <si>
    <t>MAITHAN STEEL &amp; POWER LTD.-UNIT-I-DEPRECIATION</t>
  </si>
  <si>
    <t>DEPRECIATION CALCULATION OF INNOVA CAR AS ON 31/03/2018</t>
  </si>
  <si>
    <t>Dep. in</t>
  </si>
  <si>
    <t>2017-18</t>
  </si>
  <si>
    <t>31.03.18</t>
  </si>
  <si>
    <t>Rate of Depreciation Formula: =1-power((0.05*1609379)/1609379,1/8)</t>
  </si>
  <si>
    <t>17.11.2017</t>
  </si>
  <si>
    <t>Office Building</t>
  </si>
  <si>
    <t>Coal Shed</t>
  </si>
  <si>
    <t>Mercedes-Benz</t>
  </si>
  <si>
    <t>12.06.2018</t>
  </si>
  <si>
    <t>2018-19</t>
  </si>
  <si>
    <t>31.03.19</t>
  </si>
  <si>
    <t>15.02.2019</t>
  </si>
  <si>
    <t>Chk</t>
  </si>
  <si>
    <t>chk</t>
  </si>
  <si>
    <t>ckhk</t>
  </si>
  <si>
    <t>11.06.2019</t>
  </si>
  <si>
    <t>2019-20</t>
  </si>
  <si>
    <t>31.03.20</t>
  </si>
  <si>
    <t>16.12.2019</t>
  </si>
  <si>
    <t>11.02.2020</t>
  </si>
  <si>
    <t>2020-21</t>
  </si>
  <si>
    <t>31.03.21</t>
  </si>
  <si>
    <t>30.09.2020</t>
  </si>
  <si>
    <t>FY 2020-21</t>
  </si>
  <si>
    <t>31.03.22</t>
  </si>
  <si>
    <t>2021-22</t>
  </si>
  <si>
    <t>CHECK</t>
  </si>
  <si>
    <t>Sold</t>
  </si>
  <si>
    <t>21-22</t>
  </si>
  <si>
    <t>31.03.23</t>
  </si>
  <si>
    <t>2022-23</t>
  </si>
  <si>
    <t>Hero HF Delux- WB-82E/8867</t>
  </si>
  <si>
    <t>Refrigerator</t>
  </si>
  <si>
    <t>Spilt Air Conditionar 1.50 Ton</t>
  </si>
  <si>
    <t>2 Nos. Spilt Air Conditionar 1.50 Ton</t>
  </si>
  <si>
    <t>CC TV Camara</t>
  </si>
  <si>
    <t>RO Water Treatment Plant 1000 LPH</t>
  </si>
  <si>
    <t>RO Water Treatment Plant 500 LPH</t>
  </si>
  <si>
    <t>LED TV 32 Inch</t>
  </si>
  <si>
    <t>Desktop PC</t>
  </si>
  <si>
    <t>Desktop PC 2 Nos.</t>
  </si>
  <si>
    <t>Printer 1 No.</t>
  </si>
  <si>
    <t>Laptop 2 &amp; Desktop 1 No</t>
  </si>
  <si>
    <t>Laptop 2 Nos.</t>
  </si>
  <si>
    <t>Laptop 1 No.</t>
  </si>
  <si>
    <t>F.Y. 2022-23</t>
  </si>
  <si>
    <t>CWIP</t>
  </si>
  <si>
    <t>River Water Pipeline</t>
  </si>
  <si>
    <t>New Project (DRI)</t>
  </si>
  <si>
    <t>New Project (CPP)</t>
  </si>
  <si>
    <t>New Project (Ferro Alloys)</t>
  </si>
  <si>
    <t>Capital Work in Progress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</si>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</sst>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[$-409]dd\-mmm\-yy;@"/>
    <numFmt numFmtId="167" formatCode="[$-409]d\-mmm\-yy;@"/>
    <numFmt numFmtId="168" formatCode="_(* #,##0.0_);_(* \(#,##0.0\);_(* &quot;-&quot;??_);_(@_)"/>
    <numFmt numFmtId="169" formatCode="_(* #,##0.000000_);_(* \(#,##0.000000\);_(* &quot;-&quot;??_);_(@_)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rgb="FFFF0000"/>
      <name val="Times New Roman"/>
      <family val="2"/>
    </font>
    <font>
      <b/>
      <sz val="12"/>
      <color indexed="8"/>
      <name val="Times New Roman"/>
      <family val="1"/>
    </font>
    <font>
      <sz val="12"/>
      <name val="Times New Roman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Times New Roman"/>
      <family val="2"/>
    </font>
    <font>
      <u val="singleAccounting"/>
      <sz val="12"/>
      <name val="Times New Roman"/>
      <family val="2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164" fontId="0" fillId="0" borderId="0" xfId="1" applyFont="1"/>
    <xf numFmtId="165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0" fontId="0" fillId="0" borderId="4" xfId="0" applyBorder="1"/>
    <xf numFmtId="165" fontId="2" fillId="0" borderId="4" xfId="1" applyNumberFormat="1" applyFont="1" applyBorder="1"/>
    <xf numFmtId="0" fontId="3" fillId="0" borderId="0" xfId="0" applyFont="1" applyAlignment="1">
      <alignment horizontal="center"/>
    </xf>
    <xf numFmtId="0" fontId="0" fillId="0" borderId="5" xfId="0" applyBorder="1"/>
    <xf numFmtId="165" fontId="2" fillId="0" borderId="5" xfId="1" applyNumberFormat="1" applyFont="1" applyBorder="1"/>
    <xf numFmtId="9" fontId="0" fillId="0" borderId="0" xfId="2" applyFont="1" applyAlignment="1">
      <alignment horizontal="center"/>
    </xf>
    <xf numFmtId="9" fontId="0" fillId="0" borderId="0" xfId="0" applyNumberFormat="1" applyAlignment="1">
      <alignment horizontal="center"/>
    </xf>
    <xf numFmtId="165" fontId="2" fillId="0" borderId="5" xfId="0" applyNumberFormat="1" applyFont="1" applyBorder="1"/>
    <xf numFmtId="165" fontId="2" fillId="0" borderId="4" xfId="0" applyNumberFormat="1" applyFont="1" applyBorder="1"/>
    <xf numFmtId="10" fontId="0" fillId="0" borderId="0" xfId="2" applyNumberFormat="1" applyFont="1" applyAlignment="1">
      <alignment horizontal="center"/>
    </xf>
    <xf numFmtId="165" fontId="2" fillId="0" borderId="0" xfId="1" applyNumberFormat="1" applyFont="1" applyBorder="1"/>
    <xf numFmtId="165" fontId="3" fillId="0" borderId="0" xfId="1" applyNumberFormat="1" applyFont="1" applyBorder="1"/>
    <xf numFmtId="10" fontId="2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/>
    <xf numFmtId="165" fontId="0" fillId="0" borderId="0" xfId="1" applyNumberFormat="1" applyFont="1" applyFill="1"/>
    <xf numFmtId="165" fontId="2" fillId="2" borderId="4" xfId="1" applyNumberFormat="1" applyFont="1" applyFill="1" applyBorder="1"/>
    <xf numFmtId="165" fontId="2" fillId="2" borderId="5" xfId="1" applyNumberFormat="1" applyFont="1" applyFill="1" applyBorder="1"/>
    <xf numFmtId="165" fontId="2" fillId="0" borderId="4" xfId="1" applyNumberFormat="1" applyFont="1" applyFill="1" applyBorder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/>
    <xf numFmtId="49" fontId="0" fillId="0" borderId="0" xfId="0" applyNumberFormat="1"/>
    <xf numFmtId="49" fontId="2" fillId="0" borderId="4" xfId="1" applyNumberFormat="1" applyFont="1" applyBorder="1"/>
    <xf numFmtId="49" fontId="2" fillId="0" borderId="5" xfId="1" applyNumberFormat="1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4" xfId="1" applyNumberFormat="1" applyFont="1" applyBorder="1" applyAlignment="1">
      <alignment horizontal="center"/>
    </xf>
    <xf numFmtId="49" fontId="2" fillId="0" borderId="5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0" fillId="0" borderId="0" xfId="1" applyNumberFormat="1" applyFont="1"/>
    <xf numFmtId="166" fontId="2" fillId="0" borderId="4" xfId="1" applyNumberFormat="1" applyFont="1" applyBorder="1"/>
    <xf numFmtId="166" fontId="0" fillId="0" borderId="0" xfId="0" applyNumberFormat="1"/>
    <xf numFmtId="166" fontId="2" fillId="0" borderId="5" xfId="1" applyNumberFormat="1" applyFont="1" applyBorder="1"/>
    <xf numFmtId="0" fontId="2" fillId="0" borderId="6" xfId="0" applyFont="1" applyBorder="1" applyAlignment="1">
      <alignment horizontal="center"/>
    </xf>
    <xf numFmtId="165" fontId="6" fillId="0" borderId="0" xfId="1" applyNumberFormat="1" applyFont="1"/>
    <xf numFmtId="165" fontId="6" fillId="0" borderId="0" xfId="0" applyNumberFormat="1" applyFont="1"/>
    <xf numFmtId="0" fontId="2" fillId="0" borderId="7" xfId="0" applyFont="1" applyBorder="1" applyAlignment="1">
      <alignment horizontal="center"/>
    </xf>
    <xf numFmtId="167" fontId="0" fillId="0" borderId="0" xfId="0" applyNumberFormat="1" applyAlignment="1">
      <alignment horizontal="center"/>
    </xf>
    <xf numFmtId="164" fontId="1" fillId="0" borderId="0" xfId="1" applyFont="1"/>
    <xf numFmtId="14" fontId="0" fillId="0" borderId="0" xfId="0" applyNumberFormat="1" applyAlignment="1">
      <alignment horizontal="center"/>
    </xf>
    <xf numFmtId="1" fontId="1" fillId="0" borderId="0" xfId="1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2" fillId="0" borderId="4" xfId="1" applyFont="1" applyBorder="1"/>
    <xf numFmtId="164" fontId="2" fillId="0" borderId="5" xfId="1" applyFont="1" applyBorder="1"/>
    <xf numFmtId="164" fontId="2" fillId="0" borderId="9" xfId="1" applyFont="1" applyFill="1" applyBorder="1" applyAlignment="1">
      <alignment horizontal="center"/>
    </xf>
    <xf numFmtId="164" fontId="2" fillId="0" borderId="2" xfId="1" applyFont="1" applyFill="1" applyBorder="1" applyAlignment="1">
      <alignment horizontal="center"/>
    </xf>
    <xf numFmtId="164" fontId="2" fillId="0" borderId="11" xfId="1" applyFont="1" applyFill="1" applyBorder="1" applyAlignment="1">
      <alignment horizontal="center"/>
    </xf>
    <xf numFmtId="164" fontId="2" fillId="0" borderId="3" xfId="1" applyFont="1" applyFill="1" applyBorder="1" applyAlignment="1">
      <alignment horizontal="center"/>
    </xf>
    <xf numFmtId="164" fontId="2" fillId="0" borderId="8" xfId="1" applyFont="1" applyFill="1" applyBorder="1" applyAlignment="1">
      <alignment horizontal="center"/>
    </xf>
    <xf numFmtId="164" fontId="0" fillId="0" borderId="10" xfId="1" applyFont="1" applyBorder="1"/>
    <xf numFmtId="164" fontId="2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2" fillId="2" borderId="0" xfId="1" applyNumberFormat="1" applyFont="1" applyFill="1" applyBorder="1"/>
    <xf numFmtId="166" fontId="2" fillId="0" borderId="0" xfId="1" applyNumberFormat="1" applyFont="1" applyBorder="1"/>
    <xf numFmtId="164" fontId="2" fillId="0" borderId="0" xfId="1" applyFont="1" applyBorder="1"/>
    <xf numFmtId="14" fontId="3" fillId="0" borderId="12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9" fontId="0" fillId="0" borderId="0" xfId="2" applyFont="1"/>
    <xf numFmtId="165" fontId="8" fillId="0" borderId="0" xfId="0" applyNumberFormat="1" applyFont="1"/>
    <xf numFmtId="165" fontId="8" fillId="0" borderId="10" xfId="0" applyNumberFormat="1" applyFont="1" applyBorder="1"/>
    <xf numFmtId="165" fontId="4" fillId="0" borderId="0" xfId="0" applyNumberFormat="1" applyFont="1" applyAlignment="1">
      <alignment horizontal="center"/>
    </xf>
    <xf numFmtId="169" fontId="4" fillId="0" borderId="0" xfId="1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2" xfId="3" applyFont="1" applyBorder="1" applyAlignment="1">
      <alignment horizontal="center"/>
    </xf>
    <xf numFmtId="0" fontId="11" fillId="0" borderId="2" xfId="4" applyFont="1" applyBorder="1" applyAlignment="1">
      <alignment horizontal="center"/>
    </xf>
    <xf numFmtId="0" fontId="12" fillId="0" borderId="13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164" fontId="11" fillId="0" borderId="8" xfId="6" applyFont="1" applyFill="1" applyBorder="1" applyAlignment="1">
      <alignment horizontal="center"/>
    </xf>
    <xf numFmtId="0" fontId="11" fillId="0" borderId="2" xfId="7" applyFont="1" applyBorder="1" applyAlignment="1">
      <alignment horizontal="center"/>
    </xf>
    <xf numFmtId="164" fontId="11" fillId="0" borderId="9" xfId="6" applyFont="1" applyFill="1" applyBorder="1" applyAlignment="1">
      <alignment horizontal="center"/>
    </xf>
    <xf numFmtId="0" fontId="11" fillId="0" borderId="3" xfId="3" applyFont="1" applyBorder="1" applyAlignment="1">
      <alignment horizontal="center"/>
    </xf>
    <xf numFmtId="0" fontId="11" fillId="0" borderId="3" xfId="3" applyFont="1" applyBorder="1" applyAlignment="1">
      <alignment horizontal="left"/>
    </xf>
    <xf numFmtId="0" fontId="11" fillId="0" borderId="3" xfId="4" applyFont="1" applyBorder="1" applyAlignment="1">
      <alignment horizontal="center"/>
    </xf>
    <xf numFmtId="0" fontId="12" fillId="0" borderId="14" xfId="5" applyFont="1" applyBorder="1" applyAlignment="1">
      <alignment horizontal="center"/>
    </xf>
    <xf numFmtId="164" fontId="11" fillId="0" borderId="3" xfId="6" applyFont="1" applyFill="1" applyBorder="1" applyAlignment="1">
      <alignment horizontal="center"/>
    </xf>
    <xf numFmtId="164" fontId="11" fillId="0" borderId="10" xfId="6" applyFont="1" applyFill="1" applyBorder="1" applyAlignment="1">
      <alignment horizontal="center"/>
    </xf>
    <xf numFmtId="0" fontId="12" fillId="0" borderId="3" xfId="5" applyFont="1" applyBorder="1" applyAlignment="1">
      <alignment horizontal="center"/>
    </xf>
    <xf numFmtId="164" fontId="11" fillId="0" borderId="11" xfId="6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8" applyFont="1" applyBorder="1" applyAlignment="1">
      <alignment vertical="center"/>
    </xf>
    <xf numFmtId="0" fontId="10" fillId="0" borderId="1" xfId="8" applyFont="1" applyBorder="1" applyAlignment="1">
      <alignment horizontal="center" vertical="center"/>
    </xf>
    <xf numFmtId="14" fontId="10" fillId="0" borderId="1" xfId="8" applyNumberFormat="1" applyFont="1" applyBorder="1" applyAlignment="1">
      <alignment horizontal="center" vertical="center"/>
    </xf>
    <xf numFmtId="165" fontId="10" fillId="0" borderId="1" xfId="9" applyNumberFormat="1" applyFont="1" applyBorder="1" applyAlignment="1">
      <alignment vertical="center"/>
    </xf>
    <xf numFmtId="165" fontId="10" fillId="0" borderId="1" xfId="10" applyNumberFormat="1" applyFont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165" fontId="10" fillId="0" borderId="1" xfId="11" applyNumberFormat="1" applyFont="1" applyBorder="1" applyAlignment="1">
      <alignment vertical="center"/>
    </xf>
    <xf numFmtId="165" fontId="10" fillId="0" borderId="1" xfId="12" applyNumberFormat="1" applyFont="1" applyBorder="1" applyAlignment="1">
      <alignment vertical="center"/>
    </xf>
    <xf numFmtId="165" fontId="10" fillId="0" borderId="1" xfId="13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164" fontId="10" fillId="0" borderId="0" xfId="0" applyNumberFormat="1" applyFont="1"/>
    <xf numFmtId="164" fontId="10" fillId="0" borderId="0" xfId="14" applyFont="1"/>
    <xf numFmtId="0" fontId="4" fillId="0" borderId="0" xfId="0" applyFont="1"/>
    <xf numFmtId="164" fontId="0" fillId="0" borderId="0" xfId="1" applyFont="1" applyBorder="1"/>
    <xf numFmtId="165" fontId="0" fillId="0" borderId="0" xfId="0" applyNumberFormat="1" applyAlignment="1">
      <alignment horizontal="center"/>
    </xf>
    <xf numFmtId="169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168" fontId="0" fillId="0" borderId="0" xfId="0" applyNumberFormat="1"/>
    <xf numFmtId="14" fontId="0" fillId="0" borderId="0" xfId="0" applyNumberFormat="1"/>
    <xf numFmtId="164" fontId="2" fillId="0" borderId="5" xfId="0" applyNumberFormat="1" applyFont="1" applyBorder="1"/>
    <xf numFmtId="10" fontId="0" fillId="0" borderId="0" xfId="2" applyNumberFormat="1" applyFont="1" applyBorder="1" applyAlignment="1">
      <alignment horizontal="center"/>
    </xf>
    <xf numFmtId="165" fontId="2" fillId="0" borderId="0" xfId="0" applyNumberFormat="1" applyFont="1"/>
    <xf numFmtId="1" fontId="1" fillId="0" borderId="0" xfId="1" applyNumberFormat="1" applyFont="1" applyBorder="1" applyAlignment="1">
      <alignment horizontal="center"/>
    </xf>
    <xf numFmtId="164" fontId="1" fillId="0" borderId="0" xfId="1" applyFont="1" applyBorder="1"/>
    <xf numFmtId="165" fontId="8" fillId="0" borderId="5" xfId="0" applyNumberFormat="1" applyFont="1" applyBorder="1"/>
    <xf numFmtId="165" fontId="8" fillId="0" borderId="0" xfId="1" applyNumberFormat="1" applyFont="1"/>
    <xf numFmtId="0" fontId="8" fillId="0" borderId="0" xfId="0" applyFont="1"/>
    <xf numFmtId="164" fontId="8" fillId="0" borderId="0" xfId="1" applyFont="1"/>
    <xf numFmtId="165" fontId="8" fillId="0" borderId="0" xfId="1" applyNumberFormat="1" applyFont="1" applyBorder="1"/>
    <xf numFmtId="165" fontId="8" fillId="0" borderId="10" xfId="1" applyNumberFormat="1" applyFont="1" applyBorder="1"/>
    <xf numFmtId="165" fontId="13" fillId="0" borderId="5" xfId="0" applyNumberFormat="1" applyFont="1" applyBorder="1"/>
    <xf numFmtId="165" fontId="13" fillId="0" borderId="15" xfId="0" applyNumberFormat="1" applyFont="1" applyBorder="1"/>
    <xf numFmtId="165" fontId="13" fillId="0" borderId="16" xfId="0" applyNumberFormat="1" applyFont="1" applyBorder="1"/>
    <xf numFmtId="165" fontId="2" fillId="0" borderId="0" xfId="1" applyNumberFormat="1" applyFont="1" applyFill="1" applyBorder="1"/>
    <xf numFmtId="0" fontId="0" fillId="0" borderId="8" xfId="0" applyBorder="1"/>
    <xf numFmtId="165" fontId="0" fillId="0" borderId="8" xfId="0" applyNumberFormat="1" applyBorder="1"/>
    <xf numFmtId="168" fontId="0" fillId="0" borderId="0" xfId="1" applyNumberFormat="1" applyFont="1"/>
    <xf numFmtId="165" fontId="2" fillId="0" borderId="0" xfId="1" applyNumberFormat="1" applyFont="1"/>
    <xf numFmtId="14" fontId="6" fillId="0" borderId="0" xfId="0" applyNumberFormat="1" applyFont="1" applyAlignment="1">
      <alignment horizontal="center"/>
    </xf>
    <xf numFmtId="14" fontId="15" fillId="0" borderId="0" xfId="0" applyNumberFormat="1" applyFont="1" applyAlignment="1">
      <alignment horizontal="center"/>
    </xf>
    <xf numFmtId="0" fontId="3" fillId="0" borderId="12" xfId="0" applyFont="1" applyBorder="1"/>
    <xf numFmtId="10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5" fontId="3" fillId="0" borderId="12" xfId="1" applyNumberFormat="1" applyFont="1" applyBorder="1"/>
    <xf numFmtId="165" fontId="3" fillId="2" borderId="12" xfId="1" applyNumberFormat="1" applyFont="1" applyFill="1" applyBorder="1"/>
    <xf numFmtId="167" fontId="3" fillId="0" borderId="12" xfId="0" applyNumberFormat="1" applyFont="1" applyBorder="1" applyAlignment="1">
      <alignment horizontal="center"/>
    </xf>
    <xf numFmtId="1" fontId="3" fillId="0" borderId="12" xfId="1" applyNumberFormat="1" applyFont="1" applyBorder="1" applyAlignment="1">
      <alignment horizontal="center"/>
    </xf>
    <xf numFmtId="164" fontId="3" fillId="0" borderId="12" xfId="1" applyFont="1" applyBorder="1"/>
    <xf numFmtId="49" fontId="3" fillId="0" borderId="12" xfId="0" applyNumberFormat="1" applyFont="1" applyBorder="1" applyAlignment="1">
      <alignment horizontal="center"/>
    </xf>
    <xf numFmtId="164" fontId="3" fillId="0" borderId="12" xfId="0" applyNumberFormat="1" applyFont="1" applyBorder="1"/>
    <xf numFmtId="165" fontId="3" fillId="0" borderId="12" xfId="0" applyNumberFormat="1" applyFont="1" applyBorder="1"/>
    <xf numFmtId="0" fontId="3" fillId="0" borderId="0" xfId="0" applyFont="1"/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1" applyNumberFormat="1" applyFont="1"/>
    <xf numFmtId="14" fontId="2" fillId="0" borderId="3" xfId="1" applyNumberFormat="1" applyFont="1" applyFill="1" applyBorder="1" applyAlignment="1">
      <alignment horizontal="center"/>
    </xf>
    <xf numFmtId="164" fontId="4" fillId="0" borderId="0" xfId="1" applyFont="1" applyAlignment="1">
      <alignment horizontal="center"/>
    </xf>
    <xf numFmtId="164" fontId="13" fillId="0" borderId="5" xfId="1" applyFont="1" applyBorder="1"/>
    <xf numFmtId="164" fontId="8" fillId="0" borderId="0" xfId="1" applyFont="1" applyBorder="1"/>
    <xf numFmtId="164" fontId="8" fillId="0" borderId="10" xfId="1" applyFont="1" applyBorder="1"/>
    <xf numFmtId="164" fontId="8" fillId="0" borderId="5" xfId="1" applyFont="1" applyBorder="1"/>
    <xf numFmtId="164" fontId="13" fillId="0" borderId="15" xfId="1" applyFont="1" applyBorder="1"/>
    <xf numFmtId="164" fontId="2" fillId="0" borderId="0" xfId="1" applyFont="1" applyAlignment="1"/>
    <xf numFmtId="164" fontId="4" fillId="0" borderId="0" xfId="1" applyFont="1" applyAlignment="1"/>
    <xf numFmtId="164" fontId="8" fillId="0" borderId="0" xfId="0" applyNumberFormat="1" applyFont="1"/>
    <xf numFmtId="49" fontId="8" fillId="0" borderId="0" xfId="0" applyNumberFormat="1" applyFont="1"/>
    <xf numFmtId="0" fontId="4" fillId="0" borderId="0" xfId="0" applyFont="1" applyAlignment="1">
      <alignment horizontal="center"/>
    </xf>
    <xf numFmtId="165" fontId="0" fillId="0" borderId="4" xfId="0" applyNumberFormat="1" applyBorder="1"/>
    <xf numFmtId="0" fontId="0" fillId="3" borderId="0" xfId="0" applyFill="1" applyAlignment="1">
      <alignment horizontal="center"/>
    </xf>
    <xf numFmtId="0" fontId="0" fillId="3" borderId="0" xfId="0" applyFill="1"/>
    <xf numFmtId="10" fontId="0" fillId="3" borderId="0" xfId="2" applyNumberFormat="1" applyFont="1" applyFill="1" applyAlignment="1">
      <alignment horizontal="center"/>
    </xf>
    <xf numFmtId="14" fontId="0" fillId="3" borderId="0" xfId="0" applyNumberFormat="1" applyFill="1" applyAlignment="1">
      <alignment horizontal="center"/>
    </xf>
    <xf numFmtId="165" fontId="0" fillId="3" borderId="0" xfId="1" applyNumberFormat="1" applyFont="1" applyFill="1"/>
    <xf numFmtId="165" fontId="0" fillId="3" borderId="0" xfId="0" applyNumberFormat="1" applyFill="1"/>
    <xf numFmtId="49" fontId="0" fillId="3" borderId="0" xfId="0" applyNumberFormat="1" applyFill="1" applyAlignment="1">
      <alignment horizontal="center"/>
    </xf>
    <xf numFmtId="167" fontId="0" fillId="3" borderId="0" xfId="0" applyNumberFormat="1" applyFill="1" applyAlignment="1">
      <alignment horizontal="center"/>
    </xf>
    <xf numFmtId="1" fontId="1" fillId="3" borderId="0" xfId="1" applyNumberFormat="1" applyFont="1" applyFill="1" applyAlignment="1">
      <alignment horizontal="center"/>
    </xf>
    <xf numFmtId="164" fontId="1" fillId="3" borderId="0" xfId="1" applyFont="1" applyFill="1"/>
    <xf numFmtId="164" fontId="0" fillId="3" borderId="0" xfId="0" applyNumberFormat="1" applyFill="1"/>
    <xf numFmtId="164" fontId="0" fillId="3" borderId="0" xfId="1" applyFont="1" applyFill="1"/>
    <xf numFmtId="0" fontId="8" fillId="3" borderId="0" xfId="0" applyFont="1" applyFill="1" applyAlignment="1">
      <alignment horizontal="center"/>
    </xf>
    <xf numFmtId="0" fontId="8" fillId="3" borderId="0" xfId="0" applyFont="1" applyFill="1"/>
    <xf numFmtId="10" fontId="8" fillId="3" borderId="0" xfId="2" applyNumberFormat="1" applyFont="1" applyFill="1" applyAlignment="1">
      <alignment horizontal="center"/>
    </xf>
    <xf numFmtId="14" fontId="8" fillId="3" borderId="0" xfId="0" applyNumberFormat="1" applyFont="1" applyFill="1" applyAlignment="1">
      <alignment horizontal="center"/>
    </xf>
    <xf numFmtId="165" fontId="8" fillId="3" borderId="0" xfId="1" applyNumberFormat="1" applyFont="1" applyFill="1"/>
    <xf numFmtId="165" fontId="8" fillId="3" borderId="0" xfId="0" applyNumberFormat="1" applyFont="1" applyFill="1"/>
    <xf numFmtId="164" fontId="4" fillId="0" borderId="0" xfId="1" applyFont="1" applyBorder="1" applyAlignment="1">
      <alignment horizontal="center"/>
    </xf>
    <xf numFmtId="165" fontId="13" fillId="0" borderId="0" xfId="0" applyNumberFormat="1" applyFont="1"/>
    <xf numFmtId="164" fontId="13" fillId="0" borderId="0" xfId="1" applyFont="1" applyBorder="1"/>
    <xf numFmtId="165" fontId="14" fillId="0" borderId="0" xfId="0" applyNumberFormat="1" applyFont="1"/>
    <xf numFmtId="164" fontId="2" fillId="0" borderId="4" xfId="0" applyNumberFormat="1" applyFont="1" applyBorder="1"/>
    <xf numFmtId="165" fontId="0" fillId="2" borderId="0" xfId="1" applyNumberFormat="1" applyFont="1" applyFill="1"/>
    <xf numFmtId="165" fontId="2" fillId="2" borderId="5" xfId="0" applyNumberFormat="1" applyFont="1" applyFill="1" applyBorder="1"/>
    <xf numFmtId="165" fontId="2" fillId="2" borderId="4" xfId="0" applyNumberFormat="1" applyFont="1" applyFill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15">
    <cellStyle name="Comma" xfId="1" builtinId="3"/>
    <cellStyle name="Comma 2" xfId="14" xr:uid="{00000000-0005-0000-0000-000001000000}"/>
    <cellStyle name="Comma 3" xfId="9" xr:uid="{00000000-0005-0000-0000-000002000000}"/>
    <cellStyle name="Comma 4" xfId="10" xr:uid="{00000000-0005-0000-0000-000003000000}"/>
    <cellStyle name="Comma 7" xfId="6" xr:uid="{00000000-0005-0000-0000-000004000000}"/>
    <cellStyle name="Comma 8" xfId="11" xr:uid="{00000000-0005-0000-0000-000005000000}"/>
    <cellStyle name="Comma 9" xfId="13" xr:uid="{00000000-0005-0000-0000-000006000000}"/>
    <cellStyle name="Normal" xfId="0" builtinId="0"/>
    <cellStyle name="Normal 2" xfId="3" xr:uid="{00000000-0005-0000-0000-000008000000}"/>
    <cellStyle name="Normal 3" xfId="8" xr:uid="{00000000-0005-0000-0000-000009000000}"/>
    <cellStyle name="Normal 5" xfId="4" xr:uid="{00000000-0005-0000-0000-00000A000000}"/>
    <cellStyle name="Normal 6" xfId="5" xr:uid="{00000000-0005-0000-0000-00000B000000}"/>
    <cellStyle name="Normal 7" xfId="7" xr:uid="{00000000-0005-0000-0000-00000C000000}"/>
    <cellStyle name="Normal 8" xfId="12" xr:uid="{00000000-0005-0000-0000-00000D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65"/>
  <sheetViews>
    <sheetView tabSelected="1" topLeftCell="E45" workbookViewId="0">
      <selection activeCell="AH61" sqref="AH61"/>
    </sheetView>
  </sheetViews>
  <sheetFormatPr defaultRowHeight="15.5" x14ac:dyDescent="0.35"/>
  <cols>
    <col min="1" max="1" width="3.33203125" customWidth="1"/>
    <col min="2" max="2" width="17.08203125" customWidth="1"/>
    <col min="3" max="3" width="5.58203125" hidden="1" customWidth="1"/>
    <col min="4" max="4" width="9.58203125" hidden="1" customWidth="1"/>
    <col min="5" max="5" width="10.08203125" customWidth="1"/>
    <col min="6" max="6" width="10.25" bestFit="1" customWidth="1"/>
    <col min="7" max="17" width="0" hidden="1" customWidth="1"/>
    <col min="18" max="18" width="9.5" hidden="1" customWidth="1"/>
    <col min="19" max="19" width="13.75" hidden="1" customWidth="1"/>
    <col min="20" max="20" width="10.25" customWidth="1"/>
    <col min="21" max="21" width="11.33203125" customWidth="1"/>
    <col min="22" max="22" width="7.5" customWidth="1"/>
    <col min="23" max="23" width="11.33203125" hidden="1" customWidth="1"/>
    <col min="24" max="24" width="12.58203125" bestFit="1" customWidth="1"/>
    <col min="25" max="25" width="11.5" hidden="1" customWidth="1"/>
    <col min="26" max="26" width="13.75" style="8" customWidth="1"/>
    <col min="27" max="27" width="12" hidden="1" customWidth="1"/>
    <col min="28" max="28" width="11.08203125" bestFit="1" customWidth="1"/>
    <col min="29" max="29" width="12.25" hidden="1" customWidth="1"/>
    <col min="30" max="31" width="11.08203125" hidden="1" customWidth="1"/>
    <col min="32" max="32" width="10.75" hidden="1" customWidth="1"/>
    <col min="33" max="33" width="11.58203125" bestFit="1" customWidth="1"/>
    <col min="34" max="34" width="10.08203125" bestFit="1" customWidth="1"/>
    <col min="35" max="35" width="18.75" customWidth="1"/>
    <col min="36" max="36" width="11.33203125" customWidth="1"/>
    <col min="37" max="37" width="10.08203125" bestFit="1" customWidth="1"/>
    <col min="38" max="38" width="15.1640625" bestFit="1" customWidth="1"/>
    <col min="39" max="39" width="12.25" customWidth="1"/>
    <col min="41" max="41" width="11.08203125" customWidth="1"/>
  </cols>
  <sheetData>
    <row r="1" spans="1:39" x14ac:dyDescent="0.35">
      <c r="A1" s="111" t="s">
        <v>26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</row>
    <row r="3" spans="1:39" x14ac:dyDescent="0.35">
      <c r="A3" s="2" t="s">
        <v>14</v>
      </c>
      <c r="B3" s="2" t="s">
        <v>17</v>
      </c>
      <c r="C3" s="36" t="s">
        <v>34</v>
      </c>
      <c r="D3" s="36" t="s">
        <v>19</v>
      </c>
      <c r="E3" s="2" t="s">
        <v>20</v>
      </c>
      <c r="F3" s="2" t="s">
        <v>23</v>
      </c>
      <c r="G3" s="193" t="s">
        <v>22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2" t="s">
        <v>13</v>
      </c>
      <c r="T3" s="2" t="s">
        <v>36</v>
      </c>
      <c r="U3" s="2" t="s">
        <v>24</v>
      </c>
      <c r="V3" s="31" t="s">
        <v>103</v>
      </c>
      <c r="W3" s="2" t="s">
        <v>201</v>
      </c>
      <c r="X3" s="60" t="s">
        <v>36</v>
      </c>
      <c r="Y3" s="2" t="s">
        <v>200</v>
      </c>
      <c r="Z3" s="60" t="s">
        <v>36</v>
      </c>
      <c r="AA3" s="2" t="s">
        <v>211</v>
      </c>
      <c r="AB3" s="60" t="s">
        <v>36</v>
      </c>
      <c r="AC3" s="2" t="s">
        <v>219</v>
      </c>
      <c r="AD3" s="60" t="s">
        <v>36</v>
      </c>
      <c r="AE3" s="2" t="s">
        <v>226</v>
      </c>
      <c r="AF3" s="60" t="s">
        <v>36</v>
      </c>
      <c r="AG3" s="2" t="s">
        <v>230</v>
      </c>
      <c r="AH3" s="60" t="s">
        <v>36</v>
      </c>
      <c r="AI3" s="2" t="s">
        <v>235</v>
      </c>
      <c r="AJ3" s="60" t="s">
        <v>36</v>
      </c>
      <c r="AK3" s="48" t="s">
        <v>237</v>
      </c>
      <c r="AL3" s="2" t="s">
        <v>240</v>
      </c>
      <c r="AM3" s="60" t="s">
        <v>36</v>
      </c>
    </row>
    <row r="4" spans="1:39" x14ac:dyDescent="0.35">
      <c r="A4" s="4" t="s">
        <v>16</v>
      </c>
      <c r="B4" s="4" t="s">
        <v>18</v>
      </c>
      <c r="C4" s="37" t="s">
        <v>35</v>
      </c>
      <c r="D4" s="37" t="s">
        <v>28</v>
      </c>
      <c r="E4" s="4" t="s">
        <v>21</v>
      </c>
      <c r="F4" s="4" t="s">
        <v>15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5" t="s">
        <v>10</v>
      </c>
      <c r="Q4" s="5" t="s">
        <v>11</v>
      </c>
      <c r="R4" s="5" t="s">
        <v>12</v>
      </c>
      <c r="S4" s="4" t="s">
        <v>22</v>
      </c>
      <c r="T4" s="4" t="s">
        <v>37</v>
      </c>
      <c r="U4" s="4" t="s">
        <v>25</v>
      </c>
      <c r="V4" s="32" t="s">
        <v>104</v>
      </c>
      <c r="W4" s="4" t="s">
        <v>22</v>
      </c>
      <c r="X4" s="62" t="s">
        <v>197</v>
      </c>
      <c r="Y4" s="4" t="s">
        <v>22</v>
      </c>
      <c r="Z4" s="62" t="s">
        <v>199</v>
      </c>
      <c r="AA4" s="4" t="s">
        <v>22</v>
      </c>
      <c r="AB4" s="62" t="s">
        <v>212</v>
      </c>
      <c r="AC4" s="4" t="s">
        <v>22</v>
      </c>
      <c r="AD4" s="62" t="s">
        <v>220</v>
      </c>
      <c r="AE4" s="4" t="s">
        <v>22</v>
      </c>
      <c r="AF4" s="62" t="s">
        <v>227</v>
      </c>
      <c r="AG4" s="4" t="s">
        <v>22</v>
      </c>
      <c r="AH4" s="62" t="s">
        <v>231</v>
      </c>
      <c r="AI4" s="4" t="s">
        <v>22</v>
      </c>
      <c r="AJ4" s="62" t="s">
        <v>234</v>
      </c>
      <c r="AK4" s="48" t="s">
        <v>238</v>
      </c>
      <c r="AL4" s="4" t="s">
        <v>22</v>
      </c>
      <c r="AM4" s="62" t="s">
        <v>239</v>
      </c>
    </row>
    <row r="5" spans="1:39" x14ac:dyDescent="0.35">
      <c r="A5" s="1">
        <v>1</v>
      </c>
      <c r="B5" t="s">
        <v>0</v>
      </c>
      <c r="C5" s="1">
        <v>0</v>
      </c>
      <c r="D5" s="1" t="s">
        <v>31</v>
      </c>
      <c r="E5" s="1" t="s">
        <v>27</v>
      </c>
      <c r="F5" s="9">
        <f>1244696+577980</f>
        <v>1822676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10">
        <f>SUM(G5:R5)</f>
        <v>0</v>
      </c>
      <c r="T5" s="11">
        <f>+F5-S5</f>
        <v>1822676</v>
      </c>
      <c r="U5" s="9">
        <f t="shared" ref="U5:U10" si="0">ROUND(F5*5%,0)</f>
        <v>91134</v>
      </c>
      <c r="V5" s="33"/>
      <c r="W5" s="8">
        <v>0</v>
      </c>
      <c r="X5" s="9">
        <f>T5-W5</f>
        <v>1822676</v>
      </c>
      <c r="Y5" s="9">
        <v>0</v>
      </c>
      <c r="Z5" s="8">
        <f t="shared" ref="Z5:Z10" si="1">X5-Y5</f>
        <v>1822676</v>
      </c>
      <c r="AA5" s="11">
        <v>0</v>
      </c>
      <c r="AB5" s="11">
        <f>+Z5-AA5</f>
        <v>1822676</v>
      </c>
      <c r="AC5" s="8">
        <v>0</v>
      </c>
      <c r="AD5" s="11">
        <f>+AB5-AC5</f>
        <v>1822676</v>
      </c>
      <c r="AE5" s="8">
        <v>0</v>
      </c>
      <c r="AF5" s="11">
        <f>+AD5-AE5</f>
        <v>1822676</v>
      </c>
      <c r="AG5" s="8">
        <v>0</v>
      </c>
      <c r="AH5" s="11">
        <f>+AF5-AG5</f>
        <v>1822676</v>
      </c>
      <c r="AI5" s="8">
        <v>0</v>
      </c>
      <c r="AJ5" s="11">
        <v>0</v>
      </c>
      <c r="AK5" s="11">
        <f>+AH5</f>
        <v>1822676</v>
      </c>
      <c r="AL5" s="11">
        <v>0</v>
      </c>
      <c r="AM5" s="11">
        <f t="shared" ref="AM5:AM7" si="2">+AJ5-AL5</f>
        <v>0</v>
      </c>
    </row>
    <row r="6" spans="1:39" x14ac:dyDescent="0.35">
      <c r="A6" s="1"/>
      <c r="B6" t="s">
        <v>0</v>
      </c>
      <c r="C6" s="1"/>
      <c r="D6" s="1"/>
      <c r="E6" s="1" t="s">
        <v>214</v>
      </c>
      <c r="F6" s="9">
        <v>2388042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0"/>
      <c r="T6" s="11">
        <v>0</v>
      </c>
      <c r="U6" s="9">
        <f t="shared" si="0"/>
        <v>119402</v>
      </c>
      <c r="V6" s="33"/>
      <c r="W6" s="8">
        <v>0</v>
      </c>
      <c r="X6" s="9">
        <v>0</v>
      </c>
      <c r="Y6" s="9">
        <v>0</v>
      </c>
      <c r="Z6" s="8">
        <f t="shared" si="1"/>
        <v>0</v>
      </c>
      <c r="AA6" s="11">
        <v>0</v>
      </c>
      <c r="AB6" s="11">
        <f>+F6-AA6</f>
        <v>2388042</v>
      </c>
      <c r="AC6" s="8">
        <v>0</v>
      </c>
      <c r="AD6" s="11">
        <f>+AB6-AC6</f>
        <v>2388042</v>
      </c>
      <c r="AE6" s="8">
        <v>0</v>
      </c>
      <c r="AF6" s="11">
        <f t="shared" ref="AF6:AF8" si="3">+AD6-AE6</f>
        <v>2388042</v>
      </c>
      <c r="AG6" s="8">
        <v>0</v>
      </c>
      <c r="AH6" s="11">
        <f t="shared" ref="AH6:AH11" si="4">+AF6-AG6</f>
        <v>2388042</v>
      </c>
      <c r="AI6" s="8">
        <v>0</v>
      </c>
      <c r="AJ6" s="11">
        <v>656786</v>
      </c>
      <c r="AK6" s="11">
        <f>+AH6-AJ6</f>
        <v>1731256</v>
      </c>
      <c r="AL6" s="11">
        <v>0</v>
      </c>
      <c r="AM6" s="11">
        <f t="shared" si="2"/>
        <v>656786</v>
      </c>
    </row>
    <row r="7" spans="1:39" x14ac:dyDescent="0.35">
      <c r="A7" s="1"/>
      <c r="B7" t="s">
        <v>0</v>
      </c>
      <c r="C7" s="1"/>
      <c r="D7" s="1"/>
      <c r="E7" s="1" t="s">
        <v>218</v>
      </c>
      <c r="F7" s="9">
        <v>211040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0"/>
      <c r="T7" s="11">
        <v>0</v>
      </c>
      <c r="U7" s="9">
        <f t="shared" si="0"/>
        <v>10552</v>
      </c>
      <c r="V7" s="33"/>
      <c r="W7" s="8">
        <v>0</v>
      </c>
      <c r="X7" s="9">
        <v>0</v>
      </c>
      <c r="Y7" s="9">
        <v>0</v>
      </c>
      <c r="Z7" s="8">
        <f t="shared" si="1"/>
        <v>0</v>
      </c>
      <c r="AA7" s="11">
        <v>0</v>
      </c>
      <c r="AB7" s="11">
        <v>0</v>
      </c>
      <c r="AC7" s="8">
        <v>0</v>
      </c>
      <c r="AD7" s="11">
        <f>+F7-AC7</f>
        <v>211040</v>
      </c>
      <c r="AE7" s="8">
        <v>0</v>
      </c>
      <c r="AF7" s="11">
        <f t="shared" si="3"/>
        <v>211040</v>
      </c>
      <c r="AG7" s="8">
        <v>0</v>
      </c>
      <c r="AH7" s="11">
        <f t="shared" si="4"/>
        <v>211040</v>
      </c>
      <c r="AI7" s="8">
        <v>0</v>
      </c>
      <c r="AJ7" s="11">
        <f t="shared" ref="AJ7:AJ12" si="5">+AH7-AI7</f>
        <v>211040</v>
      </c>
      <c r="AL7" s="8">
        <v>0</v>
      </c>
      <c r="AM7" s="11">
        <f t="shared" si="2"/>
        <v>211040</v>
      </c>
    </row>
    <row r="8" spans="1:39" x14ac:dyDescent="0.35">
      <c r="A8" s="1"/>
      <c r="B8" t="s">
        <v>0</v>
      </c>
      <c r="C8" s="1"/>
      <c r="D8" s="1"/>
      <c r="E8" s="1" t="s">
        <v>221</v>
      </c>
      <c r="F8" s="9">
        <v>42500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0"/>
      <c r="T8" s="11">
        <v>0</v>
      </c>
      <c r="U8" s="9">
        <f t="shared" si="0"/>
        <v>2125</v>
      </c>
      <c r="V8" s="33"/>
      <c r="W8" s="8">
        <v>0</v>
      </c>
      <c r="X8" s="9">
        <v>0</v>
      </c>
      <c r="Y8" s="9">
        <v>0</v>
      </c>
      <c r="Z8" s="8">
        <f t="shared" si="1"/>
        <v>0</v>
      </c>
      <c r="AA8" s="11"/>
      <c r="AB8" s="11">
        <v>0</v>
      </c>
      <c r="AC8" s="8">
        <v>0</v>
      </c>
      <c r="AD8" s="11">
        <f>+F8-AC8</f>
        <v>42500</v>
      </c>
      <c r="AE8" s="8">
        <v>0</v>
      </c>
      <c r="AF8" s="11">
        <f t="shared" si="3"/>
        <v>42500</v>
      </c>
      <c r="AG8" s="8">
        <v>0</v>
      </c>
      <c r="AH8" s="11">
        <f t="shared" si="4"/>
        <v>42500</v>
      </c>
      <c r="AI8" s="8">
        <v>0</v>
      </c>
      <c r="AJ8" s="11">
        <f t="shared" si="5"/>
        <v>42500</v>
      </c>
      <c r="AL8" s="8">
        <v>0</v>
      </c>
      <c r="AM8" s="11">
        <f>+AJ8-AL8</f>
        <v>42500</v>
      </c>
    </row>
    <row r="9" spans="1:39" x14ac:dyDescent="0.35">
      <c r="A9" s="1"/>
      <c r="B9" t="s">
        <v>0</v>
      </c>
      <c r="C9" s="1"/>
      <c r="D9" s="1"/>
      <c r="E9" s="152" t="s">
        <v>225</v>
      </c>
      <c r="F9" s="124">
        <v>545187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10"/>
      <c r="T9" s="11">
        <v>0</v>
      </c>
      <c r="U9" s="9">
        <f t="shared" si="0"/>
        <v>27259</v>
      </c>
      <c r="V9" s="33"/>
      <c r="W9" s="8">
        <v>0</v>
      </c>
      <c r="X9" s="9">
        <v>0</v>
      </c>
      <c r="Y9" s="9">
        <v>0</v>
      </c>
      <c r="Z9" s="8">
        <f t="shared" si="1"/>
        <v>0</v>
      </c>
      <c r="AA9" s="11"/>
      <c r="AB9" s="11">
        <v>0</v>
      </c>
      <c r="AC9" s="8">
        <v>0</v>
      </c>
      <c r="AD9" s="11">
        <v>0</v>
      </c>
      <c r="AE9" s="8">
        <v>0</v>
      </c>
      <c r="AF9" s="11">
        <f>+F9-AE9</f>
        <v>545187</v>
      </c>
      <c r="AG9" s="8">
        <v>0</v>
      </c>
      <c r="AH9" s="11">
        <f t="shared" si="4"/>
        <v>545187</v>
      </c>
      <c r="AI9" s="8">
        <v>0</v>
      </c>
      <c r="AJ9" s="11">
        <f t="shared" si="5"/>
        <v>545187</v>
      </c>
      <c r="AL9" s="8">
        <v>0</v>
      </c>
      <c r="AM9" s="11">
        <f t="shared" ref="AM9:AM12" si="6">+AJ9-AL9</f>
        <v>545187</v>
      </c>
    </row>
    <row r="10" spans="1:39" x14ac:dyDescent="0.35">
      <c r="A10" s="1"/>
      <c r="B10" t="s">
        <v>0</v>
      </c>
      <c r="C10" s="1"/>
      <c r="D10" s="1"/>
      <c r="E10" s="152" t="s">
        <v>228</v>
      </c>
      <c r="F10" s="124">
        <v>38400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0"/>
      <c r="T10" s="11">
        <v>0</v>
      </c>
      <c r="U10" s="9">
        <f t="shared" si="0"/>
        <v>1920</v>
      </c>
      <c r="V10" s="33"/>
      <c r="W10" s="8">
        <v>0</v>
      </c>
      <c r="X10" s="9">
        <v>0</v>
      </c>
      <c r="Y10" s="9">
        <v>0</v>
      </c>
      <c r="Z10" s="8">
        <f t="shared" si="1"/>
        <v>0</v>
      </c>
      <c r="AA10" s="11"/>
      <c r="AB10" s="11"/>
      <c r="AC10" s="8"/>
      <c r="AD10" s="11">
        <v>0</v>
      </c>
      <c r="AE10" s="8"/>
      <c r="AF10" s="11">
        <f>+F10-AE10</f>
        <v>38400</v>
      </c>
      <c r="AG10" s="8"/>
      <c r="AH10" s="11">
        <f t="shared" si="4"/>
        <v>38400</v>
      </c>
      <c r="AI10" s="8">
        <v>0</v>
      </c>
      <c r="AJ10" s="11">
        <f t="shared" si="5"/>
        <v>38400</v>
      </c>
      <c r="AL10" s="8">
        <v>0</v>
      </c>
      <c r="AM10" s="11">
        <f t="shared" si="6"/>
        <v>38400</v>
      </c>
    </row>
    <row r="11" spans="1:39" x14ac:dyDescent="0.35">
      <c r="A11" s="1"/>
      <c r="B11" t="s">
        <v>0</v>
      </c>
      <c r="C11" s="1"/>
      <c r="D11" s="1"/>
      <c r="E11" s="152" t="s">
        <v>229</v>
      </c>
      <c r="F11" s="124">
        <v>38700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10"/>
      <c r="T11" s="11"/>
      <c r="U11" s="9">
        <f>ROUND(F11*5%,0)</f>
        <v>1935</v>
      </c>
      <c r="V11" s="33"/>
      <c r="W11" s="8">
        <v>0</v>
      </c>
      <c r="X11" s="9">
        <v>0</v>
      </c>
      <c r="Y11" s="9">
        <v>0</v>
      </c>
      <c r="Z11" s="8">
        <v>0</v>
      </c>
      <c r="AA11" s="11">
        <v>0</v>
      </c>
      <c r="AB11" s="11">
        <v>0</v>
      </c>
      <c r="AC11" s="8">
        <v>0</v>
      </c>
      <c r="AD11" s="11">
        <v>0</v>
      </c>
      <c r="AE11" s="8"/>
      <c r="AF11" s="11">
        <f>+F11-AE11</f>
        <v>38700</v>
      </c>
      <c r="AG11" s="8"/>
      <c r="AH11" s="11">
        <f t="shared" si="4"/>
        <v>38700</v>
      </c>
      <c r="AI11" s="8">
        <v>0</v>
      </c>
      <c r="AJ11" s="11">
        <f t="shared" si="5"/>
        <v>38700</v>
      </c>
      <c r="AL11" s="8">
        <v>0</v>
      </c>
      <c r="AM11" s="11">
        <f t="shared" si="6"/>
        <v>38700</v>
      </c>
    </row>
    <row r="12" spans="1:39" s="125" customFormat="1" x14ac:dyDescent="0.35">
      <c r="A12" s="152"/>
      <c r="B12" t="s">
        <v>0</v>
      </c>
      <c r="C12" s="152"/>
      <c r="D12" s="152"/>
      <c r="E12" s="152" t="s">
        <v>232</v>
      </c>
      <c r="F12" s="124">
        <v>14660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63"/>
      <c r="T12" s="77"/>
      <c r="U12" s="124">
        <f>ROUND(F12*5%,0)</f>
        <v>733</v>
      </c>
      <c r="V12" s="164"/>
      <c r="W12" s="126">
        <v>0</v>
      </c>
      <c r="X12" s="124">
        <v>0</v>
      </c>
      <c r="Y12" s="124">
        <v>0</v>
      </c>
      <c r="Z12" s="126">
        <v>0</v>
      </c>
      <c r="AA12" s="77">
        <v>0</v>
      </c>
      <c r="AB12" s="77">
        <v>0</v>
      </c>
      <c r="AC12" s="126">
        <v>0</v>
      </c>
      <c r="AD12" s="77">
        <v>0</v>
      </c>
      <c r="AE12" s="126"/>
      <c r="AF12" s="77">
        <v>0</v>
      </c>
      <c r="AG12" s="126"/>
      <c r="AH12" s="77">
        <f>F12</f>
        <v>14660</v>
      </c>
      <c r="AI12" s="126">
        <v>0</v>
      </c>
      <c r="AJ12" s="77">
        <f t="shared" si="5"/>
        <v>14660</v>
      </c>
      <c r="AL12" s="126">
        <v>0</v>
      </c>
      <c r="AM12" s="11">
        <f t="shared" si="6"/>
        <v>14660</v>
      </c>
    </row>
    <row r="13" spans="1:39" x14ac:dyDescent="0.35">
      <c r="C13" s="3"/>
      <c r="E13" s="3" t="s">
        <v>38</v>
      </c>
      <c r="F13" s="13">
        <f>SUM(F5:F12)</f>
        <v>5101205</v>
      </c>
      <c r="G13" s="13">
        <f t="shared" ref="G13:S13" si="7">SUM(G5)</f>
        <v>0</v>
      </c>
      <c r="H13" s="13">
        <f t="shared" si="7"/>
        <v>0</v>
      </c>
      <c r="I13" s="13">
        <f t="shared" si="7"/>
        <v>0</v>
      </c>
      <c r="J13" s="13">
        <f t="shared" si="7"/>
        <v>0</v>
      </c>
      <c r="K13" s="13">
        <f t="shared" si="7"/>
        <v>0</v>
      </c>
      <c r="L13" s="13">
        <f t="shared" si="7"/>
        <v>0</v>
      </c>
      <c r="M13" s="13">
        <f t="shared" si="7"/>
        <v>0</v>
      </c>
      <c r="N13" s="13">
        <f t="shared" si="7"/>
        <v>0</v>
      </c>
      <c r="O13" s="13">
        <f t="shared" si="7"/>
        <v>0</v>
      </c>
      <c r="P13" s="13">
        <f t="shared" si="7"/>
        <v>0</v>
      </c>
      <c r="Q13" s="13">
        <f t="shared" si="7"/>
        <v>0</v>
      </c>
      <c r="R13" s="13">
        <f t="shared" si="7"/>
        <v>0</v>
      </c>
      <c r="S13" s="13">
        <f t="shared" si="7"/>
        <v>0</v>
      </c>
      <c r="T13" s="28">
        <f>SUM(T5:T10)</f>
        <v>1822676</v>
      </c>
      <c r="U13" s="13">
        <f>SUM(U5:U11)</f>
        <v>254327</v>
      </c>
      <c r="V13" s="13">
        <f t="shared" ref="V13:AE13" si="8">SUM(V5:V8)</f>
        <v>0</v>
      </c>
      <c r="W13" s="13">
        <f>SUM(W5:W11)</f>
        <v>0</v>
      </c>
      <c r="X13" s="13">
        <f t="shared" si="8"/>
        <v>1822676</v>
      </c>
      <c r="Y13" s="13">
        <f t="shared" si="8"/>
        <v>0</v>
      </c>
      <c r="Z13" s="57">
        <f t="shared" si="8"/>
        <v>1822676</v>
      </c>
      <c r="AA13" s="13">
        <f t="shared" si="8"/>
        <v>0</v>
      </c>
      <c r="AB13" s="13">
        <f t="shared" si="8"/>
        <v>4210718</v>
      </c>
      <c r="AC13" s="13">
        <f t="shared" si="8"/>
        <v>0</v>
      </c>
      <c r="AD13" s="13">
        <f>SUM(AD5:AD9)</f>
        <v>4464258</v>
      </c>
      <c r="AE13" s="13">
        <f t="shared" si="8"/>
        <v>0</v>
      </c>
      <c r="AF13" s="13">
        <f>SUM(AF5:AF11)</f>
        <v>5086545</v>
      </c>
      <c r="AG13" s="13">
        <f t="shared" ref="AG13:AI13" si="9">SUM(AG5:AG8)</f>
        <v>0</v>
      </c>
      <c r="AH13" s="13">
        <f>SUM(AH5:AH12)</f>
        <v>5101205</v>
      </c>
      <c r="AI13" s="13">
        <f t="shared" si="9"/>
        <v>0</v>
      </c>
      <c r="AJ13" s="13">
        <f>SUM(AJ5:AJ12)</f>
        <v>1547273</v>
      </c>
      <c r="AL13" s="166">
        <f>SUM(AL5:AL12)</f>
        <v>0</v>
      </c>
      <c r="AM13" s="20">
        <f>SUM(AM5:AM12)</f>
        <v>1547273</v>
      </c>
    </row>
    <row r="14" spans="1:39" x14ac:dyDescent="0.35">
      <c r="C14" s="1"/>
      <c r="F14" s="9"/>
      <c r="U14" s="11"/>
      <c r="V14" s="33"/>
      <c r="W14" s="8"/>
      <c r="X14" s="8"/>
      <c r="Y14" s="8"/>
      <c r="AD14" s="11"/>
    </row>
    <row r="15" spans="1:39" x14ac:dyDescent="0.35">
      <c r="A15" s="1">
        <v>2</v>
      </c>
      <c r="B15" t="s">
        <v>29</v>
      </c>
      <c r="C15" s="1">
        <v>0</v>
      </c>
      <c r="D15" s="1" t="s">
        <v>31</v>
      </c>
      <c r="E15" s="14" t="s">
        <v>27</v>
      </c>
      <c r="F15" s="9">
        <v>656529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0">
        <f t="shared" ref="S15:S18" si="10">SUM(G15:R15)</f>
        <v>0</v>
      </c>
      <c r="T15" s="11">
        <f t="shared" ref="T15:T18" si="11">+F15-S15</f>
        <v>656529</v>
      </c>
      <c r="U15" s="9">
        <f t="shared" ref="U15:U18" si="12">ROUND(F15*5%,0)</f>
        <v>32826</v>
      </c>
      <c r="V15" s="33"/>
      <c r="W15" s="8">
        <v>0</v>
      </c>
      <c r="X15" s="9">
        <f t="shared" ref="X15:X18" si="13">T15-W15</f>
        <v>656529</v>
      </c>
      <c r="Y15" s="9">
        <v>0</v>
      </c>
      <c r="Z15" s="8">
        <f t="shared" ref="Z15:Z18" si="14">X15-Y15</f>
        <v>656529</v>
      </c>
      <c r="AA15" s="9">
        <v>0</v>
      </c>
      <c r="AB15" s="9">
        <f>+Z15-AA15</f>
        <v>656529</v>
      </c>
      <c r="AC15" s="8">
        <v>0</v>
      </c>
      <c r="AD15" s="11">
        <f>+AB15-AC15</f>
        <v>656529</v>
      </c>
      <c r="AE15" s="8">
        <v>0</v>
      </c>
      <c r="AF15" s="11">
        <f>+AD15-AE15</f>
        <v>656529</v>
      </c>
      <c r="AG15" s="8">
        <v>0</v>
      </c>
      <c r="AH15" s="11">
        <f>+AF15-AG15</f>
        <v>656529</v>
      </c>
      <c r="AI15" s="8">
        <v>0</v>
      </c>
      <c r="AJ15" s="11">
        <v>0</v>
      </c>
      <c r="AK15" s="11">
        <f>+AH15</f>
        <v>656529</v>
      </c>
      <c r="AL15" s="11">
        <v>0</v>
      </c>
      <c r="AM15" s="11">
        <f>+AJ15-AL15</f>
        <v>0</v>
      </c>
    </row>
    <row r="16" spans="1:39" x14ac:dyDescent="0.35">
      <c r="A16" s="1">
        <v>2</v>
      </c>
      <c r="B16" t="s">
        <v>29</v>
      </c>
      <c r="C16" s="1">
        <v>0</v>
      </c>
      <c r="D16" s="1" t="s">
        <v>31</v>
      </c>
      <c r="E16" s="1" t="s">
        <v>32</v>
      </c>
      <c r="F16" s="9">
        <v>312013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0">
        <f t="shared" si="10"/>
        <v>0</v>
      </c>
      <c r="T16" s="11">
        <f t="shared" si="11"/>
        <v>312013</v>
      </c>
      <c r="U16" s="9">
        <f t="shared" si="12"/>
        <v>15601</v>
      </c>
      <c r="V16" s="33"/>
      <c r="W16" s="8">
        <v>0</v>
      </c>
      <c r="X16" s="9">
        <f t="shared" si="13"/>
        <v>312013</v>
      </c>
      <c r="Y16" s="9">
        <v>0</v>
      </c>
      <c r="Z16" s="8">
        <f t="shared" si="14"/>
        <v>312013</v>
      </c>
      <c r="AA16" s="9">
        <v>0</v>
      </c>
      <c r="AB16" s="9">
        <f t="shared" ref="AB16:AB18" si="15">+Z16-AA16</f>
        <v>312013</v>
      </c>
      <c r="AC16" s="8">
        <v>0</v>
      </c>
      <c r="AD16" s="11">
        <f t="shared" ref="AD16:AD18" si="16">+AB16-AC16</f>
        <v>312013</v>
      </c>
      <c r="AE16" s="8">
        <v>0</v>
      </c>
      <c r="AF16" s="11">
        <f t="shared" ref="AF16:AF18" si="17">+AD16-AE16</f>
        <v>312013</v>
      </c>
      <c r="AG16" s="8">
        <v>0</v>
      </c>
      <c r="AH16" s="11">
        <f t="shared" ref="AH16:AH18" si="18">+AF16-AG16</f>
        <v>312013</v>
      </c>
      <c r="AI16" s="8">
        <v>0</v>
      </c>
      <c r="AJ16" s="11">
        <v>0</v>
      </c>
      <c r="AK16" s="11">
        <f>+AH16</f>
        <v>312013</v>
      </c>
      <c r="AL16" s="11">
        <v>0</v>
      </c>
      <c r="AM16" s="11">
        <f t="shared" ref="AM16:AM18" si="19">+AJ16-AL16</f>
        <v>0</v>
      </c>
    </row>
    <row r="17" spans="1:41" x14ac:dyDescent="0.35">
      <c r="A17" s="1">
        <v>2</v>
      </c>
      <c r="B17" t="s">
        <v>29</v>
      </c>
      <c r="C17" s="1">
        <v>0</v>
      </c>
      <c r="D17" s="1" t="s">
        <v>31</v>
      </c>
      <c r="E17" s="1" t="s">
        <v>33</v>
      </c>
      <c r="F17" s="9">
        <v>884086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0">
        <f t="shared" si="10"/>
        <v>0</v>
      </c>
      <c r="T17" s="11">
        <f t="shared" si="11"/>
        <v>884086</v>
      </c>
      <c r="U17" s="9">
        <f t="shared" si="12"/>
        <v>44204</v>
      </c>
      <c r="V17" s="33"/>
      <c r="W17" s="8">
        <v>0</v>
      </c>
      <c r="X17" s="9">
        <f t="shared" si="13"/>
        <v>884086</v>
      </c>
      <c r="Y17" s="9">
        <v>0</v>
      </c>
      <c r="Z17" s="8">
        <f t="shared" si="14"/>
        <v>884086</v>
      </c>
      <c r="AA17" s="9">
        <v>0</v>
      </c>
      <c r="AB17" s="9">
        <f t="shared" si="15"/>
        <v>884086</v>
      </c>
      <c r="AC17" s="8">
        <v>0</v>
      </c>
      <c r="AD17" s="11">
        <f t="shared" si="16"/>
        <v>884086</v>
      </c>
      <c r="AE17" s="8">
        <v>0</v>
      </c>
      <c r="AF17" s="11">
        <f t="shared" si="17"/>
        <v>884086</v>
      </c>
      <c r="AG17" s="8">
        <v>0</v>
      </c>
      <c r="AH17" s="11">
        <f t="shared" si="18"/>
        <v>884086</v>
      </c>
      <c r="AI17" s="8">
        <v>0</v>
      </c>
      <c r="AJ17" s="11">
        <v>0</v>
      </c>
      <c r="AK17" s="11">
        <f>+AH17</f>
        <v>884086</v>
      </c>
      <c r="AL17" s="11">
        <v>0</v>
      </c>
      <c r="AM17" s="11">
        <f t="shared" si="19"/>
        <v>0</v>
      </c>
    </row>
    <row r="18" spans="1:41" x14ac:dyDescent="0.35">
      <c r="A18" s="1">
        <v>3</v>
      </c>
      <c r="B18" t="s">
        <v>30</v>
      </c>
      <c r="C18" s="1">
        <v>0</v>
      </c>
      <c r="D18" s="1" t="s">
        <v>31</v>
      </c>
      <c r="E18" s="1" t="s">
        <v>27</v>
      </c>
      <c r="F18" s="9">
        <v>82976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0">
        <f t="shared" si="10"/>
        <v>0</v>
      </c>
      <c r="T18" s="11">
        <f t="shared" si="11"/>
        <v>82976</v>
      </c>
      <c r="U18" s="9">
        <f t="shared" si="12"/>
        <v>4149</v>
      </c>
      <c r="V18" s="33"/>
      <c r="W18" s="8">
        <v>0</v>
      </c>
      <c r="X18" s="9">
        <f t="shared" si="13"/>
        <v>82976</v>
      </c>
      <c r="Y18" s="9">
        <v>0</v>
      </c>
      <c r="Z18" s="8">
        <f t="shared" si="14"/>
        <v>82976</v>
      </c>
      <c r="AA18" s="9">
        <v>0</v>
      </c>
      <c r="AB18" s="9">
        <f t="shared" si="15"/>
        <v>82976</v>
      </c>
      <c r="AC18" s="8">
        <v>0</v>
      </c>
      <c r="AD18" s="11">
        <f t="shared" si="16"/>
        <v>82976</v>
      </c>
      <c r="AE18" s="8">
        <v>0</v>
      </c>
      <c r="AF18" s="11">
        <f t="shared" si="17"/>
        <v>82976</v>
      </c>
      <c r="AG18" s="8">
        <v>0</v>
      </c>
      <c r="AH18" s="11">
        <f t="shared" si="18"/>
        <v>82976</v>
      </c>
      <c r="AI18" s="8">
        <v>0</v>
      </c>
      <c r="AJ18" s="11">
        <v>0</v>
      </c>
      <c r="AK18" s="11">
        <f>+AH18</f>
        <v>82976</v>
      </c>
      <c r="AL18" s="11">
        <v>0</v>
      </c>
      <c r="AM18" s="11">
        <f t="shared" si="19"/>
        <v>0</v>
      </c>
    </row>
    <row r="19" spans="1:41" x14ac:dyDescent="0.35">
      <c r="C19" s="3"/>
      <c r="E19" s="3" t="s">
        <v>38</v>
      </c>
      <c r="F19" s="13">
        <f>SUM(F15:F18)</f>
        <v>1935604</v>
      </c>
      <c r="G19" s="13">
        <f t="shared" ref="G19:X19" si="20">SUM(G15:G18)</f>
        <v>0</v>
      </c>
      <c r="H19" s="13">
        <f t="shared" si="20"/>
        <v>0</v>
      </c>
      <c r="I19" s="13">
        <f t="shared" si="20"/>
        <v>0</v>
      </c>
      <c r="J19" s="13">
        <f t="shared" si="20"/>
        <v>0</v>
      </c>
      <c r="K19" s="13">
        <f t="shared" si="20"/>
        <v>0</v>
      </c>
      <c r="L19" s="13">
        <f t="shared" si="20"/>
        <v>0</v>
      </c>
      <c r="M19" s="13">
        <f t="shared" si="20"/>
        <v>0</v>
      </c>
      <c r="N19" s="13">
        <f t="shared" si="20"/>
        <v>0</v>
      </c>
      <c r="O19" s="13">
        <f t="shared" si="20"/>
        <v>0</v>
      </c>
      <c r="P19" s="13">
        <f t="shared" si="20"/>
        <v>0</v>
      </c>
      <c r="Q19" s="13">
        <f t="shared" si="20"/>
        <v>0</v>
      </c>
      <c r="R19" s="13">
        <f t="shared" si="20"/>
        <v>0</v>
      </c>
      <c r="S19" s="13">
        <f t="shared" si="20"/>
        <v>0</v>
      </c>
      <c r="T19" s="28">
        <f t="shared" si="20"/>
        <v>1935604</v>
      </c>
      <c r="U19" s="13">
        <f t="shared" si="20"/>
        <v>96780</v>
      </c>
      <c r="V19" s="13">
        <f t="shared" si="20"/>
        <v>0</v>
      </c>
      <c r="W19" s="57">
        <f t="shared" si="20"/>
        <v>0</v>
      </c>
      <c r="X19" s="13">
        <f t="shared" si="20"/>
        <v>1935604</v>
      </c>
      <c r="Y19" s="13">
        <f t="shared" ref="Y19:Z19" si="21">SUM(Y15:Y18)</f>
        <v>0</v>
      </c>
      <c r="Z19" s="57">
        <f t="shared" si="21"/>
        <v>1935604</v>
      </c>
      <c r="AA19" s="20">
        <f>SUM(AA15:AA18)</f>
        <v>0</v>
      </c>
      <c r="AB19" s="20">
        <f>SUM(AB15:AB18)</f>
        <v>1935604</v>
      </c>
      <c r="AC19" s="20">
        <f t="shared" ref="AC19:AF19" si="22">SUM(AC15:AC18)</f>
        <v>0</v>
      </c>
      <c r="AD19" s="20">
        <f t="shared" si="22"/>
        <v>1935604</v>
      </c>
      <c r="AE19" s="20">
        <f t="shared" si="22"/>
        <v>0</v>
      </c>
      <c r="AF19" s="20">
        <f t="shared" si="22"/>
        <v>1935604</v>
      </c>
      <c r="AG19" s="20">
        <f t="shared" ref="AG19:AH19" si="23">SUM(AG15:AG18)</f>
        <v>0</v>
      </c>
      <c r="AH19" s="20">
        <f t="shared" si="23"/>
        <v>1935604</v>
      </c>
      <c r="AI19" s="20">
        <f t="shared" ref="AI19:AL19" si="24">SUM(AI15:AI18)</f>
        <v>0</v>
      </c>
      <c r="AJ19" s="20">
        <f t="shared" si="24"/>
        <v>0</v>
      </c>
      <c r="AL19" s="20">
        <f t="shared" si="24"/>
        <v>0</v>
      </c>
      <c r="AM19" s="20">
        <f>SUM(AM15:AM18)</f>
        <v>0</v>
      </c>
    </row>
    <row r="20" spans="1:41" x14ac:dyDescent="0.35">
      <c r="E20" s="1"/>
      <c r="F20" s="9"/>
      <c r="U20" s="11"/>
      <c r="V20" s="33"/>
      <c r="W20" s="8"/>
      <c r="X20" s="8"/>
      <c r="Y20" s="8"/>
      <c r="AD20" s="11"/>
    </row>
    <row r="21" spans="1:41" ht="16" thickBot="1" x14ac:dyDescent="0.4">
      <c r="B21" s="6" t="s">
        <v>45</v>
      </c>
      <c r="C21" s="3"/>
      <c r="E21" s="3" t="s">
        <v>39</v>
      </c>
      <c r="F21" s="16">
        <f>+F13+F19</f>
        <v>7036809</v>
      </c>
      <c r="G21" s="16">
        <f t="shared" ref="G21:X21" si="25">+G13+G19</f>
        <v>0</v>
      </c>
      <c r="H21" s="16">
        <f t="shared" si="25"/>
        <v>0</v>
      </c>
      <c r="I21" s="16">
        <f t="shared" si="25"/>
        <v>0</v>
      </c>
      <c r="J21" s="16">
        <f t="shared" si="25"/>
        <v>0</v>
      </c>
      <c r="K21" s="16">
        <f t="shared" si="25"/>
        <v>0</v>
      </c>
      <c r="L21" s="16">
        <f t="shared" si="25"/>
        <v>0</v>
      </c>
      <c r="M21" s="16">
        <f t="shared" si="25"/>
        <v>0</v>
      </c>
      <c r="N21" s="16">
        <f t="shared" si="25"/>
        <v>0</v>
      </c>
      <c r="O21" s="16">
        <f t="shared" si="25"/>
        <v>0</v>
      </c>
      <c r="P21" s="16">
        <f t="shared" si="25"/>
        <v>0</v>
      </c>
      <c r="Q21" s="16">
        <f t="shared" si="25"/>
        <v>0</v>
      </c>
      <c r="R21" s="16">
        <f t="shared" si="25"/>
        <v>0</v>
      </c>
      <c r="S21" s="16">
        <f t="shared" si="25"/>
        <v>0</v>
      </c>
      <c r="T21" s="29">
        <f t="shared" si="25"/>
        <v>3758280</v>
      </c>
      <c r="U21" s="16">
        <f t="shared" si="25"/>
        <v>351107</v>
      </c>
      <c r="V21" s="16">
        <f t="shared" si="25"/>
        <v>0</v>
      </c>
      <c r="W21" s="58">
        <f t="shared" si="25"/>
        <v>0</v>
      </c>
      <c r="X21" s="58">
        <f t="shared" si="25"/>
        <v>3758280</v>
      </c>
      <c r="Y21" s="58">
        <f t="shared" ref="Y21:AF21" si="26">+Y13+Y19</f>
        <v>0</v>
      </c>
      <c r="Z21" s="58">
        <f t="shared" si="26"/>
        <v>3758280</v>
      </c>
      <c r="AA21" s="58">
        <f t="shared" si="26"/>
        <v>0</v>
      </c>
      <c r="AB21" s="16">
        <f t="shared" si="26"/>
        <v>6146322</v>
      </c>
      <c r="AC21" s="16">
        <f t="shared" si="26"/>
        <v>0</v>
      </c>
      <c r="AD21" s="16">
        <f t="shared" si="26"/>
        <v>6399862</v>
      </c>
      <c r="AE21" s="16">
        <f t="shared" si="26"/>
        <v>0</v>
      </c>
      <c r="AF21" s="16">
        <f t="shared" si="26"/>
        <v>7022149</v>
      </c>
      <c r="AG21" s="16">
        <f t="shared" ref="AG21:AH21" si="27">+AG13+AG19</f>
        <v>0</v>
      </c>
      <c r="AH21" s="16">
        <f t="shared" si="27"/>
        <v>7036809</v>
      </c>
      <c r="AI21" s="16">
        <f t="shared" ref="AI21:AM21" si="28">+AI13+AI19</f>
        <v>0</v>
      </c>
      <c r="AJ21" s="16">
        <f t="shared" si="28"/>
        <v>1547273</v>
      </c>
      <c r="AL21" s="16">
        <f t="shared" si="28"/>
        <v>0</v>
      </c>
      <c r="AM21" s="16">
        <f t="shared" si="28"/>
        <v>1547273</v>
      </c>
    </row>
    <row r="22" spans="1:41" ht="16" thickTop="1" x14ac:dyDescent="0.35">
      <c r="F22" s="9"/>
      <c r="U22" s="11"/>
      <c r="V22" s="11"/>
    </row>
    <row r="23" spans="1:41" x14ac:dyDescent="0.35">
      <c r="F23" s="9"/>
      <c r="AG23" s="195" t="s">
        <v>208</v>
      </c>
      <c r="AH23" s="195"/>
      <c r="AI23" s="195"/>
      <c r="AJ23" s="195"/>
      <c r="AK23" s="195"/>
      <c r="AL23" s="195"/>
      <c r="AM23" s="195"/>
      <c r="AN23" s="195"/>
    </row>
    <row r="24" spans="1:41" x14ac:dyDescent="0.35">
      <c r="F24" s="9"/>
      <c r="T24" s="9"/>
      <c r="AI24" s="194" t="s">
        <v>255</v>
      </c>
      <c r="AJ24" s="194"/>
      <c r="AK24" s="194"/>
      <c r="AL24" s="194"/>
    </row>
    <row r="25" spans="1:41" x14ac:dyDescent="0.35">
      <c r="B25" t="s">
        <v>262</v>
      </c>
      <c r="E25" t="s">
        <v>262</v>
      </c>
      <c r="F25" s="9" t="s">
        <v>262</v>
      </c>
      <c r="AG25" s="9"/>
      <c r="AI25" s="165" t="s">
        <v>203</v>
      </c>
      <c r="AJ25" s="165" t="s">
        <v>204</v>
      </c>
      <c r="AK25" s="79" t="s">
        <v>205</v>
      </c>
      <c r="AL25" s="155" t="s">
        <v>206</v>
      </c>
      <c r="AM25" s="80" t="s">
        <v>236</v>
      </c>
    </row>
    <row r="26" spans="1:41" s="125" customFormat="1" x14ac:dyDescent="0.35">
      <c r="B26" t="s">
        <v>0</v>
      </c>
      <c r="C26" s="1">
        <v>0</v>
      </c>
      <c r="D26" s="1" t="s">
        <v>31</v>
      </c>
      <c r="E26" s="1" t="s">
        <v>27</v>
      </c>
      <c r="F26" s="49">
        <f>1244696+577980</f>
        <v>1822676</v>
      </c>
      <c r="S26" s="126"/>
      <c r="T26" s="77">
        <f>F26+F34+F37</f>
        <v>2562181</v>
      </c>
      <c r="AG26" s="125" t="s">
        <v>0</v>
      </c>
      <c r="AI26" s="77">
        <f>+AJ13</f>
        <v>1547273</v>
      </c>
      <c r="AJ26" s="124">
        <v>0</v>
      </c>
      <c r="AK26" s="77">
        <f>+AG13</f>
        <v>0</v>
      </c>
      <c r="AL26" s="126">
        <f>+AI26+AJ26-AK26</f>
        <v>1547273</v>
      </c>
      <c r="AM26" s="124">
        <f>+AJ13</f>
        <v>1547273</v>
      </c>
      <c r="AN26" s="50">
        <f>+AL26-AM26</f>
        <v>0</v>
      </c>
    </row>
    <row r="27" spans="1:41" s="125" customFormat="1" x14ac:dyDescent="0.35">
      <c r="B27" t="s">
        <v>0</v>
      </c>
      <c r="C27" s="1"/>
      <c r="D27" s="1"/>
      <c r="E27" s="1" t="s">
        <v>214</v>
      </c>
      <c r="F27" s="9">
        <v>2388042</v>
      </c>
      <c r="S27" s="126"/>
      <c r="AG27" s="125" t="s">
        <v>187</v>
      </c>
      <c r="AI27" s="77">
        <v>0</v>
      </c>
      <c r="AJ27" s="77">
        <v>0</v>
      </c>
      <c r="AK27" s="77">
        <f>+SUM(Y15:Y17)</f>
        <v>0</v>
      </c>
      <c r="AL27" s="126">
        <f t="shared" ref="AL27:AL28" si="29">+AI27+AJ27-AK27</f>
        <v>0</v>
      </c>
      <c r="AM27" s="124">
        <f>+SUM(AJ15:AJ17)</f>
        <v>0</v>
      </c>
      <c r="AN27" s="50">
        <f t="shared" ref="AN27:AN28" si="30">+AL27-AM27</f>
        <v>0</v>
      </c>
    </row>
    <row r="28" spans="1:41" s="125" customFormat="1" x14ac:dyDescent="0.35">
      <c r="B28" t="s">
        <v>0</v>
      </c>
      <c r="C28" s="1"/>
      <c r="D28" s="1"/>
      <c r="E28" s="1" t="s">
        <v>218</v>
      </c>
      <c r="F28" s="9">
        <v>211040</v>
      </c>
      <c r="S28" s="126"/>
      <c r="AG28" s="125" t="s">
        <v>207</v>
      </c>
      <c r="AI28" s="78">
        <v>0</v>
      </c>
      <c r="AJ28" s="78">
        <v>0</v>
      </c>
      <c r="AK28" s="78">
        <f>+Y18</f>
        <v>0</v>
      </c>
      <c r="AL28" s="126">
        <f t="shared" si="29"/>
        <v>0</v>
      </c>
      <c r="AM28" s="128">
        <f>+AJ18</f>
        <v>0</v>
      </c>
      <c r="AN28" s="50">
        <f t="shared" si="30"/>
        <v>0</v>
      </c>
    </row>
    <row r="29" spans="1:41" s="125" customFormat="1" ht="16" thickBot="1" x14ac:dyDescent="0.4">
      <c r="B29" t="s">
        <v>0</v>
      </c>
      <c r="C29" s="1"/>
      <c r="D29" s="1"/>
      <c r="E29" s="1" t="s">
        <v>221</v>
      </c>
      <c r="F29" s="9">
        <v>42500</v>
      </c>
      <c r="S29" s="126"/>
      <c r="AI29" s="129">
        <f>SUM(AI26:AI28)</f>
        <v>1547273</v>
      </c>
      <c r="AJ29" s="129">
        <f>SUM(AJ26:AJ28)</f>
        <v>0</v>
      </c>
      <c r="AK29" s="129">
        <f>SUM(AK26:AK28)</f>
        <v>0</v>
      </c>
      <c r="AL29" s="156">
        <f>SUM(AL26:AL28)</f>
        <v>1547273</v>
      </c>
      <c r="AM29" s="129">
        <f t="shared" ref="AM29" si="31">SUM(AM26:AM28)</f>
        <v>1547273</v>
      </c>
      <c r="AN29" s="123">
        <f>SUM(AN26:AN28)</f>
        <v>0</v>
      </c>
      <c r="AO29" s="77">
        <f>AI29+AJ29-AN29</f>
        <v>1547273</v>
      </c>
    </row>
    <row r="30" spans="1:41" s="125" customFormat="1" ht="16" thickTop="1" x14ac:dyDescent="0.35">
      <c r="B30" t="s">
        <v>0</v>
      </c>
      <c r="C30" s="1"/>
      <c r="D30" s="1"/>
      <c r="E30" s="152" t="s">
        <v>225</v>
      </c>
      <c r="F30" s="124">
        <v>545187</v>
      </c>
      <c r="S30" s="126"/>
      <c r="AG30" s="125" t="s">
        <v>41</v>
      </c>
      <c r="AI30" s="77">
        <f>+NFB!AW6</f>
        <v>477889</v>
      </c>
      <c r="AJ30" s="124">
        <v>0</v>
      </c>
      <c r="AK30" s="77">
        <f>+NFB!AX6</f>
        <v>23130</v>
      </c>
      <c r="AL30" s="126">
        <f t="shared" ref="AL30:AL59" si="32">+AI30+AJ30-AK30</f>
        <v>454759</v>
      </c>
      <c r="AM30" s="124">
        <f>+NFB!AY6</f>
        <v>454759</v>
      </c>
      <c r="AN30" s="50">
        <f t="shared" ref="AN30:AN33" si="33">+AL30-AM30</f>
        <v>0</v>
      </c>
    </row>
    <row r="31" spans="1:41" s="125" customFormat="1" x14ac:dyDescent="0.35">
      <c r="B31" t="s">
        <v>0</v>
      </c>
      <c r="C31" s="1"/>
      <c r="D31" s="1"/>
      <c r="E31" s="152" t="s">
        <v>228</v>
      </c>
      <c r="F31" s="124">
        <v>38400</v>
      </c>
      <c r="S31" s="126"/>
      <c r="AG31" s="125" t="s">
        <v>42</v>
      </c>
      <c r="AI31" s="77">
        <f>+NFB!AW8</f>
        <v>89778</v>
      </c>
      <c r="AJ31" s="124">
        <v>0</v>
      </c>
      <c r="AK31" s="77">
        <f>+NFB!AX8</f>
        <v>4345</v>
      </c>
      <c r="AL31" s="126">
        <f>+AI31+AJ31-AK31</f>
        <v>85433</v>
      </c>
      <c r="AM31" s="124">
        <f>+NFB!AY8</f>
        <v>85433</v>
      </c>
      <c r="AN31" s="77">
        <f t="shared" si="33"/>
        <v>0</v>
      </c>
    </row>
    <row r="32" spans="1:41" s="125" customFormat="1" x14ac:dyDescent="0.35">
      <c r="B32" t="s">
        <v>0</v>
      </c>
      <c r="C32" s="1"/>
      <c r="D32" s="1"/>
      <c r="E32" s="152" t="s">
        <v>229</v>
      </c>
      <c r="F32" s="124">
        <v>38700</v>
      </c>
      <c r="S32" s="126"/>
      <c r="AG32" s="125" t="s">
        <v>43</v>
      </c>
      <c r="AI32" s="77">
        <f>+NFB!AW9</f>
        <v>620179</v>
      </c>
      <c r="AJ32" s="127">
        <v>0</v>
      </c>
      <c r="AK32" s="77">
        <f>+NFB!AX9</f>
        <v>30027</v>
      </c>
      <c r="AL32" s="157">
        <f t="shared" si="32"/>
        <v>590152</v>
      </c>
      <c r="AM32" s="127">
        <f>+NFB!AY9</f>
        <v>590152</v>
      </c>
      <c r="AN32" s="77">
        <f t="shared" si="33"/>
        <v>0</v>
      </c>
    </row>
    <row r="33" spans="2:41" s="125" customFormat="1" x14ac:dyDescent="0.35">
      <c r="B33" t="s">
        <v>0</v>
      </c>
      <c r="C33" s="152"/>
      <c r="D33" s="152"/>
      <c r="E33" s="152" t="s">
        <v>232</v>
      </c>
      <c r="F33" s="124">
        <v>14660</v>
      </c>
      <c r="S33" s="126"/>
      <c r="AG33" s="125" t="s">
        <v>215</v>
      </c>
      <c r="AI33" s="77">
        <f>+NFB!AW12</f>
        <v>2229285.12</v>
      </c>
      <c r="AJ33" s="127">
        <v>0</v>
      </c>
      <c r="AK33" s="77">
        <f>+NFB!AX12</f>
        <v>108573</v>
      </c>
      <c r="AL33" s="157">
        <f t="shared" si="32"/>
        <v>2120712.12</v>
      </c>
      <c r="AM33" s="127">
        <f>+NFB!AY12</f>
        <v>2120712.12</v>
      </c>
      <c r="AN33" s="77">
        <f t="shared" si="33"/>
        <v>0</v>
      </c>
    </row>
    <row r="34" spans="2:41" s="125" customFormat="1" ht="16" thickBot="1" x14ac:dyDescent="0.4">
      <c r="B34" t="s">
        <v>29</v>
      </c>
      <c r="C34" s="1">
        <v>0</v>
      </c>
      <c r="D34" s="1" t="s">
        <v>31</v>
      </c>
      <c r="E34" s="14" t="s">
        <v>27</v>
      </c>
      <c r="F34" s="49">
        <v>656529</v>
      </c>
      <c r="S34" s="126"/>
      <c r="T34" s="77"/>
      <c r="AI34" s="129">
        <f>SUM(AI30:AI33)</f>
        <v>3417131.12</v>
      </c>
      <c r="AJ34" s="129">
        <f t="shared" ref="AJ34:AM34" si="34">SUM(AJ30:AJ33)</f>
        <v>0</v>
      </c>
      <c r="AK34" s="129">
        <f t="shared" si="34"/>
        <v>166075</v>
      </c>
      <c r="AL34" s="156">
        <f t="shared" si="34"/>
        <v>3251056.12</v>
      </c>
      <c r="AM34" s="129">
        <f t="shared" si="34"/>
        <v>3251056.12</v>
      </c>
      <c r="AN34" s="129">
        <f>SUM(AN30:AN33)</f>
        <v>0</v>
      </c>
      <c r="AO34" s="77">
        <f>AI34+AJ34-AN34</f>
        <v>3417131.12</v>
      </c>
    </row>
    <row r="35" spans="2:41" s="125" customFormat="1" ht="16" thickTop="1" x14ac:dyDescent="0.35">
      <c r="B35" t="s">
        <v>29</v>
      </c>
      <c r="C35" s="1">
        <v>0</v>
      </c>
      <c r="D35" s="1" t="s">
        <v>31</v>
      </c>
      <c r="E35" s="1" t="s">
        <v>32</v>
      </c>
      <c r="F35" s="9">
        <v>312013</v>
      </c>
      <c r="S35" s="126"/>
      <c r="AG35" s="125" t="s">
        <v>46</v>
      </c>
      <c r="AI35" s="77">
        <f>+FB!AU5</f>
        <v>449547</v>
      </c>
      <c r="AJ35" s="124">
        <v>0</v>
      </c>
      <c r="AK35" s="77">
        <f>+FB!AV5</f>
        <v>41330</v>
      </c>
      <c r="AL35" s="126">
        <f t="shared" si="32"/>
        <v>408217</v>
      </c>
      <c r="AM35" s="124">
        <f>+FB!AW5</f>
        <v>408217</v>
      </c>
      <c r="AN35" s="77">
        <f t="shared" ref="AN35:AN39" si="35">+AL35-AM35</f>
        <v>0</v>
      </c>
    </row>
    <row r="36" spans="2:41" s="125" customFormat="1" x14ac:dyDescent="0.35">
      <c r="B36" t="s">
        <v>29</v>
      </c>
      <c r="C36" s="1">
        <v>0</v>
      </c>
      <c r="D36" s="1" t="s">
        <v>31</v>
      </c>
      <c r="E36" s="1" t="s">
        <v>33</v>
      </c>
      <c r="F36" s="9">
        <v>884086</v>
      </c>
      <c r="S36" s="126"/>
      <c r="AG36" s="125" t="s">
        <v>47</v>
      </c>
      <c r="AI36" s="77">
        <f>+FB!AU6</f>
        <v>79469</v>
      </c>
      <c r="AJ36" s="124">
        <v>0</v>
      </c>
      <c r="AK36" s="77">
        <f>+FB!AV6</f>
        <v>7324</v>
      </c>
      <c r="AL36" s="126">
        <f t="shared" si="32"/>
        <v>72145</v>
      </c>
      <c r="AM36" s="124">
        <f>+FB!AW6</f>
        <v>72145</v>
      </c>
      <c r="AN36" s="77">
        <f t="shared" si="35"/>
        <v>0</v>
      </c>
    </row>
    <row r="37" spans="2:41" s="125" customFormat="1" x14ac:dyDescent="0.35">
      <c r="B37" t="s">
        <v>30</v>
      </c>
      <c r="C37" s="1">
        <v>0</v>
      </c>
      <c r="D37" s="1" t="s">
        <v>31</v>
      </c>
      <c r="E37" s="1" t="s">
        <v>27</v>
      </c>
      <c r="F37" s="49">
        <v>82976</v>
      </c>
      <c r="S37" s="126"/>
      <c r="AG37" s="125" t="s">
        <v>48</v>
      </c>
      <c r="AI37" s="77">
        <f>+FB!AU9</f>
        <v>1378390</v>
      </c>
      <c r="AJ37" s="124">
        <v>0</v>
      </c>
      <c r="AK37" s="77">
        <f>+FB!AV9</f>
        <v>126724</v>
      </c>
      <c r="AL37" s="126">
        <f t="shared" si="32"/>
        <v>1251666</v>
      </c>
      <c r="AM37" s="124">
        <f>+FB!AW9</f>
        <v>1251666</v>
      </c>
      <c r="AN37" s="77">
        <f t="shared" si="35"/>
        <v>0</v>
      </c>
    </row>
    <row r="38" spans="2:41" s="125" customFormat="1" x14ac:dyDescent="0.35">
      <c r="S38" s="126"/>
      <c r="AG38" s="125" t="s">
        <v>49</v>
      </c>
      <c r="AI38" s="77">
        <f>+FB!AU10+FB!AU11</f>
        <v>757437</v>
      </c>
      <c r="AJ38" s="127">
        <v>0</v>
      </c>
      <c r="AK38" s="77">
        <f>+FB!AV10+FB!AV11</f>
        <v>69815</v>
      </c>
      <c r="AL38" s="157">
        <f t="shared" si="32"/>
        <v>687622</v>
      </c>
      <c r="AM38" s="127">
        <f>+FB!AW10+FB!AW11</f>
        <v>687622</v>
      </c>
      <c r="AN38" s="77">
        <f t="shared" si="35"/>
        <v>0</v>
      </c>
    </row>
    <row r="39" spans="2:41" s="125" customFormat="1" x14ac:dyDescent="0.35">
      <c r="S39" s="126"/>
      <c r="AG39" s="125" t="s">
        <v>216</v>
      </c>
      <c r="AI39" s="77">
        <f>+FB!AU14</f>
        <v>1252578.6499999999</v>
      </c>
      <c r="AJ39" s="127">
        <v>0</v>
      </c>
      <c r="AK39" s="77">
        <f>+FB!AV14</f>
        <v>119037</v>
      </c>
      <c r="AL39" s="157">
        <f t="shared" si="32"/>
        <v>1133541.6499999999</v>
      </c>
      <c r="AM39" s="127">
        <f>+FB!AW14</f>
        <v>1133541.6499999999</v>
      </c>
      <c r="AN39" s="77">
        <f t="shared" si="35"/>
        <v>0</v>
      </c>
    </row>
    <row r="40" spans="2:41" s="125" customFormat="1" ht="16" thickBot="1" x14ac:dyDescent="0.4">
      <c r="B40"/>
      <c r="C40" s="3"/>
      <c r="D40"/>
      <c r="E40" s="3"/>
      <c r="F40" s="13"/>
      <c r="S40" s="126"/>
      <c r="AI40" s="129">
        <f>SUM(AI35:AI39)</f>
        <v>3917421.65</v>
      </c>
      <c r="AJ40" s="129">
        <f t="shared" ref="AJ40:AK40" si="36">SUM(AJ35:AJ39)</f>
        <v>0</v>
      </c>
      <c r="AK40" s="129">
        <f t="shared" si="36"/>
        <v>364230</v>
      </c>
      <c r="AL40" s="156">
        <f>SUM(AL35:AL39)</f>
        <v>3553191.65</v>
      </c>
      <c r="AM40" s="129">
        <f>SUM(AM35:AM39)</f>
        <v>3553191.65</v>
      </c>
      <c r="AN40" s="129">
        <f>SUM(AN35:AN39)</f>
        <v>0</v>
      </c>
      <c r="AO40" s="77">
        <f>AI40+AJ40-AN40</f>
        <v>3917421.65</v>
      </c>
    </row>
    <row r="41" spans="2:41" s="125" customFormat="1" ht="16" thickTop="1" x14ac:dyDescent="0.35">
      <c r="F41" s="124"/>
      <c r="S41" s="126"/>
      <c r="AG41" s="125" t="s">
        <v>69</v>
      </c>
      <c r="AI41" s="77">
        <f>+'P&amp;M'!AW16+'P&amp;M'!AW32</f>
        <v>2873298</v>
      </c>
      <c r="AJ41" s="124">
        <v>0</v>
      </c>
      <c r="AK41" s="77">
        <f>+'P&amp;M'!AX32</f>
        <v>33460</v>
      </c>
      <c r="AL41" s="126">
        <f t="shared" si="32"/>
        <v>2839838</v>
      </c>
      <c r="AM41" s="124">
        <f>+'P&amp;M'!AY16+'P&amp;M'!AY32</f>
        <v>2839838</v>
      </c>
      <c r="AN41" s="77">
        <f t="shared" ref="AN41:AN50" si="37">+AL41-AM41</f>
        <v>0</v>
      </c>
    </row>
    <row r="42" spans="2:41" s="125" customFormat="1" x14ac:dyDescent="0.35">
      <c r="F42" s="124"/>
      <c r="S42" s="124"/>
      <c r="AG42" s="125" t="s">
        <v>71</v>
      </c>
      <c r="AI42" s="77">
        <f>+'P&amp;M'!AW30</f>
        <v>1761188</v>
      </c>
      <c r="AJ42" s="124">
        <f>+'P&amp;M'!AP30</f>
        <v>0</v>
      </c>
      <c r="AK42" s="77">
        <f>+'P&amp;M'!AV30</f>
        <v>0</v>
      </c>
      <c r="AL42" s="126">
        <f t="shared" si="32"/>
        <v>1761188</v>
      </c>
      <c r="AM42" s="124">
        <f>+'P&amp;M'!AW30</f>
        <v>1761188</v>
      </c>
      <c r="AN42" s="77">
        <f t="shared" si="37"/>
        <v>0</v>
      </c>
    </row>
    <row r="43" spans="2:41" s="125" customFormat="1" x14ac:dyDescent="0.35">
      <c r="S43" s="124"/>
      <c r="AG43" s="125" t="s">
        <v>78</v>
      </c>
      <c r="AI43" s="77">
        <f>+E.I!AV9</f>
        <v>467882</v>
      </c>
      <c r="AJ43" s="124">
        <v>0</v>
      </c>
      <c r="AK43" s="77">
        <f>+E.I!AW9</f>
        <v>2356</v>
      </c>
      <c r="AL43" s="126">
        <f t="shared" si="32"/>
        <v>465526</v>
      </c>
      <c r="AM43" s="124">
        <f>+E.I!AX9</f>
        <v>465526</v>
      </c>
      <c r="AN43" s="77">
        <f t="shared" si="37"/>
        <v>0</v>
      </c>
    </row>
    <row r="44" spans="2:41" s="125" customFormat="1" x14ac:dyDescent="0.35">
      <c r="S44" s="124"/>
      <c r="AG44" s="125" t="s">
        <v>79</v>
      </c>
      <c r="AI44" s="77">
        <f>+E.I!AV14</f>
        <v>535616.26</v>
      </c>
      <c r="AJ44" s="124">
        <v>0</v>
      </c>
      <c r="AK44" s="77">
        <f>+E.I!AW14</f>
        <v>22986</v>
      </c>
      <c r="AL44" s="126">
        <f t="shared" si="32"/>
        <v>512630.26</v>
      </c>
      <c r="AM44" s="124">
        <f>+E.I!AX14</f>
        <v>512630.26</v>
      </c>
      <c r="AN44" s="77">
        <f t="shared" si="37"/>
        <v>0</v>
      </c>
    </row>
    <row r="45" spans="2:41" s="125" customFormat="1" x14ac:dyDescent="0.35">
      <c r="S45" s="124"/>
      <c r="AG45" s="125" t="s">
        <v>76</v>
      </c>
      <c r="AI45" s="77">
        <f>+GENERATOR!AU9</f>
        <v>276216</v>
      </c>
      <c r="AJ45" s="124">
        <v>0</v>
      </c>
      <c r="AK45" s="77">
        <f>+GENERATOR!AV9</f>
        <v>16491</v>
      </c>
      <c r="AL45" s="126">
        <f t="shared" si="32"/>
        <v>259725</v>
      </c>
      <c r="AM45" s="124">
        <f>+GENERATOR!AW9</f>
        <v>259725</v>
      </c>
      <c r="AN45" s="77">
        <f t="shared" si="37"/>
        <v>0</v>
      </c>
    </row>
    <row r="46" spans="2:41" s="125" customFormat="1" x14ac:dyDescent="0.35">
      <c r="AG46" s="125" t="s">
        <v>74</v>
      </c>
      <c r="AI46" s="77">
        <f>+LAB!AV7</f>
        <v>19620</v>
      </c>
      <c r="AJ46" s="124">
        <v>0</v>
      </c>
      <c r="AK46" s="77">
        <f>LAB!AU7</f>
        <v>0</v>
      </c>
      <c r="AL46" s="126">
        <f t="shared" si="32"/>
        <v>19620</v>
      </c>
      <c r="AM46" s="124">
        <f>+LAB!AX7</f>
        <v>19620</v>
      </c>
      <c r="AN46" s="77">
        <f t="shared" si="37"/>
        <v>0</v>
      </c>
    </row>
    <row r="47" spans="2:41" s="125" customFormat="1" x14ac:dyDescent="0.35">
      <c r="AG47" s="125" t="s">
        <v>67</v>
      </c>
      <c r="AI47" s="77">
        <f>+MHE!AU6</f>
        <v>77479</v>
      </c>
      <c r="AJ47" s="124">
        <v>0</v>
      </c>
      <c r="AK47" s="77">
        <f>MHE!AT6</f>
        <v>0</v>
      </c>
      <c r="AL47" s="126">
        <f t="shared" si="32"/>
        <v>77479</v>
      </c>
      <c r="AM47" s="124">
        <f>+MHE!AW6</f>
        <v>77479</v>
      </c>
      <c r="AN47" s="77">
        <f t="shared" si="37"/>
        <v>0</v>
      </c>
    </row>
    <row r="48" spans="2:41" s="125" customFormat="1" x14ac:dyDescent="0.35">
      <c r="AG48" s="125" t="s">
        <v>66</v>
      </c>
      <c r="AI48" s="77">
        <f>+MHE!AU10</f>
        <v>958067</v>
      </c>
      <c r="AJ48" s="124">
        <v>0</v>
      </c>
      <c r="AK48" s="77">
        <f>+MHE!AV10</f>
        <v>167109</v>
      </c>
      <c r="AL48" s="126">
        <f t="shared" si="32"/>
        <v>790958</v>
      </c>
      <c r="AM48" s="124">
        <f>+MHE!AW10</f>
        <v>790958</v>
      </c>
      <c r="AN48" s="77">
        <f>+AL48-AM48</f>
        <v>0</v>
      </c>
    </row>
    <row r="49" spans="6:41" s="125" customFormat="1" x14ac:dyDescent="0.35">
      <c r="AG49" s="125" t="s">
        <v>62</v>
      </c>
      <c r="AI49" s="77">
        <f>+WB!AU7</f>
        <v>27355</v>
      </c>
      <c r="AJ49" s="124">
        <v>0</v>
      </c>
      <c r="AK49" s="77">
        <f>WB!AT7</f>
        <v>0</v>
      </c>
      <c r="AL49" s="126">
        <f t="shared" si="32"/>
        <v>27355</v>
      </c>
      <c r="AM49" s="124">
        <f>+WB!AU7</f>
        <v>27355</v>
      </c>
      <c r="AN49" s="77">
        <f t="shared" si="37"/>
        <v>0</v>
      </c>
    </row>
    <row r="50" spans="6:41" s="125" customFormat="1" x14ac:dyDescent="0.35">
      <c r="AG50" s="125" t="s">
        <v>63</v>
      </c>
      <c r="AI50" s="78">
        <f>+WB!AU10</f>
        <v>17373</v>
      </c>
      <c r="AJ50" s="128">
        <v>0</v>
      </c>
      <c r="AK50" s="128">
        <f>+WB!AV10</f>
        <v>2247</v>
      </c>
      <c r="AL50" s="158">
        <f t="shared" si="32"/>
        <v>15126</v>
      </c>
      <c r="AM50" s="128">
        <f>+WB!AW10</f>
        <v>15126</v>
      </c>
      <c r="AN50" s="77">
        <f t="shared" si="37"/>
        <v>0</v>
      </c>
    </row>
    <row r="51" spans="6:41" s="125" customFormat="1" ht="16" thickBot="1" x14ac:dyDescent="0.4">
      <c r="AI51" s="129">
        <f t="shared" ref="AI51:AN51" si="38">SUM(AI41:AI50)</f>
        <v>7014094.2599999998</v>
      </c>
      <c r="AJ51" s="129">
        <f t="shared" si="38"/>
        <v>0</v>
      </c>
      <c r="AK51" s="129">
        <f t="shared" si="38"/>
        <v>244649</v>
      </c>
      <c r="AL51" s="156">
        <f t="shared" si="38"/>
        <v>6769445.2599999998</v>
      </c>
      <c r="AM51" s="129">
        <f t="shared" si="38"/>
        <v>6769445.2599999998</v>
      </c>
      <c r="AN51" s="123">
        <f t="shared" si="38"/>
        <v>0</v>
      </c>
      <c r="AO51" s="77">
        <f>AI51+AJ51-AN51</f>
        <v>7014094.2599999998</v>
      </c>
    </row>
    <row r="52" spans="6:41" s="125" customFormat="1" ht="16" thickTop="1" x14ac:dyDescent="0.35">
      <c r="AG52" s="125" t="s">
        <v>58</v>
      </c>
      <c r="AI52" s="77">
        <f>+PCU!AV6</f>
        <v>213729</v>
      </c>
      <c r="AJ52" s="124">
        <v>0</v>
      </c>
      <c r="AK52" s="77">
        <f>+PCU!AS6</f>
        <v>0</v>
      </c>
      <c r="AL52" s="126">
        <f t="shared" si="32"/>
        <v>213729</v>
      </c>
      <c r="AM52" s="124">
        <f>+PCU!AV6</f>
        <v>213729</v>
      </c>
      <c r="AN52" s="77">
        <f t="shared" ref="AN52:AN54" si="39">+AL52-AM52</f>
        <v>0</v>
      </c>
    </row>
    <row r="53" spans="6:41" s="125" customFormat="1" x14ac:dyDescent="0.35">
      <c r="AG53" s="125" t="s">
        <v>59</v>
      </c>
      <c r="AI53" s="77">
        <f>+PCU!AV12</f>
        <v>529237</v>
      </c>
      <c r="AJ53" s="124">
        <v>0</v>
      </c>
      <c r="AK53" s="77">
        <f>+PCU!AW12</f>
        <v>33503</v>
      </c>
      <c r="AL53" s="126">
        <f t="shared" si="32"/>
        <v>495734</v>
      </c>
      <c r="AM53" s="124">
        <f>+PCU!AX12</f>
        <v>495734</v>
      </c>
      <c r="AN53" s="77">
        <f t="shared" si="39"/>
        <v>0</v>
      </c>
    </row>
    <row r="54" spans="6:41" s="125" customFormat="1" x14ac:dyDescent="0.35">
      <c r="AG54" s="125" t="s">
        <v>60</v>
      </c>
      <c r="AI54" s="78">
        <f>+PCU!AV16</f>
        <v>483753</v>
      </c>
      <c r="AJ54" s="128">
        <v>0</v>
      </c>
      <c r="AK54" s="78">
        <f>+PCU!AU16</f>
        <v>0</v>
      </c>
      <c r="AL54" s="158">
        <f t="shared" si="32"/>
        <v>483753</v>
      </c>
      <c r="AM54" s="128">
        <f>+PCU!AV16</f>
        <v>483753</v>
      </c>
      <c r="AN54" s="77">
        <f t="shared" si="39"/>
        <v>0</v>
      </c>
    </row>
    <row r="55" spans="6:41" s="125" customFormat="1" ht="16" thickBot="1" x14ac:dyDescent="0.4">
      <c r="AI55" s="129">
        <f>SUM(AI52:AI54)</f>
        <v>1226719</v>
      </c>
      <c r="AJ55" s="129">
        <f t="shared" ref="AJ55:AM55" si="40">SUM(AJ52:AJ54)</f>
        <v>0</v>
      </c>
      <c r="AK55" s="129">
        <f t="shared" si="40"/>
        <v>33503</v>
      </c>
      <c r="AL55" s="156">
        <f>SUM(AL52:AL54)</f>
        <v>1193216</v>
      </c>
      <c r="AM55" s="129">
        <f t="shared" si="40"/>
        <v>1193216</v>
      </c>
      <c r="AN55" s="129">
        <f>SUM(AN52:AN54)</f>
        <v>0</v>
      </c>
      <c r="AO55" s="77">
        <f>AI55+AJ55-AN55</f>
        <v>1226719</v>
      </c>
    </row>
    <row r="56" spans="6:41" s="125" customFormat="1" ht="16" thickTop="1" x14ac:dyDescent="0.35">
      <c r="AG56" s="125" t="s">
        <v>101</v>
      </c>
      <c r="AI56" s="77">
        <f>+VEH!AV8</f>
        <v>1436444</v>
      </c>
      <c r="AJ56" s="124">
        <v>0</v>
      </c>
      <c r="AK56" s="77">
        <f>+VEH!AW8</f>
        <v>425150</v>
      </c>
      <c r="AL56" s="126">
        <f t="shared" si="32"/>
        <v>1011294</v>
      </c>
      <c r="AM56" s="124">
        <f>+VEH!AX8</f>
        <v>1011294</v>
      </c>
      <c r="AN56" s="77">
        <f t="shared" ref="AN56:AN57" si="41">+AL56-AM56</f>
        <v>0</v>
      </c>
    </row>
    <row r="57" spans="6:41" s="125" customFormat="1" x14ac:dyDescent="0.35">
      <c r="AG57" s="125" t="s">
        <v>98</v>
      </c>
      <c r="AI57" s="78">
        <f>+VEH!AV15</f>
        <v>9740</v>
      </c>
      <c r="AJ57" s="128">
        <f>+VEH!F14</f>
        <v>78434.03</v>
      </c>
      <c r="AK57" s="78">
        <f>+VEH!AW15</f>
        <v>14563</v>
      </c>
      <c r="AL57" s="158">
        <f t="shared" si="32"/>
        <v>73611.03</v>
      </c>
      <c r="AM57" s="128">
        <f>+VEH!AX15</f>
        <v>73611.03</v>
      </c>
      <c r="AN57" s="77">
        <f t="shared" si="41"/>
        <v>0</v>
      </c>
    </row>
    <row r="58" spans="6:41" s="125" customFormat="1" ht="16" thickBot="1" x14ac:dyDescent="0.4">
      <c r="F58" s="125">
        <v>12462813.68</v>
      </c>
      <c r="AI58" s="129">
        <f>SUM(AI56:AI57)</f>
        <v>1446184</v>
      </c>
      <c r="AJ58" s="129">
        <f t="shared" ref="AJ58:AM58" si="42">SUM(AJ56:AJ57)</f>
        <v>78434.03</v>
      </c>
      <c r="AK58" s="129">
        <f t="shared" si="42"/>
        <v>439713</v>
      </c>
      <c r="AL58" s="156">
        <f>SUM(AL56:AL57)</f>
        <v>1084905.03</v>
      </c>
      <c r="AM58" s="129">
        <f t="shared" si="42"/>
        <v>1084905.03</v>
      </c>
      <c r="AN58" s="123">
        <f>SUM(AN56:AN57)</f>
        <v>0</v>
      </c>
      <c r="AO58" s="77">
        <f>AI58+AJ58-AN58</f>
        <v>1524618.03</v>
      </c>
    </row>
    <row r="59" spans="6:41" s="125" customFormat="1" ht="16" thickTop="1" x14ac:dyDescent="0.35">
      <c r="F59" s="125">
        <v>115426.5</v>
      </c>
      <c r="AG59" s="125" t="s">
        <v>81</v>
      </c>
      <c r="AI59" s="77">
        <f>+'F&amp;F'!AV11</f>
        <v>14668</v>
      </c>
      <c r="AJ59" s="124">
        <f>+'F&amp;F'!F10</f>
        <v>24576.27</v>
      </c>
      <c r="AK59" s="77">
        <f>+'F&amp;F'!AW11</f>
        <v>5924</v>
      </c>
      <c r="AL59" s="126">
        <f t="shared" si="32"/>
        <v>33320.270000000004</v>
      </c>
      <c r="AM59" s="124">
        <f>+'F&amp;F'!AX11</f>
        <v>33320.270000000004</v>
      </c>
      <c r="AN59" s="77">
        <f t="shared" ref="AN59:AN61" si="43">+AL59-AM59</f>
        <v>0</v>
      </c>
    </row>
    <row r="60" spans="6:41" s="125" customFormat="1" x14ac:dyDescent="0.35">
      <c r="F60" s="125">
        <v>1500042.42</v>
      </c>
      <c r="AG60" s="125" t="s">
        <v>83</v>
      </c>
      <c r="AI60" s="77">
        <f>+O.E!AV29</f>
        <v>127904.44</v>
      </c>
      <c r="AJ60" s="124">
        <f>+O.E!F22+O.E!F23+O.E!F24+O.E!F25+O.E!F26+O.E!F27+O.E!F28</f>
        <v>874014.86</v>
      </c>
      <c r="AK60" s="77">
        <f>+O.E!AW29</f>
        <v>175746</v>
      </c>
      <c r="AL60" s="126">
        <f>+AI60+AJ60-AK60</f>
        <v>826173.3</v>
      </c>
      <c r="AM60" s="124">
        <f>+O.E!AX29</f>
        <v>826173.3</v>
      </c>
      <c r="AN60" s="77">
        <f t="shared" si="43"/>
        <v>0</v>
      </c>
    </row>
    <row r="61" spans="6:41" s="125" customFormat="1" x14ac:dyDescent="0.35">
      <c r="F61" s="125">
        <f>SUM(F58:F60)</f>
        <v>14078282.6</v>
      </c>
      <c r="AG61" s="125" t="s">
        <v>85</v>
      </c>
      <c r="AI61" s="77">
        <f>+Comp!AN29</f>
        <v>11907.67</v>
      </c>
      <c r="AJ61" s="124">
        <f>+Comp!F20+Comp!F21+Comp!F22+Comp!F23+Comp!F24+Comp!F25+Comp!F26+Comp!F27+Comp!F28</f>
        <v>474372.46</v>
      </c>
      <c r="AK61" s="77">
        <f>+Comp!AO29</f>
        <v>159235</v>
      </c>
      <c r="AL61" s="126">
        <f>+AI61+AJ61-AK61</f>
        <v>327045.13</v>
      </c>
      <c r="AM61" s="124">
        <f>+Comp!AP29</f>
        <v>327045.13</v>
      </c>
      <c r="AN61" s="77">
        <f t="shared" si="43"/>
        <v>0</v>
      </c>
    </row>
    <row r="62" spans="6:41" s="125" customFormat="1" ht="16" thickBot="1" x14ac:dyDescent="0.4">
      <c r="AI62" s="123">
        <f>SUM(AI59:AI61)</f>
        <v>154480.11000000002</v>
      </c>
      <c r="AJ62" s="123">
        <f t="shared" ref="AJ62:AN62" si="44">SUM(AJ59:AJ61)</f>
        <v>1372963.59</v>
      </c>
      <c r="AK62" s="123">
        <f t="shared" si="44"/>
        <v>340905</v>
      </c>
      <c r="AL62" s="159">
        <f t="shared" si="44"/>
        <v>1186538.7000000002</v>
      </c>
      <c r="AM62" s="123">
        <f t="shared" si="44"/>
        <v>1186538.7000000002</v>
      </c>
      <c r="AN62" s="123">
        <f t="shared" si="44"/>
        <v>0</v>
      </c>
      <c r="AO62" s="77">
        <f>AI62+AJ62-AN62</f>
        <v>1527443.7000000002</v>
      </c>
    </row>
    <row r="63" spans="6:41" s="125" customFormat="1" ht="16.5" thickTop="1" thickBot="1" x14ac:dyDescent="0.4">
      <c r="AI63" s="130">
        <f>ROUND(+AI29+AI34+AI40+AI51+AI55+AI58+AI59+AI60+AI61,0)</f>
        <v>18723303</v>
      </c>
      <c r="AJ63" s="130">
        <f>ROUND(+AJ29+AJ34+AJ40+AJ51+AJ55+AJ58+AJ59+AJ60+AJ61,0)</f>
        <v>1451398</v>
      </c>
      <c r="AK63" s="130">
        <f>ROUND(+AK29+AK34+AK40+AK51+AK55+AK58+AK59+AK60+AK61,0)</f>
        <v>1589075</v>
      </c>
      <c r="AL63" s="160">
        <f>ROUND(+AL29+AL34+AL40+AL51+AL55+AL58+AL59+AL60+AL61,0)</f>
        <v>18585626</v>
      </c>
      <c r="AM63" s="130">
        <f>+AM29+AM34+AM40+AM51+AM55+AM58+AM59+AM60+AM61</f>
        <v>18585625.759999998</v>
      </c>
      <c r="AN63" s="131">
        <f>SUM(AN59:AN61)</f>
        <v>0</v>
      </c>
      <c r="AO63" s="77"/>
    </row>
    <row r="64" spans="6:41" x14ac:dyDescent="0.35">
      <c r="AL64" s="8">
        <f>+AI63+AJ63-AK63</f>
        <v>18585626</v>
      </c>
    </row>
    <row r="65" spans="21:41" x14ac:dyDescent="0.35">
      <c r="AK65" s="9"/>
      <c r="AL65" s="8"/>
      <c r="AN65" s="11">
        <f>AN63+AN58+AN55+AN51+AN40+AN34</f>
        <v>0</v>
      </c>
    </row>
    <row r="66" spans="21:41" x14ac:dyDescent="0.35">
      <c r="AI66" s="194" t="s">
        <v>256</v>
      </c>
      <c r="AJ66" s="194"/>
      <c r="AL66" s="8"/>
      <c r="AO66" s="11">
        <f>SUM(AO29:AO63)</f>
        <v>20174700.760000002</v>
      </c>
    </row>
    <row r="67" spans="21:41" x14ac:dyDescent="0.35">
      <c r="X67" s="11"/>
      <c r="AC67" s="11"/>
      <c r="AI67" t="s">
        <v>257</v>
      </c>
      <c r="AL67" s="8">
        <v>1110952.1499999999</v>
      </c>
    </row>
    <row r="68" spans="21:41" x14ac:dyDescent="0.35">
      <c r="X68" s="11"/>
      <c r="AC68" s="11"/>
      <c r="AI68" t="s">
        <v>215</v>
      </c>
      <c r="AL68" s="8">
        <v>93588.73</v>
      </c>
    </row>
    <row r="69" spans="21:41" x14ac:dyDescent="0.35">
      <c r="U69" s="120"/>
      <c r="V69" s="120"/>
      <c r="W69" s="120"/>
      <c r="X69" s="120"/>
      <c r="Y69" s="120"/>
      <c r="Z69" s="161"/>
      <c r="AA69" s="120"/>
      <c r="AI69" t="s">
        <v>258</v>
      </c>
      <c r="AL69" s="8">
        <v>98795145.5</v>
      </c>
    </row>
    <row r="70" spans="21:41" x14ac:dyDescent="0.35">
      <c r="W70" s="111" t="s">
        <v>233</v>
      </c>
      <c r="X70" s="111"/>
      <c r="Y70" s="111"/>
      <c r="Z70" s="162"/>
      <c r="AI70" t="s">
        <v>259</v>
      </c>
      <c r="AL70" s="8">
        <v>240697915.19999999</v>
      </c>
    </row>
    <row r="71" spans="21:41" x14ac:dyDescent="0.35">
      <c r="U71" s="115"/>
      <c r="W71" s="165"/>
      <c r="X71" s="165"/>
      <c r="Y71" s="79"/>
      <c r="Z71" s="185"/>
      <c r="AI71" t="s">
        <v>260</v>
      </c>
      <c r="AL71" s="8">
        <v>126261208.11</v>
      </c>
    </row>
    <row r="72" spans="21:41" x14ac:dyDescent="0.35">
      <c r="U72" s="125"/>
      <c r="V72" s="125"/>
      <c r="W72" s="77"/>
      <c r="X72" s="127"/>
      <c r="Y72" s="77"/>
      <c r="Z72" s="157"/>
      <c r="AA72" s="127"/>
      <c r="AB72" s="77"/>
      <c r="AC72" s="125"/>
      <c r="AJ72" s="6" t="s">
        <v>261</v>
      </c>
      <c r="AL72" s="189">
        <f>SUM(AL67:AL71)</f>
        <v>466958809.69</v>
      </c>
    </row>
    <row r="73" spans="21:41" x14ac:dyDescent="0.35">
      <c r="U73" s="125"/>
      <c r="V73" s="125"/>
      <c r="W73" s="77"/>
      <c r="X73" s="77"/>
      <c r="Y73" s="77"/>
      <c r="Z73" s="157"/>
      <c r="AA73" s="127"/>
      <c r="AB73" s="77"/>
      <c r="AC73" s="125"/>
    </row>
    <row r="74" spans="21:41" x14ac:dyDescent="0.35">
      <c r="U74" s="125"/>
      <c r="V74" s="125"/>
      <c r="W74" s="77"/>
      <c r="X74" s="127"/>
      <c r="Y74" s="77"/>
      <c r="Z74" s="157"/>
      <c r="AA74" s="127"/>
      <c r="AB74" s="77"/>
      <c r="AC74" s="125"/>
    </row>
    <row r="75" spans="21:41" x14ac:dyDescent="0.35">
      <c r="U75" s="125"/>
      <c r="V75" s="125"/>
      <c r="W75" s="186"/>
      <c r="X75" s="186"/>
      <c r="Y75" s="186"/>
      <c r="Z75" s="187"/>
      <c r="AA75" s="186"/>
      <c r="AB75" s="77"/>
      <c r="AC75" s="77">
        <v>7036809</v>
      </c>
    </row>
    <row r="76" spans="21:41" x14ac:dyDescent="0.35">
      <c r="U76" s="125"/>
      <c r="V76" s="125"/>
      <c r="W76" s="77"/>
      <c r="X76" s="127"/>
      <c r="Y76" s="77"/>
      <c r="Z76" s="157"/>
      <c r="AA76" s="127"/>
      <c r="AB76" s="50"/>
      <c r="AC76" s="125"/>
    </row>
    <row r="77" spans="21:41" x14ac:dyDescent="0.35">
      <c r="U77" s="125"/>
      <c r="V77" s="125"/>
      <c r="W77" s="77"/>
      <c r="X77" s="127"/>
      <c r="Y77" s="77"/>
      <c r="Z77" s="157"/>
      <c r="AA77" s="127"/>
      <c r="AB77" s="77"/>
      <c r="AC77" s="125"/>
    </row>
    <row r="78" spans="21:41" x14ac:dyDescent="0.35">
      <c r="U78" s="125"/>
      <c r="V78" s="125"/>
      <c r="W78" s="77"/>
      <c r="X78" s="127"/>
      <c r="Y78" s="77"/>
      <c r="Z78" s="157"/>
      <c r="AA78" s="127"/>
      <c r="AB78" s="77"/>
      <c r="AC78" s="125"/>
    </row>
    <row r="79" spans="21:41" x14ac:dyDescent="0.35">
      <c r="U79" s="125"/>
      <c r="V79" s="125"/>
      <c r="W79" s="77"/>
      <c r="X79" s="127"/>
      <c r="Y79" s="77"/>
      <c r="Z79" s="157"/>
      <c r="AA79" s="127"/>
      <c r="AB79" s="77"/>
      <c r="AC79" s="125"/>
    </row>
    <row r="80" spans="21:41" x14ac:dyDescent="0.35">
      <c r="U80" s="125"/>
      <c r="V80" s="125"/>
      <c r="W80" s="186"/>
      <c r="X80" s="186"/>
      <c r="Y80" s="186"/>
      <c r="Z80" s="187"/>
      <c r="AA80" s="186"/>
      <c r="AB80" s="186"/>
      <c r="AC80" s="77">
        <v>3958636.12</v>
      </c>
    </row>
    <row r="81" spans="21:29" x14ac:dyDescent="0.35">
      <c r="U81" s="125"/>
      <c r="V81" s="125"/>
      <c r="W81" s="77"/>
      <c r="X81" s="127"/>
      <c r="Y81" s="77"/>
      <c r="Z81" s="157"/>
      <c r="AA81" s="127"/>
      <c r="AB81" s="77"/>
      <c r="AC81" s="125"/>
    </row>
    <row r="82" spans="21:29" x14ac:dyDescent="0.35">
      <c r="U82" s="125"/>
      <c r="V82" s="125"/>
      <c r="W82" s="77"/>
      <c r="X82" s="127"/>
      <c r="Y82" s="77"/>
      <c r="Z82" s="157"/>
      <c r="AA82" s="127"/>
      <c r="AB82" s="77"/>
      <c r="AC82" s="125"/>
    </row>
    <row r="83" spans="21:29" x14ac:dyDescent="0.35">
      <c r="U83" s="125"/>
      <c r="V83" s="125"/>
      <c r="W83" s="77"/>
      <c r="X83" s="127"/>
      <c r="Y83" s="77"/>
      <c r="Z83" s="157"/>
      <c r="AA83" s="127"/>
      <c r="AB83" s="77"/>
      <c r="AC83" s="125"/>
    </row>
    <row r="84" spans="21:29" x14ac:dyDescent="0.35">
      <c r="U84" s="125"/>
      <c r="V84" s="125"/>
      <c r="W84" s="77"/>
      <c r="X84" s="127"/>
      <c r="Y84" s="77"/>
      <c r="Z84" s="157"/>
      <c r="AA84" s="127"/>
      <c r="AB84" s="77"/>
      <c r="AC84" s="125"/>
    </row>
    <row r="85" spans="21:29" x14ac:dyDescent="0.35">
      <c r="U85" s="125"/>
      <c r="V85" s="125"/>
      <c r="W85" s="77"/>
      <c r="X85" s="127"/>
      <c r="Y85" s="77"/>
      <c r="Z85" s="157"/>
      <c r="AA85" s="127"/>
      <c r="AB85" s="77"/>
      <c r="AC85" s="125"/>
    </row>
    <row r="86" spans="21:29" x14ac:dyDescent="0.35">
      <c r="U86" s="125"/>
      <c r="V86" s="125"/>
      <c r="W86" s="186"/>
      <c r="X86" s="186"/>
      <c r="Y86" s="186"/>
      <c r="Z86" s="187"/>
      <c r="AA86" s="186"/>
      <c r="AB86" s="186"/>
      <c r="AC86" s="77">
        <v>5204502.6500000004</v>
      </c>
    </row>
    <row r="87" spans="21:29" x14ac:dyDescent="0.35">
      <c r="U87" s="125"/>
      <c r="V87" s="125"/>
      <c r="W87" s="77"/>
      <c r="X87" s="127"/>
      <c r="Y87" s="77"/>
      <c r="Z87" s="157"/>
      <c r="AA87" s="127"/>
      <c r="AB87" s="77"/>
      <c r="AC87" s="125"/>
    </row>
    <row r="88" spans="21:29" x14ac:dyDescent="0.35">
      <c r="U88" s="125"/>
      <c r="V88" s="125"/>
      <c r="W88" s="77"/>
      <c r="X88" s="127"/>
      <c r="Y88" s="77"/>
      <c r="Z88" s="157"/>
      <c r="AA88" s="127"/>
      <c r="AB88" s="77"/>
      <c r="AC88" s="125"/>
    </row>
    <row r="89" spans="21:29" x14ac:dyDescent="0.35">
      <c r="U89" s="125"/>
      <c r="V89" s="125"/>
      <c r="W89" s="77"/>
      <c r="X89" s="127"/>
      <c r="Y89" s="77"/>
      <c r="Z89" s="157"/>
      <c r="AA89" s="127"/>
      <c r="AB89" s="77"/>
      <c r="AC89" s="125"/>
    </row>
    <row r="90" spans="21:29" x14ac:dyDescent="0.35">
      <c r="U90" s="125"/>
      <c r="V90" s="125"/>
      <c r="W90" s="77"/>
      <c r="X90" s="127"/>
      <c r="Y90" s="77"/>
      <c r="Z90" s="157"/>
      <c r="AA90" s="127"/>
      <c r="AB90" s="77"/>
      <c r="AC90" s="125"/>
    </row>
    <row r="91" spans="21:29" x14ac:dyDescent="0.35">
      <c r="U91" s="125"/>
      <c r="V91" s="125"/>
      <c r="W91" s="77"/>
      <c r="X91" s="127"/>
      <c r="Y91" s="77"/>
      <c r="Z91" s="157"/>
      <c r="AA91" s="127"/>
      <c r="AB91" s="77"/>
      <c r="AC91" s="125"/>
    </row>
    <row r="92" spans="21:29" x14ac:dyDescent="0.35">
      <c r="U92" s="125"/>
      <c r="V92" s="125"/>
      <c r="W92" s="77"/>
      <c r="X92" s="127"/>
      <c r="Y92" s="77"/>
      <c r="Z92" s="157"/>
      <c r="AA92" s="127"/>
      <c r="AB92" s="77"/>
      <c r="AC92" s="125"/>
    </row>
    <row r="93" spans="21:29" x14ac:dyDescent="0.35">
      <c r="U93" s="125"/>
      <c r="V93" s="125"/>
      <c r="W93" s="77"/>
      <c r="X93" s="127"/>
      <c r="Y93" s="77"/>
      <c r="Z93" s="157"/>
      <c r="AA93" s="127"/>
      <c r="AB93" s="77"/>
      <c r="AC93" s="125"/>
    </row>
    <row r="94" spans="21:29" x14ac:dyDescent="0.35">
      <c r="U94" s="125"/>
      <c r="V94" s="125"/>
      <c r="W94" s="77"/>
      <c r="X94" s="127"/>
      <c r="Y94" s="77"/>
      <c r="Z94" s="157"/>
      <c r="AA94" s="127"/>
      <c r="AB94" s="77"/>
      <c r="AC94" s="125"/>
    </row>
    <row r="95" spans="21:29" x14ac:dyDescent="0.35">
      <c r="U95" s="125"/>
      <c r="V95" s="125"/>
      <c r="W95" s="77"/>
      <c r="X95" s="127"/>
      <c r="Y95" s="77"/>
      <c r="Z95" s="157"/>
      <c r="AA95" s="127"/>
      <c r="AB95" s="77"/>
      <c r="AC95" s="125"/>
    </row>
    <row r="96" spans="21:29" x14ac:dyDescent="0.35">
      <c r="U96" s="125"/>
      <c r="V96" s="125"/>
      <c r="W96" s="77"/>
      <c r="X96" s="127"/>
      <c r="Y96" s="127"/>
      <c r="Z96" s="157"/>
      <c r="AA96" s="127"/>
      <c r="AB96" s="77"/>
      <c r="AC96" s="125"/>
    </row>
    <row r="97" spans="21:29" ht="17" x14ac:dyDescent="0.5">
      <c r="U97" s="125"/>
      <c r="V97" s="125"/>
      <c r="W97" s="186"/>
      <c r="X97" s="186"/>
      <c r="Y97" s="186"/>
      <c r="Z97" s="187"/>
      <c r="AA97" s="186"/>
      <c r="AB97" s="188"/>
      <c r="AC97" s="77">
        <v>8118142.2599999998</v>
      </c>
    </row>
    <row r="98" spans="21:29" x14ac:dyDescent="0.35">
      <c r="U98" s="125"/>
      <c r="V98" s="125"/>
      <c r="W98" s="77"/>
      <c r="X98" s="127"/>
      <c r="Y98" s="77"/>
      <c r="Z98" s="157"/>
      <c r="AA98" s="127"/>
      <c r="AB98" s="77"/>
      <c r="AC98" s="125"/>
    </row>
    <row r="99" spans="21:29" x14ac:dyDescent="0.35">
      <c r="U99" s="125"/>
      <c r="V99" s="125"/>
      <c r="W99" s="77"/>
      <c r="X99" s="127"/>
      <c r="Y99" s="77"/>
      <c r="Z99" s="157"/>
      <c r="AA99" s="127"/>
      <c r="AB99" s="77"/>
      <c r="AC99" s="125"/>
    </row>
    <row r="100" spans="21:29" x14ac:dyDescent="0.35">
      <c r="U100" s="125"/>
      <c r="V100" s="125"/>
      <c r="W100" s="77"/>
      <c r="X100" s="127"/>
      <c r="Y100" s="77"/>
      <c r="Z100" s="157"/>
      <c r="AA100" s="127"/>
      <c r="AB100" s="77"/>
      <c r="AC100" s="125"/>
    </row>
    <row r="101" spans="21:29" x14ac:dyDescent="0.35">
      <c r="U101" s="125"/>
      <c r="V101" s="125"/>
      <c r="W101" s="186"/>
      <c r="X101" s="186"/>
      <c r="Y101" s="186"/>
      <c r="Z101" s="187"/>
      <c r="AA101" s="186"/>
      <c r="AB101" s="186"/>
      <c r="AC101" s="77">
        <v>1417140</v>
      </c>
    </row>
    <row r="102" spans="21:29" x14ac:dyDescent="0.35">
      <c r="U102" s="125"/>
      <c r="V102" s="125"/>
      <c r="W102" s="77"/>
      <c r="X102" s="127"/>
      <c r="Y102" s="77"/>
      <c r="Z102" s="157"/>
      <c r="AA102" s="127"/>
      <c r="AB102" s="77"/>
      <c r="AC102" s="125"/>
    </row>
    <row r="103" spans="21:29" x14ac:dyDescent="0.35">
      <c r="U103" s="125"/>
      <c r="V103" s="125"/>
      <c r="W103" s="77"/>
      <c r="X103" s="127"/>
      <c r="Y103" s="77"/>
      <c r="Z103" s="157"/>
      <c r="AA103" s="127"/>
      <c r="AB103" s="77"/>
      <c r="AC103" s="125"/>
    </row>
    <row r="104" spans="21:29" x14ac:dyDescent="0.35">
      <c r="U104" s="125"/>
      <c r="V104" s="125"/>
      <c r="W104" s="186"/>
      <c r="X104" s="186"/>
      <c r="Y104" s="186"/>
      <c r="Z104" s="187"/>
      <c r="AA104" s="186"/>
      <c r="AB104" s="77"/>
      <c r="AC104" s="77">
        <v>3866663</v>
      </c>
    </row>
    <row r="105" spans="21:29" x14ac:dyDescent="0.35">
      <c r="U105" s="125"/>
      <c r="V105" s="125"/>
      <c r="W105" s="77"/>
      <c r="X105" s="127"/>
      <c r="Y105" s="77"/>
      <c r="Z105" s="157"/>
      <c r="AA105" s="127"/>
      <c r="AB105" s="77"/>
      <c r="AC105" s="125"/>
    </row>
    <row r="106" spans="21:29" x14ac:dyDescent="0.35">
      <c r="U106" s="125"/>
      <c r="V106" s="125"/>
      <c r="W106" s="77"/>
      <c r="X106" s="127"/>
      <c r="Y106" s="77"/>
      <c r="Z106" s="157"/>
      <c r="AA106" s="127"/>
      <c r="AB106" s="77"/>
      <c r="AC106" s="125"/>
    </row>
    <row r="107" spans="21:29" x14ac:dyDescent="0.35">
      <c r="U107" s="125"/>
      <c r="V107" s="125"/>
      <c r="W107" s="77"/>
      <c r="X107" s="127"/>
      <c r="Y107" s="77"/>
      <c r="Z107" s="157"/>
      <c r="AA107" s="127"/>
      <c r="AB107" s="77"/>
      <c r="AC107" s="125"/>
    </row>
    <row r="108" spans="21:29" x14ac:dyDescent="0.35">
      <c r="U108" s="125"/>
      <c r="V108" s="125"/>
      <c r="W108" s="77"/>
      <c r="X108" s="77"/>
      <c r="Y108" s="77"/>
      <c r="Z108" s="157"/>
      <c r="AA108" s="77"/>
      <c r="AB108" s="77"/>
      <c r="AC108" s="77">
        <v>219077.78999999998</v>
      </c>
    </row>
    <row r="109" spans="21:29" x14ac:dyDescent="0.35">
      <c r="U109" s="125"/>
      <c r="V109" s="125"/>
      <c r="W109" s="186"/>
      <c r="X109" s="186"/>
      <c r="Y109" s="186"/>
      <c r="Z109" s="187"/>
      <c r="AA109" s="186"/>
      <c r="AB109" s="186"/>
      <c r="AC109" s="77"/>
    </row>
    <row r="110" spans="21:29" x14ac:dyDescent="0.35">
      <c r="Z110" s="112"/>
    </row>
    <row r="111" spans="21:29" x14ac:dyDescent="0.35">
      <c r="Y111" s="115"/>
      <c r="Z111" s="112"/>
      <c r="AB111" s="11"/>
    </row>
    <row r="112" spans="21:29" x14ac:dyDescent="0.35">
      <c r="X112" s="11"/>
      <c r="Z112" s="112"/>
      <c r="AC112" s="11">
        <v>29820970.82</v>
      </c>
    </row>
    <row r="113" spans="21:29" x14ac:dyDescent="0.35">
      <c r="X113" s="11"/>
      <c r="Z113" s="112"/>
      <c r="AC113" s="11"/>
    </row>
    <row r="114" spans="21:29" x14ac:dyDescent="0.35">
      <c r="Z114" s="112"/>
    </row>
    <row r="115" spans="21:29" x14ac:dyDescent="0.35">
      <c r="Z115" s="112"/>
    </row>
    <row r="116" spans="21:29" x14ac:dyDescent="0.35">
      <c r="Z116" s="112"/>
    </row>
    <row r="117" spans="21:29" x14ac:dyDescent="0.35">
      <c r="Z117" s="112"/>
    </row>
    <row r="118" spans="21:29" x14ac:dyDescent="0.35">
      <c r="Z118" s="112"/>
    </row>
    <row r="119" spans="21:29" x14ac:dyDescent="0.35">
      <c r="Z119" s="112"/>
    </row>
    <row r="120" spans="21:29" x14ac:dyDescent="0.35">
      <c r="Z120" s="112"/>
    </row>
    <row r="121" spans="21:29" x14ac:dyDescent="0.35">
      <c r="Z121" s="112"/>
    </row>
    <row r="122" spans="21:29" x14ac:dyDescent="0.35">
      <c r="W122" s="194"/>
      <c r="X122" s="194"/>
      <c r="Y122" s="194"/>
      <c r="Z122" s="194"/>
    </row>
    <row r="123" spans="21:29" x14ac:dyDescent="0.35">
      <c r="U123" s="115"/>
      <c r="W123" s="165"/>
      <c r="X123" s="165"/>
      <c r="Y123" s="79"/>
      <c r="Z123" s="185"/>
    </row>
    <row r="124" spans="21:29" x14ac:dyDescent="0.35">
      <c r="U124" s="125"/>
      <c r="V124" s="125"/>
      <c r="W124" s="77"/>
      <c r="X124" s="127"/>
      <c r="Y124" s="77"/>
      <c r="Z124" s="157"/>
      <c r="AA124" s="127"/>
      <c r="AB124" s="77"/>
      <c r="AC124" s="125"/>
    </row>
    <row r="125" spans="21:29" x14ac:dyDescent="0.35">
      <c r="U125" s="125"/>
      <c r="V125" s="125"/>
      <c r="W125" s="77"/>
      <c r="X125" s="77"/>
      <c r="Y125" s="77"/>
      <c r="Z125" s="157"/>
      <c r="AA125" s="127"/>
      <c r="AB125" s="77"/>
      <c r="AC125" s="125"/>
    </row>
    <row r="126" spans="21:29" x14ac:dyDescent="0.35">
      <c r="U126" s="125"/>
      <c r="V126" s="125"/>
      <c r="W126" s="77"/>
      <c r="X126" s="127"/>
      <c r="Y126" s="77"/>
      <c r="Z126" s="157"/>
      <c r="AA126" s="127"/>
      <c r="AB126" s="77"/>
      <c r="AC126" s="125"/>
    </row>
    <row r="127" spans="21:29" x14ac:dyDescent="0.35">
      <c r="U127" s="125"/>
      <c r="V127" s="125"/>
      <c r="W127" s="186"/>
      <c r="X127" s="186"/>
      <c r="Y127" s="186"/>
      <c r="Z127" s="187"/>
      <c r="AA127" s="186"/>
      <c r="AB127" s="77"/>
      <c r="AC127" s="77">
        <v>7022149</v>
      </c>
    </row>
    <row r="128" spans="21:29" x14ac:dyDescent="0.35">
      <c r="U128" s="125"/>
      <c r="V128" s="125"/>
      <c r="W128" s="77"/>
      <c r="X128" s="127"/>
      <c r="Y128" s="77"/>
      <c r="Z128" s="157"/>
      <c r="AA128" s="127"/>
      <c r="AB128" s="50"/>
      <c r="AC128" s="125"/>
    </row>
    <row r="129" spans="21:29" x14ac:dyDescent="0.35">
      <c r="U129" s="125"/>
      <c r="V129" s="125"/>
      <c r="W129" s="77"/>
      <c r="X129" s="127"/>
      <c r="Y129" s="77"/>
      <c r="Z129" s="157"/>
      <c r="AA129" s="127"/>
      <c r="AB129" s="77"/>
      <c r="AC129" s="125"/>
    </row>
    <row r="130" spans="21:29" x14ac:dyDescent="0.35">
      <c r="U130" s="125"/>
      <c r="V130" s="125"/>
      <c r="W130" s="77"/>
      <c r="X130" s="127"/>
      <c r="Y130" s="77"/>
      <c r="Z130" s="157"/>
      <c r="AA130" s="127"/>
      <c r="AB130" s="77"/>
      <c r="AC130" s="125"/>
    </row>
    <row r="131" spans="21:29" x14ac:dyDescent="0.35">
      <c r="U131" s="125"/>
      <c r="V131" s="125"/>
      <c r="W131" s="77"/>
      <c r="X131" s="127"/>
      <c r="Y131" s="77"/>
      <c r="Z131" s="157"/>
      <c r="AA131" s="127"/>
      <c r="AB131" s="77"/>
      <c r="AC131" s="125"/>
    </row>
    <row r="132" spans="21:29" x14ac:dyDescent="0.35">
      <c r="U132" s="125"/>
      <c r="V132" s="125"/>
      <c r="W132" s="186"/>
      <c r="X132" s="186"/>
      <c r="Y132" s="186"/>
      <c r="Z132" s="187"/>
      <c r="AA132" s="186"/>
      <c r="AB132" s="186"/>
      <c r="AC132" s="77">
        <v>3968010.12</v>
      </c>
    </row>
    <row r="133" spans="21:29" x14ac:dyDescent="0.35">
      <c r="U133" s="125"/>
      <c r="V133" s="125"/>
      <c r="W133" s="77"/>
      <c r="X133" s="127"/>
      <c r="Y133" s="77"/>
      <c r="Z133" s="157"/>
      <c r="AA133" s="127"/>
      <c r="AB133" s="77"/>
      <c r="AC133" s="125"/>
    </row>
    <row r="134" spans="21:29" x14ac:dyDescent="0.35">
      <c r="U134" s="125"/>
      <c r="V134" s="125"/>
      <c r="W134" s="77"/>
      <c r="X134" s="127"/>
      <c r="Y134" s="77"/>
      <c r="Z134" s="157"/>
      <c r="AA134" s="127"/>
      <c r="AB134" s="77"/>
      <c r="AC134" s="125"/>
    </row>
    <row r="135" spans="21:29" x14ac:dyDescent="0.35">
      <c r="U135" s="125"/>
      <c r="V135" s="125"/>
      <c r="W135" s="77"/>
      <c r="X135" s="127"/>
      <c r="Y135" s="77"/>
      <c r="Z135" s="157"/>
      <c r="AA135" s="127"/>
      <c r="AB135" s="77"/>
      <c r="AC135" s="125"/>
    </row>
    <row r="136" spans="21:29" x14ac:dyDescent="0.35">
      <c r="U136" s="125"/>
      <c r="V136" s="125"/>
      <c r="W136" s="77"/>
      <c r="X136" s="127"/>
      <c r="Y136" s="77"/>
      <c r="Z136" s="157"/>
      <c r="AA136" s="127"/>
      <c r="AB136" s="77"/>
      <c r="AC136" s="125"/>
    </row>
    <row r="137" spans="21:29" x14ac:dyDescent="0.35">
      <c r="U137" s="125"/>
      <c r="V137" s="125"/>
      <c r="W137" s="77"/>
      <c r="X137" s="127"/>
      <c r="Y137" s="77"/>
      <c r="Z137" s="157"/>
      <c r="AA137" s="127"/>
      <c r="AB137" s="77"/>
      <c r="AC137" s="125"/>
    </row>
    <row r="138" spans="21:29" x14ac:dyDescent="0.35">
      <c r="U138" s="125"/>
      <c r="V138" s="125"/>
      <c r="W138" s="186"/>
      <c r="X138" s="186"/>
      <c r="Y138" s="186"/>
      <c r="Z138" s="187"/>
      <c r="AA138" s="186"/>
      <c r="AB138" s="186"/>
      <c r="AC138" s="77">
        <v>5249903.6500000004</v>
      </c>
    </row>
    <row r="139" spans="21:29" x14ac:dyDescent="0.35">
      <c r="U139" s="125"/>
      <c r="V139" s="125"/>
      <c r="W139" s="77"/>
      <c r="X139" s="127"/>
      <c r="Y139" s="77"/>
      <c r="Z139" s="157"/>
      <c r="AA139" s="127"/>
      <c r="AB139" s="77"/>
      <c r="AC139" s="125"/>
    </row>
    <row r="140" spans="21:29" x14ac:dyDescent="0.35">
      <c r="U140" s="125"/>
      <c r="V140" s="125"/>
      <c r="W140" s="77"/>
      <c r="X140" s="127"/>
      <c r="Y140" s="77"/>
      <c r="Z140" s="157"/>
      <c r="AA140" s="127"/>
      <c r="AB140" s="77"/>
      <c r="AC140" s="125"/>
    </row>
    <row r="141" spans="21:29" x14ac:dyDescent="0.35">
      <c r="U141" s="125"/>
      <c r="V141" s="125"/>
      <c r="W141" s="77"/>
      <c r="X141" s="127"/>
      <c r="Y141" s="77"/>
      <c r="Z141" s="157"/>
      <c r="AA141" s="127"/>
      <c r="AB141" s="77"/>
      <c r="AC141" s="125"/>
    </row>
    <row r="142" spans="21:29" x14ac:dyDescent="0.35">
      <c r="U142" s="125"/>
      <c r="V142" s="125"/>
      <c r="W142" s="77"/>
      <c r="X142" s="127"/>
      <c r="Y142" s="77"/>
      <c r="Z142" s="157"/>
      <c r="AA142" s="127"/>
      <c r="AB142" s="77"/>
      <c r="AC142" s="125"/>
    </row>
    <row r="143" spans="21:29" x14ac:dyDescent="0.35">
      <c r="U143" s="125"/>
      <c r="V143" s="125"/>
      <c r="W143" s="77"/>
      <c r="X143" s="127"/>
      <c r="Y143" s="77"/>
      <c r="Z143" s="157"/>
      <c r="AA143" s="127"/>
      <c r="AB143" s="77"/>
      <c r="AC143" s="125"/>
    </row>
    <row r="144" spans="21:29" x14ac:dyDescent="0.35">
      <c r="U144" s="125"/>
      <c r="V144" s="125"/>
      <c r="W144" s="77"/>
      <c r="X144" s="127"/>
      <c r="Y144" s="77"/>
      <c r="Z144" s="157"/>
      <c r="AA144" s="127"/>
      <c r="AB144" s="77"/>
      <c r="AC144" s="125"/>
    </row>
    <row r="145" spans="21:29" x14ac:dyDescent="0.35">
      <c r="U145" s="125"/>
      <c r="V145" s="125"/>
      <c r="W145" s="77"/>
      <c r="X145" s="127"/>
      <c r="Y145" s="77"/>
      <c r="Z145" s="157"/>
      <c r="AA145" s="127"/>
      <c r="AB145" s="77"/>
      <c r="AC145" s="125"/>
    </row>
    <row r="146" spans="21:29" x14ac:dyDescent="0.35">
      <c r="U146" s="125"/>
      <c r="V146" s="125"/>
      <c r="W146" s="77"/>
      <c r="X146" s="127"/>
      <c r="Y146" s="77"/>
      <c r="Z146" s="157"/>
      <c r="AA146" s="127"/>
      <c r="AB146" s="77"/>
      <c r="AC146" s="125"/>
    </row>
    <row r="147" spans="21:29" x14ac:dyDescent="0.35">
      <c r="U147" s="125"/>
      <c r="V147" s="125"/>
      <c r="W147" s="77"/>
      <c r="X147" s="127"/>
      <c r="Y147" s="77"/>
      <c r="Z147" s="157"/>
      <c r="AA147" s="127"/>
      <c r="AB147" s="77"/>
      <c r="AC147" s="125"/>
    </row>
    <row r="148" spans="21:29" x14ac:dyDescent="0.35">
      <c r="U148" s="125"/>
      <c r="V148" s="125"/>
      <c r="W148" s="77"/>
      <c r="X148" s="127"/>
      <c r="Y148" s="127"/>
      <c r="Z148" s="157"/>
      <c r="AA148" s="127"/>
      <c r="AB148" s="77"/>
      <c r="AC148" s="125"/>
    </row>
    <row r="149" spans="21:29" ht="17" x14ac:dyDescent="0.5">
      <c r="U149" s="125"/>
      <c r="V149" s="125"/>
      <c r="W149" s="186"/>
      <c r="X149" s="186"/>
      <c r="Y149" s="186"/>
      <c r="Z149" s="187"/>
      <c r="AA149" s="186"/>
      <c r="AB149" s="188"/>
      <c r="AC149" s="77">
        <v>8280977.2599999998</v>
      </c>
    </row>
    <row r="150" spans="21:29" x14ac:dyDescent="0.35">
      <c r="U150" s="125"/>
      <c r="V150" s="125"/>
      <c r="W150" s="77"/>
      <c r="X150" s="127"/>
      <c r="Y150" s="77"/>
      <c r="Z150" s="157"/>
      <c r="AA150" s="127"/>
      <c r="AB150" s="77"/>
      <c r="AC150" s="125"/>
    </row>
    <row r="151" spans="21:29" x14ac:dyDescent="0.35">
      <c r="U151" s="125"/>
      <c r="V151" s="125"/>
      <c r="W151" s="77"/>
      <c r="X151" s="127"/>
      <c r="Y151" s="77"/>
      <c r="Z151" s="157"/>
      <c r="AA151" s="127"/>
      <c r="AB151" s="77"/>
      <c r="AC151" s="125"/>
    </row>
    <row r="152" spans="21:29" x14ac:dyDescent="0.35">
      <c r="U152" s="125"/>
      <c r="V152" s="125"/>
      <c r="W152" s="77"/>
      <c r="X152" s="127"/>
      <c r="Y152" s="77"/>
      <c r="Z152" s="157"/>
      <c r="AA152" s="127"/>
      <c r="AB152" s="77"/>
      <c r="AC152" s="125"/>
    </row>
    <row r="153" spans="21:29" x14ac:dyDescent="0.35">
      <c r="U153" s="125"/>
      <c r="V153" s="125"/>
      <c r="W153" s="186"/>
      <c r="X153" s="186"/>
      <c r="Y153" s="186"/>
      <c r="Z153" s="187"/>
      <c r="AA153" s="186"/>
      <c r="AB153" s="186"/>
      <c r="AC153" s="77">
        <v>1384082.3053079701</v>
      </c>
    </row>
    <row r="154" spans="21:29" x14ac:dyDescent="0.35">
      <c r="U154" s="125"/>
      <c r="V154" s="125"/>
      <c r="W154" s="77"/>
      <c r="X154" s="127"/>
      <c r="Y154" s="77"/>
      <c r="Z154" s="157"/>
      <c r="AA154" s="127"/>
      <c r="AB154" s="77"/>
      <c r="AC154" s="125"/>
    </row>
    <row r="155" spans="21:29" x14ac:dyDescent="0.35">
      <c r="U155" s="125"/>
      <c r="V155" s="125"/>
      <c r="W155" s="77"/>
      <c r="X155" s="127"/>
      <c r="Y155" s="77"/>
      <c r="Z155" s="157"/>
      <c r="AA155" s="127"/>
      <c r="AB155" s="77"/>
      <c r="AC155" s="125"/>
    </row>
    <row r="156" spans="21:29" x14ac:dyDescent="0.35">
      <c r="U156" s="125"/>
      <c r="V156" s="125"/>
      <c r="W156" s="186"/>
      <c r="X156" s="186"/>
      <c r="Y156" s="186"/>
      <c r="Z156" s="187"/>
      <c r="AA156" s="186"/>
      <c r="AB156" s="77"/>
      <c r="AC156" s="77">
        <v>4275559</v>
      </c>
    </row>
    <row r="157" spans="21:29" x14ac:dyDescent="0.35">
      <c r="U157" s="125"/>
      <c r="V157" s="125"/>
      <c r="W157" s="77"/>
      <c r="X157" s="127"/>
      <c r="Y157" s="77"/>
      <c r="Z157" s="157"/>
      <c r="AA157" s="127"/>
      <c r="AB157" s="77"/>
      <c r="AC157" s="125"/>
    </row>
    <row r="158" spans="21:29" x14ac:dyDescent="0.35">
      <c r="U158" s="125"/>
      <c r="V158" s="125"/>
      <c r="W158" s="77"/>
      <c r="X158" s="127"/>
      <c r="Y158" s="77"/>
      <c r="Z158" s="157"/>
      <c r="AA158" s="127"/>
      <c r="AB158" s="77"/>
      <c r="AC158" s="125"/>
    </row>
    <row r="159" spans="21:29" x14ac:dyDescent="0.35">
      <c r="U159" s="125"/>
      <c r="V159" s="125"/>
      <c r="W159" s="77"/>
      <c r="X159" s="127"/>
      <c r="Y159" s="77"/>
      <c r="Z159" s="157"/>
      <c r="AA159" s="127"/>
      <c r="AB159" s="77"/>
      <c r="AC159" s="125"/>
    </row>
    <row r="160" spans="21:29" x14ac:dyDescent="0.35">
      <c r="U160" s="125"/>
      <c r="V160" s="125"/>
      <c r="W160" s="77"/>
      <c r="X160" s="77"/>
      <c r="Y160" s="77"/>
      <c r="Z160" s="157"/>
      <c r="AA160" s="77"/>
      <c r="AB160" s="77"/>
      <c r="AC160" s="77">
        <v>223278.79</v>
      </c>
    </row>
    <row r="161" spans="21:29" x14ac:dyDescent="0.35">
      <c r="U161" s="125"/>
      <c r="V161" s="125"/>
      <c r="W161" s="186"/>
      <c r="X161" s="186"/>
      <c r="Y161" s="186"/>
      <c r="Z161" s="187"/>
      <c r="AA161" s="186"/>
      <c r="AB161" s="186"/>
      <c r="AC161" s="77"/>
    </row>
    <row r="162" spans="21:29" x14ac:dyDescent="0.35">
      <c r="Z162" s="112"/>
    </row>
    <row r="163" spans="21:29" x14ac:dyDescent="0.35">
      <c r="Y163" s="115"/>
      <c r="Z163" s="112"/>
      <c r="AB163" s="11"/>
    </row>
    <row r="164" spans="21:29" x14ac:dyDescent="0.35">
      <c r="X164" s="11"/>
      <c r="Z164" s="112"/>
      <c r="AC164" s="11">
        <v>30403960.12530797</v>
      </c>
    </row>
    <row r="165" spans="21:29" x14ac:dyDescent="0.35">
      <c r="Z165" s="112"/>
    </row>
  </sheetData>
  <autoFilter ref="A25:F25" xr:uid="{00000000-0001-0000-0000-000000000000}"/>
  <mergeCells count="5">
    <mergeCell ref="G3:R3"/>
    <mergeCell ref="AI24:AL24"/>
    <mergeCell ref="W122:Z122"/>
    <mergeCell ref="AG23:AN23"/>
    <mergeCell ref="AI66:AJ66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27"/>
  <sheetViews>
    <sheetView workbookViewId="0">
      <selection activeCell="AV16" sqref="AV16"/>
    </sheetView>
  </sheetViews>
  <sheetFormatPr defaultRowHeight="15.5" x14ac:dyDescent="0.35"/>
  <cols>
    <col min="1" max="1" width="3.33203125" customWidth="1"/>
    <col min="2" max="2" width="7.5" customWidth="1"/>
    <col min="3" max="3" width="7" hidden="1" customWidth="1"/>
    <col min="4" max="4" width="8.5" customWidth="1"/>
    <col min="5" max="5" width="10.08203125" customWidth="1"/>
    <col min="6" max="6" width="11.75" customWidth="1"/>
    <col min="7" max="7" width="7.58203125" hidden="1" customWidth="1"/>
    <col min="8" max="16" width="10.08203125" hidden="1" customWidth="1"/>
    <col min="17" max="18" width="8.58203125" hidden="1" customWidth="1"/>
    <col min="19" max="19" width="11.58203125" hidden="1" customWidth="1"/>
    <col min="20" max="20" width="11" hidden="1" customWidth="1"/>
    <col min="21" max="21" width="10.08203125" customWidth="1"/>
    <col min="22" max="22" width="6.5" hidden="1" customWidth="1"/>
    <col min="23" max="24" width="9.33203125" hidden="1" customWidth="1"/>
    <col min="25" max="26" width="6.58203125" hidden="1" customWidth="1"/>
    <col min="27" max="27" width="10.25" hidden="1" customWidth="1"/>
    <col min="28" max="28" width="10.33203125" hidden="1" customWidth="1"/>
    <col min="29" max="30" width="0" hidden="1" customWidth="1"/>
    <col min="31" max="31" width="7.08203125" customWidth="1"/>
    <col min="32" max="32" width="12.25" style="8" hidden="1" customWidth="1"/>
    <col min="33" max="33" width="13.5" style="8" hidden="1" customWidth="1"/>
    <col min="34" max="34" width="12.58203125" style="8" hidden="1" customWidth="1"/>
    <col min="35" max="35" width="11.58203125" hidden="1" customWidth="1"/>
    <col min="36" max="36" width="12.58203125" hidden="1" customWidth="1"/>
    <col min="37" max="37" width="11.25" hidden="1" customWidth="1"/>
    <col min="38" max="38" width="10.08203125" hidden="1" customWidth="1"/>
    <col min="39" max="39" width="11.08203125" hidden="1" customWidth="1"/>
    <col min="40" max="40" width="10.08203125" bestFit="1" customWidth="1"/>
    <col min="41" max="41" width="10.08203125" hidden="1" customWidth="1"/>
    <col min="42" max="42" width="10.33203125" customWidth="1"/>
    <col min="43" max="43" width="10" hidden="1" customWidth="1"/>
    <col min="44" max="48" width="10.5" customWidth="1"/>
    <col min="49" max="49" width="11.25" customWidth="1"/>
    <col min="50" max="50" width="10.5" customWidth="1"/>
    <col min="52" max="53" width="9.83203125" bestFit="1" customWidth="1"/>
  </cols>
  <sheetData>
    <row r="1" spans="1:53" x14ac:dyDescent="0.35">
      <c r="A1" s="111" t="s">
        <v>56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</row>
    <row r="3" spans="1:53" x14ac:dyDescent="0.35">
      <c r="A3" s="2" t="s">
        <v>14</v>
      </c>
      <c r="B3" s="2" t="s">
        <v>17</v>
      </c>
      <c r="C3" s="36" t="s">
        <v>34</v>
      </c>
      <c r="D3" s="36" t="s">
        <v>19</v>
      </c>
      <c r="E3" s="2" t="s">
        <v>20</v>
      </c>
      <c r="F3" s="2" t="s">
        <v>23</v>
      </c>
      <c r="G3" s="193" t="s">
        <v>22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2" t="s">
        <v>13</v>
      </c>
      <c r="T3" s="2" t="s">
        <v>36</v>
      </c>
      <c r="U3" s="2" t="s">
        <v>24</v>
      </c>
      <c r="V3" s="2" t="s">
        <v>52</v>
      </c>
      <c r="W3" s="2" t="s">
        <v>52</v>
      </c>
      <c r="X3" s="2"/>
      <c r="Y3" s="2" t="s">
        <v>191</v>
      </c>
      <c r="Z3" s="2" t="s">
        <v>104</v>
      </c>
      <c r="AA3" s="2" t="s">
        <v>54</v>
      </c>
      <c r="AB3" s="48" t="s">
        <v>22</v>
      </c>
      <c r="AC3" s="48" t="s">
        <v>170</v>
      </c>
      <c r="AD3" s="51" t="s">
        <v>184</v>
      </c>
      <c r="AE3" s="74" t="s">
        <v>35</v>
      </c>
      <c r="AF3" s="60" t="s">
        <v>22</v>
      </c>
      <c r="AG3" s="59" t="s">
        <v>22</v>
      </c>
      <c r="AH3" s="59" t="s">
        <v>36</v>
      </c>
      <c r="AI3" s="2" t="s">
        <v>201</v>
      </c>
      <c r="AJ3" s="60" t="s">
        <v>36</v>
      </c>
      <c r="AK3" s="2" t="s">
        <v>200</v>
      </c>
      <c r="AL3" s="60" t="s">
        <v>36</v>
      </c>
      <c r="AM3" s="2" t="s">
        <v>211</v>
      </c>
      <c r="AN3" s="60" t="s">
        <v>36</v>
      </c>
      <c r="AO3" s="2" t="s">
        <v>219</v>
      </c>
      <c r="AP3" s="60" t="s">
        <v>36</v>
      </c>
      <c r="AQ3" s="2" t="s">
        <v>226</v>
      </c>
      <c r="AR3" s="60" t="s">
        <v>36</v>
      </c>
      <c r="AS3" s="2" t="s">
        <v>230</v>
      </c>
      <c r="AT3" s="60" t="s">
        <v>36</v>
      </c>
      <c r="AU3" s="2" t="s">
        <v>235</v>
      </c>
      <c r="AV3" s="60" t="s">
        <v>36</v>
      </c>
      <c r="AW3" s="2" t="s">
        <v>240</v>
      </c>
      <c r="AX3" s="60" t="s">
        <v>36</v>
      </c>
    </row>
    <row r="4" spans="1:53" x14ac:dyDescent="0.35">
      <c r="A4" s="4" t="s">
        <v>16</v>
      </c>
      <c r="B4" s="4" t="s">
        <v>18</v>
      </c>
      <c r="C4" s="37" t="s">
        <v>35</v>
      </c>
      <c r="D4" s="37" t="s">
        <v>28</v>
      </c>
      <c r="E4" s="4" t="s">
        <v>21</v>
      </c>
      <c r="F4" s="4" t="s">
        <v>15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5" t="s">
        <v>10</v>
      </c>
      <c r="Q4" s="5" t="s">
        <v>11</v>
      </c>
      <c r="R4" s="5" t="s">
        <v>12</v>
      </c>
      <c r="S4" s="4" t="s">
        <v>22</v>
      </c>
      <c r="T4" s="4" t="s">
        <v>37</v>
      </c>
      <c r="U4" s="4" t="s">
        <v>25</v>
      </c>
      <c r="V4" s="4" t="s">
        <v>104</v>
      </c>
      <c r="W4" s="4" t="s">
        <v>53</v>
      </c>
      <c r="X4" s="4"/>
      <c r="Y4" s="4" t="s">
        <v>192</v>
      </c>
      <c r="Z4" s="4" t="s">
        <v>193</v>
      </c>
      <c r="AA4" s="4" t="s">
        <v>55</v>
      </c>
      <c r="AB4" s="48" t="s">
        <v>169</v>
      </c>
      <c r="AC4" s="48" t="s">
        <v>171</v>
      </c>
      <c r="AE4" s="75" t="s">
        <v>194</v>
      </c>
      <c r="AF4" s="62" t="s">
        <v>195</v>
      </c>
      <c r="AG4" s="61" t="s">
        <v>190</v>
      </c>
      <c r="AH4" s="61" t="s">
        <v>189</v>
      </c>
      <c r="AI4" s="4" t="s">
        <v>22</v>
      </c>
      <c r="AJ4" s="62" t="s">
        <v>197</v>
      </c>
      <c r="AK4" s="4" t="s">
        <v>22</v>
      </c>
      <c r="AL4" s="62" t="s">
        <v>199</v>
      </c>
      <c r="AM4" s="4" t="s">
        <v>22</v>
      </c>
      <c r="AN4" s="62" t="s">
        <v>212</v>
      </c>
      <c r="AO4" s="4" t="s">
        <v>22</v>
      </c>
      <c r="AP4" s="62" t="s">
        <v>220</v>
      </c>
      <c r="AQ4" s="4" t="s">
        <v>22</v>
      </c>
      <c r="AR4" s="62" t="s">
        <v>227</v>
      </c>
      <c r="AS4" s="4" t="s">
        <v>22</v>
      </c>
      <c r="AT4" s="62" t="s">
        <v>231</v>
      </c>
      <c r="AU4" s="4" t="s">
        <v>22</v>
      </c>
      <c r="AV4" s="62" t="s">
        <v>234</v>
      </c>
      <c r="AW4" s="4" t="s">
        <v>22</v>
      </c>
      <c r="AX4" s="62" t="s">
        <v>239</v>
      </c>
      <c r="AY4" s="48" t="s">
        <v>224</v>
      </c>
    </row>
    <row r="5" spans="1:53" x14ac:dyDescent="0.35">
      <c r="A5" s="1">
        <v>1</v>
      </c>
      <c r="B5" t="s">
        <v>58</v>
      </c>
      <c r="C5" s="21">
        <v>0.15329999999999999</v>
      </c>
      <c r="D5" s="1">
        <v>8</v>
      </c>
      <c r="E5" s="54">
        <v>37695</v>
      </c>
      <c r="F5" s="9">
        <v>4274582</v>
      </c>
      <c r="G5" s="9">
        <f>ROUND((F5*C5)*16/365,0)</f>
        <v>28725</v>
      </c>
      <c r="H5" s="9">
        <f>ROUND((F5-G5)*C5,0)</f>
        <v>650890</v>
      </c>
      <c r="I5" s="9">
        <f>ROUND((F5-G5-H5)*C5,0)</f>
        <v>551108</v>
      </c>
      <c r="J5" s="9">
        <f>ROUND((F5-G5-H5-I5)*C5,0)</f>
        <v>466624</v>
      </c>
      <c r="K5" s="9">
        <f>ROUND((F5-G5-H5-I5-J5)*C5,0)</f>
        <v>395090</v>
      </c>
      <c r="L5" s="9">
        <f>ROUND((F5-G5-H5-I5-J5-K5)*C5,0)</f>
        <v>334523</v>
      </c>
      <c r="M5" s="9">
        <f>ROUND((F5-G5-H5-I5-J5-K5-L5)*C5,0)</f>
        <v>283240</v>
      </c>
      <c r="N5" s="9">
        <f>ROUND((F5-G5-H5-I5-J5-K5-L5-M5)*C5,0)</f>
        <v>239820</v>
      </c>
      <c r="O5" s="9">
        <f>ROUND((F5-G5-H5-I5-J5-K5-L5-M5-N5)*C5,0)</f>
        <v>203055</v>
      </c>
      <c r="P5" s="9">
        <f>ROUND((F5-G5-H5-I5-J5-K5-L5-M5-N5-O5)*C5,0)</f>
        <v>171927</v>
      </c>
      <c r="Q5" s="9">
        <f>ROUND((F5-G5-H5-I5-J5-K5-L5-M5-N5-O5-P5)*C5,0)</f>
        <v>145571</v>
      </c>
      <c r="R5" s="9">
        <f>ROUND((F5-G5-H5-I5-J5-K5-L5-M5-N5-O5-P5-Q5)*C5,0)</f>
        <v>123255</v>
      </c>
      <c r="S5" s="11">
        <f>SUM(G5:R5)</f>
        <v>3593828</v>
      </c>
      <c r="T5" s="11">
        <f>+F5-S5</f>
        <v>680754</v>
      </c>
      <c r="U5" s="9">
        <f>ROUND(F5*5%,0)</f>
        <v>213729</v>
      </c>
      <c r="V5" s="38" t="s">
        <v>116</v>
      </c>
      <c r="W5" s="1">
        <v>3.96</v>
      </c>
      <c r="X5" s="52">
        <v>41729</v>
      </c>
      <c r="Y5" s="55">
        <f>X5-E5</f>
        <v>4034</v>
      </c>
      <c r="Z5" s="53">
        <f>IF(D5*365-Y5&lt;1,0,(D5*365-Y5)/365)</f>
        <v>0</v>
      </c>
      <c r="AA5" s="9">
        <f>T5-U5</f>
        <v>467025</v>
      </c>
      <c r="AB5">
        <v>172912</v>
      </c>
      <c r="AC5" s="10">
        <f>AB5/(T5-U5)*100</f>
        <v>37.024142176543009</v>
      </c>
      <c r="AD5">
        <f>(T5-U5)/W5</f>
        <v>117935.60606060606</v>
      </c>
      <c r="AE5" s="10"/>
      <c r="AG5" s="8">
        <f>+T5-U5</f>
        <v>467025</v>
      </c>
      <c r="AH5" s="8">
        <f>+T5-AG5-AF5</f>
        <v>213729</v>
      </c>
      <c r="AI5" s="8">
        <v>0</v>
      </c>
      <c r="AJ5" s="11">
        <f>AH5-AI5</f>
        <v>213729</v>
      </c>
      <c r="AK5" s="9">
        <v>0</v>
      </c>
      <c r="AL5" s="11">
        <f>AJ5-AK5</f>
        <v>213729</v>
      </c>
      <c r="AM5" s="11">
        <f>+AL5-U5</f>
        <v>0</v>
      </c>
      <c r="AN5" s="11">
        <f>+AL5-AM5</f>
        <v>213729</v>
      </c>
      <c r="AO5" s="11">
        <f>+AN5-U5</f>
        <v>0</v>
      </c>
      <c r="AP5" s="11">
        <f>+AN5-AO5</f>
        <v>213729</v>
      </c>
      <c r="AQ5" s="11">
        <f>+AP5-U5</f>
        <v>0</v>
      </c>
      <c r="AR5" s="11">
        <f>+AP5-AQ5</f>
        <v>213729</v>
      </c>
      <c r="AS5" s="11">
        <v>0</v>
      </c>
      <c r="AT5" s="11">
        <f>+AR5-AS5</f>
        <v>213729</v>
      </c>
      <c r="AU5" s="11">
        <v>0</v>
      </c>
      <c r="AV5" s="11">
        <f>+AT5-AU5</f>
        <v>213729</v>
      </c>
      <c r="AW5" s="11">
        <v>0</v>
      </c>
      <c r="AX5" s="11">
        <f>+AV5-AW5</f>
        <v>213729</v>
      </c>
      <c r="AY5" s="11">
        <f>+AV5-U5</f>
        <v>0</v>
      </c>
    </row>
    <row r="6" spans="1:53" x14ac:dyDescent="0.35">
      <c r="C6" s="3"/>
      <c r="E6" s="3" t="s">
        <v>38</v>
      </c>
      <c r="F6" s="13">
        <f t="shared" ref="F6:U6" si="0">SUM(F5:F5)</f>
        <v>4274582</v>
      </c>
      <c r="G6" s="13">
        <f t="shared" si="0"/>
        <v>28725</v>
      </c>
      <c r="H6" s="13">
        <f t="shared" si="0"/>
        <v>650890</v>
      </c>
      <c r="I6" s="13">
        <f t="shared" si="0"/>
        <v>551108</v>
      </c>
      <c r="J6" s="13">
        <f t="shared" si="0"/>
        <v>466624</v>
      </c>
      <c r="K6" s="13">
        <f t="shared" si="0"/>
        <v>395090</v>
      </c>
      <c r="L6" s="13">
        <f t="shared" si="0"/>
        <v>334523</v>
      </c>
      <c r="M6" s="13">
        <f t="shared" si="0"/>
        <v>283240</v>
      </c>
      <c r="N6" s="13">
        <f t="shared" si="0"/>
        <v>239820</v>
      </c>
      <c r="O6" s="13">
        <f t="shared" si="0"/>
        <v>203055</v>
      </c>
      <c r="P6" s="13">
        <f t="shared" si="0"/>
        <v>171927</v>
      </c>
      <c r="Q6" s="13">
        <f t="shared" si="0"/>
        <v>145571</v>
      </c>
      <c r="R6" s="13">
        <f t="shared" si="0"/>
        <v>123255</v>
      </c>
      <c r="S6" s="13">
        <f t="shared" si="0"/>
        <v>3593828</v>
      </c>
      <c r="T6" s="28">
        <f t="shared" si="0"/>
        <v>680754</v>
      </c>
      <c r="U6" s="13">
        <f t="shared" si="0"/>
        <v>213729</v>
      </c>
      <c r="V6" s="34"/>
      <c r="W6" s="12"/>
      <c r="X6" s="12"/>
      <c r="Y6" s="12"/>
      <c r="Z6" s="12"/>
      <c r="AA6" s="20">
        <f>SUM(AA5:AA5)</f>
        <v>467025</v>
      </c>
      <c r="AB6" s="20">
        <f>SUM(AB5:AB5)</f>
        <v>172912</v>
      </c>
      <c r="AC6" s="20">
        <f t="shared" ref="AC6:AD6" si="1">SUM(AC5:AC5)</f>
        <v>37.024142176543009</v>
      </c>
      <c r="AD6" s="20">
        <f t="shared" si="1"/>
        <v>117935.60606060606</v>
      </c>
      <c r="AF6" s="57">
        <f t="shared" ref="AF6:AJ6" si="2">SUM(AF5:AF5)</f>
        <v>0</v>
      </c>
      <c r="AG6" s="57">
        <f t="shared" si="2"/>
        <v>467025</v>
      </c>
      <c r="AH6" s="57">
        <f t="shared" si="2"/>
        <v>213729</v>
      </c>
      <c r="AI6" s="57">
        <f t="shared" si="2"/>
        <v>0</v>
      </c>
      <c r="AJ6" s="13">
        <f t="shared" si="2"/>
        <v>213729</v>
      </c>
      <c r="AK6" s="13">
        <f t="shared" ref="AK6:AR6" si="3">SUM(AK5:AK5)</f>
        <v>0</v>
      </c>
      <c r="AL6" s="13">
        <f t="shared" si="3"/>
        <v>213729</v>
      </c>
      <c r="AM6" s="13">
        <f t="shared" si="3"/>
        <v>0</v>
      </c>
      <c r="AN6" s="13">
        <f t="shared" si="3"/>
        <v>213729</v>
      </c>
      <c r="AO6" s="13">
        <f t="shared" si="3"/>
        <v>0</v>
      </c>
      <c r="AP6" s="13">
        <f t="shared" si="3"/>
        <v>213729</v>
      </c>
      <c r="AQ6" s="13">
        <f t="shared" si="3"/>
        <v>0</v>
      </c>
      <c r="AR6" s="13">
        <f t="shared" si="3"/>
        <v>213729</v>
      </c>
      <c r="AS6" s="13">
        <f t="shared" ref="AS6:AT6" si="4">SUM(AS5:AS5)</f>
        <v>0</v>
      </c>
      <c r="AT6" s="13">
        <f t="shared" si="4"/>
        <v>213729</v>
      </c>
      <c r="AU6" s="13">
        <f t="shared" ref="AU6:AV6" si="5">SUM(AU5:AU5)</f>
        <v>0</v>
      </c>
      <c r="AV6" s="13">
        <f t="shared" si="5"/>
        <v>213729</v>
      </c>
      <c r="AW6" s="13">
        <f t="shared" ref="AW6:AX6" si="6">SUM(AW5:AW5)</f>
        <v>0</v>
      </c>
      <c r="AX6" s="13">
        <f t="shared" si="6"/>
        <v>213729</v>
      </c>
    </row>
    <row r="7" spans="1:53" x14ac:dyDescent="0.35">
      <c r="C7" s="1"/>
      <c r="F7" s="9"/>
      <c r="U7" s="11"/>
      <c r="V7" s="33"/>
      <c r="AJ7" s="11"/>
      <c r="AK7" s="11"/>
      <c r="AL7" s="11"/>
      <c r="AM7" s="11"/>
      <c r="AN7" s="11"/>
    </row>
    <row r="8" spans="1:53" x14ac:dyDescent="0.35">
      <c r="A8" s="1">
        <v>2</v>
      </c>
      <c r="B8" t="s">
        <v>59</v>
      </c>
      <c r="C8" s="21">
        <v>0.15329999999999999</v>
      </c>
      <c r="D8" s="1">
        <v>8</v>
      </c>
      <c r="E8" s="54">
        <v>37908</v>
      </c>
      <c r="F8" s="9">
        <v>7549896</v>
      </c>
      <c r="G8" s="9">
        <v>0</v>
      </c>
      <c r="H8" s="9">
        <f>ROUND((F8*C8)*170/366,0)</f>
        <v>537590</v>
      </c>
      <c r="I8" s="9">
        <f>ROUND((F8-H8)*C8,0)</f>
        <v>1074987</v>
      </c>
      <c r="J8" s="9">
        <f>ROUND((F8-H8-I8)*C8,0)</f>
        <v>910191</v>
      </c>
      <c r="K8" s="9">
        <f>ROUND((F8-H8-I8-J8)*C8,0)</f>
        <v>770659</v>
      </c>
      <c r="L8" s="9">
        <f>ROUND((F8-H8-I8-J8-K8)*C8,0)</f>
        <v>652517</v>
      </c>
      <c r="M8" s="9">
        <f>ROUND((F8-H8-I8-J8-K8-L8)*C8,0)</f>
        <v>552486</v>
      </c>
      <c r="N8" s="9">
        <f>ROUND((F8-H8-I8-J8-K8-L8-M8)*C8,0)</f>
        <v>467790</v>
      </c>
      <c r="O8" s="9">
        <f>ROUND((F8-H8-I8-J8-K8-L8-M8-N8)*C8,0)</f>
        <v>396078</v>
      </c>
      <c r="P8" s="9">
        <f>ROUND((F8-H8-I8-J8-K8-L8-M8-N8-O8)*C8,0)</f>
        <v>335359</v>
      </c>
      <c r="Q8" s="9">
        <f>ROUND((F8-H8-I8-J8-K8-L8-M8-N8-O8-P8)*C8,0)</f>
        <v>283948</v>
      </c>
      <c r="R8" s="9">
        <f>ROUND((F8-H8-I8-J8-K8-L8-M8-N8-O8-P8-Q8)*C8,0)</f>
        <v>240419</v>
      </c>
      <c r="S8" s="11">
        <f>SUM(G8:R8)-2</f>
        <v>6222022</v>
      </c>
      <c r="T8" s="11">
        <f t="shared" ref="T8" si="7">+F8-S8</f>
        <v>1327874</v>
      </c>
      <c r="U8" s="9">
        <f t="shared" ref="U8" si="8">ROUND(F8*5%,0)</f>
        <v>377495</v>
      </c>
      <c r="V8" s="38" t="s">
        <v>117</v>
      </c>
      <c r="W8" s="1">
        <v>4.53</v>
      </c>
      <c r="X8" s="52">
        <v>41729</v>
      </c>
      <c r="Y8" s="55">
        <f t="shared" ref="Y8:Y10" si="9">X8-E8</f>
        <v>3821</v>
      </c>
      <c r="Z8" s="53">
        <f>IF(D8*365-Y8&lt;1,0,(D8*365-Y8)/365)</f>
        <v>0</v>
      </c>
      <c r="AA8" s="9">
        <f t="shared" ref="AA8:AA10" si="10">T8-U8</f>
        <v>950379</v>
      </c>
      <c r="AB8">
        <v>321345</v>
      </c>
      <c r="AC8" s="10">
        <f t="shared" ref="AC8:AC10" si="11">AB8/(T8-U8)*100</f>
        <v>33.812300145520894</v>
      </c>
      <c r="AD8">
        <f t="shared" ref="AD8:AD10" si="12">(T8-U8)/W8</f>
        <v>209796.68874172185</v>
      </c>
      <c r="AE8" s="10"/>
      <c r="AG8" s="8">
        <f t="shared" ref="AG8:AG9" si="13">+T8-U8</f>
        <v>950379</v>
      </c>
      <c r="AH8" s="8">
        <f t="shared" ref="AH8:AH10" si="14">+T8-AG8-AF8</f>
        <v>377495</v>
      </c>
      <c r="AI8" s="8">
        <v>0</v>
      </c>
      <c r="AJ8" s="11">
        <f t="shared" ref="AJ8:AJ10" si="15">AH8-AI8</f>
        <v>377495</v>
      </c>
      <c r="AK8" s="9">
        <v>0</v>
      </c>
      <c r="AL8" s="11">
        <f t="shared" ref="AL8:AL10" si="16">AJ8-AK8</f>
        <v>377495</v>
      </c>
      <c r="AM8" s="11">
        <f t="shared" ref="AM8:AM9" si="17">+AL8-U8</f>
        <v>0</v>
      </c>
      <c r="AN8" s="11">
        <f t="shared" ref="AN8:AN9" si="18">+AL8-AM8</f>
        <v>377495</v>
      </c>
      <c r="AO8" s="11">
        <f>+U8-AN8</f>
        <v>0</v>
      </c>
      <c r="AP8" s="11">
        <f>+AN8-AO8</f>
        <v>377495</v>
      </c>
      <c r="AQ8" s="11">
        <f t="shared" ref="AQ8:AQ9" si="19">+AP8-U8</f>
        <v>0</v>
      </c>
      <c r="AR8" s="11">
        <f t="shared" ref="AR8:AR9" si="20">+AP8-AQ8</f>
        <v>377495</v>
      </c>
      <c r="AS8" s="11">
        <v>0</v>
      </c>
      <c r="AT8" s="11">
        <f t="shared" ref="AT8:AT9" si="21">+AR8-AS8</f>
        <v>377495</v>
      </c>
      <c r="AU8" s="11">
        <v>0</v>
      </c>
      <c r="AV8" s="11">
        <f t="shared" ref="AV8:AV9" si="22">+AT8-AU8</f>
        <v>377495</v>
      </c>
      <c r="AW8" s="11">
        <v>0</v>
      </c>
      <c r="AX8" s="11">
        <f t="shared" ref="AX8:AX9" si="23">+AV8-AW8</f>
        <v>377495</v>
      </c>
      <c r="AY8" s="11">
        <f t="shared" ref="AY8:AY10" si="24">+AV8-U8</f>
        <v>0</v>
      </c>
    </row>
    <row r="9" spans="1:53" x14ac:dyDescent="0.35">
      <c r="A9" s="1">
        <v>2</v>
      </c>
      <c r="B9" t="s">
        <v>59</v>
      </c>
      <c r="C9" s="21">
        <v>0.15329999999999999</v>
      </c>
      <c r="D9" s="1">
        <v>8</v>
      </c>
      <c r="E9" s="54">
        <v>38748</v>
      </c>
      <c r="F9" s="9">
        <v>615000</v>
      </c>
      <c r="G9" s="9">
        <v>0</v>
      </c>
      <c r="H9" s="9">
        <v>0</v>
      </c>
      <c r="I9" s="9">
        <v>0</v>
      </c>
      <c r="J9" s="9">
        <f>ROUND((F9*C9)*60/365,0)</f>
        <v>15498</v>
      </c>
      <c r="K9" s="9">
        <f>ROUND((F9-J9)*C9,0)</f>
        <v>91904</v>
      </c>
      <c r="L9" s="9">
        <f>ROUND((F9-J9-K9)*C9,0)</f>
        <v>77815</v>
      </c>
      <c r="M9" s="9">
        <f>ROUND((F9-J9-K9-L9)*C9,0)</f>
        <v>65886</v>
      </c>
      <c r="N9" s="9">
        <f>ROUND((F9-J9-K9-L9-M9)*C9,0)</f>
        <v>55785</v>
      </c>
      <c r="O9" s="9">
        <f>ROUND((F9-J9-K9-L9-M9-N9)*C9,0)</f>
        <v>47234</v>
      </c>
      <c r="P9" s="9">
        <f>ROUND((F9-J9-K9-L9-M9-N9-O9)*C9,0)</f>
        <v>39993</v>
      </c>
      <c r="Q9" s="9">
        <f>ROUND((F9-J9-K9-L9-M9-N9-O9-P9)*C9,0)</f>
        <v>33862</v>
      </c>
      <c r="R9" s="9">
        <f>ROUND((F9-J9-K9-L9-M9-N9-O9-P9-Q9)*C9,0)</f>
        <v>28671</v>
      </c>
      <c r="S9" s="11">
        <f t="shared" ref="S9:S10" si="25">SUM(G9:R9)</f>
        <v>456648</v>
      </c>
      <c r="T9" s="11">
        <f t="shared" ref="T9" si="26">+F9-S9</f>
        <v>158352</v>
      </c>
      <c r="U9" s="9">
        <f t="shared" ref="U9" si="27">ROUND(F9*5%,0)</f>
        <v>30750</v>
      </c>
      <c r="V9" s="38" t="s">
        <v>138</v>
      </c>
      <c r="W9" s="1">
        <v>6.84</v>
      </c>
      <c r="X9" s="52">
        <v>41729</v>
      </c>
      <c r="Y9" s="55">
        <f t="shared" si="9"/>
        <v>2981</v>
      </c>
      <c r="Z9" s="53">
        <f>IF(D9*365-Y9&lt;1,0,(D9*365-Y9)/365)</f>
        <v>0</v>
      </c>
      <c r="AA9" s="9">
        <f t="shared" si="10"/>
        <v>127602</v>
      </c>
      <c r="AB9">
        <v>33729</v>
      </c>
      <c r="AC9" s="10">
        <f t="shared" si="11"/>
        <v>26.432971270042788</v>
      </c>
      <c r="AD9">
        <f t="shared" si="12"/>
        <v>18655.263157894737</v>
      </c>
      <c r="AE9" s="10"/>
      <c r="AG9" s="8">
        <f t="shared" si="13"/>
        <v>127602</v>
      </c>
      <c r="AH9" s="8">
        <f t="shared" si="14"/>
        <v>30750</v>
      </c>
      <c r="AI9" s="8">
        <v>0</v>
      </c>
      <c r="AJ9" s="11">
        <f t="shared" si="15"/>
        <v>30750</v>
      </c>
      <c r="AK9" s="9">
        <v>0</v>
      </c>
      <c r="AL9" s="11">
        <f t="shared" si="16"/>
        <v>30750</v>
      </c>
      <c r="AM9" s="11">
        <f t="shared" si="17"/>
        <v>0</v>
      </c>
      <c r="AN9" s="11">
        <f t="shared" si="18"/>
        <v>30750</v>
      </c>
      <c r="AO9" s="11">
        <f>+U9-AN9</f>
        <v>0</v>
      </c>
      <c r="AP9" s="11">
        <f>+AN9-AO9</f>
        <v>30750</v>
      </c>
      <c r="AQ9" s="11">
        <f t="shared" si="19"/>
        <v>0</v>
      </c>
      <c r="AR9" s="11">
        <f t="shared" si="20"/>
        <v>30750</v>
      </c>
      <c r="AS9" s="11">
        <v>0</v>
      </c>
      <c r="AT9" s="11">
        <f t="shared" si="21"/>
        <v>30750</v>
      </c>
      <c r="AU9" s="11">
        <v>0</v>
      </c>
      <c r="AV9" s="11">
        <f t="shared" si="22"/>
        <v>30750</v>
      </c>
      <c r="AW9" s="11">
        <v>0</v>
      </c>
      <c r="AX9" s="11">
        <f t="shared" si="23"/>
        <v>30750</v>
      </c>
      <c r="AY9" s="11">
        <f t="shared" si="24"/>
        <v>0</v>
      </c>
    </row>
    <row r="10" spans="1:53" x14ac:dyDescent="0.35">
      <c r="A10" s="1">
        <v>2</v>
      </c>
      <c r="B10" t="s">
        <v>59</v>
      </c>
      <c r="C10" s="21">
        <v>0.15329999999999999</v>
      </c>
      <c r="D10" s="1">
        <v>8</v>
      </c>
      <c r="E10" s="54">
        <v>40828</v>
      </c>
      <c r="F10" s="9">
        <v>274577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>ROUND((F10*C10)*172/366,0)</f>
        <v>19781</v>
      </c>
      <c r="Q10" s="9">
        <f>ROUND((F10-P10)*C10,0)</f>
        <v>39060</v>
      </c>
      <c r="R10" s="9">
        <f>ROUND((F10-P10-Q10)*C10,0)</f>
        <v>33072</v>
      </c>
      <c r="S10" s="11">
        <f t="shared" si="25"/>
        <v>91913</v>
      </c>
      <c r="T10" s="11">
        <f t="shared" ref="T10" si="28">+F10-S10</f>
        <v>182664</v>
      </c>
      <c r="U10" s="9">
        <f t="shared" ref="U10:U11" si="29">ROUND(F10*5%,0)</f>
        <v>13729</v>
      </c>
      <c r="V10" s="38" t="s">
        <v>163</v>
      </c>
      <c r="W10" s="1">
        <v>12.53</v>
      </c>
      <c r="X10" s="52">
        <v>41729</v>
      </c>
      <c r="Y10" s="55">
        <f t="shared" si="9"/>
        <v>901</v>
      </c>
      <c r="Z10" s="53">
        <f>IF(D10*365-Y10&lt;1,0,(D10*365-Y10)/365)</f>
        <v>5.5315068493150683</v>
      </c>
      <c r="AA10" s="9">
        <f t="shared" si="10"/>
        <v>168935</v>
      </c>
      <c r="AB10">
        <v>34158</v>
      </c>
      <c r="AC10" s="10">
        <f t="shared" si="11"/>
        <v>20.219611093023946</v>
      </c>
      <c r="AD10">
        <f t="shared" si="12"/>
        <v>13482.44213886672</v>
      </c>
      <c r="AE10" s="10">
        <f t="shared" ref="AE10" si="30">1-POWER((0.05*F10)/T10,1/Z10)</f>
        <v>0.37367896625514552</v>
      </c>
      <c r="AF10" s="8">
        <f>IF(Z10&gt;1,T10*AE10,T10-U10)</f>
        <v>68257.694692029894</v>
      </c>
      <c r="AH10" s="8">
        <f t="shared" si="14"/>
        <v>114406.30530797011</v>
      </c>
      <c r="AI10" s="8">
        <f>ROUND(AH10*AE10,0)</f>
        <v>42751</v>
      </c>
      <c r="AJ10" s="11">
        <f t="shared" si="15"/>
        <v>71655.305307970106</v>
      </c>
      <c r="AK10" s="9">
        <f>ROUND(AJ10*AE10,0)</f>
        <v>26776</v>
      </c>
      <c r="AL10" s="11">
        <f t="shared" si="16"/>
        <v>44879.305307970106</v>
      </c>
      <c r="AM10" s="9">
        <f>ROUND(AL10*AE10,0)</f>
        <v>16770</v>
      </c>
      <c r="AN10" s="11">
        <f t="shared" ref="AN10" si="31">AL10-AM10</f>
        <v>28109.305307970106</v>
      </c>
      <c r="AO10" s="9">
        <f>ROUND(AN10*AE10,0)</f>
        <v>10504</v>
      </c>
      <c r="AP10" s="11">
        <f t="shared" ref="AP10" si="32">AN10-AO10</f>
        <v>17605.305307970106</v>
      </c>
      <c r="AQ10" s="9">
        <f>+AP10-U10</f>
        <v>3876.3053079701058</v>
      </c>
      <c r="AR10" s="11">
        <f>AP10-AQ10</f>
        <v>13729</v>
      </c>
      <c r="AS10" s="9">
        <v>0</v>
      </c>
      <c r="AT10" s="11">
        <f>AR10-AS10</f>
        <v>13729</v>
      </c>
      <c r="AU10" s="9">
        <v>0</v>
      </c>
      <c r="AV10" s="11">
        <f>AT10-AU10</f>
        <v>13729</v>
      </c>
      <c r="AW10" s="9">
        <v>0</v>
      </c>
      <c r="AX10" s="11">
        <f>AV10-AW10</f>
        <v>13729</v>
      </c>
      <c r="AY10" s="11">
        <f t="shared" si="24"/>
        <v>0</v>
      </c>
    </row>
    <row r="11" spans="1:53" x14ac:dyDescent="0.35">
      <c r="A11" s="1">
        <v>2</v>
      </c>
      <c r="B11" t="s">
        <v>59</v>
      </c>
      <c r="C11" s="21"/>
      <c r="D11" s="1">
        <v>8</v>
      </c>
      <c r="E11" s="137">
        <v>43770</v>
      </c>
      <c r="F11" s="9">
        <v>260750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1"/>
      <c r="T11" s="11"/>
      <c r="U11" s="9">
        <f t="shared" si="29"/>
        <v>13038</v>
      </c>
      <c r="V11" s="38"/>
      <c r="W11" s="1"/>
      <c r="X11" s="52"/>
      <c r="Y11" s="55"/>
      <c r="Z11" s="53"/>
      <c r="AA11" s="9"/>
      <c r="AC11" s="10"/>
      <c r="AE11" s="10">
        <f>1-POWER((0.05*F11)/F11,1/D11)</f>
        <v>0.31234397806636793</v>
      </c>
      <c r="AI11" s="8"/>
      <c r="AJ11" s="11"/>
      <c r="AK11" s="9"/>
      <c r="AL11" s="11"/>
      <c r="AM11" s="9">
        <v>0</v>
      </c>
      <c r="AN11" s="11">
        <v>0</v>
      </c>
      <c r="AO11" s="9">
        <v>0</v>
      </c>
      <c r="AP11" s="11">
        <v>0</v>
      </c>
      <c r="AQ11" s="9">
        <f>ROUND((F11*AE11)/365*152,0)</f>
        <v>33916</v>
      </c>
      <c r="AR11" s="11">
        <f>F11-AQ11</f>
        <v>226834</v>
      </c>
      <c r="AS11" s="9">
        <f>ROUND(AR11*AE11,0)</f>
        <v>70850</v>
      </c>
      <c r="AT11" s="11">
        <f>AR11-AS11</f>
        <v>155984</v>
      </c>
      <c r="AU11" s="9">
        <f>ROUND(AT11*AE11,0)</f>
        <v>48721</v>
      </c>
      <c r="AV11" s="11">
        <f>AT11-AU11</f>
        <v>107263</v>
      </c>
      <c r="AW11" s="9">
        <f>ROUND(AV11*AE11,0)</f>
        <v>33503</v>
      </c>
      <c r="AX11" s="11">
        <f>AV11-AW11</f>
        <v>73760</v>
      </c>
      <c r="AY11" s="11">
        <f>+AX11-U11</f>
        <v>60722</v>
      </c>
      <c r="AZ11" s="117">
        <v>43921</v>
      </c>
      <c r="BA11">
        <f>+AZ11-E11+1</f>
        <v>152</v>
      </c>
    </row>
    <row r="12" spans="1:53" x14ac:dyDescent="0.35">
      <c r="C12" s="24"/>
      <c r="E12" s="3" t="s">
        <v>38</v>
      </c>
      <c r="F12" s="13">
        <f>SUM(F8:F11)</f>
        <v>8700223</v>
      </c>
      <c r="G12" s="13">
        <f t="shared" ref="G12:AJ12" si="33">SUM(G8:G10)</f>
        <v>0</v>
      </c>
      <c r="H12" s="13">
        <f t="shared" si="33"/>
        <v>537590</v>
      </c>
      <c r="I12" s="13">
        <f t="shared" si="33"/>
        <v>1074987</v>
      </c>
      <c r="J12" s="13">
        <f t="shared" si="33"/>
        <v>925689</v>
      </c>
      <c r="K12" s="13">
        <f t="shared" si="33"/>
        <v>862563</v>
      </c>
      <c r="L12" s="13">
        <f t="shared" si="33"/>
        <v>730332</v>
      </c>
      <c r="M12" s="13">
        <f t="shared" si="33"/>
        <v>618372</v>
      </c>
      <c r="N12" s="13">
        <f t="shared" si="33"/>
        <v>523575</v>
      </c>
      <c r="O12" s="13">
        <f t="shared" si="33"/>
        <v>443312</v>
      </c>
      <c r="P12" s="13">
        <f t="shared" si="33"/>
        <v>395133</v>
      </c>
      <c r="Q12" s="13">
        <f t="shared" si="33"/>
        <v>356870</v>
      </c>
      <c r="R12" s="13">
        <f t="shared" si="33"/>
        <v>302162</v>
      </c>
      <c r="S12" s="13">
        <f t="shared" si="33"/>
        <v>6770583</v>
      </c>
      <c r="T12" s="28">
        <f t="shared" si="33"/>
        <v>1668890</v>
      </c>
      <c r="U12" s="13">
        <f t="shared" si="33"/>
        <v>421974</v>
      </c>
      <c r="V12" s="39"/>
      <c r="W12" s="12"/>
      <c r="X12" s="12"/>
      <c r="Y12" s="12"/>
      <c r="Z12" s="12"/>
      <c r="AA12" s="13">
        <f t="shared" si="33"/>
        <v>1246916</v>
      </c>
      <c r="AB12" s="13">
        <f t="shared" si="33"/>
        <v>389232</v>
      </c>
      <c r="AC12" s="13">
        <f t="shared" si="33"/>
        <v>80.464882508587621</v>
      </c>
      <c r="AD12" s="13">
        <f t="shared" si="33"/>
        <v>241934.39403848333</v>
      </c>
      <c r="AF12" s="57">
        <f t="shared" si="33"/>
        <v>68257.694692029894</v>
      </c>
      <c r="AG12" s="57">
        <f t="shared" si="33"/>
        <v>1077981</v>
      </c>
      <c r="AH12" s="57">
        <f t="shared" si="33"/>
        <v>522651.30530797009</v>
      </c>
      <c r="AI12" s="57">
        <f t="shared" si="33"/>
        <v>42751</v>
      </c>
      <c r="AJ12" s="13">
        <f t="shared" si="33"/>
        <v>479900.30530797009</v>
      </c>
      <c r="AK12" s="13">
        <f t="shared" ref="AK12:AL12" si="34">SUM(AK8:AK10)</f>
        <v>26776</v>
      </c>
      <c r="AL12" s="13">
        <f t="shared" si="34"/>
        <v>453124.30530797009</v>
      </c>
      <c r="AM12" s="20">
        <f>SUM(AM8:AM10)</f>
        <v>16770</v>
      </c>
      <c r="AN12" s="20">
        <f>SUM(AN8:AN10)</f>
        <v>436354.30530797009</v>
      </c>
      <c r="AO12" s="20">
        <f t="shared" ref="AO12:AP12" si="35">SUM(AO8:AO10)</f>
        <v>10504</v>
      </c>
      <c r="AP12" s="20">
        <f t="shared" si="35"/>
        <v>425850.30530797009</v>
      </c>
      <c r="AQ12" s="20">
        <f t="shared" ref="AQ12:AX12" si="36">SUM(AQ8:AQ11)</f>
        <v>37792.305307970106</v>
      </c>
      <c r="AR12" s="20">
        <f t="shared" si="36"/>
        <v>648808</v>
      </c>
      <c r="AS12" s="20">
        <f t="shared" si="36"/>
        <v>70850</v>
      </c>
      <c r="AT12" s="20">
        <f t="shared" si="36"/>
        <v>577958</v>
      </c>
      <c r="AU12" s="20">
        <f t="shared" si="36"/>
        <v>48721</v>
      </c>
      <c r="AV12" s="20">
        <f t="shared" si="36"/>
        <v>529237</v>
      </c>
      <c r="AW12" s="20">
        <f t="shared" si="36"/>
        <v>33503</v>
      </c>
      <c r="AX12" s="20">
        <f t="shared" si="36"/>
        <v>495734</v>
      </c>
    </row>
    <row r="13" spans="1:53" x14ac:dyDescent="0.35">
      <c r="C13" s="24"/>
      <c r="E13" s="3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41"/>
      <c r="AA13" s="22"/>
      <c r="AJ13" s="11"/>
      <c r="AK13" s="11"/>
      <c r="AL13" s="11"/>
      <c r="AM13" s="11"/>
      <c r="AN13" s="11"/>
    </row>
    <row r="14" spans="1:53" x14ac:dyDescent="0.35">
      <c r="A14" s="1">
        <v>3</v>
      </c>
      <c r="B14" t="s">
        <v>60</v>
      </c>
      <c r="C14" s="21">
        <v>0.15329999999999999</v>
      </c>
      <c r="D14" s="1">
        <v>8</v>
      </c>
      <c r="E14" s="56">
        <v>38352</v>
      </c>
      <c r="F14" s="23">
        <v>9002969</v>
      </c>
      <c r="G14" s="22">
        <v>0</v>
      </c>
      <c r="H14" s="22">
        <v>0</v>
      </c>
      <c r="I14" s="9">
        <f>ROUND((F14*C14)*91/365,0)</f>
        <v>344093</v>
      </c>
      <c r="J14" s="9">
        <f>ROUND((F14-I14)*C14,0)</f>
        <v>1327406</v>
      </c>
      <c r="K14" s="9">
        <f>ROUND((F14-I14-J14)*C14,0)</f>
        <v>1123914</v>
      </c>
      <c r="L14" s="9">
        <f>ROUND((F14-I14-J14-K14)*C14,0)</f>
        <v>951618</v>
      </c>
      <c r="M14" s="9">
        <f>ROUND((F14-I14-J14-K14-L14)*C14,0)</f>
        <v>805735</v>
      </c>
      <c r="N14" s="9">
        <f>ROUND((F14-I14-J14-K14-L14-M14)*C14,0)</f>
        <v>682216</v>
      </c>
      <c r="O14" s="9">
        <f>ROUND((F14-I14-J14-K14-L14-M14-N14)*C14,0)</f>
        <v>577632</v>
      </c>
      <c r="P14" s="9">
        <f>ROUND((F14-I14-J14-K14-L14-M14-N14-O14)*C14,0)</f>
        <v>489081</v>
      </c>
      <c r="Q14" s="9">
        <f>ROUND((F14-I14-J14-K14-L14-M14-N14-O14-P14)*C14,0)</f>
        <v>414105</v>
      </c>
      <c r="R14" s="9">
        <f>ROUND((F14-I14-J14-K14-L14-M14-N14-O14-P14-Q14)*C14,0)</f>
        <v>350623</v>
      </c>
      <c r="S14" s="11">
        <f>SUM(G14:R14)+1</f>
        <v>7066424</v>
      </c>
      <c r="T14" s="11">
        <f t="shared" ref="T14" si="37">+F14-S14</f>
        <v>1936545</v>
      </c>
      <c r="U14" s="9">
        <f t="shared" ref="U14" si="38">ROUND(F14*5%,0)</f>
        <v>450148</v>
      </c>
      <c r="V14" s="38" t="s">
        <v>139</v>
      </c>
      <c r="W14" s="1">
        <v>5.75</v>
      </c>
      <c r="X14" s="52">
        <v>41729</v>
      </c>
      <c r="Y14" s="55">
        <f t="shared" ref="Y14:Y15" si="39">X14-E14</f>
        <v>3377</v>
      </c>
      <c r="Z14" s="53">
        <f>IF(D14*365-Y14&lt;1,0,(D14*365-Y14)/365)</f>
        <v>0</v>
      </c>
      <c r="AA14" s="9">
        <f t="shared" ref="AA14:AA15" si="40">T14-U14</f>
        <v>1486397</v>
      </c>
      <c r="AB14">
        <v>433786</v>
      </c>
      <c r="AC14" s="10">
        <f t="shared" ref="AC14:AC15" si="41">AB14/(T14-U14)*100</f>
        <v>29.183724132920076</v>
      </c>
      <c r="AD14">
        <f t="shared" ref="AD14:AD15" si="42">(T14-U14)/W14</f>
        <v>258503.82608695651</v>
      </c>
      <c r="AE14" s="10"/>
      <c r="AG14" s="8">
        <f>+T14-U14</f>
        <v>1486397</v>
      </c>
      <c r="AH14" s="8">
        <f t="shared" ref="AH14:AH15" si="43">+T14-AG14-AF14</f>
        <v>450148</v>
      </c>
      <c r="AI14" s="8">
        <v>0</v>
      </c>
      <c r="AJ14" s="11">
        <f t="shared" ref="AJ14:AJ15" si="44">AH14-AI14</f>
        <v>450148</v>
      </c>
      <c r="AK14" s="9">
        <v>0</v>
      </c>
      <c r="AL14" s="11">
        <f t="shared" ref="AL14:AL15" si="45">AJ14-AK14</f>
        <v>450148</v>
      </c>
      <c r="AM14" s="11">
        <f t="shared" ref="AM14:AM15" si="46">+AL14-U14</f>
        <v>0</v>
      </c>
      <c r="AN14" s="11">
        <f t="shared" ref="AN14:AN15" si="47">+AL14-AM14</f>
        <v>450148</v>
      </c>
      <c r="AO14" s="11">
        <f>+U14-AN14</f>
        <v>0</v>
      </c>
      <c r="AP14" s="11">
        <f>+AN14-AO14</f>
        <v>450148</v>
      </c>
      <c r="AQ14" s="11">
        <f t="shared" ref="AQ14:AQ15" si="48">+AP14-U14</f>
        <v>0</v>
      </c>
      <c r="AR14" s="11">
        <f t="shared" ref="AR14:AR15" si="49">+AP14-AQ14</f>
        <v>450148</v>
      </c>
      <c r="AS14" s="11">
        <v>0</v>
      </c>
      <c r="AT14" s="11">
        <f t="shared" ref="AT14:AT15" si="50">+AR14-AS14</f>
        <v>450148</v>
      </c>
      <c r="AU14" s="11">
        <v>0</v>
      </c>
      <c r="AV14" s="11">
        <f t="shared" ref="AV14:AV15" si="51">+AT14-AU14</f>
        <v>450148</v>
      </c>
      <c r="AW14" s="11">
        <v>0</v>
      </c>
      <c r="AX14" s="11">
        <f t="shared" ref="AX14:AX15" si="52">+AV14-AW14</f>
        <v>450148</v>
      </c>
      <c r="AY14" s="11">
        <f t="shared" ref="AY14:AY15" si="53">+AV14-U14</f>
        <v>0</v>
      </c>
    </row>
    <row r="15" spans="1:53" x14ac:dyDescent="0.35">
      <c r="A15" s="1">
        <v>3</v>
      </c>
      <c r="B15" t="s">
        <v>60</v>
      </c>
      <c r="C15" s="21">
        <v>0.15329999999999999</v>
      </c>
      <c r="D15" s="1">
        <v>8</v>
      </c>
      <c r="E15" s="56">
        <v>39051</v>
      </c>
      <c r="F15" s="23">
        <v>672095</v>
      </c>
      <c r="G15" s="22">
        <v>0</v>
      </c>
      <c r="H15" s="22">
        <v>0</v>
      </c>
      <c r="I15" s="22">
        <v>0</v>
      </c>
      <c r="J15" s="22">
        <v>0</v>
      </c>
      <c r="K15" s="9">
        <f>ROUND((F15*C15)*122/365,0)</f>
        <v>34438</v>
      </c>
      <c r="L15" s="9">
        <f>ROUND((F15-K15)*C15,0)</f>
        <v>97753</v>
      </c>
      <c r="M15" s="9">
        <f>ROUND((F15-K15-L15)*C15,0)</f>
        <v>82767</v>
      </c>
      <c r="N15" s="9">
        <f>ROUND((F15-K15-L15-M15)*C15,0)</f>
        <v>70079</v>
      </c>
      <c r="O15" s="9">
        <f>ROUND((F15-K15-L15-M15-N15)*C15,0)</f>
        <v>59336</v>
      </c>
      <c r="P15" s="9">
        <f>ROUND((F15-K15-L15-M15-N15-O15)*C15,0)</f>
        <v>50240</v>
      </c>
      <c r="Q15" s="9">
        <f>ROUND((F15-K15-L15-M15-N15-O15-P15)*C15,0)</f>
        <v>42538</v>
      </c>
      <c r="R15" s="9">
        <f>ROUND((F15-K15-L15-M15-N15-O15-P15-Q15)*C15,0)</f>
        <v>36017</v>
      </c>
      <c r="S15" s="11">
        <f t="shared" ref="S15" si="54">SUM(G15:R15)</f>
        <v>473168</v>
      </c>
      <c r="T15" s="11">
        <f t="shared" ref="T15" si="55">+F15-S15</f>
        <v>198927</v>
      </c>
      <c r="U15" s="9">
        <f t="shared" ref="U15" si="56">ROUND(F15*5%,0)</f>
        <v>33605</v>
      </c>
      <c r="V15" s="38" t="s">
        <v>144</v>
      </c>
      <c r="W15" s="1">
        <v>7.67</v>
      </c>
      <c r="X15" s="52">
        <v>41729</v>
      </c>
      <c r="Y15" s="55">
        <f t="shared" si="39"/>
        <v>2678</v>
      </c>
      <c r="Z15" s="53">
        <f>IF(D15*365-Y15&lt;1,0,(D15*365-Y15)/365)</f>
        <v>0.66301369863013704</v>
      </c>
      <c r="AA15" s="9">
        <f t="shared" si="40"/>
        <v>165322</v>
      </c>
      <c r="AB15">
        <v>41178</v>
      </c>
      <c r="AC15" s="10">
        <f t="shared" si="41"/>
        <v>24.907755773581254</v>
      </c>
      <c r="AD15">
        <f t="shared" si="42"/>
        <v>21554.367666232072</v>
      </c>
      <c r="AE15" s="10">
        <f t="shared" ref="AE15" si="57">1-POWER((0.05*F15)/T15,1/Z15)</f>
        <v>0.93158082765806727</v>
      </c>
      <c r="AF15" s="8">
        <f>IF(Z15&gt;1,T15*AE15,T15-U15)</f>
        <v>165322</v>
      </c>
      <c r="AH15" s="8">
        <f t="shared" si="43"/>
        <v>33605</v>
      </c>
      <c r="AI15" s="8">
        <v>0</v>
      </c>
      <c r="AJ15" s="11">
        <f t="shared" si="44"/>
        <v>33605</v>
      </c>
      <c r="AK15" s="9">
        <v>0</v>
      </c>
      <c r="AL15" s="11">
        <f t="shared" si="45"/>
        <v>33605</v>
      </c>
      <c r="AM15" s="11">
        <f t="shared" si="46"/>
        <v>0</v>
      </c>
      <c r="AN15" s="11">
        <f t="shared" si="47"/>
        <v>33605</v>
      </c>
      <c r="AO15" s="11">
        <f>+U15-AN15</f>
        <v>0</v>
      </c>
      <c r="AP15" s="11">
        <f>+AN15-AO15</f>
        <v>33605</v>
      </c>
      <c r="AQ15" s="11">
        <f t="shared" si="48"/>
        <v>0</v>
      </c>
      <c r="AR15" s="11">
        <f t="shared" si="49"/>
        <v>33605</v>
      </c>
      <c r="AS15" s="11">
        <v>0</v>
      </c>
      <c r="AT15" s="11">
        <f t="shared" si="50"/>
        <v>33605</v>
      </c>
      <c r="AU15" s="11">
        <v>0</v>
      </c>
      <c r="AV15" s="11">
        <f t="shared" si="51"/>
        <v>33605</v>
      </c>
      <c r="AW15" s="11">
        <v>0</v>
      </c>
      <c r="AX15" s="11">
        <f t="shared" si="52"/>
        <v>33605</v>
      </c>
      <c r="AY15" s="11">
        <f t="shared" si="53"/>
        <v>0</v>
      </c>
    </row>
    <row r="16" spans="1:53" x14ac:dyDescent="0.35">
      <c r="C16" s="21"/>
      <c r="D16" s="1"/>
      <c r="E16" s="3"/>
      <c r="F16" s="13">
        <f>SUM(F14:F15)</f>
        <v>9675064</v>
      </c>
      <c r="G16" s="13">
        <f t="shared" ref="G16:AJ16" si="58">SUM(G14:G15)</f>
        <v>0</v>
      </c>
      <c r="H16" s="13">
        <f t="shared" si="58"/>
        <v>0</v>
      </c>
      <c r="I16" s="13">
        <f t="shared" si="58"/>
        <v>344093</v>
      </c>
      <c r="J16" s="13">
        <f t="shared" si="58"/>
        <v>1327406</v>
      </c>
      <c r="K16" s="13">
        <f t="shared" si="58"/>
        <v>1158352</v>
      </c>
      <c r="L16" s="13">
        <f t="shared" si="58"/>
        <v>1049371</v>
      </c>
      <c r="M16" s="13">
        <f t="shared" si="58"/>
        <v>888502</v>
      </c>
      <c r="N16" s="13">
        <f t="shared" si="58"/>
        <v>752295</v>
      </c>
      <c r="O16" s="13">
        <f t="shared" si="58"/>
        <v>636968</v>
      </c>
      <c r="P16" s="13">
        <f t="shared" si="58"/>
        <v>539321</v>
      </c>
      <c r="Q16" s="13">
        <f t="shared" si="58"/>
        <v>456643</v>
      </c>
      <c r="R16" s="13">
        <f t="shared" si="58"/>
        <v>386640</v>
      </c>
      <c r="S16" s="13">
        <f t="shared" si="58"/>
        <v>7539592</v>
      </c>
      <c r="T16" s="28">
        <f t="shared" si="58"/>
        <v>2135472</v>
      </c>
      <c r="U16" s="13">
        <f t="shared" si="58"/>
        <v>483753</v>
      </c>
      <c r="V16" s="39"/>
      <c r="W16" s="12"/>
      <c r="X16" s="12"/>
      <c r="Y16" s="12"/>
      <c r="Z16" s="12"/>
      <c r="AA16" s="13">
        <f t="shared" si="58"/>
        <v>1651719</v>
      </c>
      <c r="AB16" s="13">
        <f t="shared" si="58"/>
        <v>474964</v>
      </c>
      <c r="AC16" s="13">
        <f t="shared" si="58"/>
        <v>54.091479906501334</v>
      </c>
      <c r="AD16" s="13">
        <f t="shared" si="58"/>
        <v>280058.19375318859</v>
      </c>
      <c r="AF16" s="57">
        <f t="shared" si="58"/>
        <v>165322</v>
      </c>
      <c r="AG16" s="57">
        <f t="shared" si="58"/>
        <v>1486397</v>
      </c>
      <c r="AH16" s="57">
        <f t="shared" si="58"/>
        <v>483753</v>
      </c>
      <c r="AI16" s="57">
        <f t="shared" si="58"/>
        <v>0</v>
      </c>
      <c r="AJ16" s="13">
        <f t="shared" si="58"/>
        <v>483753</v>
      </c>
      <c r="AK16" s="13">
        <f t="shared" ref="AK16:AL16" si="59">SUM(AK14:AK15)</f>
        <v>0</v>
      </c>
      <c r="AL16" s="13">
        <f t="shared" si="59"/>
        <v>483753</v>
      </c>
      <c r="AM16" s="20">
        <f>SUM(AM14:AM15)</f>
        <v>0</v>
      </c>
      <c r="AN16" s="20">
        <f>SUM(AN14:AN15)</f>
        <v>483753</v>
      </c>
      <c r="AO16" s="20">
        <f t="shared" ref="AO16:AR16" si="60">SUM(AO14:AO15)</f>
        <v>0</v>
      </c>
      <c r="AP16" s="20">
        <f t="shared" si="60"/>
        <v>483753</v>
      </c>
      <c r="AQ16" s="20">
        <f t="shared" si="60"/>
        <v>0</v>
      </c>
      <c r="AR16" s="20">
        <f t="shared" si="60"/>
        <v>483753</v>
      </c>
      <c r="AS16" s="20">
        <f t="shared" ref="AS16:AT16" si="61">SUM(AS14:AS15)</f>
        <v>0</v>
      </c>
      <c r="AT16" s="20">
        <f t="shared" si="61"/>
        <v>483753</v>
      </c>
      <c r="AU16" s="20">
        <f t="shared" ref="AU16:AX16" si="62">SUM(AU14:AU15)</f>
        <v>0</v>
      </c>
      <c r="AV16" s="20">
        <f t="shared" si="62"/>
        <v>483753</v>
      </c>
      <c r="AW16" s="20">
        <f t="shared" si="62"/>
        <v>0</v>
      </c>
      <c r="AX16" s="20">
        <f t="shared" si="62"/>
        <v>483753</v>
      </c>
    </row>
    <row r="17" spans="2:52" x14ac:dyDescent="0.35">
      <c r="E17" s="1"/>
      <c r="F17" s="9"/>
      <c r="U17" s="11"/>
      <c r="V17" s="38"/>
      <c r="AJ17" s="11"/>
      <c r="AK17" s="11"/>
      <c r="AL17" s="11"/>
      <c r="AM17" s="11"/>
      <c r="AN17" s="11"/>
    </row>
    <row r="18" spans="2:52" ht="16" thickBot="1" x14ac:dyDescent="0.4">
      <c r="B18" s="6" t="s">
        <v>57</v>
      </c>
      <c r="C18" s="3"/>
      <c r="E18" s="3" t="s">
        <v>39</v>
      </c>
      <c r="F18" s="16">
        <f>+F6+F12+F16</f>
        <v>22649869</v>
      </c>
      <c r="G18" s="16">
        <f t="shared" ref="G18:U18" si="63">+G6+G12+G16</f>
        <v>28725</v>
      </c>
      <c r="H18" s="16">
        <f t="shared" si="63"/>
        <v>1188480</v>
      </c>
      <c r="I18" s="16">
        <f t="shared" si="63"/>
        <v>1970188</v>
      </c>
      <c r="J18" s="16">
        <f t="shared" si="63"/>
        <v>2719719</v>
      </c>
      <c r="K18" s="16">
        <f t="shared" si="63"/>
        <v>2416005</v>
      </c>
      <c r="L18" s="16">
        <f t="shared" si="63"/>
        <v>2114226</v>
      </c>
      <c r="M18" s="16">
        <f t="shared" si="63"/>
        <v>1790114</v>
      </c>
      <c r="N18" s="16">
        <f t="shared" si="63"/>
        <v>1515690</v>
      </c>
      <c r="O18" s="16">
        <f t="shared" si="63"/>
        <v>1283335</v>
      </c>
      <c r="P18" s="16">
        <f t="shared" si="63"/>
        <v>1106381</v>
      </c>
      <c r="Q18" s="16">
        <f t="shared" si="63"/>
        <v>959084</v>
      </c>
      <c r="R18" s="16">
        <f t="shared" si="63"/>
        <v>812057</v>
      </c>
      <c r="S18" s="16">
        <f t="shared" si="63"/>
        <v>17904003</v>
      </c>
      <c r="T18" s="29">
        <f t="shared" si="63"/>
        <v>4485116</v>
      </c>
      <c r="U18" s="16">
        <f t="shared" si="63"/>
        <v>1119456</v>
      </c>
      <c r="V18" s="40"/>
      <c r="W18" s="15"/>
      <c r="X18" s="15"/>
      <c r="Y18" s="15"/>
      <c r="Z18" s="15"/>
      <c r="AA18" s="16">
        <f>+AA6+AA12+AA16</f>
        <v>3365660</v>
      </c>
      <c r="AB18" s="16">
        <f>+AB6+AB12+AB16</f>
        <v>1037108</v>
      </c>
      <c r="AC18" s="16">
        <f t="shared" ref="AC18:AJ18" si="64">+AC6+AC12+AC16</f>
        <v>171.58050459163195</v>
      </c>
      <c r="AD18" s="16">
        <f t="shared" si="64"/>
        <v>639928.19385227794</v>
      </c>
      <c r="AE18" s="16">
        <f t="shared" si="64"/>
        <v>0</v>
      </c>
      <c r="AF18" s="58">
        <f t="shared" si="64"/>
        <v>233579.69469202991</v>
      </c>
      <c r="AG18" s="58">
        <f t="shared" si="64"/>
        <v>3031403</v>
      </c>
      <c r="AH18" s="58">
        <f t="shared" si="64"/>
        <v>1220133.3053079701</v>
      </c>
      <c r="AI18" s="58">
        <f t="shared" si="64"/>
        <v>42751</v>
      </c>
      <c r="AJ18" s="16">
        <f t="shared" si="64"/>
        <v>1177382.3053079701</v>
      </c>
      <c r="AK18" s="16">
        <f t="shared" ref="AK18:AL18" si="65">+AK6+AK12+AK16</f>
        <v>26776</v>
      </c>
      <c r="AL18" s="16">
        <f t="shared" si="65"/>
        <v>1150606.3053079701</v>
      </c>
      <c r="AM18" s="16">
        <f>+AM6+AM12+AM16</f>
        <v>16770</v>
      </c>
      <c r="AN18" s="16">
        <f>+AN6+AN12+AN16</f>
        <v>1133836.3053079701</v>
      </c>
      <c r="AO18" s="16">
        <f t="shared" ref="AO18:AR18" si="66">+AO6+AO12+AO16</f>
        <v>10504</v>
      </c>
      <c r="AP18" s="16">
        <f t="shared" si="66"/>
        <v>1123332.3053079701</v>
      </c>
      <c r="AQ18" s="16">
        <f t="shared" si="66"/>
        <v>37792.305307970106</v>
      </c>
      <c r="AR18" s="16">
        <f t="shared" si="66"/>
        <v>1346290</v>
      </c>
      <c r="AS18" s="16">
        <f t="shared" ref="AS18:AT18" si="67">+AS6+AS12+AS16</f>
        <v>70850</v>
      </c>
      <c r="AT18" s="16">
        <f t="shared" si="67"/>
        <v>1275440</v>
      </c>
      <c r="AU18" s="16">
        <f t="shared" ref="AU18:AX18" si="68">+AU6+AU12+AU16</f>
        <v>48721</v>
      </c>
      <c r="AV18" s="16">
        <f t="shared" si="68"/>
        <v>1226719</v>
      </c>
      <c r="AW18" s="16">
        <f t="shared" si="68"/>
        <v>33503</v>
      </c>
      <c r="AX18" s="16">
        <f t="shared" si="68"/>
        <v>1193216</v>
      </c>
      <c r="AZ18" s="132">
        <f>(+AQ18/12)*9</f>
        <v>28344.228980977579</v>
      </c>
    </row>
    <row r="19" spans="2:52" ht="16" thickTop="1" x14ac:dyDescent="0.35">
      <c r="F19" s="9"/>
      <c r="U19" s="11"/>
      <c r="V19" s="11"/>
    </row>
    <row r="20" spans="2:52" x14ac:dyDescent="0.35">
      <c r="F20" s="9"/>
      <c r="U20" s="11"/>
      <c r="V20" s="11"/>
    </row>
    <row r="21" spans="2:52" x14ac:dyDescent="0.35">
      <c r="F21" s="38"/>
      <c r="G21">
        <v>365</v>
      </c>
      <c r="H21" s="11">
        <f>G21-F21</f>
        <v>365</v>
      </c>
      <c r="I21" s="46"/>
      <c r="J21" s="10">
        <f>H21/G21</f>
        <v>1</v>
      </c>
      <c r="S21">
        <v>365</v>
      </c>
      <c r="T21" s="11">
        <f>S21-F21</f>
        <v>365</v>
      </c>
      <c r="U21" s="46"/>
      <c r="V21" s="10">
        <f>T21/S21</f>
        <v>1</v>
      </c>
    </row>
    <row r="22" spans="2:52" x14ac:dyDescent="0.35">
      <c r="F22" s="9"/>
      <c r="U22" s="11"/>
      <c r="V22" s="11"/>
    </row>
    <row r="23" spans="2:52" x14ac:dyDescent="0.35">
      <c r="F23" s="9"/>
      <c r="U23" s="11"/>
      <c r="V23" s="11"/>
    </row>
    <row r="24" spans="2:52" x14ac:dyDescent="0.35">
      <c r="F24" s="9"/>
      <c r="U24" s="11"/>
      <c r="V24" s="11"/>
    </row>
    <row r="25" spans="2:52" x14ac:dyDescent="0.35">
      <c r="F25" s="9"/>
      <c r="U25" s="11"/>
      <c r="V25" s="11"/>
    </row>
    <row r="26" spans="2:52" x14ac:dyDescent="0.35">
      <c r="F26" s="9"/>
      <c r="U26" s="11"/>
      <c r="V26" s="11"/>
    </row>
    <row r="27" spans="2:52" x14ac:dyDescent="0.35">
      <c r="U27" s="11"/>
      <c r="V27" s="11"/>
    </row>
  </sheetData>
  <mergeCells count="1">
    <mergeCell ref="G3:R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33"/>
  <sheetViews>
    <sheetView workbookViewId="0">
      <selection activeCell="F20" sqref="F20"/>
    </sheetView>
  </sheetViews>
  <sheetFormatPr defaultRowHeight="15.5" x14ac:dyDescent="0.35"/>
  <cols>
    <col min="1" max="1" width="3.33203125" customWidth="1"/>
    <col min="2" max="2" width="13.5" customWidth="1"/>
    <col min="3" max="3" width="7" hidden="1" customWidth="1"/>
    <col min="4" max="4" width="7.08203125" customWidth="1"/>
    <col min="5" max="5" width="10.08203125" customWidth="1"/>
    <col min="6" max="6" width="11.08203125" customWidth="1"/>
    <col min="7" max="18" width="8.58203125" hidden="1" customWidth="1"/>
    <col min="19" max="19" width="11.75" hidden="1" customWidth="1"/>
    <col min="20" max="20" width="10.33203125" hidden="1" customWidth="1"/>
    <col min="21" max="21" width="9.08203125" customWidth="1"/>
    <col min="22" max="22" width="6.5" hidden="1" customWidth="1"/>
    <col min="23" max="24" width="9.33203125" hidden="1" customWidth="1"/>
    <col min="25" max="25" width="4.83203125" hidden="1" customWidth="1"/>
    <col min="26" max="26" width="6.25" hidden="1" customWidth="1"/>
    <col min="27" max="27" width="12.08203125" hidden="1" customWidth="1"/>
    <col min="28" max="28" width="8.58203125" hidden="1" customWidth="1"/>
    <col min="29" max="29" width="0" hidden="1" customWidth="1"/>
    <col min="30" max="30" width="13.08203125" hidden="1" customWidth="1"/>
    <col min="31" max="31" width="7.83203125" hidden="1" customWidth="1"/>
    <col min="32" max="32" width="5.75" customWidth="1"/>
    <col min="33" max="33" width="12.08203125" style="8" hidden="1" customWidth="1"/>
    <col min="34" max="34" width="12.58203125" style="8" hidden="1" customWidth="1"/>
    <col min="35" max="35" width="11.58203125" hidden="1" customWidth="1"/>
    <col min="36" max="36" width="9.83203125" hidden="1" customWidth="1"/>
    <col min="37" max="37" width="11.08203125" hidden="1" customWidth="1"/>
    <col min="38" max="38" width="10.33203125" hidden="1" customWidth="1"/>
    <col min="39" max="39" width="11" hidden="1" customWidth="1"/>
    <col min="40" max="40" width="11.5" customWidth="1"/>
    <col min="41" max="41" width="11.08203125" hidden="1" customWidth="1"/>
    <col min="42" max="42" width="10.08203125" customWidth="1"/>
    <col min="43" max="43" width="10.08203125" hidden="1" customWidth="1"/>
    <col min="44" max="49" width="10.08203125" customWidth="1"/>
    <col min="50" max="51" width="10.58203125" customWidth="1"/>
    <col min="52" max="52" width="12.58203125" bestFit="1" customWidth="1"/>
    <col min="53" max="53" width="11.08203125" bestFit="1" customWidth="1"/>
  </cols>
  <sheetData>
    <row r="1" spans="1:53" x14ac:dyDescent="0.35">
      <c r="A1" s="111" t="s">
        <v>96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</row>
    <row r="3" spans="1:53" x14ac:dyDescent="0.35">
      <c r="A3" s="2" t="s">
        <v>14</v>
      </c>
      <c r="B3" s="2" t="s">
        <v>17</v>
      </c>
      <c r="C3" s="36" t="s">
        <v>34</v>
      </c>
      <c r="D3" s="36" t="s">
        <v>19</v>
      </c>
      <c r="E3" s="2" t="s">
        <v>20</v>
      </c>
      <c r="F3" s="2" t="s">
        <v>23</v>
      </c>
      <c r="G3" s="193" t="s">
        <v>22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2" t="s">
        <v>13</v>
      </c>
      <c r="T3" s="2" t="s">
        <v>36</v>
      </c>
      <c r="U3" s="2" t="s">
        <v>24</v>
      </c>
      <c r="V3" s="2" t="s">
        <v>52</v>
      </c>
      <c r="W3" s="2" t="s">
        <v>52</v>
      </c>
      <c r="X3" s="2"/>
      <c r="Y3" s="2" t="s">
        <v>191</v>
      </c>
      <c r="Z3" s="2" t="s">
        <v>104</v>
      </c>
      <c r="AA3" s="2" t="s">
        <v>54</v>
      </c>
      <c r="AB3" s="48" t="s">
        <v>22</v>
      </c>
      <c r="AC3" s="48" t="s">
        <v>170</v>
      </c>
      <c r="AD3" s="60" t="s">
        <v>22</v>
      </c>
      <c r="AF3" s="74" t="s">
        <v>35</v>
      </c>
      <c r="AG3" s="60" t="s">
        <v>22</v>
      </c>
      <c r="AH3" s="59" t="s">
        <v>36</v>
      </c>
      <c r="AI3" s="2" t="s">
        <v>201</v>
      </c>
      <c r="AJ3" s="60" t="s">
        <v>36</v>
      </c>
      <c r="AK3" s="2" t="s">
        <v>200</v>
      </c>
      <c r="AL3" s="60" t="s">
        <v>36</v>
      </c>
      <c r="AM3" s="2" t="s">
        <v>211</v>
      </c>
      <c r="AN3" s="60" t="s">
        <v>36</v>
      </c>
      <c r="AO3" s="2" t="s">
        <v>219</v>
      </c>
      <c r="AP3" s="60" t="s">
        <v>36</v>
      </c>
      <c r="AQ3" s="2" t="s">
        <v>226</v>
      </c>
      <c r="AR3" s="60" t="s">
        <v>36</v>
      </c>
      <c r="AS3" s="2" t="s">
        <v>230</v>
      </c>
      <c r="AT3" s="60" t="s">
        <v>36</v>
      </c>
      <c r="AU3" s="2" t="s">
        <v>235</v>
      </c>
      <c r="AV3" s="60" t="s">
        <v>36</v>
      </c>
      <c r="AW3" s="2" t="s">
        <v>240</v>
      </c>
      <c r="AX3" s="60" t="s">
        <v>36</v>
      </c>
    </row>
    <row r="4" spans="1:53" x14ac:dyDescent="0.35">
      <c r="A4" s="4" t="s">
        <v>16</v>
      </c>
      <c r="B4" s="4" t="s">
        <v>18</v>
      </c>
      <c r="C4" s="37" t="s">
        <v>35</v>
      </c>
      <c r="D4" s="37" t="s">
        <v>28</v>
      </c>
      <c r="E4" s="4" t="s">
        <v>21</v>
      </c>
      <c r="F4" s="4" t="s">
        <v>15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5" t="s">
        <v>10</v>
      </c>
      <c r="Q4" s="5" t="s">
        <v>11</v>
      </c>
      <c r="R4" s="5" t="s">
        <v>12</v>
      </c>
      <c r="S4" s="4" t="s">
        <v>22</v>
      </c>
      <c r="T4" s="4" t="s">
        <v>37</v>
      </c>
      <c r="U4" s="4" t="s">
        <v>25</v>
      </c>
      <c r="V4" s="4" t="s">
        <v>104</v>
      </c>
      <c r="W4" s="4" t="s">
        <v>53</v>
      </c>
      <c r="X4" s="4"/>
      <c r="Y4" s="4" t="s">
        <v>192</v>
      </c>
      <c r="Z4" s="4" t="s">
        <v>193</v>
      </c>
      <c r="AA4" s="4" t="s">
        <v>55</v>
      </c>
      <c r="AB4" s="48" t="s">
        <v>169</v>
      </c>
      <c r="AC4" s="48" t="s">
        <v>171</v>
      </c>
      <c r="AD4" s="62" t="s">
        <v>190</v>
      </c>
      <c r="AE4" s="3" t="s">
        <v>184</v>
      </c>
      <c r="AF4" s="75" t="s">
        <v>194</v>
      </c>
      <c r="AG4" s="62" t="s">
        <v>195</v>
      </c>
      <c r="AH4" s="61" t="s">
        <v>189</v>
      </c>
      <c r="AI4" s="4" t="s">
        <v>22</v>
      </c>
      <c r="AJ4" s="62" t="s">
        <v>197</v>
      </c>
      <c r="AK4" s="4" t="s">
        <v>22</v>
      </c>
      <c r="AL4" s="62" t="s">
        <v>199</v>
      </c>
      <c r="AM4" s="4" t="s">
        <v>22</v>
      </c>
      <c r="AN4" s="62" t="s">
        <v>212</v>
      </c>
      <c r="AO4" s="4" t="s">
        <v>22</v>
      </c>
      <c r="AP4" s="62" t="s">
        <v>220</v>
      </c>
      <c r="AQ4" s="4" t="s">
        <v>22</v>
      </c>
      <c r="AR4" s="62" t="s">
        <v>227</v>
      </c>
      <c r="AS4" s="4" t="s">
        <v>22</v>
      </c>
      <c r="AT4" s="62" t="s">
        <v>231</v>
      </c>
      <c r="AU4" s="4" t="s">
        <v>22</v>
      </c>
      <c r="AV4" s="62" t="s">
        <v>234</v>
      </c>
      <c r="AW4" s="4" t="s">
        <v>22</v>
      </c>
      <c r="AX4" s="62" t="s">
        <v>239</v>
      </c>
      <c r="AY4" s="48" t="s">
        <v>224</v>
      </c>
    </row>
    <row r="5" spans="1:53" x14ac:dyDescent="0.35">
      <c r="A5" s="1">
        <v>1</v>
      </c>
      <c r="B5" t="s">
        <v>99</v>
      </c>
      <c r="C5" s="21">
        <v>0.25890000000000002</v>
      </c>
      <c r="D5" s="1">
        <v>8</v>
      </c>
      <c r="E5" s="54">
        <v>38554</v>
      </c>
      <c r="F5" s="9">
        <v>1474447</v>
      </c>
      <c r="G5" s="9">
        <v>0</v>
      </c>
      <c r="H5" s="9">
        <v>0</v>
      </c>
      <c r="I5" s="9">
        <v>0</v>
      </c>
      <c r="J5" s="9">
        <f>ROUND((F5*C5)*254/365,0)</f>
        <v>265645</v>
      </c>
      <c r="K5" s="9">
        <f>ROUND((F5-J5)*C5,0)</f>
        <v>312959</v>
      </c>
      <c r="L5" s="9">
        <f>ROUND((F5-J5-K5)*C5,0)</f>
        <v>231934</v>
      </c>
      <c r="M5" s="9">
        <f>ROUND((F5-J5-K5-L5)*C5,0)</f>
        <v>171886</v>
      </c>
      <c r="N5" s="9">
        <f>ROUND((F5-J5-K5-L5-M5)*C5,0)</f>
        <v>127385</v>
      </c>
      <c r="O5" s="9">
        <f>ROUND((F5-J5-K5-L5-M5-N5)*C5,0)</f>
        <v>94405</v>
      </c>
      <c r="P5" s="9">
        <f>ROUND((F5-J5-K5-L5-M5-N5-O5)*C5,0)</f>
        <v>69963</v>
      </c>
      <c r="Q5" s="9">
        <f>ROUND((F5-J5-K5-L5-M5-N5-O5-P5)*C5,0)</f>
        <v>51850</v>
      </c>
      <c r="R5" s="9">
        <f>ROUND((F5-J5-K5-L5-M5-N5-O5-P5-Q5)*C5,0)</f>
        <v>38426</v>
      </c>
      <c r="S5" s="11">
        <f t="shared" ref="S5" si="0">SUM(G5:R5)</f>
        <v>1364453</v>
      </c>
      <c r="T5" s="11">
        <f t="shared" ref="T5" si="1">+F5-S5</f>
        <v>109994</v>
      </c>
      <c r="U5" s="9">
        <f t="shared" ref="U5" si="2">ROUND(F5*5%,0)</f>
        <v>73722</v>
      </c>
      <c r="V5" s="38" t="s">
        <v>143</v>
      </c>
      <c r="W5" s="1">
        <v>-1</v>
      </c>
      <c r="X5" s="52">
        <v>41729</v>
      </c>
      <c r="Y5" s="55">
        <f>X5-E5</f>
        <v>3175</v>
      </c>
      <c r="Z5" s="53">
        <f>IF(D5*365-Y5&lt;1,0,(D5*365-Y5)/365)</f>
        <v>0</v>
      </c>
      <c r="AA5" s="9"/>
      <c r="AD5" s="11">
        <f>T5-U5</f>
        <v>36272</v>
      </c>
      <c r="AH5" s="8">
        <f>+T5-AD5-AG5</f>
        <v>73722</v>
      </c>
      <c r="AI5" s="8">
        <v>0</v>
      </c>
      <c r="AJ5" s="11">
        <f>AH5-AI5</f>
        <v>73722</v>
      </c>
      <c r="AK5" s="9">
        <v>0</v>
      </c>
      <c r="AL5" s="11">
        <f>AJ5-AK5</f>
        <v>73722</v>
      </c>
      <c r="AM5" s="11">
        <f>+AL5-U5</f>
        <v>0</v>
      </c>
      <c r="AN5" s="11">
        <f>+AL5-AM5</f>
        <v>73722</v>
      </c>
      <c r="AO5" s="11">
        <f>+AN5-U5</f>
        <v>0</v>
      </c>
      <c r="AP5" s="11">
        <f>+AN5-AO5</f>
        <v>73722</v>
      </c>
      <c r="AQ5" s="11">
        <f>+AP5-U5</f>
        <v>0</v>
      </c>
      <c r="AR5" s="11">
        <f>+AP5-AQ5</f>
        <v>73722</v>
      </c>
      <c r="AS5" s="11">
        <v>0</v>
      </c>
      <c r="AT5" s="11">
        <f>+AR5-AS5</f>
        <v>73722</v>
      </c>
      <c r="AU5" s="11">
        <v>0</v>
      </c>
      <c r="AV5" s="11">
        <f>+AT5-AU5</f>
        <v>73722</v>
      </c>
      <c r="AW5" s="11">
        <v>0</v>
      </c>
      <c r="AX5" s="11">
        <f>+AV5-AW5</f>
        <v>73722</v>
      </c>
      <c r="AY5" s="11">
        <f>+AV5-U5</f>
        <v>0</v>
      </c>
    </row>
    <row r="6" spans="1:53" x14ac:dyDescent="0.35">
      <c r="A6" s="1">
        <v>2</v>
      </c>
      <c r="B6" t="s">
        <v>97</v>
      </c>
      <c r="C6" s="21">
        <v>0.25890000000000002</v>
      </c>
      <c r="D6" s="1">
        <v>10</v>
      </c>
      <c r="E6" s="54">
        <v>38248</v>
      </c>
      <c r="F6" s="9">
        <v>31255</v>
      </c>
      <c r="G6" s="9">
        <v>0</v>
      </c>
      <c r="H6" s="9">
        <v>0</v>
      </c>
      <c r="I6" s="9">
        <f>ROUND((F6*C6)*195/365,0)</f>
        <v>4323</v>
      </c>
      <c r="J6" s="9">
        <f>ROUND((F6-I6)*C6,0)</f>
        <v>6973</v>
      </c>
      <c r="K6" s="9">
        <f>ROUND((F6-I6-J6)*C6,0)</f>
        <v>5167</v>
      </c>
      <c r="L6" s="9">
        <f>ROUND((F6-I6-J6-K6)*C6,0)</f>
        <v>3830</v>
      </c>
      <c r="M6" s="9">
        <f>ROUND((F6-I6-J6-K6-L6)*C6,0)</f>
        <v>2838</v>
      </c>
      <c r="N6" s="9">
        <f>ROUND((F6-I6-J6-K6-L6-M6)*C6,0)</f>
        <v>2103</v>
      </c>
      <c r="O6" s="9">
        <f>ROUND((F6-I6-J6-K6-L6-M6-N6)*C6,0)</f>
        <v>1559</v>
      </c>
      <c r="P6" s="9">
        <f>ROUND((F6-I6-J6-K6-L6-M6-N6-O6)*C6,0)</f>
        <v>1155</v>
      </c>
      <c r="Q6" s="9">
        <f>ROUND((F6-I6-J6-K6-L6-M6-N6-O6-P6)*C6,0)</f>
        <v>856</v>
      </c>
      <c r="R6" s="9">
        <f>ROUND((F6-I6-J6-K6-L6-M6-N6-O6-P6-Q6)*C6,0)</f>
        <v>635</v>
      </c>
      <c r="S6" s="11">
        <f>SUM(G6:R6)</f>
        <v>29439</v>
      </c>
      <c r="T6" s="11">
        <v>2881</v>
      </c>
      <c r="U6" s="9">
        <f>ROUND(F6*5%,0)</f>
        <v>1563</v>
      </c>
      <c r="V6" s="38" t="s">
        <v>131</v>
      </c>
      <c r="W6" s="1">
        <v>1</v>
      </c>
      <c r="X6" s="52">
        <v>41729</v>
      </c>
      <c r="Y6" s="55">
        <f>X6-E6</f>
        <v>3481</v>
      </c>
      <c r="Z6" s="53">
        <f>IF(D6*365-Y6&lt;1,0,(D6*365-Y6)/365)</f>
        <v>0.46301369863013697</v>
      </c>
      <c r="AA6" s="9">
        <f>T6-U6</f>
        <v>1318</v>
      </c>
      <c r="AB6" s="11">
        <f>AA6</f>
        <v>1318</v>
      </c>
      <c r="AD6" s="11"/>
      <c r="AE6" s="9">
        <f>(T6-U6)/W6</f>
        <v>1318</v>
      </c>
      <c r="AF6" s="10">
        <f>1-POWER((0.05*F6)/T6,1/Z6)</f>
        <v>0.73316009638875235</v>
      </c>
      <c r="AG6" s="8">
        <f>IF(Z6&gt;1,T6*AF6,T6-U6)</f>
        <v>1318</v>
      </c>
      <c r="AH6" s="8">
        <f t="shared" ref="AH6" si="3">+T6-AD6-AG6</f>
        <v>1563</v>
      </c>
      <c r="AI6" s="8">
        <v>0</v>
      </c>
      <c r="AJ6" s="11">
        <f t="shared" ref="AJ6" si="4">AH6-AI6</f>
        <v>1563</v>
      </c>
      <c r="AK6" s="9">
        <v>0</v>
      </c>
      <c r="AL6" s="11">
        <f t="shared" ref="AL6" si="5">AJ6-AK6</f>
        <v>1563</v>
      </c>
      <c r="AM6" s="11">
        <f>+AL6-U6</f>
        <v>0</v>
      </c>
      <c r="AN6" s="11">
        <f>+AL6-AM6</f>
        <v>1563</v>
      </c>
      <c r="AO6" s="11">
        <f>+AN6-U6</f>
        <v>0</v>
      </c>
      <c r="AP6" s="11">
        <f>+AN6-AO6</f>
        <v>1563</v>
      </c>
      <c r="AQ6" s="11">
        <f>+AP6-U6</f>
        <v>0</v>
      </c>
      <c r="AR6" s="11">
        <f>+AP6-AQ6</f>
        <v>1563</v>
      </c>
      <c r="AS6" s="11">
        <v>0</v>
      </c>
      <c r="AT6" s="11">
        <f>+AR6-AS6</f>
        <v>1563</v>
      </c>
      <c r="AU6" s="11">
        <v>0</v>
      </c>
      <c r="AV6" s="11">
        <f>+AT6-AU6</f>
        <v>1563</v>
      </c>
      <c r="AW6" s="11">
        <v>0</v>
      </c>
      <c r="AX6" s="11">
        <f>+AV6-AW6</f>
        <v>1563</v>
      </c>
      <c r="AY6" s="11">
        <f t="shared" ref="AY6" si="6">+AV6-U6</f>
        <v>0</v>
      </c>
    </row>
    <row r="7" spans="1:53" x14ac:dyDescent="0.35">
      <c r="A7" s="1">
        <v>3</v>
      </c>
      <c r="B7" t="s">
        <v>217</v>
      </c>
      <c r="C7" s="21"/>
      <c r="D7" s="1">
        <v>8</v>
      </c>
      <c r="E7" s="54">
        <v>43168</v>
      </c>
      <c r="F7" s="9">
        <v>6204085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1"/>
      <c r="T7" s="11"/>
      <c r="U7" s="9">
        <f>ROUND(F7*5%,0)</f>
        <v>310204</v>
      </c>
      <c r="V7" s="38"/>
      <c r="W7" s="1"/>
      <c r="X7" s="52"/>
      <c r="Y7" s="55"/>
      <c r="Z7" s="53"/>
      <c r="AA7" s="9"/>
      <c r="AC7" s="10"/>
      <c r="AE7" s="9"/>
      <c r="AF7" s="10">
        <f>1-POWER((0.05*F7)/F7,1/D7)</f>
        <v>0.31234397806636793</v>
      </c>
      <c r="AJ7" s="11">
        <v>0</v>
      </c>
      <c r="AK7" s="11">
        <v>0</v>
      </c>
      <c r="AL7" s="11">
        <v>0</v>
      </c>
      <c r="AM7" s="9">
        <f>ROUND((F7*AF7)/365*22,0)</f>
        <v>116799</v>
      </c>
      <c r="AN7" s="9">
        <f>+F7-AM7</f>
        <v>6087286</v>
      </c>
      <c r="AO7" s="9">
        <f>ROUND(AN7*AF7,0)</f>
        <v>1901327</v>
      </c>
      <c r="AP7" s="11">
        <f t="shared" ref="AP7" si="7">AN7-AO7</f>
        <v>4185959</v>
      </c>
      <c r="AQ7" s="9">
        <f>ROUND(AP7*AF7,0)</f>
        <v>1307459</v>
      </c>
      <c r="AR7" s="11">
        <f>AP7-AQ7</f>
        <v>2878500</v>
      </c>
      <c r="AS7" s="9">
        <f>ROUND(AR7*AF7,0)</f>
        <v>899082</v>
      </c>
      <c r="AT7" s="11">
        <f>AR7-AS7</f>
        <v>1979418</v>
      </c>
      <c r="AU7" s="9">
        <f>ROUND(AT7*AF7,0)</f>
        <v>618259</v>
      </c>
      <c r="AV7" s="11">
        <f>AT7-AU7</f>
        <v>1361159</v>
      </c>
      <c r="AW7" s="9">
        <f>ROUND(AV7*AF7,0)</f>
        <v>425150</v>
      </c>
      <c r="AX7" s="11">
        <f>AV7-AW7</f>
        <v>936009</v>
      </c>
      <c r="AY7" s="11">
        <f>+AX7-U7</f>
        <v>625805</v>
      </c>
    </row>
    <row r="8" spans="1:53" x14ac:dyDescent="0.35">
      <c r="C8" s="24"/>
      <c r="E8" s="3" t="s">
        <v>38</v>
      </c>
      <c r="F8" s="13">
        <f>SUM(F5:F7)</f>
        <v>7709787</v>
      </c>
      <c r="G8" s="13">
        <f t="shared" ref="G8:T8" si="8">SUM(G5:G6)</f>
        <v>0</v>
      </c>
      <c r="H8" s="13">
        <f t="shared" si="8"/>
        <v>0</v>
      </c>
      <c r="I8" s="13">
        <f t="shared" si="8"/>
        <v>4323</v>
      </c>
      <c r="J8" s="13">
        <f t="shared" si="8"/>
        <v>272618</v>
      </c>
      <c r="K8" s="13">
        <f t="shared" si="8"/>
        <v>318126</v>
      </c>
      <c r="L8" s="13">
        <f t="shared" si="8"/>
        <v>235764</v>
      </c>
      <c r="M8" s="13">
        <f t="shared" si="8"/>
        <v>174724</v>
      </c>
      <c r="N8" s="13">
        <f t="shared" si="8"/>
        <v>129488</v>
      </c>
      <c r="O8" s="13">
        <f t="shared" si="8"/>
        <v>95964</v>
      </c>
      <c r="P8" s="13">
        <f t="shared" si="8"/>
        <v>71118</v>
      </c>
      <c r="Q8" s="13">
        <f t="shared" si="8"/>
        <v>52706</v>
      </c>
      <c r="R8" s="13">
        <f t="shared" si="8"/>
        <v>39061</v>
      </c>
      <c r="S8" s="13">
        <f t="shared" si="8"/>
        <v>1393892</v>
      </c>
      <c r="T8" s="28">
        <f t="shared" si="8"/>
        <v>112875</v>
      </c>
      <c r="U8" s="13">
        <f>SUM(U5:U7)</f>
        <v>385489</v>
      </c>
      <c r="V8" s="13">
        <f>SUM(V5:V6)</f>
        <v>0</v>
      </c>
      <c r="W8" s="13"/>
      <c r="X8" s="13"/>
      <c r="Y8" s="13"/>
      <c r="Z8" s="13"/>
      <c r="AA8" s="13">
        <f>SUM(AA5:AA6)</f>
        <v>1318</v>
      </c>
      <c r="AB8" s="13">
        <f>SUM(AB5:AB6)</f>
        <v>1318</v>
      </c>
      <c r="AC8" s="13"/>
      <c r="AD8" s="13">
        <f>SUM(AD5:AD6)</f>
        <v>36272</v>
      </c>
      <c r="AE8" s="13">
        <f>SUM(AE5:AE6)</f>
        <v>1318</v>
      </c>
      <c r="AG8" s="57">
        <f>SUM(AG5:AG6)</f>
        <v>1318</v>
      </c>
      <c r="AH8" s="57">
        <f>SUM(AH5:AH6)</f>
        <v>75285</v>
      </c>
      <c r="AI8" s="57">
        <f>SUM(AI5:AI6)</f>
        <v>0</v>
      </c>
      <c r="AJ8" s="13">
        <f t="shared" ref="AJ8:AX8" si="9">SUM(AJ5:AJ7)</f>
        <v>75285</v>
      </c>
      <c r="AK8" s="13">
        <f t="shared" si="9"/>
        <v>0</v>
      </c>
      <c r="AL8" s="13">
        <f t="shared" si="9"/>
        <v>75285</v>
      </c>
      <c r="AM8" s="13">
        <f t="shared" si="9"/>
        <v>116799</v>
      </c>
      <c r="AN8" s="13">
        <f t="shared" si="9"/>
        <v>6162571</v>
      </c>
      <c r="AO8" s="13">
        <f t="shared" si="9"/>
        <v>1901327</v>
      </c>
      <c r="AP8" s="13">
        <f t="shared" si="9"/>
        <v>4261244</v>
      </c>
      <c r="AQ8" s="13">
        <f t="shared" si="9"/>
        <v>1307459</v>
      </c>
      <c r="AR8" s="13">
        <f t="shared" si="9"/>
        <v>2953785</v>
      </c>
      <c r="AS8" s="13">
        <f t="shared" si="9"/>
        <v>899082</v>
      </c>
      <c r="AT8" s="13">
        <f t="shared" si="9"/>
        <v>2054703</v>
      </c>
      <c r="AU8" s="13">
        <f t="shared" si="9"/>
        <v>618259</v>
      </c>
      <c r="AV8" s="13">
        <f t="shared" si="9"/>
        <v>1436444</v>
      </c>
      <c r="AW8" s="13">
        <f t="shared" si="9"/>
        <v>425150</v>
      </c>
      <c r="AX8" s="28">
        <f t="shared" si="9"/>
        <v>1011294</v>
      </c>
    </row>
    <row r="9" spans="1:53" x14ac:dyDescent="0.35">
      <c r="C9" s="25"/>
      <c r="F9" s="9"/>
      <c r="U9" s="11"/>
      <c r="V9" s="38"/>
      <c r="AE9" s="8"/>
      <c r="AJ9" s="11"/>
      <c r="AK9" s="11"/>
      <c r="AL9" s="11"/>
      <c r="AM9" s="11"/>
      <c r="AN9" s="11"/>
      <c r="AP9" s="11"/>
      <c r="AQ9" s="11"/>
      <c r="AR9" s="11"/>
      <c r="AS9" s="11"/>
      <c r="AT9" s="11"/>
      <c r="AU9" s="11"/>
      <c r="AV9" s="11"/>
      <c r="AW9" s="11"/>
      <c r="AX9" s="11"/>
    </row>
    <row r="10" spans="1:53" x14ac:dyDescent="0.35">
      <c r="A10" s="1"/>
      <c r="C10" s="21"/>
      <c r="D10" s="1"/>
      <c r="E10" s="1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1">
        <f t="shared" ref="S10" si="10">SUM(G10:R10)</f>
        <v>0</v>
      </c>
      <c r="T10" s="11">
        <f t="shared" ref="T10" si="11">+F10-S10</f>
        <v>0</v>
      </c>
      <c r="U10" s="9">
        <f t="shared" ref="U10" si="12">ROUND(F10*5%,0)</f>
        <v>0</v>
      </c>
      <c r="V10" s="38"/>
      <c r="W10" s="1"/>
      <c r="X10" s="1"/>
      <c r="Y10" s="1"/>
      <c r="Z10" s="1"/>
      <c r="AA10" s="9"/>
      <c r="AE10" s="8"/>
      <c r="AJ10" s="11"/>
      <c r="AK10" s="11"/>
      <c r="AL10" s="11"/>
      <c r="AM10" s="11"/>
      <c r="AN10" s="11"/>
      <c r="AP10" s="11"/>
      <c r="AQ10" s="11"/>
      <c r="AR10" s="11"/>
      <c r="AS10" s="11"/>
      <c r="AT10" s="11"/>
      <c r="AU10" s="11"/>
      <c r="AV10" s="11"/>
      <c r="AW10" s="11"/>
      <c r="AX10" s="11"/>
    </row>
    <row r="11" spans="1:53" x14ac:dyDescent="0.35">
      <c r="A11" s="1">
        <v>1</v>
      </c>
      <c r="B11" t="s">
        <v>98</v>
      </c>
      <c r="C11" s="21">
        <v>0.25890000000000002</v>
      </c>
      <c r="D11" s="1">
        <v>10</v>
      </c>
      <c r="E11" s="54">
        <v>37784</v>
      </c>
      <c r="F11" s="9">
        <v>44035</v>
      </c>
      <c r="G11" s="9">
        <v>0</v>
      </c>
      <c r="H11" s="9">
        <f>ROUND((F11*C11)*292/366,0)</f>
        <v>9096</v>
      </c>
      <c r="I11" s="9">
        <f>ROUND((F11-H11)*C11,0)</f>
        <v>9046</v>
      </c>
      <c r="J11" s="9">
        <f>ROUND((F11-H11-I11)*C11,0)</f>
        <v>6704</v>
      </c>
      <c r="K11" s="9">
        <f>ROUND((F11-H11-I11-J11)*C11,0)</f>
        <v>4968</v>
      </c>
      <c r="L11" s="9">
        <f>ROUND((F11-H11-I11-J11-K11)*C11,0)</f>
        <v>3682</v>
      </c>
      <c r="M11" s="9">
        <f>ROUND((F11-H11-I11-J11-K11-L11)*C11,0)</f>
        <v>2729</v>
      </c>
      <c r="N11" s="9">
        <f>ROUND((F11-H11-I11-J11-K11-L11-M11)*C11,0)</f>
        <v>2022</v>
      </c>
      <c r="O11" s="9">
        <f>ROUND((F11-H11-I11-J11-K11-L11-M11-N11)*C11,0)</f>
        <v>1499</v>
      </c>
      <c r="P11" s="9">
        <f>ROUND((F11-H11-I11-J11-K11-L11-M11-N11-O11)*C11,0)</f>
        <v>1110</v>
      </c>
      <c r="Q11" s="9">
        <f>ROUND((F11-H11-I11-J11-K11-L11-M11-N11-O11-P11)*C11,0)</f>
        <v>823</v>
      </c>
      <c r="R11" s="9">
        <f>ROUND((F11-H11-I11-J11-K11-L11-M11-N11-O11-P11-Q11)*C11,0)</f>
        <v>610</v>
      </c>
      <c r="S11" s="11">
        <f>SUM(G11:R11)</f>
        <v>42289</v>
      </c>
      <c r="T11" s="11">
        <f>+F11-S11</f>
        <v>1746</v>
      </c>
      <c r="U11" s="9">
        <f>ROUND(F11*5%,0)</f>
        <v>2202</v>
      </c>
      <c r="V11" s="38" t="s">
        <v>119</v>
      </c>
      <c r="W11" s="1"/>
      <c r="X11" s="52">
        <v>41729</v>
      </c>
      <c r="Y11" s="55">
        <f t="shared" ref="Y11:Y13" si="13">X11-E11</f>
        <v>3945</v>
      </c>
      <c r="Z11" s="53">
        <f>IF(D11*365-Y11&lt;1,0,(D11*365-Y11)/365)</f>
        <v>0</v>
      </c>
      <c r="AA11" s="9"/>
      <c r="AD11" s="11">
        <v>0</v>
      </c>
      <c r="AE11" s="8"/>
      <c r="AH11" s="8">
        <f t="shared" ref="AH11:AH13" si="14">+T11-AD11-AG11</f>
        <v>1746</v>
      </c>
      <c r="AI11" s="8">
        <v>0</v>
      </c>
      <c r="AJ11" s="11">
        <f t="shared" ref="AJ11:AJ13" si="15">AH11-AI11</f>
        <v>1746</v>
      </c>
      <c r="AK11" s="9">
        <v>0</v>
      </c>
      <c r="AL11" s="11">
        <f t="shared" ref="AL11:AL13" si="16">AJ11-AK11</f>
        <v>1746</v>
      </c>
      <c r="AM11" s="11">
        <v>0</v>
      </c>
      <c r="AN11" s="11">
        <f>+AL11-AM11</f>
        <v>1746</v>
      </c>
      <c r="AO11" s="11">
        <v>0</v>
      </c>
      <c r="AP11" s="11">
        <f t="shared" ref="AP11:AP12" si="17">+AN11-AO11</f>
        <v>1746</v>
      </c>
      <c r="AQ11" s="11">
        <v>0</v>
      </c>
      <c r="AR11" s="11">
        <f t="shared" ref="AR11:AR12" si="18">+AP11-AQ11</f>
        <v>1746</v>
      </c>
      <c r="AS11" s="11">
        <v>0</v>
      </c>
      <c r="AT11" s="11">
        <f t="shared" ref="AT11:AT12" si="19">+AR11-AS11</f>
        <v>1746</v>
      </c>
      <c r="AU11" s="11">
        <v>0</v>
      </c>
      <c r="AV11" s="11">
        <f t="shared" ref="AV11:AV12" si="20">+AT11-AU11</f>
        <v>1746</v>
      </c>
      <c r="AW11" s="11">
        <v>0</v>
      </c>
      <c r="AX11" s="11">
        <f>+AV11-AW11</f>
        <v>1746</v>
      </c>
      <c r="AY11" s="11">
        <f t="shared" ref="AY11:AY12" si="21">+AV11-U11</f>
        <v>-456</v>
      </c>
    </row>
    <row r="12" spans="1:53" x14ac:dyDescent="0.35">
      <c r="A12" s="1">
        <v>2</v>
      </c>
      <c r="B12" t="s">
        <v>100</v>
      </c>
      <c r="C12" s="21">
        <v>0.25890000000000002</v>
      </c>
      <c r="D12" s="1">
        <v>10</v>
      </c>
      <c r="E12" s="54">
        <v>39394</v>
      </c>
      <c r="F12" s="9">
        <v>97270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f>ROUND((F12*C12)*145/366,0)</f>
        <v>9977</v>
      </c>
      <c r="M12" s="9">
        <f>ROUND((F12-L12)*C12,0)</f>
        <v>22600</v>
      </c>
      <c r="N12" s="9">
        <f>ROUND((F12-L12-M12)*C12,0)</f>
        <v>16749</v>
      </c>
      <c r="O12" s="9">
        <f>ROUND((F12-L12-M12-N12)*C12,0)</f>
        <v>12413</v>
      </c>
      <c r="P12" s="9">
        <f>ROUND((F12-L12-M12-N12-O12)*C12,0)</f>
        <v>9199</v>
      </c>
      <c r="Q12" s="9">
        <f>ROUND((F12-L12-M12-N12-O12-P12)*C12,0)</f>
        <v>6817</v>
      </c>
      <c r="R12" s="9">
        <f>ROUND((F12-L12-M12-N12-O12-P12-Q12)*C12,0)</f>
        <v>5052</v>
      </c>
      <c r="S12" s="11">
        <f>SUM(G12:R12)</f>
        <v>82807</v>
      </c>
      <c r="T12" s="11">
        <f>+F12-S12</f>
        <v>14463</v>
      </c>
      <c r="U12" s="9">
        <f>ROUND(F12*5%,0)</f>
        <v>4864</v>
      </c>
      <c r="V12" s="38" t="s">
        <v>145</v>
      </c>
      <c r="W12" s="1">
        <v>1.6</v>
      </c>
      <c r="X12" s="52">
        <v>41729</v>
      </c>
      <c r="Y12" s="55">
        <f t="shared" si="13"/>
        <v>2335</v>
      </c>
      <c r="Z12" s="53">
        <f>IF(D12*365-Y12&lt;1,0,(D12*365-Y12)/365)</f>
        <v>3.6027397260273974</v>
      </c>
      <c r="AA12" s="9">
        <f t="shared" ref="AA12:AA13" si="22">T12-U12</f>
        <v>9599</v>
      </c>
      <c r="AB12">
        <v>7145</v>
      </c>
      <c r="AD12" s="11"/>
      <c r="AE12" s="9">
        <f t="shared" ref="AE12:AE13" si="23">(T12-U12)/W12</f>
        <v>5999.375</v>
      </c>
      <c r="AF12" s="10">
        <f t="shared" ref="AF12:AF13" si="24">1-POWER((0.05*F12)/T12,1/Z12)</f>
        <v>0.26103285597630677</v>
      </c>
      <c r="AG12" s="8">
        <f>ROUND(T12*AF12,0)</f>
        <v>3775</v>
      </c>
      <c r="AH12" s="8">
        <f t="shared" si="14"/>
        <v>10688</v>
      </c>
      <c r="AI12" s="8">
        <f>ROUND(AH12*AF12,0)</f>
        <v>2790</v>
      </c>
      <c r="AJ12" s="11">
        <f t="shared" si="15"/>
        <v>7898</v>
      </c>
      <c r="AK12" s="9">
        <f>ROUND(AJ12*AF12,0)</f>
        <v>2062</v>
      </c>
      <c r="AL12" s="11">
        <f t="shared" si="16"/>
        <v>5836</v>
      </c>
      <c r="AM12" s="11">
        <f>+AL12-U12</f>
        <v>972</v>
      </c>
      <c r="AN12" s="11">
        <f>+AL12-AM12</f>
        <v>4864</v>
      </c>
      <c r="AO12" s="11">
        <f t="shared" ref="AO12" si="25">+AN12-U12</f>
        <v>0</v>
      </c>
      <c r="AP12" s="11">
        <f t="shared" si="17"/>
        <v>4864</v>
      </c>
      <c r="AQ12" s="11">
        <f t="shared" ref="AQ12" si="26">+AP12-U12</f>
        <v>0</v>
      </c>
      <c r="AR12" s="11">
        <f t="shared" si="18"/>
        <v>4864</v>
      </c>
      <c r="AS12" s="11">
        <v>0</v>
      </c>
      <c r="AT12" s="11">
        <f t="shared" si="19"/>
        <v>4864</v>
      </c>
      <c r="AU12" s="11">
        <v>0</v>
      </c>
      <c r="AV12" s="11">
        <f t="shared" si="20"/>
        <v>4864</v>
      </c>
      <c r="AW12" s="11">
        <v>0</v>
      </c>
      <c r="AX12" s="11">
        <f>+AV12-AW12</f>
        <v>4864</v>
      </c>
      <c r="AY12" s="11">
        <f t="shared" si="21"/>
        <v>0</v>
      </c>
    </row>
    <row r="13" spans="1:53" x14ac:dyDescent="0.35">
      <c r="A13" s="1">
        <v>3</v>
      </c>
      <c r="B13" t="s">
        <v>98</v>
      </c>
      <c r="C13" s="21">
        <v>0.25890000000000002</v>
      </c>
      <c r="D13" s="1">
        <v>10</v>
      </c>
      <c r="E13" s="54">
        <v>41061</v>
      </c>
      <c r="F13" s="9">
        <v>59480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f>ROUND((F13*C13)*304/365,0)</f>
        <v>12826</v>
      </c>
      <c r="R13" s="9">
        <f>ROUND((F13-Q13)*C13,0)</f>
        <v>12079</v>
      </c>
      <c r="S13" s="11">
        <f>SUM(G13:R13)</f>
        <v>24905</v>
      </c>
      <c r="T13" s="11">
        <f>+F13-S13</f>
        <v>34575</v>
      </c>
      <c r="U13" s="9">
        <f>ROUND(F13*5%,0)</f>
        <v>2974</v>
      </c>
      <c r="V13" s="38" t="s">
        <v>164</v>
      </c>
      <c r="W13" s="1">
        <v>6.17</v>
      </c>
      <c r="X13" s="52">
        <v>41729</v>
      </c>
      <c r="Y13" s="55">
        <f t="shared" si="13"/>
        <v>668</v>
      </c>
      <c r="Z13" s="53">
        <f>IF(D13*365-Y13&lt;1,0,(D13*365-Y13)/365)</f>
        <v>8.169863013698631</v>
      </c>
      <c r="AA13" s="9">
        <f t="shared" si="22"/>
        <v>31601</v>
      </c>
      <c r="AB13">
        <v>11341</v>
      </c>
      <c r="AD13" s="11"/>
      <c r="AE13" s="9">
        <f t="shared" si="23"/>
        <v>5121.717990275527</v>
      </c>
      <c r="AF13" s="10">
        <f t="shared" si="24"/>
        <v>0.25938705484791269</v>
      </c>
      <c r="AG13" s="8">
        <f>ROUND(T13*AF13,0)</f>
        <v>8968</v>
      </c>
      <c r="AH13" s="8">
        <f t="shared" si="14"/>
        <v>25607</v>
      </c>
      <c r="AI13" s="8">
        <f>ROUND(AH13*AF13,0)</f>
        <v>6642</v>
      </c>
      <c r="AJ13" s="11">
        <f t="shared" si="15"/>
        <v>18965</v>
      </c>
      <c r="AK13" s="9">
        <f t="shared" ref="AK13" si="27">ROUND(AJ13*AF13,0)</f>
        <v>4919</v>
      </c>
      <c r="AL13" s="11">
        <f t="shared" si="16"/>
        <v>14046</v>
      </c>
      <c r="AM13" s="9">
        <f>ROUND(AL13*AF13,0)</f>
        <v>3643</v>
      </c>
      <c r="AN13" s="11">
        <f>AL13-AM13</f>
        <v>10403</v>
      </c>
      <c r="AO13" s="9">
        <f>ROUND(AN13*AF13,0)</f>
        <v>2698</v>
      </c>
      <c r="AP13" s="11">
        <f t="shared" ref="AP13" si="28">AN13-AO13</f>
        <v>7705</v>
      </c>
      <c r="AQ13" s="9">
        <f>ROUND(AP13*AF13,0)</f>
        <v>1999</v>
      </c>
      <c r="AR13" s="11">
        <f>AP13-AQ13</f>
        <v>5706</v>
      </c>
      <c r="AS13" s="9">
        <f>ROUND(AR13*AF13,0)</f>
        <v>1480</v>
      </c>
      <c r="AT13" s="11">
        <f>AR13-AS13</f>
        <v>4226</v>
      </c>
      <c r="AU13" s="9">
        <f>ROUND(AT13*AF13,0)</f>
        <v>1096</v>
      </c>
      <c r="AV13" s="11">
        <f>AT13-AU13</f>
        <v>3130</v>
      </c>
      <c r="AW13" s="9">
        <f>ROUND(AV13*AF13,0)-656</f>
        <v>156</v>
      </c>
      <c r="AX13" s="11">
        <f>AV13-AW13</f>
        <v>2974</v>
      </c>
      <c r="AY13" s="11">
        <f>+AX13-U13</f>
        <v>0</v>
      </c>
    </row>
    <row r="14" spans="1:53" x14ac:dyDescent="0.35">
      <c r="A14" s="167">
        <v>4</v>
      </c>
      <c r="B14" s="168" t="s">
        <v>241</v>
      </c>
      <c r="C14" s="169"/>
      <c r="D14" s="167">
        <v>10</v>
      </c>
      <c r="E14" s="170">
        <v>44758</v>
      </c>
      <c r="F14" s="171">
        <v>78434.03</v>
      </c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2"/>
      <c r="T14" s="172"/>
      <c r="U14" s="171">
        <f>ROUND(F14*5%,0)</f>
        <v>3922</v>
      </c>
      <c r="V14" s="173"/>
      <c r="W14" s="167"/>
      <c r="X14" s="174"/>
      <c r="Y14" s="175"/>
      <c r="Z14" s="176"/>
      <c r="AA14" s="171"/>
      <c r="AB14" s="168"/>
      <c r="AC14" s="168"/>
      <c r="AD14" s="172"/>
      <c r="AE14" s="171"/>
      <c r="AF14" s="177">
        <f>1-POWER((0.05*F14)/F14,1/D14)</f>
        <v>0.2588655508930523</v>
      </c>
      <c r="AI14" s="8"/>
      <c r="AJ14" s="11"/>
      <c r="AK14" s="9"/>
      <c r="AL14" s="11"/>
      <c r="AM14" s="9"/>
      <c r="AN14" s="11">
        <v>0</v>
      </c>
      <c r="AO14" s="9"/>
      <c r="AP14" s="11">
        <v>0</v>
      </c>
      <c r="AQ14" s="9"/>
      <c r="AR14" s="11">
        <v>0</v>
      </c>
      <c r="AS14" s="9">
        <v>0</v>
      </c>
      <c r="AT14" s="11">
        <v>0</v>
      </c>
      <c r="AU14" s="9">
        <v>0</v>
      </c>
      <c r="AV14" s="11">
        <v>0</v>
      </c>
      <c r="AW14" s="9">
        <f>ROUND((F14*AF14)/365*259,0)</f>
        <v>14407</v>
      </c>
      <c r="AX14" s="11">
        <f>+F14-AW14</f>
        <v>64027.03</v>
      </c>
      <c r="AY14" s="11">
        <f>+AX14-U14</f>
        <v>60105.03</v>
      </c>
      <c r="AZ14" s="117">
        <v>45016</v>
      </c>
      <c r="BA14" s="33">
        <f>+AZ14-E14</f>
        <v>258</v>
      </c>
    </row>
    <row r="15" spans="1:53" x14ac:dyDescent="0.35">
      <c r="A15" s="1"/>
      <c r="C15" s="21"/>
      <c r="D15" s="1"/>
      <c r="E15" s="3" t="s">
        <v>38</v>
      </c>
      <c r="F15" s="13">
        <f>SUM(F11:F14)</f>
        <v>279219.03000000003</v>
      </c>
      <c r="G15" s="13">
        <f t="shared" ref="G15:W15" si="29">SUM(G11:G13)</f>
        <v>0</v>
      </c>
      <c r="H15" s="13">
        <f t="shared" si="29"/>
        <v>9096</v>
      </c>
      <c r="I15" s="13">
        <f t="shared" si="29"/>
        <v>9046</v>
      </c>
      <c r="J15" s="13">
        <f t="shared" si="29"/>
        <v>6704</v>
      </c>
      <c r="K15" s="13">
        <f t="shared" si="29"/>
        <v>4968</v>
      </c>
      <c r="L15" s="13">
        <f t="shared" si="29"/>
        <v>13659</v>
      </c>
      <c r="M15" s="13">
        <f t="shared" si="29"/>
        <v>25329</v>
      </c>
      <c r="N15" s="13">
        <f t="shared" si="29"/>
        <v>18771</v>
      </c>
      <c r="O15" s="13">
        <f t="shared" si="29"/>
        <v>13912</v>
      </c>
      <c r="P15" s="13">
        <f t="shared" si="29"/>
        <v>10309</v>
      </c>
      <c r="Q15" s="13">
        <f t="shared" si="29"/>
        <v>20466</v>
      </c>
      <c r="R15" s="13">
        <f t="shared" si="29"/>
        <v>17741</v>
      </c>
      <c r="S15" s="13">
        <f t="shared" si="29"/>
        <v>150001</v>
      </c>
      <c r="T15" s="28">
        <f t="shared" si="29"/>
        <v>50784</v>
      </c>
      <c r="U15" s="13">
        <f>SUM(U11:U14)</f>
        <v>13962</v>
      </c>
      <c r="V15" s="13">
        <f t="shared" si="29"/>
        <v>0</v>
      </c>
      <c r="W15" s="13">
        <f t="shared" si="29"/>
        <v>7.77</v>
      </c>
      <c r="X15" s="13"/>
      <c r="Y15" s="13"/>
      <c r="Z15" s="13"/>
      <c r="AA15" s="13">
        <f>SUM(AA11:AA13)</f>
        <v>41200</v>
      </c>
      <c r="AB15" s="13">
        <f>SUM(AB11:AB13)</f>
        <v>18486</v>
      </c>
      <c r="AC15" s="13">
        <f>SUM(AC11:AC13)</f>
        <v>0</v>
      </c>
      <c r="AD15" s="13">
        <f>SUM(AD11:AD13)</f>
        <v>0</v>
      </c>
      <c r="AE15" s="13">
        <f>SUM(AE11:AE13)</f>
        <v>11121.092990275527</v>
      </c>
      <c r="AG15" s="57">
        <f t="shared" ref="AG15:AJ15" si="30">SUM(AG11:AG13)</f>
        <v>12743</v>
      </c>
      <c r="AH15" s="57">
        <f t="shared" si="30"/>
        <v>38041</v>
      </c>
      <c r="AI15" s="57">
        <f t="shared" si="30"/>
        <v>9432</v>
      </c>
      <c r="AJ15" s="13">
        <f t="shared" si="30"/>
        <v>28609</v>
      </c>
      <c r="AK15" s="13">
        <f t="shared" ref="AK15:AL15" si="31">SUM(AK11:AK13)</f>
        <v>6981</v>
      </c>
      <c r="AL15" s="13">
        <f t="shared" si="31"/>
        <v>21628</v>
      </c>
      <c r="AM15" s="20">
        <f>SUM(AM11:AM13)</f>
        <v>4615</v>
      </c>
      <c r="AN15" s="20">
        <f>SUM(AN11:AN13)</f>
        <v>17013</v>
      </c>
      <c r="AO15" s="20">
        <f t="shared" ref="AO15:AR15" si="32">SUM(AO11:AO13)</f>
        <v>2698</v>
      </c>
      <c r="AP15" s="20">
        <f t="shared" si="32"/>
        <v>14315</v>
      </c>
      <c r="AQ15" s="20">
        <f t="shared" si="32"/>
        <v>1999</v>
      </c>
      <c r="AR15" s="20">
        <f t="shared" si="32"/>
        <v>12316</v>
      </c>
      <c r="AS15" s="20">
        <f t="shared" ref="AS15:AT15" si="33">SUM(AS11:AS13)</f>
        <v>1480</v>
      </c>
      <c r="AT15" s="20">
        <f t="shared" si="33"/>
        <v>10836</v>
      </c>
      <c r="AU15" s="20">
        <f>SUM(AU11:AU14)</f>
        <v>1096</v>
      </c>
      <c r="AV15" s="20">
        <f>SUM(AV11:AV14)</f>
        <v>9740</v>
      </c>
      <c r="AW15" s="20">
        <f>SUM(AW11:AW14)</f>
        <v>14563</v>
      </c>
      <c r="AX15" s="192">
        <f>SUM(AX11:AX14)</f>
        <v>73611.03</v>
      </c>
    </row>
    <row r="16" spans="1:53" x14ac:dyDescent="0.35">
      <c r="A16" s="1"/>
      <c r="C16" s="21"/>
      <c r="D16" s="1"/>
      <c r="E16" s="1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1"/>
      <c r="T16" s="11"/>
      <c r="U16" s="9"/>
      <c r="V16" s="38"/>
      <c r="W16" s="1"/>
      <c r="X16" s="1"/>
      <c r="Y16" s="1"/>
      <c r="Z16" s="1"/>
      <c r="AA16" s="9"/>
      <c r="AE16" s="8"/>
      <c r="AJ16" s="11"/>
      <c r="AK16" s="11"/>
      <c r="AL16" s="11"/>
      <c r="AM16" s="11"/>
      <c r="AN16" s="11"/>
    </row>
    <row r="17" spans="1:52" ht="16" thickBot="1" x14ac:dyDescent="0.4">
      <c r="B17" s="6" t="s">
        <v>101</v>
      </c>
      <c r="C17" s="24"/>
      <c r="E17" s="3" t="s">
        <v>39</v>
      </c>
      <c r="F17" s="16">
        <f t="shared" ref="F17:W17" si="34">+F8+F24+F15</f>
        <v>7989006.0300000003</v>
      </c>
      <c r="G17" s="16">
        <f t="shared" si="34"/>
        <v>0</v>
      </c>
      <c r="H17" s="16">
        <f t="shared" si="34"/>
        <v>9096</v>
      </c>
      <c r="I17" s="16">
        <f t="shared" si="34"/>
        <v>13369</v>
      </c>
      <c r="J17" s="16">
        <f t="shared" si="34"/>
        <v>279322</v>
      </c>
      <c r="K17" s="16">
        <f t="shared" si="34"/>
        <v>323094</v>
      </c>
      <c r="L17" s="16">
        <f t="shared" si="34"/>
        <v>249423</v>
      </c>
      <c r="M17" s="16">
        <f t="shared" si="34"/>
        <v>200053</v>
      </c>
      <c r="N17" s="16">
        <f t="shared" si="34"/>
        <v>148259</v>
      </c>
      <c r="O17" s="16">
        <f t="shared" si="34"/>
        <v>109876</v>
      </c>
      <c r="P17" s="16">
        <f t="shared" si="34"/>
        <v>81427</v>
      </c>
      <c r="Q17" s="16">
        <f t="shared" si="34"/>
        <v>73172</v>
      </c>
      <c r="R17" s="16">
        <f t="shared" si="34"/>
        <v>56802</v>
      </c>
      <c r="S17" s="16">
        <f t="shared" si="34"/>
        <v>1543893</v>
      </c>
      <c r="T17" s="29">
        <f t="shared" si="34"/>
        <v>163659</v>
      </c>
      <c r="U17" s="16">
        <f t="shared" si="34"/>
        <v>399451</v>
      </c>
      <c r="V17" s="16">
        <f t="shared" si="34"/>
        <v>0</v>
      </c>
      <c r="W17" s="16">
        <f t="shared" si="34"/>
        <v>7.77</v>
      </c>
      <c r="X17" s="16"/>
      <c r="Y17" s="16"/>
      <c r="Z17" s="16"/>
      <c r="AA17" s="16">
        <f>+AA8+AA24+AA15</f>
        <v>42518</v>
      </c>
      <c r="AB17" s="16">
        <f>+AB8+AB24+AB15</f>
        <v>19804</v>
      </c>
      <c r="AC17" s="16">
        <f>+AC8+AC24+AC15</f>
        <v>0</v>
      </c>
      <c r="AD17" s="16">
        <f>+AD8+AD24+AD15</f>
        <v>36272</v>
      </c>
      <c r="AE17" s="16">
        <f>+AE8+AE24+AE15</f>
        <v>12439.092990275527</v>
      </c>
      <c r="AG17" s="58">
        <f t="shared" ref="AG17:AJ17" si="35">+AG8+AG24+AG15</f>
        <v>14061</v>
      </c>
      <c r="AH17" s="58">
        <f t="shared" si="35"/>
        <v>113326</v>
      </c>
      <c r="AI17" s="58">
        <f t="shared" si="35"/>
        <v>9432</v>
      </c>
      <c r="AJ17" s="16">
        <f t="shared" si="35"/>
        <v>103894</v>
      </c>
      <c r="AK17" s="16">
        <f t="shared" ref="AK17:AL17" si="36">+AK8+AK24+AK15</f>
        <v>6981</v>
      </c>
      <c r="AL17" s="16">
        <f t="shared" si="36"/>
        <v>96913</v>
      </c>
      <c r="AM17" s="16">
        <f>+AM8+AM15</f>
        <v>121414</v>
      </c>
      <c r="AN17" s="16">
        <f>+AN8+AN15</f>
        <v>6179584</v>
      </c>
      <c r="AO17" s="16">
        <f t="shared" ref="AO17:AR17" si="37">+AO8+AO15</f>
        <v>1904025</v>
      </c>
      <c r="AP17" s="16">
        <f t="shared" si="37"/>
        <v>4275559</v>
      </c>
      <c r="AQ17" s="16">
        <f>+AQ8+AQ15</f>
        <v>1309458</v>
      </c>
      <c r="AR17" s="16">
        <f t="shared" si="37"/>
        <v>2966101</v>
      </c>
      <c r="AS17" s="16">
        <f t="shared" ref="AS17:AX17" si="38">+AS8+AS15</f>
        <v>900562</v>
      </c>
      <c r="AT17" s="16">
        <f t="shared" si="38"/>
        <v>2065539</v>
      </c>
      <c r="AU17" s="16">
        <f t="shared" si="38"/>
        <v>619355</v>
      </c>
      <c r="AV17" s="16">
        <f t="shared" si="38"/>
        <v>1446184</v>
      </c>
      <c r="AW17" s="16">
        <f t="shared" si="38"/>
        <v>439713</v>
      </c>
      <c r="AX17" s="16">
        <f t="shared" si="38"/>
        <v>1084905.03</v>
      </c>
      <c r="AZ17" s="132"/>
    </row>
    <row r="18" spans="1:52" ht="16" thickTop="1" x14ac:dyDescent="0.35">
      <c r="F18" s="9"/>
      <c r="U18" s="11"/>
      <c r="V18" s="11"/>
    </row>
    <row r="19" spans="1:52" x14ac:dyDescent="0.35">
      <c r="F19" s="115"/>
      <c r="S19" s="38"/>
      <c r="U19" s="11"/>
      <c r="V19" s="46"/>
      <c r="W19" s="10"/>
      <c r="X19" s="10"/>
      <c r="Y19" s="10"/>
      <c r="Z19" s="10"/>
      <c r="AG19" s="112"/>
      <c r="AH19" s="112"/>
      <c r="AJ19" s="11"/>
      <c r="AK19" s="46"/>
      <c r="AL19" s="10"/>
    </row>
    <row r="20" spans="1:52" x14ac:dyDescent="0.35">
      <c r="E20" s="117"/>
      <c r="F20" s="115"/>
      <c r="U20" s="11"/>
      <c r="V20" s="11"/>
      <c r="AG20" s="112"/>
      <c r="AH20" s="112"/>
    </row>
    <row r="21" spans="1:52" x14ac:dyDescent="0.35">
      <c r="F21" s="115"/>
      <c r="U21" s="11"/>
      <c r="V21" s="11"/>
      <c r="AG21" s="112"/>
      <c r="AH21" s="112"/>
    </row>
    <row r="22" spans="1:52" x14ac:dyDescent="0.35">
      <c r="F22" s="115"/>
      <c r="U22" s="11"/>
      <c r="V22" s="11"/>
      <c r="AG22" s="112"/>
      <c r="AH22" s="112"/>
    </row>
    <row r="23" spans="1:52" x14ac:dyDescent="0.35">
      <c r="A23" s="1"/>
      <c r="C23" s="119"/>
      <c r="D23" s="1"/>
      <c r="E23" s="14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"/>
      <c r="T23" s="11"/>
      <c r="U23" s="115"/>
      <c r="V23" s="38"/>
      <c r="W23" s="1"/>
      <c r="X23" s="1"/>
      <c r="Y23" s="1"/>
      <c r="Z23" s="1"/>
      <c r="AA23" s="115"/>
      <c r="AE23" s="112"/>
      <c r="AG23" s="112"/>
      <c r="AH23" s="112"/>
    </row>
    <row r="24" spans="1:52" x14ac:dyDescent="0.35">
      <c r="C24" s="24"/>
      <c r="E24" s="3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70"/>
      <c r="U24" s="22"/>
      <c r="V24" s="41"/>
      <c r="AA24" s="120"/>
      <c r="AE24" s="112"/>
      <c r="AG24" s="112"/>
      <c r="AH24" s="112"/>
    </row>
    <row r="25" spans="1:52" x14ac:dyDescent="0.35">
      <c r="F25" s="115"/>
      <c r="U25" s="11"/>
      <c r="V25" s="11"/>
      <c r="AG25" s="112"/>
      <c r="AH25" s="112"/>
    </row>
    <row r="26" spans="1:52" x14ac:dyDescent="0.35">
      <c r="A26" s="1"/>
      <c r="C26" s="119"/>
      <c r="D26" s="1"/>
      <c r="E26" s="1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"/>
      <c r="T26" s="11"/>
      <c r="U26" s="115"/>
      <c r="V26" s="38"/>
      <c r="W26" s="1"/>
      <c r="X26" s="1"/>
      <c r="Y26" s="1"/>
      <c r="Z26" s="1"/>
      <c r="AA26" s="115"/>
      <c r="AC26" s="10"/>
      <c r="AD26" s="11"/>
      <c r="AG26" s="112"/>
      <c r="AH26" s="112"/>
    </row>
    <row r="27" spans="1:52" x14ac:dyDescent="0.35">
      <c r="A27" s="1"/>
      <c r="C27" s="119"/>
      <c r="D27" s="1"/>
      <c r="E27" s="1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"/>
      <c r="T27" s="11"/>
      <c r="U27" s="115"/>
      <c r="V27" s="38"/>
      <c r="W27" s="1"/>
      <c r="X27" s="1"/>
      <c r="Y27" s="1"/>
      <c r="Z27" s="1"/>
      <c r="AA27" s="115"/>
      <c r="AG27" s="112"/>
      <c r="AH27" s="112"/>
    </row>
    <row r="28" spans="1:52" x14ac:dyDescent="0.35">
      <c r="A28" s="1"/>
      <c r="C28" s="119"/>
      <c r="D28" s="1"/>
      <c r="E28" s="1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"/>
      <c r="T28" s="11"/>
      <c r="U28" s="115"/>
      <c r="V28" s="38"/>
      <c r="W28" s="1"/>
      <c r="X28" s="1"/>
      <c r="Y28" s="1"/>
      <c r="Z28" s="1"/>
      <c r="AA28" s="115"/>
      <c r="AG28" s="112"/>
      <c r="AH28" s="112"/>
    </row>
    <row r="29" spans="1:52" x14ac:dyDescent="0.35">
      <c r="A29" s="1"/>
      <c r="C29" s="119"/>
      <c r="D29" s="1"/>
      <c r="E29" s="1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"/>
      <c r="T29" s="11"/>
      <c r="U29" s="115"/>
      <c r="V29" s="38"/>
      <c r="W29" s="1"/>
      <c r="X29" s="1"/>
      <c r="Y29" s="1"/>
      <c r="Z29" s="1"/>
      <c r="AA29" s="115"/>
      <c r="AG29" s="112"/>
      <c r="AH29" s="112"/>
    </row>
    <row r="30" spans="1:52" x14ac:dyDescent="0.35">
      <c r="A30" s="1"/>
      <c r="C30" s="119"/>
      <c r="D30" s="1"/>
      <c r="E30" s="56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"/>
      <c r="T30" s="11"/>
      <c r="U30" s="115"/>
      <c r="V30" s="38"/>
      <c r="W30" s="1"/>
      <c r="X30" s="52"/>
      <c r="Y30" s="121"/>
      <c r="Z30" s="122"/>
      <c r="AA30" s="115"/>
      <c r="AD30" s="11"/>
      <c r="AE30" s="112"/>
      <c r="AG30" s="112"/>
      <c r="AH30" s="112"/>
    </row>
    <row r="31" spans="1:52" x14ac:dyDescent="0.35">
      <c r="F31" s="115"/>
      <c r="U31" s="11"/>
      <c r="V31" s="11"/>
      <c r="AG31" s="112"/>
      <c r="AH31" s="112"/>
    </row>
    <row r="32" spans="1:52" x14ac:dyDescent="0.35">
      <c r="F32" s="115"/>
      <c r="U32" s="11"/>
      <c r="V32" s="11"/>
      <c r="AG32" s="112"/>
      <c r="AH32" s="112"/>
    </row>
    <row r="33" spans="21:34" x14ac:dyDescent="0.35">
      <c r="U33" s="11"/>
      <c r="V33" s="11"/>
      <c r="AG33" s="112"/>
      <c r="AH33" s="112"/>
    </row>
  </sheetData>
  <mergeCells count="1">
    <mergeCell ref="G3:R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A23"/>
  <sheetViews>
    <sheetView workbookViewId="0">
      <selection activeCell="F10" sqref="F10"/>
    </sheetView>
  </sheetViews>
  <sheetFormatPr defaultRowHeight="15.5" x14ac:dyDescent="0.35"/>
  <cols>
    <col min="1" max="1" width="3.33203125" customWidth="1"/>
    <col min="2" max="2" width="15.75" customWidth="1"/>
    <col min="3" max="3" width="7" hidden="1" customWidth="1"/>
    <col min="4" max="4" width="9.83203125" bestFit="1" customWidth="1"/>
    <col min="5" max="5" width="10.08203125" customWidth="1"/>
    <col min="6" max="6" width="8.58203125" bestFit="1" customWidth="1"/>
    <col min="7" max="15" width="7.58203125" hidden="1" customWidth="1"/>
    <col min="16" max="18" width="7.5" hidden="1" customWidth="1"/>
    <col min="19" max="19" width="11.58203125" hidden="1" customWidth="1"/>
    <col min="20" max="20" width="10.33203125" hidden="1" customWidth="1"/>
    <col min="21" max="21" width="7.58203125" bestFit="1" customWidth="1"/>
    <col min="22" max="22" width="6.5" hidden="1" customWidth="1"/>
    <col min="23" max="24" width="9.33203125" hidden="1" customWidth="1"/>
    <col min="25" max="25" width="7.25" hidden="1" customWidth="1"/>
    <col min="26" max="26" width="7" hidden="1" customWidth="1"/>
    <col min="27" max="27" width="7.83203125" hidden="1" customWidth="1"/>
    <col min="28" max="28" width="9.33203125" hidden="1" customWidth="1"/>
    <col min="29" max="29" width="7.58203125" hidden="1" customWidth="1"/>
    <col min="30" max="30" width="13.08203125" hidden="1" customWidth="1"/>
    <col min="31" max="31" width="9.08203125" hidden="1" customWidth="1"/>
    <col min="33" max="33" width="11.33203125" style="8" hidden="1" customWidth="1"/>
    <col min="34" max="34" width="10.08203125" style="8" hidden="1" customWidth="1"/>
    <col min="35" max="35" width="11.58203125" hidden="1" customWidth="1"/>
    <col min="36" max="36" width="10.08203125" hidden="1" customWidth="1"/>
    <col min="37" max="37" width="11" hidden="1" customWidth="1"/>
    <col min="38" max="38" width="10.08203125" bestFit="1" customWidth="1"/>
    <col min="39" max="39" width="11.25" hidden="1" customWidth="1"/>
    <col min="40" max="40" width="9.25" customWidth="1"/>
    <col min="41" max="41" width="10.5" hidden="1" customWidth="1"/>
    <col min="43" max="43" width="0" hidden="1" customWidth="1"/>
    <col min="45" max="45" width="11.08203125" bestFit="1" customWidth="1"/>
    <col min="49" max="49" width="10.75" customWidth="1"/>
    <col min="52" max="52" width="10.75" customWidth="1"/>
    <col min="53" max="53" width="9.83203125" bestFit="1" customWidth="1"/>
  </cols>
  <sheetData>
    <row r="1" spans="1:53" x14ac:dyDescent="0.35">
      <c r="A1" s="111" t="s">
        <v>80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</row>
    <row r="3" spans="1:53" x14ac:dyDescent="0.35">
      <c r="A3" s="2" t="s">
        <v>14</v>
      </c>
      <c r="B3" s="2" t="s">
        <v>17</v>
      </c>
      <c r="C3" s="36" t="s">
        <v>34</v>
      </c>
      <c r="D3" s="36" t="s">
        <v>19</v>
      </c>
      <c r="E3" s="2" t="s">
        <v>20</v>
      </c>
      <c r="F3" s="2" t="s">
        <v>23</v>
      </c>
      <c r="G3" s="193" t="s">
        <v>22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2" t="s">
        <v>13</v>
      </c>
      <c r="T3" s="2" t="s">
        <v>36</v>
      </c>
      <c r="U3" s="2" t="s">
        <v>24</v>
      </c>
      <c r="V3" s="2" t="s">
        <v>52</v>
      </c>
      <c r="W3" s="2" t="s">
        <v>52</v>
      </c>
      <c r="X3" s="2"/>
      <c r="Y3" s="2" t="s">
        <v>191</v>
      </c>
      <c r="Z3" s="2" t="s">
        <v>104</v>
      </c>
      <c r="AA3" s="2" t="s">
        <v>54</v>
      </c>
      <c r="AB3" s="48" t="s">
        <v>22</v>
      </c>
      <c r="AC3" s="48" t="s">
        <v>170</v>
      </c>
      <c r="AD3" s="60" t="s">
        <v>22</v>
      </c>
      <c r="AF3" s="74" t="s">
        <v>35</v>
      </c>
      <c r="AG3" s="60" t="s">
        <v>22</v>
      </c>
      <c r="AH3" s="59" t="s">
        <v>36</v>
      </c>
      <c r="AI3" s="2" t="s">
        <v>201</v>
      </c>
      <c r="AJ3" s="60" t="s">
        <v>36</v>
      </c>
      <c r="AK3" s="2" t="s">
        <v>200</v>
      </c>
      <c r="AL3" s="60" t="s">
        <v>36</v>
      </c>
      <c r="AM3" s="2" t="s">
        <v>211</v>
      </c>
      <c r="AN3" s="60" t="s">
        <v>36</v>
      </c>
      <c r="AO3" s="2" t="s">
        <v>219</v>
      </c>
      <c r="AP3" s="60" t="s">
        <v>36</v>
      </c>
      <c r="AQ3" s="2" t="s">
        <v>226</v>
      </c>
      <c r="AR3" s="60" t="s">
        <v>36</v>
      </c>
      <c r="AS3" s="2" t="s">
        <v>230</v>
      </c>
      <c r="AT3" s="60" t="s">
        <v>36</v>
      </c>
      <c r="AU3" s="2" t="s">
        <v>235</v>
      </c>
      <c r="AV3" s="60" t="s">
        <v>36</v>
      </c>
      <c r="AW3" s="2" t="s">
        <v>240</v>
      </c>
      <c r="AX3" s="60" t="s">
        <v>36</v>
      </c>
    </row>
    <row r="4" spans="1:53" x14ac:dyDescent="0.35">
      <c r="A4" s="4" t="s">
        <v>16</v>
      </c>
      <c r="B4" s="4" t="s">
        <v>18</v>
      </c>
      <c r="C4" s="37" t="s">
        <v>35</v>
      </c>
      <c r="D4" s="37" t="s">
        <v>28</v>
      </c>
      <c r="E4" s="4" t="s">
        <v>21</v>
      </c>
      <c r="F4" s="4" t="s">
        <v>15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5" t="s">
        <v>10</v>
      </c>
      <c r="Q4" s="5" t="s">
        <v>11</v>
      </c>
      <c r="R4" s="5" t="s">
        <v>12</v>
      </c>
      <c r="S4" s="4" t="s">
        <v>22</v>
      </c>
      <c r="T4" s="4" t="s">
        <v>37</v>
      </c>
      <c r="U4" s="4" t="s">
        <v>25</v>
      </c>
      <c r="V4" s="4" t="s">
        <v>104</v>
      </c>
      <c r="W4" s="4" t="s">
        <v>53</v>
      </c>
      <c r="X4" s="4"/>
      <c r="Y4" s="4" t="s">
        <v>192</v>
      </c>
      <c r="Z4" s="4" t="s">
        <v>193</v>
      </c>
      <c r="AA4" s="4" t="s">
        <v>55</v>
      </c>
      <c r="AB4" s="48" t="s">
        <v>169</v>
      </c>
      <c r="AC4" s="48" t="s">
        <v>171</v>
      </c>
      <c r="AD4" s="62" t="s">
        <v>190</v>
      </c>
      <c r="AE4" s="3" t="s">
        <v>184</v>
      </c>
      <c r="AF4" s="75" t="s">
        <v>194</v>
      </c>
      <c r="AG4" s="62" t="s">
        <v>195</v>
      </c>
      <c r="AH4" s="61" t="s">
        <v>189</v>
      </c>
      <c r="AI4" s="4" t="s">
        <v>22</v>
      </c>
      <c r="AJ4" s="62" t="s">
        <v>197</v>
      </c>
      <c r="AK4" s="4" t="s">
        <v>22</v>
      </c>
      <c r="AL4" s="62" t="s">
        <v>199</v>
      </c>
      <c r="AM4" s="4" t="s">
        <v>22</v>
      </c>
      <c r="AN4" s="62" t="s">
        <v>212</v>
      </c>
      <c r="AO4" s="4" t="s">
        <v>22</v>
      </c>
      <c r="AP4" s="62" t="s">
        <v>220</v>
      </c>
      <c r="AQ4" s="4" t="s">
        <v>22</v>
      </c>
      <c r="AR4" s="62" t="s">
        <v>227</v>
      </c>
      <c r="AS4" s="4" t="s">
        <v>22</v>
      </c>
      <c r="AT4" s="62" t="s">
        <v>231</v>
      </c>
      <c r="AU4" s="4" t="s">
        <v>22</v>
      </c>
      <c r="AV4" s="62" t="s">
        <v>234</v>
      </c>
      <c r="AW4" s="4" t="s">
        <v>22</v>
      </c>
      <c r="AX4" s="62" t="s">
        <v>239</v>
      </c>
      <c r="AY4" s="48" t="s">
        <v>224</v>
      </c>
    </row>
    <row r="5" spans="1:53" x14ac:dyDescent="0.35">
      <c r="A5" s="1">
        <v>1</v>
      </c>
      <c r="B5" t="s">
        <v>81</v>
      </c>
      <c r="C5" s="21">
        <v>0.18099999999999999</v>
      </c>
      <c r="D5" s="1">
        <v>10</v>
      </c>
      <c r="E5" s="54">
        <v>37461</v>
      </c>
      <c r="F5" s="9">
        <f>306750-F14</f>
        <v>160329</v>
      </c>
      <c r="G5" s="9">
        <f>ROUND((F5*C5)*251/365,0)</f>
        <v>19956</v>
      </c>
      <c r="H5" s="9">
        <f>ROUND((F5-G5)*C5,0)</f>
        <v>25408</v>
      </c>
      <c r="I5" s="9">
        <f>ROUND((F5-G5-H5)*C5,0)</f>
        <v>20809</v>
      </c>
      <c r="J5" s="9">
        <f>ROUND((F5-G5-H5-I5)*C5,0)</f>
        <v>17042</v>
      </c>
      <c r="K5" s="9">
        <f>ROUND((F5-G5-H5-I5-J5)*C5,0)</f>
        <v>13958</v>
      </c>
      <c r="L5" s="9">
        <f>ROUND((F5-G5-H5-I5-J5-K5)*C5,0)</f>
        <v>11431</v>
      </c>
      <c r="M5" s="9">
        <f>ROUND((F5-G5-H5-I5-J5-K5-L5)*C5,0)</f>
        <v>9362</v>
      </c>
      <c r="N5" s="9">
        <f>ROUND((F5-G5-H5-I5-J5-K5-L5-M5)*C5,0)</f>
        <v>7668</v>
      </c>
      <c r="O5" s="9">
        <f>ROUND((F5-G5-H5-I5-J5-K5-L5-M5-N5)*C5,0)</f>
        <v>6280</v>
      </c>
      <c r="P5" s="9">
        <f>ROUND((F5-G5-H5-I5-J5-K5-L5-M5-N5-O5)*C5,0)</f>
        <v>5143</v>
      </c>
      <c r="Q5" s="9">
        <f>ROUND((F5-G5-H5-I5-J5-K5-L5-M5-N5-O5-P5)*C5,0)</f>
        <v>4212</v>
      </c>
      <c r="R5" s="9">
        <f>ROUND((F5-G5-H5-I5-J5-K5-L5-M5-N5-O5-P5-Q5)*C5,0)</f>
        <v>3450</v>
      </c>
      <c r="S5" s="11">
        <f>SUM(G5:R5)-2</f>
        <v>144717</v>
      </c>
      <c r="T5" s="11">
        <f>+F5-S5</f>
        <v>15612</v>
      </c>
      <c r="U5" s="9">
        <f>ROUND(F5*5%,0)</f>
        <v>8016</v>
      </c>
      <c r="V5" s="38" t="s">
        <v>105</v>
      </c>
      <c r="W5" s="1">
        <f>+D5-12</f>
        <v>-2</v>
      </c>
      <c r="X5" s="52">
        <v>41729</v>
      </c>
      <c r="Y5" s="55">
        <f>X5-E5</f>
        <v>4268</v>
      </c>
      <c r="Z5" s="53">
        <f>IF(D5*365-Y5&lt;1,0,(D5*365-Y5)/365)</f>
        <v>0</v>
      </c>
      <c r="AA5" s="9"/>
      <c r="AD5" s="11">
        <f>T5-U5</f>
        <v>7596</v>
      </c>
      <c r="AH5" s="8">
        <f>+T5-AD5-AG5</f>
        <v>8016</v>
      </c>
      <c r="AI5" s="8">
        <v>0</v>
      </c>
      <c r="AJ5" s="10">
        <f>AH5-AI5</f>
        <v>8016</v>
      </c>
      <c r="AK5" s="8">
        <v>0</v>
      </c>
      <c r="AL5" s="10">
        <f>AJ5-AK5</f>
        <v>8016</v>
      </c>
      <c r="AM5" s="11">
        <f>+AL5-U5</f>
        <v>0</v>
      </c>
      <c r="AN5" s="11">
        <f>+AL5-AM5</f>
        <v>8016</v>
      </c>
      <c r="AO5" s="11">
        <f>+U5-AN5</f>
        <v>0</v>
      </c>
      <c r="AP5" s="11">
        <f>+AN5-AO5</f>
        <v>8016</v>
      </c>
      <c r="AQ5" s="11">
        <f>+U5-AP5</f>
        <v>0</v>
      </c>
      <c r="AR5" s="11">
        <f>+AP5-AQ5</f>
        <v>8016</v>
      </c>
      <c r="AS5" s="11">
        <v>0</v>
      </c>
      <c r="AT5" s="11">
        <f>+AR5-AS5</f>
        <v>8016</v>
      </c>
      <c r="AU5" s="11">
        <v>0</v>
      </c>
      <c r="AV5" s="11">
        <f>+AT5-AU5</f>
        <v>8016</v>
      </c>
      <c r="AW5" s="11">
        <v>0</v>
      </c>
      <c r="AX5" s="11">
        <f>+AV5-AW5</f>
        <v>8016</v>
      </c>
      <c r="AY5" s="11">
        <f>+AV5-U5</f>
        <v>0</v>
      </c>
    </row>
    <row r="6" spans="1:53" x14ac:dyDescent="0.35">
      <c r="A6" s="1">
        <v>1</v>
      </c>
      <c r="B6" t="s">
        <v>81</v>
      </c>
      <c r="C6" s="21">
        <v>0.18099999999999999</v>
      </c>
      <c r="D6" s="1">
        <v>10</v>
      </c>
      <c r="E6" s="54">
        <v>38352</v>
      </c>
      <c r="F6" s="9">
        <v>12051</v>
      </c>
      <c r="G6" s="9">
        <v>0</v>
      </c>
      <c r="H6" s="9">
        <v>0</v>
      </c>
      <c r="I6" s="9">
        <f>ROUND((F6*C6)*90/365,0)</f>
        <v>538</v>
      </c>
      <c r="J6" s="9">
        <f>ROUND((F6-I6)*C6,0)</f>
        <v>2084</v>
      </c>
      <c r="K6" s="9">
        <f>ROUND((F6-I6-J6)*C6,0)</f>
        <v>1707</v>
      </c>
      <c r="L6" s="9">
        <f>ROUND((F6-I6-J6-K6)*C6,0)</f>
        <v>1398</v>
      </c>
      <c r="M6" s="9">
        <f>ROUND((F6-I6-J6-K6-L6)*C6,0)</f>
        <v>1145</v>
      </c>
      <c r="N6" s="9">
        <f>ROUND((F6-I6-J6-K6-L6-M6)*C6,0)</f>
        <v>937</v>
      </c>
      <c r="O6" s="9">
        <f>ROUND((F6-I6-J6-K6-L6-M6-N6)*C6,0)</f>
        <v>768</v>
      </c>
      <c r="P6" s="9">
        <f>ROUND((F6-I6-J6-K6-L6-M6-N6-O6)*C6,0)</f>
        <v>629</v>
      </c>
      <c r="Q6" s="9">
        <f>ROUND((F6-I6-J6-K6-L6-M6-N6-O6-P6)*C6,0)</f>
        <v>515</v>
      </c>
      <c r="R6" s="9">
        <f>ROUND((F6-I6-J6-K6-L6-M6-N6-O6-P6-Q6)*C6,0)</f>
        <v>422</v>
      </c>
      <c r="S6" s="11">
        <f t="shared" ref="S6:S8" si="0">SUM(G6:R6)</f>
        <v>10143</v>
      </c>
      <c r="T6" s="11">
        <f t="shared" ref="T6:T8" si="1">+F6-S6</f>
        <v>1908</v>
      </c>
      <c r="U6" s="9">
        <f t="shared" ref="U6:U10" si="2">ROUND(F6*5%,0)</f>
        <v>603</v>
      </c>
      <c r="V6" s="38" t="s">
        <v>130</v>
      </c>
      <c r="W6" s="1">
        <v>1</v>
      </c>
      <c r="X6" s="52">
        <v>41729</v>
      </c>
      <c r="Y6" s="55">
        <f t="shared" ref="Y6:Y8" si="3">X6-E6</f>
        <v>3377</v>
      </c>
      <c r="Z6" s="53">
        <f>IF(D6*365-Y6&lt;1,0,(D6*365-Y6)/365)</f>
        <v>0.74794520547945209</v>
      </c>
      <c r="AA6" s="9">
        <f>T6-U6</f>
        <v>1305</v>
      </c>
      <c r="AB6" s="11">
        <f>AA6</f>
        <v>1305</v>
      </c>
      <c r="AE6">
        <f>(T6-U6)/W6</f>
        <v>1305</v>
      </c>
      <c r="AF6" s="10">
        <f>1-POWER((0.05*F6)/T6,1/Z6)</f>
        <v>0.7858493904732019</v>
      </c>
      <c r="AG6" s="8">
        <f>IF(Z6&gt;1,T6*AF6,T6-U6)</f>
        <v>1305</v>
      </c>
      <c r="AH6" s="8">
        <f>+T6-AD6-AG6</f>
        <v>603</v>
      </c>
      <c r="AI6" s="8">
        <v>0</v>
      </c>
      <c r="AJ6" s="10">
        <f t="shared" ref="AJ6:AJ8" si="4">AH6-AI6</f>
        <v>603</v>
      </c>
      <c r="AK6" s="8">
        <v>0</v>
      </c>
      <c r="AL6" s="10">
        <f t="shared" ref="AL6:AL8" si="5">AJ6-AK6</f>
        <v>603</v>
      </c>
      <c r="AM6" s="11">
        <f t="shared" ref="AM6:AM8" si="6">+AL6-U6</f>
        <v>0</v>
      </c>
      <c r="AN6" s="11">
        <f t="shared" ref="AN6:AN8" si="7">+AL6-AM6</f>
        <v>603</v>
      </c>
      <c r="AO6" s="11">
        <f t="shared" ref="AO6:AO8" si="8">+U6-AN6</f>
        <v>0</v>
      </c>
      <c r="AP6" s="11">
        <f t="shared" ref="AP6:AP9" si="9">+AN6-AO6</f>
        <v>603</v>
      </c>
      <c r="AQ6" s="11">
        <f t="shared" ref="AQ6:AQ8" si="10">+U6-AP6</f>
        <v>0</v>
      </c>
      <c r="AR6" s="11">
        <f t="shared" ref="AR6:AR9" si="11">+AP6-AQ6</f>
        <v>603</v>
      </c>
      <c r="AS6" s="11">
        <v>0</v>
      </c>
      <c r="AT6" s="11">
        <f t="shared" ref="AT6:AT9" si="12">+AR6-AS6</f>
        <v>603</v>
      </c>
      <c r="AU6" s="11">
        <v>0</v>
      </c>
      <c r="AV6" s="11">
        <f t="shared" ref="AV6:AV9" si="13">+AT6-AU6</f>
        <v>603</v>
      </c>
      <c r="AW6" s="11">
        <v>0</v>
      </c>
      <c r="AX6" s="11">
        <f t="shared" ref="AX6:AX8" si="14">+AV6-AW6</f>
        <v>603</v>
      </c>
      <c r="AY6" s="11">
        <f t="shared" ref="AY6:AY8" si="15">+AV6-U6</f>
        <v>0</v>
      </c>
    </row>
    <row r="7" spans="1:53" x14ac:dyDescent="0.35">
      <c r="A7" s="1">
        <v>1</v>
      </c>
      <c r="B7" t="s">
        <v>81</v>
      </c>
      <c r="C7" s="21">
        <v>0.18099999999999999</v>
      </c>
      <c r="D7" s="1">
        <v>10</v>
      </c>
      <c r="E7" s="54">
        <v>38442</v>
      </c>
      <c r="F7" s="9">
        <v>44445</v>
      </c>
      <c r="G7" s="9">
        <v>0</v>
      </c>
      <c r="H7" s="9">
        <v>0</v>
      </c>
      <c r="I7" s="9">
        <f>ROUND((F7*C7)*1/365,0)</f>
        <v>22</v>
      </c>
      <c r="J7" s="9">
        <f>ROUND((F7-I7)*C7,0)</f>
        <v>8041</v>
      </c>
      <c r="K7" s="9">
        <f>ROUND((F7-I7-J7)*C7,0)</f>
        <v>6585</v>
      </c>
      <c r="L7" s="9">
        <f>ROUND((F7-I7-J7-K7)*C7,0)</f>
        <v>5393</v>
      </c>
      <c r="M7" s="9">
        <f>ROUND((F7-I7-J7-K7-L7)*C7,0)</f>
        <v>4417</v>
      </c>
      <c r="N7" s="9">
        <f>ROUND((F7-I7-J7-K7-L7-M7)*C7,0)</f>
        <v>3618</v>
      </c>
      <c r="O7" s="9">
        <f>ROUND((F7-I7-J7-K7-L7-M7-N7)*C7,0)</f>
        <v>2963</v>
      </c>
      <c r="P7" s="9">
        <f>ROUND((F7-I7-J7-K7-L7-M7-N7-O7)*C7,0)</f>
        <v>2426</v>
      </c>
      <c r="Q7" s="9">
        <f>ROUND((F7-I7-J7-K7-L7-M7-N7-O7-P7)*C7,0)</f>
        <v>1987</v>
      </c>
      <c r="R7" s="9">
        <f>ROUND((F7-I7-J7-K7-L7-M7-N7-O7-P7-Q7)*C7,0)</f>
        <v>1628</v>
      </c>
      <c r="S7" s="11">
        <f t="shared" si="0"/>
        <v>37080</v>
      </c>
      <c r="T7" s="11">
        <f t="shared" si="1"/>
        <v>7365</v>
      </c>
      <c r="U7" s="9">
        <f t="shared" si="2"/>
        <v>2222</v>
      </c>
      <c r="V7" s="38" t="s">
        <v>128</v>
      </c>
      <c r="W7" s="1">
        <v>1</v>
      </c>
      <c r="X7" s="52">
        <v>41729</v>
      </c>
      <c r="Y7" s="55">
        <f t="shared" si="3"/>
        <v>3287</v>
      </c>
      <c r="Z7" s="53">
        <f>IF(D7*365-Y7&lt;1,0,(D7*365-Y7)/365)</f>
        <v>0.9945205479452055</v>
      </c>
      <c r="AA7" s="9">
        <f t="shared" ref="AA7:AA8" si="16">T7-U7</f>
        <v>5143</v>
      </c>
      <c r="AB7" s="11">
        <f>AA7</f>
        <v>5143</v>
      </c>
      <c r="AE7">
        <f t="shared" ref="AE7:AE8" si="17">(T7-U7)/W7</f>
        <v>5143</v>
      </c>
      <c r="AF7" s="10">
        <f>1-POWER((0.05*F7)/T7,1/Z7)</f>
        <v>0.70025423407989096</v>
      </c>
      <c r="AG7" s="8">
        <f>IF(Z7&gt;1,T7*AF7,T7-U7)</f>
        <v>5143</v>
      </c>
      <c r="AH7" s="8">
        <f t="shared" ref="AH7:AH8" si="18">+T7-AD7-AG7</f>
        <v>2222</v>
      </c>
      <c r="AI7" s="8">
        <v>0</v>
      </c>
      <c r="AJ7" s="10">
        <f t="shared" si="4"/>
        <v>2222</v>
      </c>
      <c r="AK7" s="8">
        <v>0</v>
      </c>
      <c r="AL7" s="10">
        <f t="shared" si="5"/>
        <v>2222</v>
      </c>
      <c r="AM7" s="11">
        <f t="shared" si="6"/>
        <v>0</v>
      </c>
      <c r="AN7" s="11">
        <f t="shared" si="7"/>
        <v>2222</v>
      </c>
      <c r="AO7" s="11">
        <f t="shared" si="8"/>
        <v>0</v>
      </c>
      <c r="AP7" s="11">
        <f t="shared" si="9"/>
        <v>2222</v>
      </c>
      <c r="AQ7" s="11">
        <f t="shared" si="10"/>
        <v>0</v>
      </c>
      <c r="AR7" s="11">
        <f t="shared" si="11"/>
        <v>2222</v>
      </c>
      <c r="AS7" s="11">
        <v>0</v>
      </c>
      <c r="AT7" s="11">
        <f t="shared" si="12"/>
        <v>2222</v>
      </c>
      <c r="AU7" s="11">
        <v>0</v>
      </c>
      <c r="AV7" s="11">
        <f t="shared" si="13"/>
        <v>2222</v>
      </c>
      <c r="AW7" s="11">
        <v>0</v>
      </c>
      <c r="AX7" s="11">
        <f t="shared" si="14"/>
        <v>2222</v>
      </c>
      <c r="AY7" s="11">
        <f t="shared" si="15"/>
        <v>0</v>
      </c>
    </row>
    <row r="8" spans="1:53" x14ac:dyDescent="0.35">
      <c r="A8" s="1">
        <v>1</v>
      </c>
      <c r="B8" t="s">
        <v>81</v>
      </c>
      <c r="C8" s="21">
        <v>0.18099999999999999</v>
      </c>
      <c r="D8" s="1">
        <v>10</v>
      </c>
      <c r="E8" s="54">
        <v>38472</v>
      </c>
      <c r="F8" s="9">
        <v>9415</v>
      </c>
      <c r="G8" s="9">
        <v>0</v>
      </c>
      <c r="H8" s="9">
        <v>0</v>
      </c>
      <c r="I8" s="9">
        <v>0</v>
      </c>
      <c r="J8" s="9">
        <f>ROUND((F8*C8)*336/365,0)</f>
        <v>1569</v>
      </c>
      <c r="K8" s="9">
        <f>ROUND((F8-J8)*C8,0)</f>
        <v>1420</v>
      </c>
      <c r="L8" s="9">
        <f>ROUND((F8-J8-K8)*C8,0)</f>
        <v>1163</v>
      </c>
      <c r="M8" s="9">
        <f>ROUND((F8-J8-K8-L8)*C8,0)</f>
        <v>953</v>
      </c>
      <c r="N8" s="9">
        <f>ROUND((F8-J8-K8-L8-M8)*C8,0)</f>
        <v>780</v>
      </c>
      <c r="O8" s="9">
        <f>ROUND((F8-J8-K8-L8-M8-N8)*C8,0)</f>
        <v>639</v>
      </c>
      <c r="P8" s="9">
        <f>ROUND((F8-J8-K8-L8-M8-N8-O8)*C8,0)</f>
        <v>523</v>
      </c>
      <c r="Q8" s="9">
        <f>ROUND((F8-J8-K8-L8-M8-N8-O8-P8)*C8,0)</f>
        <v>429</v>
      </c>
      <c r="R8" s="9">
        <f>ROUND((F8-J8-K8-L8-M8-N8-O8-P8-Q8)*C8,0)</f>
        <v>351</v>
      </c>
      <c r="S8" s="11">
        <f t="shared" si="0"/>
        <v>7827</v>
      </c>
      <c r="T8" s="11">
        <f t="shared" si="1"/>
        <v>1588</v>
      </c>
      <c r="U8" s="9">
        <f t="shared" si="2"/>
        <v>471</v>
      </c>
      <c r="V8" s="38" t="s">
        <v>141</v>
      </c>
      <c r="W8" s="1">
        <v>1.08</v>
      </c>
      <c r="X8" s="52">
        <v>41729</v>
      </c>
      <c r="Y8" s="55">
        <f t="shared" si="3"/>
        <v>3257</v>
      </c>
      <c r="Z8" s="53">
        <f>IF(D8*365-Y8&lt;1,0,(D8*365-Y8)/365)</f>
        <v>1.0767123287671232</v>
      </c>
      <c r="AA8" s="9">
        <f t="shared" si="16"/>
        <v>1117</v>
      </c>
      <c r="AB8">
        <v>1072</v>
      </c>
      <c r="AE8" s="8">
        <f t="shared" si="17"/>
        <v>1034.2592592592591</v>
      </c>
      <c r="AF8" s="10">
        <f>1-POWER((0.05*F8)/T8,1/Z8)</f>
        <v>0.67673220711121829</v>
      </c>
      <c r="AG8" s="8">
        <f>IF(Z8&gt;1,T8*AF8,T8-U8)</f>
        <v>1074.6507448926147</v>
      </c>
      <c r="AH8" s="8">
        <f t="shared" si="18"/>
        <v>513.34925510738526</v>
      </c>
      <c r="AI8" s="8">
        <f>AH8-U8</f>
        <v>42.349255107385261</v>
      </c>
      <c r="AJ8" s="10">
        <f t="shared" si="4"/>
        <v>471</v>
      </c>
      <c r="AK8" s="8">
        <v>0</v>
      </c>
      <c r="AL8" s="10">
        <f t="shared" si="5"/>
        <v>471</v>
      </c>
      <c r="AM8" s="11">
        <f t="shared" si="6"/>
        <v>0</v>
      </c>
      <c r="AN8" s="11">
        <f t="shared" si="7"/>
        <v>471</v>
      </c>
      <c r="AO8" s="11">
        <f t="shared" si="8"/>
        <v>0</v>
      </c>
      <c r="AP8" s="11">
        <f t="shared" si="9"/>
        <v>471</v>
      </c>
      <c r="AQ8" s="11">
        <f t="shared" si="10"/>
        <v>0</v>
      </c>
      <c r="AR8" s="11">
        <f t="shared" si="11"/>
        <v>471</v>
      </c>
      <c r="AS8" s="11">
        <v>0</v>
      </c>
      <c r="AT8" s="11">
        <f t="shared" si="12"/>
        <v>471</v>
      </c>
      <c r="AU8" s="11">
        <v>0</v>
      </c>
      <c r="AV8" s="11">
        <f t="shared" si="13"/>
        <v>471</v>
      </c>
      <c r="AW8" s="11">
        <v>0</v>
      </c>
      <c r="AX8" s="11">
        <f t="shared" si="14"/>
        <v>471</v>
      </c>
      <c r="AY8" s="11">
        <f t="shared" si="15"/>
        <v>0</v>
      </c>
    </row>
    <row r="9" spans="1:53" x14ac:dyDescent="0.35">
      <c r="A9" s="1">
        <v>1</v>
      </c>
      <c r="B9" t="s">
        <v>81</v>
      </c>
      <c r="C9" s="21">
        <v>0.18099999999999999</v>
      </c>
      <c r="D9" s="1">
        <v>10</v>
      </c>
      <c r="E9" s="54">
        <v>42816</v>
      </c>
      <c r="F9" s="9">
        <v>15114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1"/>
      <c r="T9" s="11">
        <v>0</v>
      </c>
      <c r="U9" s="9">
        <f t="shared" si="2"/>
        <v>756</v>
      </c>
      <c r="V9" s="38"/>
      <c r="W9" s="1"/>
      <c r="X9" s="52"/>
      <c r="Y9" s="55">
        <v>0</v>
      </c>
      <c r="Z9" s="53">
        <f>IF(D9*365-Y9&lt;1,0,(D9*365-Y9)/365)</f>
        <v>10</v>
      </c>
      <c r="AA9" s="9"/>
      <c r="AE9" s="8"/>
      <c r="AF9" s="8">
        <f>1-POWER((0.05*F9)/F9,1/Z9)</f>
        <v>0.2588655508930523</v>
      </c>
      <c r="AI9" s="8"/>
      <c r="AJ9" s="10">
        <v>0</v>
      </c>
      <c r="AK9" s="8">
        <f>ROUND((F9*AF9)/365*10,0)</f>
        <v>107</v>
      </c>
      <c r="AL9" s="10">
        <f>+F9-AK9</f>
        <v>15007</v>
      </c>
      <c r="AM9" s="9">
        <f>ROUND(AL9*AF9,0)</f>
        <v>3885</v>
      </c>
      <c r="AN9" s="11">
        <f>+AL9-AM9</f>
        <v>11122</v>
      </c>
      <c r="AO9" s="9">
        <f>ROUND(AN9*AF9,0)</f>
        <v>2879</v>
      </c>
      <c r="AP9" s="11">
        <f t="shared" si="9"/>
        <v>8243</v>
      </c>
      <c r="AQ9" s="9">
        <f>ROUND(AP9*AF9,0)</f>
        <v>2134</v>
      </c>
      <c r="AR9" s="11">
        <f t="shared" si="11"/>
        <v>6109</v>
      </c>
      <c r="AS9" s="9">
        <f>ROUND(AR9*AF9,0)</f>
        <v>1581</v>
      </c>
      <c r="AT9" s="11">
        <f t="shared" si="12"/>
        <v>4528</v>
      </c>
      <c r="AU9" s="9">
        <f>ROUND(AT9*AF9,0)</f>
        <v>1172</v>
      </c>
      <c r="AV9" s="11">
        <f t="shared" si="13"/>
        <v>3356</v>
      </c>
      <c r="AW9" s="9">
        <f>ROUND(AV9*AF9,0)</f>
        <v>869</v>
      </c>
      <c r="AX9" s="11">
        <f>+AV9-AW9</f>
        <v>2487</v>
      </c>
      <c r="AY9" s="11">
        <f>+AX9-U9</f>
        <v>1731</v>
      </c>
    </row>
    <row r="10" spans="1:53" x14ac:dyDescent="0.35">
      <c r="A10" s="167">
        <v>1</v>
      </c>
      <c r="B10" s="168" t="s">
        <v>242</v>
      </c>
      <c r="C10" s="169">
        <v>0.18099999999999999</v>
      </c>
      <c r="D10" s="167">
        <v>10</v>
      </c>
      <c r="E10" s="170">
        <v>44727</v>
      </c>
      <c r="F10" s="171">
        <v>24576.27</v>
      </c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2"/>
      <c r="T10" s="172"/>
      <c r="U10" s="171">
        <f t="shared" si="2"/>
        <v>1229</v>
      </c>
      <c r="V10" s="173"/>
      <c r="W10" s="167"/>
      <c r="X10" s="174"/>
      <c r="Y10" s="175"/>
      <c r="Z10" s="176"/>
      <c r="AA10" s="171"/>
      <c r="AB10" s="168"/>
      <c r="AC10" s="168"/>
      <c r="AD10" s="168"/>
      <c r="AE10" s="178"/>
      <c r="AF10" s="178">
        <f>1-POWER((0.05*F10)/F10,1/D10)</f>
        <v>0.2588655508930523</v>
      </c>
      <c r="AI10" s="8"/>
      <c r="AJ10" s="10"/>
      <c r="AK10" s="8"/>
      <c r="AL10" s="10">
        <v>0</v>
      </c>
      <c r="AM10" s="9"/>
      <c r="AN10" s="11">
        <v>0</v>
      </c>
      <c r="AO10" s="9"/>
      <c r="AP10" s="11">
        <v>0</v>
      </c>
      <c r="AQ10" s="9"/>
      <c r="AR10" s="11">
        <v>0</v>
      </c>
      <c r="AS10" s="9">
        <v>0</v>
      </c>
      <c r="AT10" s="11">
        <v>0</v>
      </c>
      <c r="AU10" s="9">
        <v>0</v>
      </c>
      <c r="AV10" s="11">
        <v>0</v>
      </c>
      <c r="AW10" s="9">
        <f>ROUND((F10*AF10)/365*290,0)</f>
        <v>5055</v>
      </c>
      <c r="AX10" s="11">
        <f>+F10-AW10</f>
        <v>19521.27</v>
      </c>
      <c r="AY10" s="11">
        <f>+AX10-U10</f>
        <v>18292.27</v>
      </c>
      <c r="AZ10" s="117">
        <v>45016</v>
      </c>
      <c r="BA10">
        <f>+AZ10-E10</f>
        <v>289</v>
      </c>
    </row>
    <row r="11" spans="1:53" ht="16" thickBot="1" x14ac:dyDescent="0.4">
      <c r="B11" s="6" t="s">
        <v>81</v>
      </c>
      <c r="C11" s="24"/>
      <c r="E11" s="3" t="s">
        <v>39</v>
      </c>
      <c r="F11" s="16">
        <f>SUM(F5:F10)</f>
        <v>265930.27</v>
      </c>
      <c r="G11" s="16">
        <f t="shared" ref="G11:V11" si="19">SUM(G5:G8)</f>
        <v>19956</v>
      </c>
      <c r="H11" s="16">
        <f t="shared" si="19"/>
        <v>25408</v>
      </c>
      <c r="I11" s="16">
        <f t="shared" si="19"/>
        <v>21369</v>
      </c>
      <c r="J11" s="16">
        <f t="shared" si="19"/>
        <v>28736</v>
      </c>
      <c r="K11" s="16">
        <f t="shared" si="19"/>
        <v>23670</v>
      </c>
      <c r="L11" s="16">
        <f t="shared" si="19"/>
        <v>19385</v>
      </c>
      <c r="M11" s="16">
        <f t="shared" si="19"/>
        <v>15877</v>
      </c>
      <c r="N11" s="16">
        <f t="shared" si="19"/>
        <v>13003</v>
      </c>
      <c r="O11" s="16">
        <f t="shared" si="19"/>
        <v>10650</v>
      </c>
      <c r="P11" s="16">
        <f t="shared" si="19"/>
        <v>8721</v>
      </c>
      <c r="Q11" s="16">
        <f t="shared" si="19"/>
        <v>7143</v>
      </c>
      <c r="R11" s="16">
        <f t="shared" si="19"/>
        <v>5851</v>
      </c>
      <c r="S11" s="16">
        <f t="shared" si="19"/>
        <v>199767</v>
      </c>
      <c r="T11" s="29">
        <f t="shared" si="19"/>
        <v>26473</v>
      </c>
      <c r="U11" s="16">
        <f>SUM(U5:U10)</f>
        <v>13297</v>
      </c>
      <c r="V11" s="16">
        <f t="shared" si="19"/>
        <v>0</v>
      </c>
      <c r="W11" s="15"/>
      <c r="X11" s="15"/>
      <c r="Y11" s="15"/>
      <c r="Z11" s="15"/>
      <c r="AA11" s="16">
        <f>SUM(AA5:AA8)</f>
        <v>7565</v>
      </c>
      <c r="AB11" s="16">
        <f t="shared" ref="AB11:AJ11" si="20">SUM(AB5:AB8)</f>
        <v>7520</v>
      </c>
      <c r="AC11" s="16">
        <f t="shared" si="20"/>
        <v>0</v>
      </c>
      <c r="AD11" s="16">
        <f t="shared" si="20"/>
        <v>7596</v>
      </c>
      <c r="AE11" s="16">
        <f t="shared" si="20"/>
        <v>7482.2592592592591</v>
      </c>
      <c r="AG11" s="58">
        <f t="shared" si="20"/>
        <v>7522.650744892615</v>
      </c>
      <c r="AH11" s="58">
        <f t="shared" si="20"/>
        <v>11354.349255107385</v>
      </c>
      <c r="AI11" s="58">
        <f t="shared" si="20"/>
        <v>42.349255107385261</v>
      </c>
      <c r="AJ11" s="58">
        <f t="shared" si="20"/>
        <v>11312</v>
      </c>
      <c r="AK11" s="58">
        <f>SUM(AK5:AK9)</f>
        <v>107</v>
      </c>
      <c r="AL11" s="58">
        <f>SUM(AL5:AL9)</f>
        <v>26319</v>
      </c>
      <c r="AM11" s="19">
        <f>SUM(AM5:AM9)</f>
        <v>3885</v>
      </c>
      <c r="AN11" s="19">
        <f>SUM(AN5:AN9)</f>
        <v>22434</v>
      </c>
      <c r="AO11" s="19">
        <f t="shared" ref="AO11:AQ11" si="21">SUM(AO5:AO9)</f>
        <v>2879</v>
      </c>
      <c r="AP11" s="19">
        <f t="shared" si="21"/>
        <v>19555</v>
      </c>
      <c r="AQ11" s="19">
        <f t="shared" si="21"/>
        <v>2134</v>
      </c>
      <c r="AR11" s="19">
        <f>SUM(AR5:AR9)</f>
        <v>17421</v>
      </c>
      <c r="AS11" s="19">
        <f t="shared" ref="AS11:AX11" si="22">SUM(AS5:AS10)</f>
        <v>1581</v>
      </c>
      <c r="AT11" s="19">
        <f t="shared" si="22"/>
        <v>15840</v>
      </c>
      <c r="AU11" s="19">
        <f t="shared" si="22"/>
        <v>1172</v>
      </c>
      <c r="AV11" s="19">
        <f t="shared" si="22"/>
        <v>14668</v>
      </c>
      <c r="AW11" s="19">
        <f t="shared" si="22"/>
        <v>5924</v>
      </c>
      <c r="AX11" s="191">
        <f t="shared" si="22"/>
        <v>33320.270000000004</v>
      </c>
      <c r="AZ11" s="120">
        <f>(+AQ11/12)*9</f>
        <v>1600.5</v>
      </c>
      <c r="BA11" s="120"/>
    </row>
    <row r="12" spans="1:53" ht="16" thickTop="1" x14ac:dyDescent="0.35">
      <c r="F12" s="9"/>
      <c r="U12" s="11"/>
      <c r="V12" s="11"/>
    </row>
    <row r="13" spans="1:53" x14ac:dyDescent="0.35">
      <c r="F13" s="9"/>
      <c r="U13" s="11"/>
      <c r="V13" s="11"/>
    </row>
    <row r="14" spans="1:53" x14ac:dyDescent="0.35">
      <c r="A14" s="1">
        <v>1</v>
      </c>
      <c r="B14" t="s">
        <v>81</v>
      </c>
      <c r="C14" s="21">
        <v>0.18099999999999999</v>
      </c>
      <c r="D14" s="1">
        <v>10</v>
      </c>
      <c r="E14" s="54">
        <v>37461</v>
      </c>
      <c r="F14" s="9">
        <v>146421</v>
      </c>
      <c r="G14" s="9">
        <f>ROUND((F14*C14)*251/365,0)</f>
        <v>18225</v>
      </c>
      <c r="H14" s="9">
        <f>ROUND((F14-G14)*C14,0)</f>
        <v>23203</v>
      </c>
      <c r="I14" s="9">
        <f>ROUND(((F14-G14-H14)*C14)*308/365,0)</f>
        <v>16036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1">
        <v>0</v>
      </c>
      <c r="T14" s="11">
        <v>0</v>
      </c>
      <c r="U14" s="9">
        <v>0</v>
      </c>
      <c r="V14" s="38">
        <v>0</v>
      </c>
      <c r="W14" s="1"/>
      <c r="X14" s="1"/>
      <c r="Y14" s="1"/>
      <c r="Z14" s="53"/>
      <c r="AA14" s="9"/>
    </row>
    <row r="15" spans="1:53" x14ac:dyDescent="0.35">
      <c r="A15" s="1">
        <v>1</v>
      </c>
      <c r="B15" t="s">
        <v>81</v>
      </c>
      <c r="C15" s="21">
        <v>0.18099999999999999</v>
      </c>
      <c r="D15" s="1">
        <v>10</v>
      </c>
      <c r="E15" s="54">
        <v>38076</v>
      </c>
      <c r="F15" s="9">
        <v>5150</v>
      </c>
      <c r="G15" s="9">
        <v>0</v>
      </c>
      <c r="H15" s="9">
        <f>ROUND((F15*C15)*2/366,0)</f>
        <v>5</v>
      </c>
      <c r="I15" s="9">
        <f>ROUND(((F15-G15-H15)*C15)*308/365,0)</f>
        <v>786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1">
        <v>0</v>
      </c>
      <c r="T15" s="11">
        <v>0</v>
      </c>
      <c r="U15" s="9">
        <v>0</v>
      </c>
      <c r="V15" s="38">
        <v>0</v>
      </c>
      <c r="W15" s="1"/>
      <c r="X15" s="1"/>
      <c r="Y15" s="1"/>
      <c r="Z15" s="53"/>
      <c r="AA15" s="9"/>
    </row>
    <row r="16" spans="1:53" x14ac:dyDescent="0.35">
      <c r="A16" s="1">
        <v>1</v>
      </c>
      <c r="B16" t="s">
        <v>81</v>
      </c>
      <c r="C16" s="21">
        <v>0.18099999999999999</v>
      </c>
      <c r="D16" s="1">
        <v>10</v>
      </c>
      <c r="E16" s="54">
        <v>38345</v>
      </c>
      <c r="F16" s="9">
        <v>19915</v>
      </c>
      <c r="G16" s="9">
        <v>0</v>
      </c>
      <c r="H16" s="9">
        <v>0</v>
      </c>
      <c r="I16" s="9">
        <f>ROUND((F16*C16)*41/365,0)</f>
        <v>405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1">
        <v>0</v>
      </c>
      <c r="T16" s="11">
        <v>0</v>
      </c>
      <c r="U16" s="9">
        <v>0</v>
      </c>
      <c r="V16" s="38">
        <v>0</v>
      </c>
      <c r="W16" s="1"/>
      <c r="X16" s="1"/>
      <c r="Y16" s="1"/>
      <c r="Z16" s="53"/>
      <c r="AA16" s="9"/>
    </row>
    <row r="17" spans="6:26" x14ac:dyDescent="0.35">
      <c r="F17" s="9"/>
      <c r="S17" s="38" t="s">
        <v>182</v>
      </c>
      <c r="T17">
        <v>365</v>
      </c>
      <c r="U17" s="11">
        <f>T17-S17</f>
        <v>29</v>
      </c>
      <c r="V17" s="46"/>
      <c r="W17" s="10">
        <f>U17/T17</f>
        <v>7.9452054794520555E-2</v>
      </c>
      <c r="X17" s="10"/>
      <c r="Y17" s="10"/>
      <c r="Z17" s="10"/>
    </row>
    <row r="18" spans="6:26" x14ac:dyDescent="0.35">
      <c r="F18" s="9"/>
      <c r="U18" s="11"/>
      <c r="V18" s="11"/>
    </row>
    <row r="19" spans="6:26" x14ac:dyDescent="0.35">
      <c r="F19" s="9"/>
      <c r="U19" s="11"/>
      <c r="V19" s="11"/>
    </row>
    <row r="20" spans="6:26" x14ac:dyDescent="0.35">
      <c r="F20" s="9"/>
      <c r="U20" s="11"/>
      <c r="V20" s="11"/>
    </row>
    <row r="21" spans="6:26" x14ac:dyDescent="0.35">
      <c r="F21" s="9"/>
      <c r="U21" s="11"/>
      <c r="V21" s="11"/>
    </row>
    <row r="22" spans="6:26" x14ac:dyDescent="0.35">
      <c r="F22" s="9"/>
      <c r="U22" s="11"/>
      <c r="V22" s="11"/>
    </row>
    <row r="23" spans="6:26" x14ac:dyDescent="0.35">
      <c r="U23" s="11"/>
      <c r="V23" s="11"/>
    </row>
  </sheetData>
  <mergeCells count="1">
    <mergeCell ref="G3:R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A38"/>
  <sheetViews>
    <sheetView topLeftCell="D10" workbookViewId="0">
      <selection activeCell="F22" sqref="F22:F28"/>
    </sheetView>
  </sheetViews>
  <sheetFormatPr defaultRowHeight="15.5" x14ac:dyDescent="0.35"/>
  <cols>
    <col min="1" max="1" width="3.33203125" customWidth="1"/>
    <col min="2" max="2" width="15.75" customWidth="1"/>
    <col min="3" max="3" width="7.08203125" bestFit="1" customWidth="1"/>
    <col min="4" max="4" width="9" customWidth="1"/>
    <col min="5" max="5" width="10.08203125" customWidth="1"/>
    <col min="6" max="6" width="11.58203125" bestFit="1" customWidth="1"/>
    <col min="7" max="18" width="7.58203125" hidden="1" customWidth="1"/>
    <col min="19" max="20" width="11.58203125" hidden="1" customWidth="1"/>
    <col min="21" max="21" width="9.83203125" bestFit="1" customWidth="1"/>
    <col min="22" max="22" width="6.5" hidden="1" customWidth="1"/>
    <col min="23" max="24" width="9.33203125" hidden="1" customWidth="1"/>
    <col min="25" max="25" width="5.5" hidden="1" customWidth="1"/>
    <col min="26" max="26" width="6.08203125" hidden="1" customWidth="1"/>
    <col min="27" max="27" width="8.83203125" hidden="1" customWidth="1"/>
    <col min="28" max="28" width="9.33203125" hidden="1" customWidth="1"/>
    <col min="29" max="29" width="0" hidden="1" customWidth="1"/>
    <col min="30" max="30" width="13.08203125" hidden="1" customWidth="1"/>
    <col min="31" max="31" width="0" hidden="1" customWidth="1"/>
    <col min="32" max="32" width="7.25" customWidth="1"/>
    <col min="33" max="33" width="13" style="8" hidden="1" customWidth="1"/>
    <col min="34" max="34" width="13.83203125" style="8" hidden="1" customWidth="1"/>
    <col min="35" max="35" width="11.58203125" hidden="1" customWidth="1"/>
    <col min="36" max="38" width="10.08203125" hidden="1" customWidth="1"/>
    <col min="39" max="39" width="10.83203125" hidden="1" customWidth="1"/>
    <col min="40" max="40" width="11.33203125" customWidth="1"/>
    <col min="41" max="41" width="10.83203125" hidden="1" customWidth="1"/>
    <col min="42" max="42" width="10.08203125" bestFit="1" customWidth="1"/>
    <col min="43" max="43" width="9.83203125" hidden="1" customWidth="1"/>
    <col min="44" max="44" width="9.08203125" bestFit="1" customWidth="1"/>
    <col min="45" max="47" width="9.08203125" customWidth="1"/>
    <col min="48" max="48" width="11.08203125" bestFit="1" customWidth="1"/>
    <col min="49" max="50" width="11.08203125" customWidth="1"/>
    <col min="52" max="52" width="10.75" bestFit="1" customWidth="1"/>
  </cols>
  <sheetData>
    <row r="1" spans="1:51" x14ac:dyDescent="0.35">
      <c r="A1" s="194" t="s">
        <v>82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</row>
    <row r="3" spans="1:51" x14ac:dyDescent="0.35">
      <c r="A3" s="2" t="s">
        <v>14</v>
      </c>
      <c r="B3" s="2" t="s">
        <v>17</v>
      </c>
      <c r="C3" s="36" t="s">
        <v>34</v>
      </c>
      <c r="D3" s="36" t="s">
        <v>19</v>
      </c>
      <c r="E3" s="2" t="s">
        <v>20</v>
      </c>
      <c r="F3" s="2" t="s">
        <v>23</v>
      </c>
      <c r="G3" s="193" t="s">
        <v>22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2" t="s">
        <v>13</v>
      </c>
      <c r="T3" s="2" t="s">
        <v>36</v>
      </c>
      <c r="U3" s="2" t="s">
        <v>24</v>
      </c>
      <c r="V3" s="2" t="s">
        <v>52</v>
      </c>
      <c r="W3" s="2" t="s">
        <v>52</v>
      </c>
      <c r="X3" s="2"/>
      <c r="Y3" s="2" t="s">
        <v>191</v>
      </c>
      <c r="Z3" s="2" t="s">
        <v>104</v>
      </c>
      <c r="AA3" s="2" t="s">
        <v>54</v>
      </c>
      <c r="AB3" s="48" t="s">
        <v>22</v>
      </c>
      <c r="AC3" s="48" t="s">
        <v>170</v>
      </c>
      <c r="AD3" s="60" t="s">
        <v>22</v>
      </c>
      <c r="AF3" s="74" t="s">
        <v>35</v>
      </c>
      <c r="AG3" s="60" t="s">
        <v>22</v>
      </c>
      <c r="AH3" s="59" t="s">
        <v>36</v>
      </c>
      <c r="AI3" s="2" t="s">
        <v>201</v>
      </c>
      <c r="AJ3" s="60" t="s">
        <v>36</v>
      </c>
      <c r="AK3" s="2" t="s">
        <v>200</v>
      </c>
      <c r="AL3" s="60" t="s">
        <v>36</v>
      </c>
      <c r="AM3" s="2" t="s">
        <v>211</v>
      </c>
      <c r="AN3" s="60" t="s">
        <v>36</v>
      </c>
      <c r="AO3" s="2" t="s">
        <v>219</v>
      </c>
      <c r="AP3" s="60" t="s">
        <v>36</v>
      </c>
      <c r="AQ3" s="2" t="s">
        <v>226</v>
      </c>
      <c r="AR3" s="60" t="s">
        <v>36</v>
      </c>
      <c r="AS3" s="2" t="s">
        <v>230</v>
      </c>
      <c r="AT3" s="60" t="s">
        <v>36</v>
      </c>
      <c r="AU3" s="2" t="s">
        <v>235</v>
      </c>
      <c r="AV3" s="60" t="s">
        <v>36</v>
      </c>
      <c r="AW3" s="2" t="s">
        <v>240</v>
      </c>
      <c r="AX3" s="60" t="s">
        <v>36</v>
      </c>
    </row>
    <row r="4" spans="1:51" x14ac:dyDescent="0.35">
      <c r="A4" s="4" t="s">
        <v>16</v>
      </c>
      <c r="B4" s="4" t="s">
        <v>18</v>
      </c>
      <c r="C4" s="37" t="s">
        <v>35</v>
      </c>
      <c r="D4" s="37" t="s">
        <v>28</v>
      </c>
      <c r="E4" s="4" t="s">
        <v>21</v>
      </c>
      <c r="F4" s="4" t="s">
        <v>15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5" t="s">
        <v>10</v>
      </c>
      <c r="Q4" s="5" t="s">
        <v>11</v>
      </c>
      <c r="R4" s="5" t="s">
        <v>12</v>
      </c>
      <c r="S4" s="4" t="s">
        <v>22</v>
      </c>
      <c r="T4" s="4" t="s">
        <v>37</v>
      </c>
      <c r="U4" s="4" t="s">
        <v>25</v>
      </c>
      <c r="V4" s="4" t="s">
        <v>104</v>
      </c>
      <c r="W4" s="4" t="s">
        <v>53</v>
      </c>
      <c r="X4" s="4"/>
      <c r="Y4" s="4" t="s">
        <v>192</v>
      </c>
      <c r="Z4" s="4" t="s">
        <v>193</v>
      </c>
      <c r="AA4" s="4" t="s">
        <v>55</v>
      </c>
      <c r="AB4" s="48" t="s">
        <v>169</v>
      </c>
      <c r="AC4" s="48" t="s">
        <v>171</v>
      </c>
      <c r="AD4" s="62" t="s">
        <v>190</v>
      </c>
      <c r="AE4" s="3" t="s">
        <v>184</v>
      </c>
      <c r="AF4" s="75" t="s">
        <v>194</v>
      </c>
      <c r="AG4" s="62" t="s">
        <v>195</v>
      </c>
      <c r="AH4" s="61" t="s">
        <v>189</v>
      </c>
      <c r="AI4" s="4" t="s">
        <v>22</v>
      </c>
      <c r="AJ4" s="62" t="s">
        <v>197</v>
      </c>
      <c r="AK4" s="4" t="s">
        <v>22</v>
      </c>
      <c r="AL4" s="62" t="s">
        <v>199</v>
      </c>
      <c r="AM4" s="4" t="s">
        <v>22</v>
      </c>
      <c r="AN4" s="62" t="s">
        <v>212</v>
      </c>
      <c r="AO4" s="4" t="s">
        <v>22</v>
      </c>
      <c r="AP4" s="62" t="s">
        <v>220</v>
      </c>
      <c r="AQ4" s="4" t="s">
        <v>22</v>
      </c>
      <c r="AR4" s="62" t="s">
        <v>227</v>
      </c>
      <c r="AS4" s="4" t="s">
        <v>22</v>
      </c>
      <c r="AT4" s="62" t="s">
        <v>231</v>
      </c>
      <c r="AU4" s="4" t="s">
        <v>22</v>
      </c>
      <c r="AV4" s="154">
        <v>44651</v>
      </c>
      <c r="AW4" s="4" t="s">
        <v>22</v>
      </c>
      <c r="AX4" s="62" t="s">
        <v>239</v>
      </c>
      <c r="AY4" s="48" t="s">
        <v>224</v>
      </c>
    </row>
    <row r="5" spans="1:51" x14ac:dyDescent="0.35">
      <c r="A5" s="1">
        <v>1</v>
      </c>
      <c r="B5" t="s">
        <v>83</v>
      </c>
      <c r="C5" s="21">
        <v>0.1391</v>
      </c>
      <c r="D5" s="1">
        <v>5</v>
      </c>
      <c r="E5" s="54">
        <v>37461</v>
      </c>
      <c r="F5" s="9">
        <v>449885</v>
      </c>
      <c r="G5" s="9">
        <f>ROUND((F5*C5)*251/365,0)</f>
        <v>43034</v>
      </c>
      <c r="H5" s="9">
        <f>ROUND((F5-G5)*C5,0)</f>
        <v>56593</v>
      </c>
      <c r="I5" s="9">
        <f>ROUND((F5-G5-H5)*C5,0)</f>
        <v>48721</v>
      </c>
      <c r="J5" s="9">
        <f>ROUND((F5-G5-H5-I5)*C5,0)</f>
        <v>41944</v>
      </c>
      <c r="K5" s="9">
        <f>ROUND((F5-G5-H5-I5-J5)*C5,0)</f>
        <v>36109</v>
      </c>
      <c r="L5" s="9">
        <f>ROUND((F5-G5-H5-I5-J5-K5)*C5,0)</f>
        <v>31087</v>
      </c>
      <c r="M5" s="9">
        <f>ROUND((F5-G5-H5-I5-J5-K5-L5)*C5,0)</f>
        <v>26762</v>
      </c>
      <c r="N5" s="9">
        <f>ROUND((F5-G5-H5-I5-J5-K5-L5-M5)*C5,0)</f>
        <v>23040</v>
      </c>
      <c r="O5" s="9">
        <f>ROUND((F5-G5-H5-I5-J5-K5-L5-M5-N5)*C5,0)</f>
        <v>19835</v>
      </c>
      <c r="P5" s="9">
        <f>ROUND((F5-G5-H5-I5-J5-K5-L5-M5-N5-O5)*C5,0)</f>
        <v>17076</v>
      </c>
      <c r="Q5" s="9">
        <f>ROUND((F5-G5-H5-I5-J5-K5-L5-M5-N5-O5-P5)*C5,0)</f>
        <v>14701</v>
      </c>
      <c r="R5" s="9">
        <f>ROUND((F5-G5-H5-I5-J5-K5-L5-M5-N5-O5-P5-Q5)*C5,0)</f>
        <v>12656</v>
      </c>
      <c r="S5" s="11">
        <f>SUM(G5:R5)</f>
        <v>371558</v>
      </c>
      <c r="T5" s="11">
        <f>+F5-S5</f>
        <v>78327</v>
      </c>
      <c r="U5" s="9">
        <f>ROUND(F5*5%,0)</f>
        <v>22494</v>
      </c>
      <c r="V5" s="38" t="s">
        <v>105</v>
      </c>
      <c r="W5" s="1">
        <f>+D5-12</f>
        <v>-7</v>
      </c>
      <c r="X5" s="52">
        <v>41729</v>
      </c>
      <c r="Y5" s="55">
        <f>X5-E5</f>
        <v>4268</v>
      </c>
      <c r="Z5" s="53">
        <f t="shared" ref="Z5:Z14" si="0">IF(D5*365-Y5&lt;1,0,(D5*365-Y5)/365)</f>
        <v>0</v>
      </c>
      <c r="AA5" s="9"/>
      <c r="AD5" s="11">
        <f>T5-U5</f>
        <v>55833</v>
      </c>
      <c r="AH5" s="8">
        <f>+T5-AD5-AG5</f>
        <v>22494</v>
      </c>
      <c r="AI5" s="8">
        <v>0</v>
      </c>
      <c r="AJ5" s="10">
        <f>AH5-AI5</f>
        <v>22494</v>
      </c>
      <c r="AK5" s="8">
        <v>0</v>
      </c>
      <c r="AL5" s="10">
        <f>AJ5-AK5</f>
        <v>22494</v>
      </c>
      <c r="AM5" s="10">
        <f>+AL5-U5</f>
        <v>0</v>
      </c>
      <c r="AN5" s="10">
        <f>+AL5-AM5</f>
        <v>22494</v>
      </c>
      <c r="AO5" s="10">
        <f>+U5-AN5</f>
        <v>0</v>
      </c>
      <c r="AP5" s="10">
        <f>+AN5-AO5</f>
        <v>22494</v>
      </c>
      <c r="AQ5" s="10">
        <f>+U5-AP5</f>
        <v>0</v>
      </c>
      <c r="AR5" s="11">
        <f>+AP5-AQ5</f>
        <v>22494</v>
      </c>
      <c r="AS5" s="10">
        <v>0</v>
      </c>
      <c r="AT5" s="11">
        <f>+AR5-AS5</f>
        <v>22494</v>
      </c>
      <c r="AU5" s="10">
        <v>0</v>
      </c>
      <c r="AV5" s="11">
        <f>+AT5-AU5</f>
        <v>22494</v>
      </c>
      <c r="AW5" s="10">
        <v>0</v>
      </c>
      <c r="AX5" s="11">
        <f>+AV5-AW5</f>
        <v>22494</v>
      </c>
      <c r="AY5" s="11">
        <f>+AX5-U5</f>
        <v>0</v>
      </c>
    </row>
    <row r="6" spans="1:51" x14ac:dyDescent="0.35">
      <c r="A6" s="1">
        <v>1</v>
      </c>
      <c r="B6" t="s">
        <v>83</v>
      </c>
      <c r="C6" s="21">
        <v>0.1391</v>
      </c>
      <c r="D6" s="1">
        <v>5</v>
      </c>
      <c r="E6" s="54">
        <v>37718</v>
      </c>
      <c r="F6" s="9">
        <v>27300</v>
      </c>
      <c r="G6" s="9">
        <v>0</v>
      </c>
      <c r="H6" s="9">
        <f>ROUND((F6*C6)*360/366,0)</f>
        <v>3735</v>
      </c>
      <c r="I6" s="9">
        <f>ROUND((F6-G6-H6)*C6,0)</f>
        <v>3278</v>
      </c>
      <c r="J6" s="9">
        <f>ROUND((F6-H6-I6)*C6,0)</f>
        <v>2822</v>
      </c>
      <c r="K6" s="9">
        <f>ROUND((F6-H6-I6-J6)*C6,0)</f>
        <v>2429</v>
      </c>
      <c r="L6" s="9">
        <f>ROUND((F6-H6-I6-J6-K6)*C6,0)</f>
        <v>2092</v>
      </c>
      <c r="M6" s="9">
        <f>ROUND((F6-H6-I6-J6-K6-L6)*C6,0)</f>
        <v>1801</v>
      </c>
      <c r="N6" s="9">
        <f>ROUND((F6-H6-I6-J6-K6-L6-M6)*C6,0)</f>
        <v>1550</v>
      </c>
      <c r="O6" s="9">
        <f>ROUND((F6-H6-I6-J6-K6-L6-M6-N6)*C6,0)</f>
        <v>1334</v>
      </c>
      <c r="P6" s="9">
        <f>ROUND((F6-H6-I6-J6-K6-L6-M6-N6-O6)*C6,0)</f>
        <v>1149</v>
      </c>
      <c r="Q6" s="9">
        <f>ROUND((F6-H6-I6-J6-K6-L6-M6-N6-O6-P6)*C6,0)</f>
        <v>989</v>
      </c>
      <c r="R6" s="9">
        <f>ROUND((F6-H6-I6-J6-K6-L6-M6-N6-O6-P6-Q6)*C6,0)</f>
        <v>851</v>
      </c>
      <c r="S6" s="11">
        <f t="shared" ref="S6:S7" si="1">SUM(G6:R6)</f>
        <v>22030</v>
      </c>
      <c r="T6" s="11">
        <f t="shared" ref="T6:T7" si="2">+F6-S6</f>
        <v>5270</v>
      </c>
      <c r="U6" s="9">
        <f t="shared" ref="U6:U7" si="3">ROUND(F6*5%,0)</f>
        <v>1365</v>
      </c>
      <c r="V6" s="38" t="s">
        <v>123</v>
      </c>
      <c r="W6" s="1"/>
      <c r="X6" s="52">
        <v>41729</v>
      </c>
      <c r="Y6" s="55">
        <f t="shared" ref="Y6:Y13" si="4">X6-E6</f>
        <v>4011</v>
      </c>
      <c r="Z6" s="53">
        <f t="shared" si="0"/>
        <v>0</v>
      </c>
      <c r="AA6" s="9"/>
      <c r="AD6" s="11">
        <f t="shared" ref="AD6:AD11" si="5">T6-U6</f>
        <v>3905</v>
      </c>
      <c r="AH6" s="8">
        <f t="shared" ref="AH6:AH14" si="6">+T6-AD6-AG6</f>
        <v>1365</v>
      </c>
      <c r="AI6" s="8">
        <v>0</v>
      </c>
      <c r="AJ6" s="10">
        <f t="shared" ref="AJ6:AJ14" si="7">AH6-AI6</f>
        <v>1365</v>
      </c>
      <c r="AK6" s="8">
        <v>0</v>
      </c>
      <c r="AL6" s="10">
        <f t="shared" ref="AL6:AL14" si="8">AJ6-AK6</f>
        <v>1365</v>
      </c>
      <c r="AM6" s="10">
        <f t="shared" ref="AM6:AM13" si="9">+AL6-U6</f>
        <v>0</v>
      </c>
      <c r="AN6" s="10">
        <f t="shared" ref="AN6:AN13" si="10">+AL6-AM6</f>
        <v>1365</v>
      </c>
      <c r="AO6" s="10">
        <f t="shared" ref="AO6:AO13" si="11">+U6-AN6</f>
        <v>0</v>
      </c>
      <c r="AP6" s="10">
        <f t="shared" ref="AP6:AP13" si="12">+AN6-AO6</f>
        <v>1365</v>
      </c>
      <c r="AQ6" s="10">
        <f t="shared" ref="AQ6:AQ13" si="13">+U6-AP6</f>
        <v>0</v>
      </c>
      <c r="AR6" s="11">
        <f t="shared" ref="AR6:AR13" si="14">+AP6-AQ6</f>
        <v>1365</v>
      </c>
      <c r="AS6" s="10">
        <v>0</v>
      </c>
      <c r="AT6" s="11">
        <f t="shared" ref="AT6:AT13" si="15">+AR6-AS6</f>
        <v>1365</v>
      </c>
      <c r="AU6" s="10">
        <v>0</v>
      </c>
      <c r="AV6" s="11">
        <f t="shared" ref="AV6:AV13" si="16">+AT6-AU6</f>
        <v>1365</v>
      </c>
      <c r="AW6" s="10">
        <v>0</v>
      </c>
      <c r="AX6" s="11">
        <f t="shared" ref="AX6:AX13" si="17">+AV6-AW6</f>
        <v>1365</v>
      </c>
      <c r="AY6" s="11">
        <f t="shared" ref="AY6:AY28" si="18">+AX6-U6</f>
        <v>0</v>
      </c>
    </row>
    <row r="7" spans="1:51" x14ac:dyDescent="0.35">
      <c r="A7" s="1">
        <v>1</v>
      </c>
      <c r="B7" t="s">
        <v>83</v>
      </c>
      <c r="C7" s="21">
        <v>0.1391</v>
      </c>
      <c r="D7" s="1">
        <v>5</v>
      </c>
      <c r="E7" s="54">
        <v>38052</v>
      </c>
      <c r="F7" s="9">
        <v>6390</v>
      </c>
      <c r="G7" s="9">
        <v>0</v>
      </c>
      <c r="H7" s="9">
        <f>ROUND((F7*C7)*26/366,0)</f>
        <v>63</v>
      </c>
      <c r="I7" s="9">
        <f>ROUND((F7-G7-H7)*C7,0)</f>
        <v>880</v>
      </c>
      <c r="J7" s="9">
        <f>ROUND((F7-H7-I7)*C7,0)</f>
        <v>758</v>
      </c>
      <c r="K7" s="9">
        <f>ROUND((F7-H7-I7-J7)*C7,0)</f>
        <v>652</v>
      </c>
      <c r="L7" s="9">
        <f>ROUND((F7-H7-I7-J7-K7)*C7,0)</f>
        <v>562</v>
      </c>
      <c r="M7" s="9">
        <f>ROUND((F7-H7-I7-J7-K7-L7)*C7,0)</f>
        <v>483</v>
      </c>
      <c r="N7" s="9">
        <f>ROUND((F7-H7-I7-J7-K7-L7-M7)*C7,0)</f>
        <v>416</v>
      </c>
      <c r="O7" s="9">
        <f>ROUND((F7-H7-I7-J7-K7-L7-M7-N7)*C7,0)</f>
        <v>358</v>
      </c>
      <c r="P7" s="9">
        <f>ROUND((F7-H7-I7-J7-K7-L7-M7-N7-O7)*C7,0)</f>
        <v>309</v>
      </c>
      <c r="Q7" s="9">
        <f>ROUND((F7-H7-I7-J7-K7-L7-M7-N7-O7-P7)*C7,0)</f>
        <v>266</v>
      </c>
      <c r="R7" s="9">
        <f>ROUND((F7-H7-I7-J7-K7-L7-M7-N7-O7-P7-Q7)*C7,0)</f>
        <v>229</v>
      </c>
      <c r="S7" s="11">
        <f t="shared" si="1"/>
        <v>4976</v>
      </c>
      <c r="T7" s="11">
        <f t="shared" si="2"/>
        <v>1414</v>
      </c>
      <c r="U7" s="9">
        <f t="shared" si="3"/>
        <v>320</v>
      </c>
      <c r="V7" s="38" t="s">
        <v>124</v>
      </c>
      <c r="W7" s="1"/>
      <c r="X7" s="52">
        <v>41729</v>
      </c>
      <c r="Y7" s="55">
        <f t="shared" si="4"/>
        <v>3677</v>
      </c>
      <c r="Z7" s="53">
        <f t="shared" si="0"/>
        <v>0</v>
      </c>
      <c r="AA7" s="9"/>
      <c r="AD7" s="11">
        <f t="shared" si="5"/>
        <v>1094</v>
      </c>
      <c r="AH7" s="8">
        <f t="shared" si="6"/>
        <v>320</v>
      </c>
      <c r="AI7" s="8">
        <v>0</v>
      </c>
      <c r="AJ7" s="10">
        <f t="shared" si="7"/>
        <v>320</v>
      </c>
      <c r="AK7" s="8">
        <v>0</v>
      </c>
      <c r="AL7" s="10">
        <f t="shared" si="8"/>
        <v>320</v>
      </c>
      <c r="AM7" s="10">
        <f t="shared" si="9"/>
        <v>0</v>
      </c>
      <c r="AN7" s="10">
        <f t="shared" si="10"/>
        <v>320</v>
      </c>
      <c r="AO7" s="10">
        <f t="shared" si="11"/>
        <v>0</v>
      </c>
      <c r="AP7" s="10">
        <f t="shared" si="12"/>
        <v>320</v>
      </c>
      <c r="AQ7" s="10">
        <f t="shared" si="13"/>
        <v>0</v>
      </c>
      <c r="AR7" s="11">
        <f t="shared" si="14"/>
        <v>320</v>
      </c>
      <c r="AS7" s="10">
        <v>0</v>
      </c>
      <c r="AT7" s="11">
        <f t="shared" si="15"/>
        <v>320</v>
      </c>
      <c r="AU7" s="10">
        <v>0</v>
      </c>
      <c r="AV7" s="11">
        <f t="shared" si="16"/>
        <v>320</v>
      </c>
      <c r="AW7" s="10">
        <v>0</v>
      </c>
      <c r="AX7" s="11">
        <f t="shared" si="17"/>
        <v>320</v>
      </c>
      <c r="AY7" s="11">
        <f t="shared" si="18"/>
        <v>0</v>
      </c>
    </row>
    <row r="8" spans="1:51" x14ac:dyDescent="0.35">
      <c r="A8" s="1">
        <v>1</v>
      </c>
      <c r="B8" t="s">
        <v>83</v>
      </c>
      <c r="C8" s="21">
        <v>0.1391</v>
      </c>
      <c r="D8" s="1">
        <v>5</v>
      </c>
      <c r="E8" s="54">
        <v>38078</v>
      </c>
      <c r="F8" s="9">
        <v>9500</v>
      </c>
      <c r="G8" s="9">
        <v>0</v>
      </c>
      <c r="H8" s="9">
        <v>0</v>
      </c>
      <c r="I8" s="9">
        <f>ROUND((F8*C8)*364/365,0)</f>
        <v>1318</v>
      </c>
      <c r="J8" s="9">
        <f>ROUND((F8-I8)*C8,0)</f>
        <v>1138</v>
      </c>
      <c r="K8" s="9">
        <f>ROUND((F8-I8-J8)*C8,0)</f>
        <v>980</v>
      </c>
      <c r="L8" s="9">
        <f>ROUND((F8-I8-J8-K8)*C8,0)</f>
        <v>844</v>
      </c>
      <c r="M8" s="9">
        <f>ROUND((F8-I8-J8-K8-L8)*C8,0)</f>
        <v>726</v>
      </c>
      <c r="N8" s="9">
        <f>ROUND((F8-I8-J8-K8-L8-M8)*C8,0)</f>
        <v>625</v>
      </c>
      <c r="O8" s="9">
        <f>ROUND((F8-I8-J8-K8-L8-M8-N8)*C8,0)</f>
        <v>538</v>
      </c>
      <c r="P8" s="9">
        <f>ROUND((F8-I8-J8-K8-L8-M8-N8-O8)*C8,0)</f>
        <v>463</v>
      </c>
      <c r="Q8" s="9">
        <f>ROUND((F8-I8-J8-K8-L8-M8-N8-O8-P8)*C8,0)</f>
        <v>399</v>
      </c>
      <c r="R8" s="9">
        <f>ROUND((F8-I8-J8-K8-L8-M8-N8-O8-P8-Q8)*C8,0)</f>
        <v>343</v>
      </c>
      <c r="S8" s="11">
        <f>SUM(G8:R8)</f>
        <v>7374</v>
      </c>
      <c r="T8" s="11">
        <f t="shared" ref="T8" si="19">+F8-S8</f>
        <v>2126</v>
      </c>
      <c r="U8" s="9">
        <f t="shared" ref="U8" si="20">ROUND(F8*5%,0)</f>
        <v>475</v>
      </c>
      <c r="V8" s="38" t="s">
        <v>129</v>
      </c>
      <c r="W8" s="1"/>
      <c r="X8" s="52">
        <v>41729</v>
      </c>
      <c r="Y8" s="55">
        <f t="shared" si="4"/>
        <v>3651</v>
      </c>
      <c r="Z8" s="53">
        <f t="shared" si="0"/>
        <v>0</v>
      </c>
      <c r="AA8" s="9"/>
      <c r="AD8" s="11">
        <f t="shared" si="5"/>
        <v>1651</v>
      </c>
      <c r="AH8" s="8">
        <f t="shared" si="6"/>
        <v>475</v>
      </c>
      <c r="AI8" s="8">
        <v>0</v>
      </c>
      <c r="AJ8" s="10">
        <f t="shared" si="7"/>
        <v>475</v>
      </c>
      <c r="AK8" s="8">
        <v>0</v>
      </c>
      <c r="AL8" s="10">
        <f t="shared" si="8"/>
        <v>475</v>
      </c>
      <c r="AM8" s="10">
        <f t="shared" si="9"/>
        <v>0</v>
      </c>
      <c r="AN8" s="10">
        <f t="shared" si="10"/>
        <v>475</v>
      </c>
      <c r="AO8" s="10">
        <f t="shared" si="11"/>
        <v>0</v>
      </c>
      <c r="AP8" s="10">
        <f t="shared" si="12"/>
        <v>475</v>
      </c>
      <c r="AQ8" s="10">
        <f t="shared" si="13"/>
        <v>0</v>
      </c>
      <c r="AR8" s="11">
        <f t="shared" si="14"/>
        <v>475</v>
      </c>
      <c r="AS8" s="10">
        <v>0</v>
      </c>
      <c r="AT8" s="11">
        <f t="shared" si="15"/>
        <v>475</v>
      </c>
      <c r="AU8" s="10">
        <v>0</v>
      </c>
      <c r="AV8" s="11">
        <f t="shared" si="16"/>
        <v>475</v>
      </c>
      <c r="AW8" s="10">
        <v>0</v>
      </c>
      <c r="AX8" s="11">
        <f t="shared" si="17"/>
        <v>475</v>
      </c>
      <c r="AY8" s="11">
        <f t="shared" si="18"/>
        <v>0</v>
      </c>
    </row>
    <row r="9" spans="1:51" x14ac:dyDescent="0.35">
      <c r="A9" s="1">
        <v>1</v>
      </c>
      <c r="B9" t="s">
        <v>83</v>
      </c>
      <c r="C9" s="21">
        <v>0.1391</v>
      </c>
      <c r="D9" s="1">
        <v>5</v>
      </c>
      <c r="E9" s="54">
        <v>38776</v>
      </c>
      <c r="F9" s="9">
        <v>52931</v>
      </c>
      <c r="G9" s="9">
        <v>0</v>
      </c>
      <c r="H9" s="9">
        <v>0</v>
      </c>
      <c r="I9" s="9">
        <v>0</v>
      </c>
      <c r="J9" s="9">
        <f>ROUND((F9*C9)*32/365,0)</f>
        <v>645</v>
      </c>
      <c r="K9" s="9">
        <f>ROUND((F9-J9)*C9,0)</f>
        <v>7273</v>
      </c>
      <c r="L9" s="9">
        <f>ROUND((F9-J9-K9)*C9,0)</f>
        <v>6261</v>
      </c>
      <c r="M9" s="9">
        <f>ROUND((F9-J9-K9-L9)*C9,0)</f>
        <v>5390</v>
      </c>
      <c r="N9" s="9">
        <f>ROUND((F9-J9-K9-L9-M9)*C9,0)</f>
        <v>4641</v>
      </c>
      <c r="O9" s="9">
        <f>ROUND((F9-J9-K9-L9-M9-N9)*C9,0)</f>
        <v>3995</v>
      </c>
      <c r="P9" s="9">
        <f>ROUND((F9-J9-K9-L9-M9-N9-O9)*C9,0)</f>
        <v>3439</v>
      </c>
      <c r="Q9" s="9">
        <f>ROUND((F9-J9-K9-L9-M9-N9-O9-P9)*C9,0)</f>
        <v>2961</v>
      </c>
      <c r="R9" s="9">
        <f>ROUND((F9-J9-K9-L9-M9-N9-O9-P9-Q9)*C9,0)</f>
        <v>2549</v>
      </c>
      <c r="S9" s="11">
        <f t="shared" ref="S9:S11" si="21">SUM(G9:R9)</f>
        <v>37154</v>
      </c>
      <c r="T9" s="11">
        <f t="shared" ref="T9:T11" si="22">+F9-S9</f>
        <v>15777</v>
      </c>
      <c r="U9" s="9">
        <f t="shared" ref="U9:U11" si="23">ROUND(F9*5%,0)</f>
        <v>2647</v>
      </c>
      <c r="V9" s="38" t="s">
        <v>140</v>
      </c>
      <c r="W9" s="1"/>
      <c r="X9" s="52">
        <v>41729</v>
      </c>
      <c r="Y9" s="55">
        <f t="shared" si="4"/>
        <v>2953</v>
      </c>
      <c r="Z9" s="53">
        <f t="shared" si="0"/>
        <v>0</v>
      </c>
      <c r="AA9" s="9"/>
      <c r="AD9" s="11">
        <f t="shared" si="5"/>
        <v>13130</v>
      </c>
      <c r="AH9" s="8">
        <f t="shared" si="6"/>
        <v>2647</v>
      </c>
      <c r="AI9" s="8">
        <v>0</v>
      </c>
      <c r="AJ9" s="10">
        <f t="shared" si="7"/>
        <v>2647</v>
      </c>
      <c r="AK9" s="8">
        <v>0</v>
      </c>
      <c r="AL9" s="10">
        <f t="shared" si="8"/>
        <v>2647</v>
      </c>
      <c r="AM9" s="10">
        <f t="shared" si="9"/>
        <v>0</v>
      </c>
      <c r="AN9" s="10">
        <f t="shared" si="10"/>
        <v>2647</v>
      </c>
      <c r="AO9" s="10">
        <f t="shared" si="11"/>
        <v>0</v>
      </c>
      <c r="AP9" s="10">
        <f t="shared" si="12"/>
        <v>2647</v>
      </c>
      <c r="AQ9" s="10">
        <f t="shared" si="13"/>
        <v>0</v>
      </c>
      <c r="AR9" s="11">
        <f t="shared" si="14"/>
        <v>2647</v>
      </c>
      <c r="AS9" s="10">
        <v>0</v>
      </c>
      <c r="AT9" s="11">
        <f t="shared" si="15"/>
        <v>2647</v>
      </c>
      <c r="AU9" s="10">
        <v>0</v>
      </c>
      <c r="AV9" s="11">
        <f t="shared" si="16"/>
        <v>2647</v>
      </c>
      <c r="AW9" s="10">
        <v>0</v>
      </c>
      <c r="AX9" s="11">
        <f t="shared" si="17"/>
        <v>2647</v>
      </c>
      <c r="AY9" s="11">
        <f t="shared" si="18"/>
        <v>0</v>
      </c>
    </row>
    <row r="10" spans="1:51" x14ac:dyDescent="0.35">
      <c r="A10" s="1">
        <v>1</v>
      </c>
      <c r="B10" t="s">
        <v>83</v>
      </c>
      <c r="C10" s="21">
        <v>0.1391</v>
      </c>
      <c r="D10" s="1">
        <v>5</v>
      </c>
      <c r="E10" s="54">
        <v>39692</v>
      </c>
      <c r="F10" s="9">
        <v>9690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f>ROUND((F10*C10)*212/365,0)</f>
        <v>783</v>
      </c>
      <c r="N10" s="9">
        <f>ROUND((F10-M10)*C10,0)</f>
        <v>1239</v>
      </c>
      <c r="O10" s="9">
        <f>ROUND((F10-M10-N10)*C10,0)</f>
        <v>1067</v>
      </c>
      <c r="P10" s="9">
        <f>ROUND((F10-M10-N10-O10)*C10,0)</f>
        <v>918</v>
      </c>
      <c r="Q10" s="9">
        <f>ROUND((F10-M10-N10-O10-P10)*C10,0)</f>
        <v>791</v>
      </c>
      <c r="R10" s="9">
        <f>ROUND((F10-M10-N10-O10-P10-Q10)*C10,0)</f>
        <v>680</v>
      </c>
      <c r="S10" s="11">
        <f t="shared" si="21"/>
        <v>5478</v>
      </c>
      <c r="T10" s="11">
        <f t="shared" si="22"/>
        <v>4212</v>
      </c>
      <c r="U10" s="9">
        <f t="shared" si="23"/>
        <v>485</v>
      </c>
      <c r="V10" s="38" t="s">
        <v>153</v>
      </c>
      <c r="W10" s="1"/>
      <c r="X10" s="52">
        <v>41729</v>
      </c>
      <c r="Y10" s="55">
        <f t="shared" si="4"/>
        <v>2037</v>
      </c>
      <c r="Z10" s="53">
        <f t="shared" si="0"/>
        <v>0</v>
      </c>
      <c r="AA10" s="9"/>
      <c r="AD10" s="11">
        <f t="shared" si="5"/>
        <v>3727</v>
      </c>
      <c r="AH10" s="8">
        <f t="shared" si="6"/>
        <v>485</v>
      </c>
      <c r="AI10" s="8">
        <v>0</v>
      </c>
      <c r="AJ10" s="10">
        <f t="shared" si="7"/>
        <v>485</v>
      </c>
      <c r="AK10" s="8">
        <v>0</v>
      </c>
      <c r="AL10" s="10">
        <f t="shared" si="8"/>
        <v>485</v>
      </c>
      <c r="AM10" s="10">
        <f t="shared" si="9"/>
        <v>0</v>
      </c>
      <c r="AN10" s="10">
        <f t="shared" si="10"/>
        <v>485</v>
      </c>
      <c r="AO10" s="10">
        <f t="shared" si="11"/>
        <v>0</v>
      </c>
      <c r="AP10" s="10">
        <f t="shared" si="12"/>
        <v>485</v>
      </c>
      <c r="AQ10" s="10">
        <f t="shared" si="13"/>
        <v>0</v>
      </c>
      <c r="AR10" s="11">
        <f t="shared" si="14"/>
        <v>485</v>
      </c>
      <c r="AS10" s="10">
        <v>0</v>
      </c>
      <c r="AT10" s="11">
        <f t="shared" si="15"/>
        <v>485</v>
      </c>
      <c r="AU10" s="10">
        <v>0</v>
      </c>
      <c r="AV10" s="11">
        <f t="shared" si="16"/>
        <v>485</v>
      </c>
      <c r="AW10" s="10">
        <v>0</v>
      </c>
      <c r="AX10" s="11">
        <f t="shared" si="17"/>
        <v>485</v>
      </c>
      <c r="AY10" s="11">
        <f t="shared" si="18"/>
        <v>0</v>
      </c>
    </row>
    <row r="11" spans="1:51" x14ac:dyDescent="0.35">
      <c r="A11" s="1">
        <v>1</v>
      </c>
      <c r="B11" t="s">
        <v>83</v>
      </c>
      <c r="C11" s="21">
        <v>0.1391</v>
      </c>
      <c r="D11" s="1">
        <v>5</v>
      </c>
      <c r="E11" s="54">
        <v>39832</v>
      </c>
      <c r="F11" s="9">
        <v>10450</v>
      </c>
      <c r="G11" s="9">
        <v>0</v>
      </c>
      <c r="H11" s="9">
        <v>0</v>
      </c>
      <c r="I11" s="9">
        <v>0</v>
      </c>
      <c r="J11" s="9"/>
      <c r="K11" s="9"/>
      <c r="L11" s="9"/>
      <c r="M11" s="9">
        <f>ROUND((F11*C11)*72/365,0)</f>
        <v>287</v>
      </c>
      <c r="N11" s="9">
        <f>ROUND((F11-M11)*C11,0)</f>
        <v>1414</v>
      </c>
      <c r="O11" s="9">
        <f>ROUND((F11-M11-N11)*C11,0)</f>
        <v>1217</v>
      </c>
      <c r="P11" s="9">
        <f>ROUND((F11-M11-N11-O11)*C11,0)</f>
        <v>1048</v>
      </c>
      <c r="Q11" s="9">
        <f>ROUND((F11-M11-N11-O11-P11)*C11,0)</f>
        <v>902</v>
      </c>
      <c r="R11" s="9">
        <f>ROUND((F11-M11-N11-O11-P11-Q11)*C11,0)</f>
        <v>776</v>
      </c>
      <c r="S11" s="11">
        <f t="shared" si="21"/>
        <v>5644</v>
      </c>
      <c r="T11" s="11">
        <f t="shared" si="22"/>
        <v>4806</v>
      </c>
      <c r="U11" s="9">
        <f t="shared" si="23"/>
        <v>523</v>
      </c>
      <c r="V11" s="38" t="s">
        <v>154</v>
      </c>
      <c r="W11" s="1"/>
      <c r="X11" s="52">
        <v>41729</v>
      </c>
      <c r="Y11" s="55">
        <f t="shared" si="4"/>
        <v>1897</v>
      </c>
      <c r="Z11" s="53">
        <f t="shared" si="0"/>
        <v>0</v>
      </c>
      <c r="AA11" s="9"/>
      <c r="AD11" s="11">
        <f t="shared" si="5"/>
        <v>4283</v>
      </c>
      <c r="AH11" s="8">
        <f t="shared" si="6"/>
        <v>523</v>
      </c>
      <c r="AI11" s="8">
        <v>0</v>
      </c>
      <c r="AJ11" s="10">
        <f t="shared" si="7"/>
        <v>523</v>
      </c>
      <c r="AK11" s="8">
        <v>0</v>
      </c>
      <c r="AL11" s="10">
        <f t="shared" si="8"/>
        <v>523</v>
      </c>
      <c r="AM11" s="10">
        <f t="shared" si="9"/>
        <v>0</v>
      </c>
      <c r="AN11" s="10">
        <f t="shared" si="10"/>
        <v>523</v>
      </c>
      <c r="AO11" s="10">
        <f t="shared" si="11"/>
        <v>0</v>
      </c>
      <c r="AP11" s="10">
        <f t="shared" si="12"/>
        <v>523</v>
      </c>
      <c r="AQ11" s="10">
        <f t="shared" si="13"/>
        <v>0</v>
      </c>
      <c r="AR11" s="11">
        <f t="shared" si="14"/>
        <v>523</v>
      </c>
      <c r="AS11" s="10">
        <v>0</v>
      </c>
      <c r="AT11" s="11">
        <f t="shared" si="15"/>
        <v>523</v>
      </c>
      <c r="AU11" s="10">
        <v>0</v>
      </c>
      <c r="AV11" s="11">
        <f t="shared" si="16"/>
        <v>523</v>
      </c>
      <c r="AW11" s="10">
        <v>0</v>
      </c>
      <c r="AX11" s="11">
        <f t="shared" si="17"/>
        <v>523</v>
      </c>
      <c r="AY11" s="11">
        <f t="shared" si="18"/>
        <v>0</v>
      </c>
    </row>
    <row r="12" spans="1:51" x14ac:dyDescent="0.35">
      <c r="A12" s="1">
        <v>1</v>
      </c>
      <c r="B12" t="s">
        <v>83</v>
      </c>
      <c r="C12" s="21">
        <v>0.1391</v>
      </c>
      <c r="D12" s="1">
        <v>5</v>
      </c>
      <c r="E12" s="54">
        <v>40035</v>
      </c>
      <c r="F12" s="9">
        <v>34875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f>ROUND((F12*C12)*233/365,0)</f>
        <v>3097</v>
      </c>
      <c r="O12" s="9">
        <f>ROUND((F12-N12)*C12,0)</f>
        <v>4420</v>
      </c>
      <c r="P12" s="9">
        <f>ROUND((F12-N12-O12)*C12,0)</f>
        <v>3805</v>
      </c>
      <c r="Q12" s="9">
        <f>ROUND((F12-N12-O12-P12)*C12,0)</f>
        <v>3276</v>
      </c>
      <c r="R12" s="9">
        <f>ROUND((F12-N12-O12-P12-Q12)*C12,0)</f>
        <v>2821</v>
      </c>
      <c r="S12" s="11">
        <f t="shared" ref="S12" si="24">SUM(G12:R12)</f>
        <v>17419</v>
      </c>
      <c r="T12" s="11">
        <f t="shared" ref="T12" si="25">+F12-S12</f>
        <v>17456</v>
      </c>
      <c r="U12" s="9">
        <f t="shared" ref="U12" si="26">ROUND(F12*5%,0)</f>
        <v>1744</v>
      </c>
      <c r="V12" s="38" t="s">
        <v>165</v>
      </c>
      <c r="W12" s="1">
        <v>1</v>
      </c>
      <c r="X12" s="52">
        <v>41729</v>
      </c>
      <c r="Y12" s="55">
        <f t="shared" si="4"/>
        <v>1694</v>
      </c>
      <c r="Z12" s="53">
        <f t="shared" si="0"/>
        <v>0.35890410958904112</v>
      </c>
      <c r="AA12" s="9">
        <f>T12-U12</f>
        <v>15712</v>
      </c>
      <c r="AB12" s="11">
        <f>AA12</f>
        <v>15712</v>
      </c>
      <c r="AE12">
        <f>(T12-U12)/W12</f>
        <v>15712</v>
      </c>
      <c r="AF12" s="10">
        <f>1-POWER((0.05*F12)/T12,1/Z12)</f>
        <v>0.99836898727147305</v>
      </c>
      <c r="AG12" s="8">
        <f>IF(Z12&gt;1,T12*AF12,T12-U12)</f>
        <v>15712</v>
      </c>
      <c r="AH12" s="8">
        <f t="shared" si="6"/>
        <v>1744</v>
      </c>
      <c r="AI12" s="8">
        <v>0</v>
      </c>
      <c r="AJ12" s="10">
        <f t="shared" si="7"/>
        <v>1744</v>
      </c>
      <c r="AK12" s="8">
        <v>0</v>
      </c>
      <c r="AL12" s="10">
        <f t="shared" si="8"/>
        <v>1744</v>
      </c>
      <c r="AM12" s="10">
        <f t="shared" si="9"/>
        <v>0</v>
      </c>
      <c r="AN12" s="10">
        <f t="shared" si="10"/>
        <v>1744</v>
      </c>
      <c r="AO12" s="10">
        <f t="shared" si="11"/>
        <v>0</v>
      </c>
      <c r="AP12" s="10">
        <f t="shared" si="12"/>
        <v>1744</v>
      </c>
      <c r="AQ12" s="10">
        <f t="shared" si="13"/>
        <v>0</v>
      </c>
      <c r="AR12" s="11">
        <f t="shared" si="14"/>
        <v>1744</v>
      </c>
      <c r="AS12" s="10">
        <v>0</v>
      </c>
      <c r="AT12" s="11">
        <f t="shared" si="15"/>
        <v>1744</v>
      </c>
      <c r="AU12" s="10">
        <v>0</v>
      </c>
      <c r="AV12" s="11">
        <f t="shared" si="16"/>
        <v>1744</v>
      </c>
      <c r="AW12" s="10">
        <v>0</v>
      </c>
      <c r="AX12" s="11">
        <f t="shared" si="17"/>
        <v>1744</v>
      </c>
      <c r="AY12" s="11">
        <f t="shared" si="18"/>
        <v>0</v>
      </c>
    </row>
    <row r="13" spans="1:51" x14ac:dyDescent="0.35">
      <c r="A13" s="1">
        <v>1</v>
      </c>
      <c r="B13" t="s">
        <v>83</v>
      </c>
      <c r="C13" s="21">
        <v>0.1391</v>
      </c>
      <c r="D13" s="1">
        <v>5</v>
      </c>
      <c r="E13" s="54">
        <v>40049</v>
      </c>
      <c r="F13" s="9">
        <v>1238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f>ROUND((F13*C13)*220/365,0)</f>
        <v>104</v>
      </c>
      <c r="O13" s="9">
        <f>ROUND((F13-N13)*C13,0)</f>
        <v>158</v>
      </c>
      <c r="P13" s="9">
        <f>ROUND((F13-N13-O13)*C13,0)</f>
        <v>136</v>
      </c>
      <c r="Q13" s="9">
        <f>ROUND((F13-N13-O13-P13)*C13,0)</f>
        <v>117</v>
      </c>
      <c r="R13" s="9">
        <f>ROUND((F13-N13-O13-P13-Q13)*C13,0)</f>
        <v>101</v>
      </c>
      <c r="S13" s="11">
        <f t="shared" ref="S13" si="27">SUM(G13:R13)</f>
        <v>616</v>
      </c>
      <c r="T13" s="11">
        <f t="shared" ref="T13:T16" si="28">+F13-S13</f>
        <v>622</v>
      </c>
      <c r="U13" s="9">
        <f t="shared" ref="U13:U19" si="29">ROUND(F13*5%,0)</f>
        <v>62</v>
      </c>
      <c r="V13" s="38" t="s">
        <v>166</v>
      </c>
      <c r="W13" s="1">
        <v>1</v>
      </c>
      <c r="X13" s="52">
        <v>41729</v>
      </c>
      <c r="Y13" s="55">
        <f t="shared" si="4"/>
        <v>1680</v>
      </c>
      <c r="Z13" s="53">
        <f t="shared" si="0"/>
        <v>0.39726027397260272</v>
      </c>
      <c r="AA13" s="9">
        <f t="shared" ref="AA13" si="30">T13-U13</f>
        <v>560</v>
      </c>
      <c r="AB13" s="11">
        <f>AA13</f>
        <v>560</v>
      </c>
      <c r="AE13">
        <f t="shared" ref="AE13" si="31">(T13-U13)/W13</f>
        <v>560</v>
      </c>
      <c r="AF13" s="10">
        <f>1-POWER((0.05*F13)/T13,1/Z13)</f>
        <v>0.99699756869809708</v>
      </c>
      <c r="AG13" s="8">
        <f>IF(Z13&gt;1,T13*AF13,T13-U13)</f>
        <v>560</v>
      </c>
      <c r="AH13" s="8">
        <f t="shared" si="6"/>
        <v>62</v>
      </c>
      <c r="AI13" s="8">
        <v>0</v>
      </c>
      <c r="AJ13" s="10">
        <f t="shared" si="7"/>
        <v>62</v>
      </c>
      <c r="AK13" s="8">
        <v>0</v>
      </c>
      <c r="AL13" s="10">
        <f t="shared" si="8"/>
        <v>62</v>
      </c>
      <c r="AM13" s="10">
        <f t="shared" si="9"/>
        <v>0</v>
      </c>
      <c r="AN13" s="10">
        <f t="shared" si="10"/>
        <v>62</v>
      </c>
      <c r="AO13" s="10">
        <f t="shared" si="11"/>
        <v>0</v>
      </c>
      <c r="AP13" s="10">
        <f t="shared" si="12"/>
        <v>62</v>
      </c>
      <c r="AQ13" s="10">
        <f t="shared" si="13"/>
        <v>0</v>
      </c>
      <c r="AR13" s="11">
        <f t="shared" si="14"/>
        <v>62</v>
      </c>
      <c r="AS13" s="10">
        <v>0</v>
      </c>
      <c r="AT13" s="11">
        <f t="shared" si="15"/>
        <v>62</v>
      </c>
      <c r="AU13" s="10">
        <v>0</v>
      </c>
      <c r="AV13" s="11">
        <f t="shared" si="16"/>
        <v>62</v>
      </c>
      <c r="AW13" s="10">
        <v>0</v>
      </c>
      <c r="AX13" s="11">
        <f t="shared" si="17"/>
        <v>62</v>
      </c>
      <c r="AY13" s="11">
        <f t="shared" si="18"/>
        <v>0</v>
      </c>
    </row>
    <row r="14" spans="1:51" x14ac:dyDescent="0.35">
      <c r="A14" s="1">
        <v>1</v>
      </c>
      <c r="B14" t="s">
        <v>83</v>
      </c>
      <c r="C14" s="21">
        <v>0.1391</v>
      </c>
      <c r="D14" s="1">
        <v>5</v>
      </c>
      <c r="E14" s="54">
        <v>41631</v>
      </c>
      <c r="F14" s="9">
        <v>194839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f>ROUND((F14*C14)*99/365,0)</f>
        <v>7351</v>
      </c>
      <c r="S14" s="11">
        <f t="shared" ref="S14" si="32">SUM(G14:R14)</f>
        <v>7351</v>
      </c>
      <c r="T14" s="11">
        <f t="shared" si="28"/>
        <v>187488</v>
      </c>
      <c r="U14" s="9">
        <f t="shared" si="29"/>
        <v>9742</v>
      </c>
      <c r="V14" s="38" t="s">
        <v>167</v>
      </c>
      <c r="W14" s="1">
        <v>4.7300000000000004</v>
      </c>
      <c r="X14" s="52">
        <v>41729</v>
      </c>
      <c r="Y14" s="55">
        <f t="shared" ref="Y14" si="33">X14-E14</f>
        <v>98</v>
      </c>
      <c r="Z14" s="53">
        <f t="shared" si="0"/>
        <v>4.7315068493150685</v>
      </c>
      <c r="AA14" s="9">
        <f t="shared" ref="AA14:AA16" si="34">T14-U14</f>
        <v>177746</v>
      </c>
      <c r="AB14">
        <v>87182</v>
      </c>
      <c r="AE14">
        <f t="shared" ref="AE14:AE16" si="35">(T14-U14)/W14</f>
        <v>37578.4355179704</v>
      </c>
      <c r="AF14" s="10">
        <f>1-POWER((0.05*F14)/T14,1/Z14)</f>
        <v>0.46474782062211528</v>
      </c>
      <c r="AG14" s="8">
        <f>IF(Z14&gt;1,ROUND(T14*AF14,0),T14-U14)</f>
        <v>87135</v>
      </c>
      <c r="AH14" s="8">
        <f t="shared" si="6"/>
        <v>100353</v>
      </c>
      <c r="AI14" s="8">
        <f>ROUND(AH14*AF14,0)</f>
        <v>46639</v>
      </c>
      <c r="AJ14" s="10">
        <f t="shared" si="7"/>
        <v>53714</v>
      </c>
      <c r="AK14" s="8">
        <f>ROUND(AJ14*AF14,0)</f>
        <v>24963</v>
      </c>
      <c r="AL14" s="10">
        <f t="shared" si="8"/>
        <v>28751</v>
      </c>
      <c r="AM14" s="9">
        <f>ROUND(AL14*AF14,0)</f>
        <v>13362</v>
      </c>
      <c r="AN14" s="11">
        <f>AL14-AM14</f>
        <v>15389</v>
      </c>
      <c r="AO14" s="9">
        <f>+AN14-U14</f>
        <v>5647</v>
      </c>
      <c r="AP14" s="11">
        <f>AN14-AO14</f>
        <v>9742</v>
      </c>
      <c r="AQ14" s="9">
        <f>+AP14-U14</f>
        <v>0</v>
      </c>
      <c r="AR14" s="11">
        <f t="shared" ref="AR14:AR16" si="36">AP14-AQ14</f>
        <v>9742</v>
      </c>
      <c r="AS14" s="9">
        <v>0</v>
      </c>
      <c r="AT14" s="11">
        <f t="shared" ref="AT14:AT19" si="37">AR14-AS14</f>
        <v>9742</v>
      </c>
      <c r="AU14" s="9">
        <v>0</v>
      </c>
      <c r="AV14" s="11">
        <f t="shared" ref="AV14:AV20" si="38">AT14-AU14</f>
        <v>9742</v>
      </c>
      <c r="AW14" s="9">
        <v>0</v>
      </c>
      <c r="AX14" s="11">
        <f t="shared" ref="AX14:AX15" si="39">AV14-AW14</f>
        <v>9742</v>
      </c>
      <c r="AY14" s="11">
        <f t="shared" si="18"/>
        <v>0</v>
      </c>
    </row>
    <row r="15" spans="1:51" x14ac:dyDescent="0.35">
      <c r="A15" s="1">
        <v>1</v>
      </c>
      <c r="B15" t="s">
        <v>83</v>
      </c>
      <c r="C15" s="21">
        <v>0.1391</v>
      </c>
      <c r="D15" s="1">
        <v>5</v>
      </c>
      <c r="E15" s="54">
        <v>41869</v>
      </c>
      <c r="F15" s="9">
        <v>29770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f>ROUND((F15*C15)*99/365,0)</f>
        <v>1123</v>
      </c>
      <c r="S15" s="11">
        <v>0</v>
      </c>
      <c r="T15" s="11">
        <f t="shared" si="28"/>
        <v>29770</v>
      </c>
      <c r="U15" s="9">
        <f t="shared" si="29"/>
        <v>1489</v>
      </c>
      <c r="V15" s="38" t="s">
        <v>167</v>
      </c>
      <c r="W15" s="1">
        <v>4.7300000000000004</v>
      </c>
      <c r="X15" s="52">
        <v>41729</v>
      </c>
      <c r="Y15" s="55">
        <v>0</v>
      </c>
      <c r="Z15" s="53">
        <f>IF(D15*365-Y15&lt;1,0,(D15*365-Y15)/365)</f>
        <v>5</v>
      </c>
      <c r="AA15" s="9">
        <f t="shared" si="34"/>
        <v>28281</v>
      </c>
      <c r="AB15">
        <v>87182</v>
      </c>
      <c r="AE15">
        <f t="shared" si="35"/>
        <v>5979.0697674418598</v>
      </c>
      <c r="AF15" s="10">
        <f>1-POWER((0.05*F15)/T15,1/Z15)</f>
        <v>0.45071972834694107</v>
      </c>
      <c r="AG15" s="8">
        <f>ROUND(+(T15*AF15)/1.61504424778761,0)</f>
        <v>8308</v>
      </c>
      <c r="AH15" s="8">
        <f t="shared" ref="AH15:AH16" si="40">+T15-AD15-AG15</f>
        <v>21462</v>
      </c>
      <c r="AI15" s="8">
        <f>ROUND(AH15*AF15,0)</f>
        <v>9673</v>
      </c>
      <c r="AJ15" s="10">
        <f t="shared" ref="AJ15" si="41">AH15-AI15</f>
        <v>11789</v>
      </c>
      <c r="AK15" s="8">
        <f>ROUND(AJ15*AF15,0)</f>
        <v>5314</v>
      </c>
      <c r="AL15" s="10">
        <f t="shared" ref="AL15:AL16" si="42">AJ15-AK15</f>
        <v>6475</v>
      </c>
      <c r="AM15" s="9">
        <f>ROUND(AL15*AF15,0)</f>
        <v>2918</v>
      </c>
      <c r="AN15" s="11">
        <f>AL15-AM15</f>
        <v>3557</v>
      </c>
      <c r="AO15" s="9">
        <f t="shared" ref="AO15" si="43">ROUND(AN15*AF15,0)</f>
        <v>1603</v>
      </c>
      <c r="AP15" s="11">
        <f t="shared" ref="AP15:AP16" si="44">AN15-AO15</f>
        <v>1954</v>
      </c>
      <c r="AQ15" s="9">
        <f>+AP15-U15</f>
        <v>465</v>
      </c>
      <c r="AR15" s="11">
        <f t="shared" si="36"/>
        <v>1489</v>
      </c>
      <c r="AS15" s="9">
        <v>0</v>
      </c>
      <c r="AT15" s="11">
        <f t="shared" si="37"/>
        <v>1489</v>
      </c>
      <c r="AU15" s="9">
        <v>0</v>
      </c>
      <c r="AV15" s="11">
        <f t="shared" si="38"/>
        <v>1489</v>
      </c>
      <c r="AW15" s="9">
        <v>0</v>
      </c>
      <c r="AX15" s="11">
        <f t="shared" si="39"/>
        <v>1489</v>
      </c>
      <c r="AY15" s="11">
        <f t="shared" si="18"/>
        <v>0</v>
      </c>
    </row>
    <row r="16" spans="1:51" x14ac:dyDescent="0.35">
      <c r="A16" s="1">
        <v>1</v>
      </c>
      <c r="B16" t="s">
        <v>83</v>
      </c>
      <c r="C16" s="21">
        <v>0.1391</v>
      </c>
      <c r="D16" s="1">
        <v>5</v>
      </c>
      <c r="E16" s="54">
        <v>42998</v>
      </c>
      <c r="F16" s="9">
        <v>108000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f>ROUND((F16*C16)*99/365,0)</f>
        <v>4075</v>
      </c>
      <c r="S16" s="11">
        <v>0</v>
      </c>
      <c r="T16" s="11">
        <f t="shared" si="28"/>
        <v>108000</v>
      </c>
      <c r="U16" s="9">
        <f t="shared" si="29"/>
        <v>5400</v>
      </c>
      <c r="V16" s="38" t="s">
        <v>167</v>
      </c>
      <c r="W16" s="1">
        <v>4.7300000000000004</v>
      </c>
      <c r="X16" s="52">
        <v>41729</v>
      </c>
      <c r="Y16" s="55">
        <v>0</v>
      </c>
      <c r="Z16" s="53">
        <f>IF(D16*365-Y16&lt;1,0,(D16*365-Y16)/365)</f>
        <v>5</v>
      </c>
      <c r="AA16" s="9">
        <f t="shared" si="34"/>
        <v>102600</v>
      </c>
      <c r="AB16">
        <v>87182</v>
      </c>
      <c r="AE16">
        <f t="shared" si="35"/>
        <v>21691.331923890062</v>
      </c>
      <c r="AF16" s="10">
        <f>1-POWER((0.05*F16)/T16,1/Z16)</f>
        <v>0.45071972834694107</v>
      </c>
      <c r="AG16" s="8">
        <f>ROUND(+(T16*AF16)/1.61504424778761,0)</f>
        <v>30140</v>
      </c>
      <c r="AH16" s="8">
        <f t="shared" si="40"/>
        <v>77860</v>
      </c>
      <c r="AI16" s="8">
        <f>ROUND(AH16*AF16,0)</f>
        <v>35093</v>
      </c>
      <c r="AJ16" s="10">
        <v>0</v>
      </c>
      <c r="AK16" s="8">
        <f>ROUND(AJ16*AF16,0)</f>
        <v>0</v>
      </c>
      <c r="AL16" s="10">
        <f t="shared" si="42"/>
        <v>0</v>
      </c>
      <c r="AM16" s="9">
        <f>ROUND((F16*AF16)/365*192,0)</f>
        <v>25606</v>
      </c>
      <c r="AN16" s="11">
        <f>+F16-AM16</f>
        <v>82394</v>
      </c>
      <c r="AO16" s="9">
        <f>ROUND(AN16*AF16,0)</f>
        <v>37137</v>
      </c>
      <c r="AP16" s="11">
        <f t="shared" si="44"/>
        <v>45257</v>
      </c>
      <c r="AQ16" s="9">
        <f>ROUND(AP16*AF16,0)</f>
        <v>20398</v>
      </c>
      <c r="AR16" s="11">
        <f t="shared" si="36"/>
        <v>24859</v>
      </c>
      <c r="AS16" s="9">
        <f>ROUND(AR16*AF16,0)</f>
        <v>11204</v>
      </c>
      <c r="AT16" s="11">
        <f t="shared" si="37"/>
        <v>13655</v>
      </c>
      <c r="AU16" s="9">
        <f>ROUND(AT16*AF16,0)</f>
        <v>6155</v>
      </c>
      <c r="AV16" s="11">
        <f t="shared" si="38"/>
        <v>7500</v>
      </c>
      <c r="AW16" s="9">
        <f>ROUND(AV16*AF16,0)-1280</f>
        <v>2100</v>
      </c>
      <c r="AX16" s="11">
        <f>AV16-AW16</f>
        <v>5400</v>
      </c>
      <c r="AY16" s="11">
        <f t="shared" si="18"/>
        <v>0</v>
      </c>
    </row>
    <row r="17" spans="1:53" x14ac:dyDescent="0.35">
      <c r="A17" s="1">
        <v>1</v>
      </c>
      <c r="B17" t="s">
        <v>83</v>
      </c>
      <c r="C17" s="21">
        <v>0.1391</v>
      </c>
      <c r="D17" s="1">
        <v>5</v>
      </c>
      <c r="E17" s="151">
        <v>43205</v>
      </c>
      <c r="F17" s="9">
        <v>8644.06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1"/>
      <c r="T17" s="11"/>
      <c r="U17" s="9">
        <f t="shared" si="29"/>
        <v>432</v>
      </c>
      <c r="V17" s="38"/>
      <c r="W17" s="1"/>
      <c r="X17" s="52"/>
      <c r="Y17" s="55"/>
      <c r="Z17" s="53"/>
      <c r="AA17" s="9"/>
      <c r="AF17" s="10">
        <f t="shared" ref="AF17:AF22" si="45">1-POWER((0.05*F17)/F17,1/D17)</f>
        <v>0.45071972834694107</v>
      </c>
      <c r="AI17" s="8"/>
      <c r="AJ17" s="10">
        <v>0</v>
      </c>
      <c r="AK17" s="8">
        <v>0</v>
      </c>
      <c r="AL17" s="10">
        <v>0</v>
      </c>
      <c r="AM17" s="9">
        <v>0</v>
      </c>
      <c r="AN17" s="11">
        <v>0</v>
      </c>
      <c r="AO17" s="9">
        <f>ROUND((F17*AF17)/365*351,0)</f>
        <v>3747</v>
      </c>
      <c r="AP17" s="11">
        <f>+F17-AO17</f>
        <v>4897.0599999999995</v>
      </c>
      <c r="AQ17" s="9">
        <f>ROUND(AP17*AF17,0)</f>
        <v>2207</v>
      </c>
      <c r="AR17" s="11">
        <f t="shared" ref="AR17:AR18" si="46">AP17-AQ17</f>
        <v>2690.0599999999995</v>
      </c>
      <c r="AS17" s="9">
        <f t="shared" ref="AS17:AS19" si="47">ROUND(AR17*AF17,0)</f>
        <v>1212</v>
      </c>
      <c r="AT17" s="11">
        <f t="shared" si="37"/>
        <v>1478.0599999999995</v>
      </c>
      <c r="AU17" s="9">
        <f t="shared" ref="AU17:AU19" si="48">ROUND(AT17*AH17,0)</f>
        <v>0</v>
      </c>
      <c r="AV17" s="11">
        <f t="shared" si="38"/>
        <v>1478.0599999999995</v>
      </c>
      <c r="AW17" s="9">
        <f t="shared" ref="AW17:AW21" si="49">ROUND(AV17*AF17,0)</f>
        <v>666</v>
      </c>
      <c r="AX17" s="11">
        <f>AV17-AW17</f>
        <v>812.05999999999949</v>
      </c>
      <c r="AY17" s="11">
        <f t="shared" si="18"/>
        <v>380.05999999999949</v>
      </c>
    </row>
    <row r="18" spans="1:53" x14ac:dyDescent="0.35">
      <c r="A18" s="1">
        <v>1</v>
      </c>
      <c r="B18" t="s">
        <v>83</v>
      </c>
      <c r="C18" s="21">
        <v>0.1391</v>
      </c>
      <c r="D18" s="1">
        <v>5</v>
      </c>
      <c r="E18" s="151">
        <v>43215</v>
      </c>
      <c r="F18" s="9">
        <v>8644.06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1"/>
      <c r="T18" s="11"/>
      <c r="U18" s="9">
        <f t="shared" si="29"/>
        <v>432</v>
      </c>
      <c r="V18" s="38"/>
      <c r="W18" s="1"/>
      <c r="X18" s="52"/>
      <c r="Y18" s="55"/>
      <c r="Z18" s="53"/>
      <c r="AA18" s="9"/>
      <c r="AF18" s="10">
        <f t="shared" si="45"/>
        <v>0.45071972834694107</v>
      </c>
      <c r="AI18" s="8"/>
      <c r="AJ18" s="10">
        <v>0</v>
      </c>
      <c r="AK18" s="8">
        <v>0</v>
      </c>
      <c r="AL18" s="10">
        <v>0</v>
      </c>
      <c r="AM18" s="9">
        <v>0</v>
      </c>
      <c r="AN18" s="11">
        <v>0</v>
      </c>
      <c r="AO18" s="9">
        <f>ROUND((F18*AF18)/365*341,0)</f>
        <v>3640</v>
      </c>
      <c r="AP18" s="11">
        <f>+F18-AO18</f>
        <v>5004.0599999999995</v>
      </c>
      <c r="AQ18" s="9">
        <f>ROUND(AP18*AF18,0)</f>
        <v>2255</v>
      </c>
      <c r="AR18" s="11">
        <f t="shared" si="46"/>
        <v>2749.0599999999995</v>
      </c>
      <c r="AS18" s="9">
        <f t="shared" si="47"/>
        <v>1239</v>
      </c>
      <c r="AT18" s="11">
        <f t="shared" si="37"/>
        <v>1510.0599999999995</v>
      </c>
      <c r="AU18" s="9">
        <f t="shared" si="48"/>
        <v>0</v>
      </c>
      <c r="AV18" s="11">
        <f t="shared" si="38"/>
        <v>1510.0599999999995</v>
      </c>
      <c r="AW18" s="9">
        <f t="shared" si="49"/>
        <v>681</v>
      </c>
      <c r="AX18" s="11">
        <f t="shared" ref="AX18:AX21" si="50">AV18-AW18</f>
        <v>829.05999999999949</v>
      </c>
      <c r="AY18" s="11">
        <f t="shared" si="18"/>
        <v>397.05999999999949</v>
      </c>
    </row>
    <row r="19" spans="1:53" x14ac:dyDescent="0.35">
      <c r="A19" s="1">
        <v>1</v>
      </c>
      <c r="B19" t="s">
        <v>83</v>
      </c>
      <c r="C19" s="21">
        <v>0.1391</v>
      </c>
      <c r="D19" s="1">
        <v>5</v>
      </c>
      <c r="E19" s="151">
        <v>43603</v>
      </c>
      <c r="F19" s="124">
        <v>71400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  <c r="T19" s="11"/>
      <c r="U19" s="9">
        <f t="shared" si="29"/>
        <v>3570</v>
      </c>
      <c r="V19" s="38"/>
      <c r="W19" s="1"/>
      <c r="X19" s="52"/>
      <c r="Y19" s="55"/>
      <c r="Z19" s="53"/>
      <c r="AA19" s="9"/>
      <c r="AF19" s="10">
        <f t="shared" si="45"/>
        <v>0.45071972834694107</v>
      </c>
      <c r="AI19" s="8"/>
      <c r="AJ19" s="10"/>
      <c r="AK19" s="8"/>
      <c r="AL19" s="10"/>
      <c r="AM19" s="9">
        <v>0</v>
      </c>
      <c r="AN19" s="11">
        <v>0</v>
      </c>
      <c r="AO19" s="9">
        <v>0</v>
      </c>
      <c r="AP19" s="11">
        <v>0</v>
      </c>
      <c r="AQ19" s="9">
        <f>ROUND((F19*AF19)/365*319,0)</f>
        <v>28126</v>
      </c>
      <c r="AR19" s="11">
        <f>+F19-AQ19</f>
        <v>43274</v>
      </c>
      <c r="AS19" s="9">
        <f t="shared" si="47"/>
        <v>19504</v>
      </c>
      <c r="AT19" s="11">
        <f t="shared" si="37"/>
        <v>23770</v>
      </c>
      <c r="AU19" s="9">
        <f t="shared" si="48"/>
        <v>0</v>
      </c>
      <c r="AV19" s="11">
        <f t="shared" si="38"/>
        <v>23770</v>
      </c>
      <c r="AW19" s="9">
        <f t="shared" si="49"/>
        <v>10714</v>
      </c>
      <c r="AX19" s="11">
        <f t="shared" si="50"/>
        <v>13056</v>
      </c>
      <c r="AY19" s="11">
        <f t="shared" si="18"/>
        <v>9486</v>
      </c>
    </row>
    <row r="20" spans="1:53" x14ac:dyDescent="0.35">
      <c r="A20" s="1">
        <v>1</v>
      </c>
      <c r="B20" t="s">
        <v>83</v>
      </c>
      <c r="C20" s="21">
        <v>0.1391</v>
      </c>
      <c r="D20" s="1">
        <v>5</v>
      </c>
      <c r="E20" s="151">
        <v>44131</v>
      </c>
      <c r="F20" s="124">
        <v>100305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1"/>
      <c r="T20" s="11"/>
      <c r="U20" s="9">
        <f t="shared" ref="U20:U28" si="51">ROUND(F20*5%,0)</f>
        <v>5015</v>
      </c>
      <c r="V20" s="38"/>
      <c r="W20" s="1"/>
      <c r="X20" s="52"/>
      <c r="Y20" s="55"/>
      <c r="Z20" s="53"/>
      <c r="AA20" s="9"/>
      <c r="AF20" s="10">
        <f t="shared" si="45"/>
        <v>0.45071972834694107</v>
      </c>
      <c r="AI20" s="8"/>
      <c r="AJ20" s="10"/>
      <c r="AK20" s="8"/>
      <c r="AL20" s="10"/>
      <c r="AM20" s="9">
        <v>0</v>
      </c>
      <c r="AN20" s="11">
        <v>0</v>
      </c>
      <c r="AO20" s="9">
        <v>0</v>
      </c>
      <c r="AP20" s="11">
        <v>0</v>
      </c>
      <c r="AQ20" s="9">
        <v>0</v>
      </c>
      <c r="AR20" s="11">
        <v>0</v>
      </c>
      <c r="AS20" s="9">
        <v>20661</v>
      </c>
      <c r="AT20" s="11">
        <f>F20-AS20</f>
        <v>79644</v>
      </c>
      <c r="AU20" s="9">
        <f>ROUND(AT20*AF20,0)</f>
        <v>35897</v>
      </c>
      <c r="AV20" s="11">
        <f t="shared" si="38"/>
        <v>43747</v>
      </c>
      <c r="AW20" s="9">
        <f t="shared" si="49"/>
        <v>19718</v>
      </c>
      <c r="AX20" s="11">
        <f t="shared" si="50"/>
        <v>24029</v>
      </c>
      <c r="AY20" s="11">
        <f t="shared" si="18"/>
        <v>19014</v>
      </c>
    </row>
    <row r="21" spans="1:53" x14ac:dyDescent="0.35">
      <c r="A21" s="1">
        <v>1</v>
      </c>
      <c r="B21" t="s">
        <v>248</v>
      </c>
      <c r="C21" s="21">
        <v>0.1391</v>
      </c>
      <c r="D21" s="1">
        <v>5</v>
      </c>
      <c r="E21" s="137">
        <v>44353</v>
      </c>
      <c r="F21" s="49">
        <v>13559.32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1"/>
      <c r="T21" s="11"/>
      <c r="U21" s="9">
        <f t="shared" si="51"/>
        <v>678</v>
      </c>
      <c r="V21" s="38"/>
      <c r="W21" s="1"/>
      <c r="X21" s="52"/>
      <c r="Y21" s="55"/>
      <c r="Z21" s="53"/>
      <c r="AA21" s="9"/>
      <c r="AF21" s="10">
        <f t="shared" si="45"/>
        <v>0.45071972834694107</v>
      </c>
      <c r="AI21" s="8"/>
      <c r="AJ21" s="10"/>
      <c r="AK21" s="8"/>
      <c r="AL21" s="10"/>
      <c r="AM21" s="9"/>
      <c r="AN21" s="11">
        <v>0</v>
      </c>
      <c r="AO21" s="9"/>
      <c r="AP21" s="11">
        <v>0</v>
      </c>
      <c r="AQ21" s="9"/>
      <c r="AR21" s="11">
        <v>0</v>
      </c>
      <c r="AS21" s="9">
        <v>0</v>
      </c>
      <c r="AT21" s="11">
        <f>F21-AS21</f>
        <v>13559.32</v>
      </c>
      <c r="AU21" s="9">
        <f>ROUND((F21*AF21)/365*299,0)</f>
        <v>5006</v>
      </c>
      <c r="AV21" s="11">
        <f>F21-AU21</f>
        <v>8553.32</v>
      </c>
      <c r="AW21" s="9">
        <f t="shared" si="49"/>
        <v>3855</v>
      </c>
      <c r="AX21" s="11">
        <f t="shared" si="50"/>
        <v>4698.32</v>
      </c>
      <c r="AY21" s="11">
        <f t="shared" si="18"/>
        <v>4020.3199999999997</v>
      </c>
      <c r="AZ21" s="153"/>
    </row>
    <row r="22" spans="1:53" x14ac:dyDescent="0.35">
      <c r="A22" s="179">
        <v>1</v>
      </c>
      <c r="B22" s="180" t="s">
        <v>247</v>
      </c>
      <c r="C22" s="181">
        <v>0.1391</v>
      </c>
      <c r="D22" s="179">
        <v>5</v>
      </c>
      <c r="E22" s="182">
        <v>44691</v>
      </c>
      <c r="F22" s="183">
        <v>140000</v>
      </c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4"/>
      <c r="T22" s="184"/>
      <c r="U22" s="183">
        <f t="shared" si="51"/>
        <v>7000</v>
      </c>
      <c r="V22" s="173"/>
      <c r="W22" s="167"/>
      <c r="X22" s="174"/>
      <c r="Y22" s="175"/>
      <c r="Z22" s="176"/>
      <c r="AA22" s="171"/>
      <c r="AB22" s="168"/>
      <c r="AC22" s="168"/>
      <c r="AD22" s="168"/>
      <c r="AE22" s="168"/>
      <c r="AF22" s="177">
        <f t="shared" si="45"/>
        <v>0.45071972834694107</v>
      </c>
      <c r="AI22" s="8"/>
      <c r="AJ22" s="10"/>
      <c r="AK22" s="8"/>
      <c r="AL22" s="10"/>
      <c r="AM22" s="9"/>
      <c r="AN22" s="11">
        <v>0</v>
      </c>
      <c r="AO22" s="9"/>
      <c r="AP22" s="11">
        <v>0</v>
      </c>
      <c r="AQ22" s="9"/>
      <c r="AR22" s="11">
        <v>0</v>
      </c>
      <c r="AS22" s="9">
        <v>0</v>
      </c>
      <c r="AT22" s="11">
        <v>0</v>
      </c>
      <c r="AU22" s="9">
        <v>0</v>
      </c>
      <c r="AV22" s="11">
        <v>0</v>
      </c>
      <c r="AW22" s="9">
        <f>ROUND((F22*AF22)/365*326,0)</f>
        <v>56358</v>
      </c>
      <c r="AX22" s="11">
        <f>+F22-AW22</f>
        <v>83642</v>
      </c>
      <c r="AY22" s="11">
        <f t="shared" si="18"/>
        <v>76642</v>
      </c>
      <c r="AZ22" s="117">
        <v>45016</v>
      </c>
      <c r="BA22">
        <f t="shared" ref="BA22:BA28" si="52">+AZ22-E22</f>
        <v>325</v>
      </c>
    </row>
    <row r="23" spans="1:53" x14ac:dyDescent="0.35">
      <c r="A23" s="179">
        <v>1</v>
      </c>
      <c r="B23" s="180" t="s">
        <v>243</v>
      </c>
      <c r="C23" s="181">
        <v>0.1391</v>
      </c>
      <c r="D23" s="179">
        <v>5</v>
      </c>
      <c r="E23" s="182">
        <v>44723</v>
      </c>
      <c r="F23" s="183">
        <v>27546.1</v>
      </c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4"/>
      <c r="T23" s="184"/>
      <c r="U23" s="183">
        <f t="shared" si="51"/>
        <v>1377</v>
      </c>
      <c r="V23" s="173"/>
      <c r="W23" s="167"/>
      <c r="X23" s="174"/>
      <c r="Y23" s="175"/>
      <c r="Z23" s="176"/>
      <c r="AA23" s="171"/>
      <c r="AB23" s="168"/>
      <c r="AC23" s="168"/>
      <c r="AD23" s="168"/>
      <c r="AE23" s="168"/>
      <c r="AF23" s="177">
        <f t="shared" ref="AF23:AF28" si="53">1-POWER((0.05*F23)/F23,1/D23)</f>
        <v>0.45071972834694107</v>
      </c>
      <c r="AI23" s="8"/>
      <c r="AJ23" s="10"/>
      <c r="AK23" s="8"/>
      <c r="AL23" s="10"/>
      <c r="AM23" s="9"/>
      <c r="AN23" s="11">
        <v>0</v>
      </c>
      <c r="AO23" s="9"/>
      <c r="AP23" s="11">
        <v>0</v>
      </c>
      <c r="AQ23" s="9"/>
      <c r="AR23" s="11">
        <v>0</v>
      </c>
      <c r="AS23" s="9">
        <v>0</v>
      </c>
      <c r="AT23" s="11">
        <v>0</v>
      </c>
      <c r="AU23" s="9">
        <v>0</v>
      </c>
      <c r="AV23" s="11">
        <v>0</v>
      </c>
      <c r="AW23" s="9">
        <f>ROUND((F23*AF23)/365*294,0)</f>
        <v>10000</v>
      </c>
      <c r="AX23" s="11">
        <f t="shared" ref="AX23:AX28" si="54">+F23-AW23</f>
        <v>17546.099999999999</v>
      </c>
      <c r="AY23" s="11">
        <f t="shared" si="18"/>
        <v>16169.099999999999</v>
      </c>
      <c r="AZ23" s="117">
        <v>45016</v>
      </c>
      <c r="BA23">
        <f t="shared" si="52"/>
        <v>293</v>
      </c>
    </row>
    <row r="24" spans="1:53" x14ac:dyDescent="0.35">
      <c r="A24" s="179">
        <v>1</v>
      </c>
      <c r="B24" s="180" t="s">
        <v>244</v>
      </c>
      <c r="C24" s="181">
        <v>0.1391</v>
      </c>
      <c r="D24" s="179">
        <v>5</v>
      </c>
      <c r="E24" s="182">
        <v>44743</v>
      </c>
      <c r="F24" s="183">
        <v>58593.760000000002</v>
      </c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4"/>
      <c r="T24" s="184"/>
      <c r="U24" s="183">
        <f t="shared" si="51"/>
        <v>2930</v>
      </c>
      <c r="V24" s="173"/>
      <c r="W24" s="167"/>
      <c r="X24" s="174"/>
      <c r="Y24" s="175"/>
      <c r="Z24" s="176"/>
      <c r="AA24" s="171"/>
      <c r="AB24" s="168"/>
      <c r="AC24" s="168"/>
      <c r="AD24" s="168"/>
      <c r="AE24" s="168"/>
      <c r="AF24" s="177">
        <f t="shared" si="53"/>
        <v>0.45071972834694107</v>
      </c>
      <c r="AI24" s="8"/>
      <c r="AJ24" s="10"/>
      <c r="AK24" s="8"/>
      <c r="AL24" s="10"/>
      <c r="AM24" s="9"/>
      <c r="AN24" s="11">
        <v>0</v>
      </c>
      <c r="AO24" s="9"/>
      <c r="AP24" s="11">
        <v>0</v>
      </c>
      <c r="AQ24" s="9"/>
      <c r="AR24" s="11">
        <v>0</v>
      </c>
      <c r="AS24" s="9">
        <v>0</v>
      </c>
      <c r="AT24" s="11">
        <v>0</v>
      </c>
      <c r="AU24" s="9">
        <v>0</v>
      </c>
      <c r="AV24" s="11">
        <v>0</v>
      </c>
      <c r="AW24" s="9">
        <f>ROUND((F24*AF24)/365*274,0)</f>
        <v>19825</v>
      </c>
      <c r="AX24" s="11">
        <f t="shared" si="54"/>
        <v>38768.76</v>
      </c>
      <c r="AY24" s="11">
        <f t="shared" si="18"/>
        <v>35838.76</v>
      </c>
      <c r="AZ24" s="117">
        <v>45016</v>
      </c>
      <c r="BA24">
        <f t="shared" si="52"/>
        <v>273</v>
      </c>
    </row>
    <row r="25" spans="1:53" x14ac:dyDescent="0.35">
      <c r="A25" s="179">
        <v>1</v>
      </c>
      <c r="B25" s="180" t="s">
        <v>245</v>
      </c>
      <c r="C25" s="181">
        <v>0.1391</v>
      </c>
      <c r="D25" s="179">
        <v>5</v>
      </c>
      <c r="E25" s="182">
        <v>44885</v>
      </c>
      <c r="F25" s="183">
        <v>42130</v>
      </c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4"/>
      <c r="T25" s="184"/>
      <c r="U25" s="183">
        <f t="shared" si="51"/>
        <v>2107</v>
      </c>
      <c r="V25" s="173"/>
      <c r="W25" s="167"/>
      <c r="X25" s="174"/>
      <c r="Y25" s="175"/>
      <c r="Z25" s="176"/>
      <c r="AA25" s="171"/>
      <c r="AB25" s="168"/>
      <c r="AC25" s="168"/>
      <c r="AD25" s="168"/>
      <c r="AE25" s="168"/>
      <c r="AF25" s="177">
        <f t="shared" si="53"/>
        <v>0.45071972834694107</v>
      </c>
      <c r="AI25" s="8"/>
      <c r="AJ25" s="10"/>
      <c r="AK25" s="8"/>
      <c r="AL25" s="10"/>
      <c r="AM25" s="9"/>
      <c r="AN25" s="11">
        <v>0</v>
      </c>
      <c r="AO25" s="9"/>
      <c r="AP25" s="11">
        <v>0</v>
      </c>
      <c r="AQ25" s="9"/>
      <c r="AR25" s="11">
        <v>0</v>
      </c>
      <c r="AS25" s="9">
        <v>0</v>
      </c>
      <c r="AT25" s="11">
        <v>0</v>
      </c>
      <c r="AU25" s="9">
        <v>0</v>
      </c>
      <c r="AV25" s="11">
        <v>0</v>
      </c>
      <c r="AW25" s="9">
        <f>ROUND((F25*AF25)/365*132,0)</f>
        <v>6867</v>
      </c>
      <c r="AX25" s="11">
        <f t="shared" si="54"/>
        <v>35263</v>
      </c>
      <c r="AY25" s="11">
        <f t="shared" si="18"/>
        <v>33156</v>
      </c>
      <c r="AZ25" s="117">
        <v>45016</v>
      </c>
      <c r="BA25">
        <f t="shared" si="52"/>
        <v>131</v>
      </c>
    </row>
    <row r="26" spans="1:53" x14ac:dyDescent="0.35">
      <c r="A26" s="179">
        <v>1</v>
      </c>
      <c r="B26" s="180" t="s">
        <v>246</v>
      </c>
      <c r="C26" s="181">
        <v>0.1391</v>
      </c>
      <c r="D26" s="179">
        <v>5</v>
      </c>
      <c r="E26" s="182">
        <v>44900</v>
      </c>
      <c r="F26" s="183">
        <v>190000</v>
      </c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4"/>
      <c r="T26" s="184"/>
      <c r="U26" s="183">
        <f t="shared" si="51"/>
        <v>9500</v>
      </c>
      <c r="V26" s="173"/>
      <c r="W26" s="167"/>
      <c r="X26" s="174"/>
      <c r="Y26" s="175"/>
      <c r="Z26" s="176"/>
      <c r="AA26" s="171"/>
      <c r="AB26" s="168"/>
      <c r="AC26" s="168"/>
      <c r="AD26" s="168"/>
      <c r="AE26" s="168"/>
      <c r="AF26" s="177">
        <f t="shared" si="53"/>
        <v>0.45071972834694107</v>
      </c>
      <c r="AI26" s="8"/>
      <c r="AJ26" s="10"/>
      <c r="AK26" s="8"/>
      <c r="AL26" s="10"/>
      <c r="AM26" s="9"/>
      <c r="AN26" s="11">
        <v>0</v>
      </c>
      <c r="AO26" s="9"/>
      <c r="AP26" s="11">
        <v>0</v>
      </c>
      <c r="AQ26" s="9"/>
      <c r="AR26" s="11">
        <v>0</v>
      </c>
      <c r="AS26" s="9">
        <v>0</v>
      </c>
      <c r="AT26" s="11">
        <v>0</v>
      </c>
      <c r="AU26" s="9">
        <v>0</v>
      </c>
      <c r="AV26" s="11">
        <v>0</v>
      </c>
      <c r="AW26" s="9">
        <f>ROUND((F26*AF26)/365*117,0)</f>
        <v>27451</v>
      </c>
      <c r="AX26" s="11">
        <f t="shared" si="54"/>
        <v>162549</v>
      </c>
      <c r="AY26" s="11">
        <f t="shared" si="18"/>
        <v>153049</v>
      </c>
      <c r="AZ26" s="117">
        <v>45016</v>
      </c>
      <c r="BA26">
        <f t="shared" si="52"/>
        <v>116</v>
      </c>
    </row>
    <row r="27" spans="1:53" x14ac:dyDescent="0.35">
      <c r="A27" s="179">
        <v>1</v>
      </c>
      <c r="B27" s="180" t="s">
        <v>245</v>
      </c>
      <c r="C27" s="181">
        <v>0.1391</v>
      </c>
      <c r="D27" s="179">
        <v>5</v>
      </c>
      <c r="E27" s="182">
        <v>44926</v>
      </c>
      <c r="F27" s="183">
        <v>116345</v>
      </c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4"/>
      <c r="T27" s="184"/>
      <c r="U27" s="183">
        <f t="shared" si="51"/>
        <v>5817</v>
      </c>
      <c r="V27" s="173"/>
      <c r="W27" s="167"/>
      <c r="X27" s="174"/>
      <c r="Y27" s="175"/>
      <c r="Z27" s="176"/>
      <c r="AA27" s="171"/>
      <c r="AB27" s="168"/>
      <c r="AC27" s="168"/>
      <c r="AD27" s="168"/>
      <c r="AE27" s="168"/>
      <c r="AF27" s="177">
        <f t="shared" si="53"/>
        <v>0.45071972834694107</v>
      </c>
      <c r="AI27" s="8"/>
      <c r="AJ27" s="10"/>
      <c r="AK27" s="8"/>
      <c r="AL27" s="10"/>
      <c r="AM27" s="9"/>
      <c r="AN27" s="11">
        <v>0</v>
      </c>
      <c r="AO27" s="9"/>
      <c r="AP27" s="11">
        <v>0</v>
      </c>
      <c r="AQ27" s="9"/>
      <c r="AR27" s="11">
        <v>0</v>
      </c>
      <c r="AS27" s="9">
        <v>0</v>
      </c>
      <c r="AT27" s="11">
        <v>0</v>
      </c>
      <c r="AU27" s="9">
        <v>0</v>
      </c>
      <c r="AV27" s="11">
        <v>0</v>
      </c>
      <c r="AW27" s="9">
        <f>ROUND((F27*AF27)/365*91,0)</f>
        <v>13074</v>
      </c>
      <c r="AX27" s="11">
        <f t="shared" si="54"/>
        <v>103271</v>
      </c>
      <c r="AY27" s="11">
        <f t="shared" si="18"/>
        <v>97454</v>
      </c>
      <c r="AZ27" s="117">
        <v>45016</v>
      </c>
      <c r="BA27">
        <f t="shared" si="52"/>
        <v>90</v>
      </c>
    </row>
    <row r="28" spans="1:53" x14ac:dyDescent="0.35">
      <c r="A28" s="179">
        <v>1</v>
      </c>
      <c r="B28" s="180" t="s">
        <v>243</v>
      </c>
      <c r="C28" s="181">
        <v>0.1391</v>
      </c>
      <c r="D28" s="179">
        <v>5</v>
      </c>
      <c r="E28" s="182">
        <v>45005</v>
      </c>
      <c r="F28" s="183">
        <v>299400</v>
      </c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4"/>
      <c r="T28" s="184"/>
      <c r="U28" s="183">
        <f t="shared" si="51"/>
        <v>14970</v>
      </c>
      <c r="V28" s="173"/>
      <c r="W28" s="167"/>
      <c r="X28" s="174"/>
      <c r="Y28" s="175"/>
      <c r="Z28" s="176"/>
      <c r="AA28" s="171"/>
      <c r="AB28" s="168"/>
      <c r="AC28" s="168"/>
      <c r="AD28" s="168"/>
      <c r="AE28" s="168"/>
      <c r="AF28" s="177">
        <f t="shared" si="53"/>
        <v>0.45071972834694107</v>
      </c>
      <c r="AI28" s="8"/>
      <c r="AJ28" s="10"/>
      <c r="AK28" s="8"/>
      <c r="AL28" s="10"/>
      <c r="AM28" s="9"/>
      <c r="AN28" s="11">
        <v>0</v>
      </c>
      <c r="AO28" s="9"/>
      <c r="AP28" s="11">
        <v>0</v>
      </c>
      <c r="AQ28" s="9"/>
      <c r="AR28" s="11">
        <v>0</v>
      </c>
      <c r="AS28" s="9">
        <v>0</v>
      </c>
      <c r="AT28" s="11">
        <v>0</v>
      </c>
      <c r="AU28" s="9">
        <v>0</v>
      </c>
      <c r="AV28" s="11">
        <v>0</v>
      </c>
      <c r="AW28" s="9">
        <f>ROUND((F28*AF28)/365*12,0)</f>
        <v>4437</v>
      </c>
      <c r="AX28" s="11">
        <f t="shared" si="54"/>
        <v>294963</v>
      </c>
      <c r="AY28" s="11">
        <f t="shared" si="18"/>
        <v>279993</v>
      </c>
      <c r="AZ28" s="117">
        <v>45016</v>
      </c>
      <c r="BA28">
        <f t="shared" si="52"/>
        <v>11</v>
      </c>
    </row>
    <row r="29" spans="1:53" ht="16" thickBot="1" x14ac:dyDescent="0.4">
      <c r="B29" s="6" t="s">
        <v>83</v>
      </c>
      <c r="C29" s="24"/>
      <c r="E29" s="3" t="s">
        <v>39</v>
      </c>
      <c r="F29" s="16">
        <f>SUM(F5:F28)</f>
        <v>2011435.3000000003</v>
      </c>
      <c r="G29" s="16">
        <f t="shared" ref="G29:T29" si="55">SUM(G5:G16)</f>
        <v>43034</v>
      </c>
      <c r="H29" s="16">
        <f t="shared" si="55"/>
        <v>60391</v>
      </c>
      <c r="I29" s="16">
        <f t="shared" si="55"/>
        <v>54197</v>
      </c>
      <c r="J29" s="16">
        <f t="shared" si="55"/>
        <v>47307</v>
      </c>
      <c r="K29" s="16">
        <f t="shared" si="55"/>
        <v>47443</v>
      </c>
      <c r="L29" s="16">
        <f t="shared" si="55"/>
        <v>40846</v>
      </c>
      <c r="M29" s="16">
        <f t="shared" si="55"/>
        <v>36232</v>
      </c>
      <c r="N29" s="16">
        <f t="shared" si="55"/>
        <v>36126</v>
      </c>
      <c r="O29" s="16">
        <f t="shared" si="55"/>
        <v>32922</v>
      </c>
      <c r="P29" s="16">
        <f t="shared" si="55"/>
        <v>28343</v>
      </c>
      <c r="Q29" s="16">
        <f t="shared" si="55"/>
        <v>24402</v>
      </c>
      <c r="R29" s="16">
        <f t="shared" si="55"/>
        <v>33555</v>
      </c>
      <c r="S29" s="16">
        <f t="shared" si="55"/>
        <v>479600</v>
      </c>
      <c r="T29" s="29">
        <f t="shared" si="55"/>
        <v>455268</v>
      </c>
      <c r="U29" s="16">
        <f>SUM(U5:U28)</f>
        <v>100574</v>
      </c>
      <c r="V29" s="16">
        <f t="shared" ref="V29:AI29" si="56">SUM(V5:V16)</f>
        <v>0</v>
      </c>
      <c r="W29" s="16"/>
      <c r="X29" s="16"/>
      <c r="Y29" s="16"/>
      <c r="Z29" s="16"/>
      <c r="AA29" s="16">
        <f t="shared" si="56"/>
        <v>324899</v>
      </c>
      <c r="AB29" s="16">
        <f t="shared" si="56"/>
        <v>277818</v>
      </c>
      <c r="AC29" s="16">
        <f t="shared" si="56"/>
        <v>0</v>
      </c>
      <c r="AD29" s="16">
        <f t="shared" si="56"/>
        <v>83623</v>
      </c>
      <c r="AE29" s="16">
        <f t="shared" si="56"/>
        <v>81520.837209302321</v>
      </c>
      <c r="AG29" s="58">
        <f t="shared" si="56"/>
        <v>141855</v>
      </c>
      <c r="AH29" s="58">
        <f t="shared" si="56"/>
        <v>229790</v>
      </c>
      <c r="AI29" s="58">
        <f t="shared" si="56"/>
        <v>91405</v>
      </c>
      <c r="AJ29" s="16">
        <f t="shared" ref="AJ29:AL29" si="57">SUM(AJ5:AJ18)</f>
        <v>95618</v>
      </c>
      <c r="AK29" s="16">
        <f t="shared" si="57"/>
        <v>30277</v>
      </c>
      <c r="AL29" s="16">
        <f t="shared" si="57"/>
        <v>65341</v>
      </c>
      <c r="AM29" s="16">
        <f>SUM(AM5:AM20)</f>
        <v>41886</v>
      </c>
      <c r="AN29" s="16">
        <f>SUM(AN5:AN22)</f>
        <v>131455</v>
      </c>
      <c r="AO29" s="16">
        <f t="shared" ref="AO29:AS29" si="58">SUM(AO5:AO20)</f>
        <v>51774</v>
      </c>
      <c r="AP29" s="16">
        <f t="shared" si="58"/>
        <v>96969.12</v>
      </c>
      <c r="AQ29" s="16">
        <f t="shared" si="58"/>
        <v>53451</v>
      </c>
      <c r="AR29" s="16">
        <f>SUM(AR5:AR20)</f>
        <v>114918.12</v>
      </c>
      <c r="AS29" s="16">
        <f t="shared" si="58"/>
        <v>53820</v>
      </c>
      <c r="AT29" s="16">
        <f>SUM(AT5:AT28)</f>
        <v>174962.44</v>
      </c>
      <c r="AU29" s="16">
        <f>SUM(AU5:AU28)</f>
        <v>47058</v>
      </c>
      <c r="AV29" s="16">
        <f>SUM(AV5:AV28)</f>
        <v>127904.44</v>
      </c>
      <c r="AW29" s="16">
        <f>SUM(AW5:AW28)</f>
        <v>175746</v>
      </c>
      <c r="AX29" s="29">
        <f>SUM(AX5:AX28)</f>
        <v>826173.3</v>
      </c>
      <c r="AZ29" s="132"/>
    </row>
    <row r="30" spans="1:53" ht="16" thickTop="1" x14ac:dyDescent="0.35">
      <c r="F30" s="9"/>
      <c r="U30" s="11"/>
      <c r="V30" s="11"/>
    </row>
    <row r="31" spans="1:53" x14ac:dyDescent="0.35">
      <c r="F31" s="9"/>
      <c r="U31" s="11"/>
      <c r="V31" s="11"/>
    </row>
    <row r="32" spans="1:53" x14ac:dyDescent="0.35">
      <c r="F32" s="9"/>
      <c r="S32" s="38" t="s">
        <v>167</v>
      </c>
      <c r="T32">
        <v>365</v>
      </c>
      <c r="U32" s="11"/>
      <c r="V32" s="46"/>
      <c r="W32" s="10">
        <f>U32/T32</f>
        <v>0</v>
      </c>
      <c r="X32" s="10"/>
      <c r="Y32" s="10"/>
      <c r="Z32" s="10"/>
    </row>
    <row r="33" spans="6:22" x14ac:dyDescent="0.35">
      <c r="F33" s="9"/>
      <c r="U33" s="11"/>
      <c r="V33" s="11"/>
    </row>
    <row r="34" spans="6:22" x14ac:dyDescent="0.35">
      <c r="F34" s="9"/>
      <c r="U34" s="11"/>
      <c r="V34" s="11"/>
    </row>
    <row r="35" spans="6:22" x14ac:dyDescent="0.35">
      <c r="F35" s="9"/>
      <c r="U35" s="11"/>
      <c r="V35" s="11"/>
    </row>
    <row r="36" spans="6:22" x14ac:dyDescent="0.35">
      <c r="F36" s="9"/>
      <c r="U36" s="11"/>
      <c r="V36" s="11"/>
    </row>
    <row r="37" spans="6:22" x14ac:dyDescent="0.35">
      <c r="F37" s="9"/>
      <c r="U37" s="11"/>
      <c r="V37" s="11"/>
    </row>
    <row r="38" spans="6:22" x14ac:dyDescent="0.35">
      <c r="U38" s="11"/>
      <c r="V38" s="11"/>
    </row>
  </sheetData>
  <mergeCells count="2">
    <mergeCell ref="G3:R3"/>
    <mergeCell ref="A1:AH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S38"/>
  <sheetViews>
    <sheetView topLeftCell="A13" workbookViewId="0">
      <selection activeCell="AH36" sqref="AH36"/>
    </sheetView>
  </sheetViews>
  <sheetFormatPr defaultRowHeight="15.5" x14ac:dyDescent="0.35"/>
  <cols>
    <col min="1" max="1" width="3.33203125" customWidth="1"/>
    <col min="2" max="2" width="11.08203125" customWidth="1"/>
    <col min="3" max="3" width="7.5" hidden="1" customWidth="1"/>
    <col min="4" max="4" width="9" customWidth="1"/>
    <col min="5" max="5" width="10.08203125" customWidth="1"/>
    <col min="6" max="6" width="9.58203125" customWidth="1"/>
    <col min="7" max="17" width="7.58203125" hidden="1" customWidth="1"/>
    <col min="18" max="18" width="7.5" hidden="1" customWidth="1"/>
    <col min="19" max="19" width="11.33203125" hidden="1" customWidth="1"/>
    <col min="20" max="20" width="10.33203125" hidden="1" customWidth="1"/>
    <col min="21" max="21" width="7.58203125" bestFit="1" customWidth="1"/>
    <col min="22" max="22" width="6.5" bestFit="1" customWidth="1"/>
    <col min="23" max="23" width="6.25" customWidth="1"/>
    <col min="24" max="24" width="13" hidden="1" customWidth="1"/>
    <col min="25" max="25" width="10.33203125" style="8" hidden="1" customWidth="1"/>
    <col min="26" max="26" width="0" hidden="1" customWidth="1"/>
    <col min="27" max="27" width="10.58203125" hidden="1" customWidth="1"/>
    <col min="28" max="28" width="11.25" hidden="1" customWidth="1"/>
    <col min="29" max="29" width="10.08203125" hidden="1" customWidth="1"/>
    <col min="30" max="30" width="10.58203125" hidden="1" customWidth="1"/>
    <col min="31" max="31" width="11.25" hidden="1" customWidth="1"/>
    <col min="32" max="32" width="10.58203125" customWidth="1"/>
    <col min="33" max="33" width="9.75" hidden="1" customWidth="1"/>
    <col min="35" max="35" width="0" hidden="1" customWidth="1"/>
    <col min="39" max="39" width="11.58203125" bestFit="1" customWidth="1"/>
    <col min="41" max="41" width="9.5" customWidth="1"/>
    <col min="42" max="42" width="9.58203125" customWidth="1"/>
    <col min="44" max="44" width="10.08203125" bestFit="1" customWidth="1"/>
    <col min="45" max="45" width="9.83203125" bestFit="1" customWidth="1"/>
  </cols>
  <sheetData>
    <row r="1" spans="1:43" x14ac:dyDescent="0.35">
      <c r="A1" s="194" t="s">
        <v>84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</row>
    <row r="3" spans="1:43" x14ac:dyDescent="0.35">
      <c r="A3" s="2" t="s">
        <v>14</v>
      </c>
      <c r="B3" s="2" t="s">
        <v>17</v>
      </c>
      <c r="C3" s="36" t="s">
        <v>34</v>
      </c>
      <c r="D3" s="36" t="s">
        <v>19</v>
      </c>
      <c r="E3" s="2" t="s">
        <v>20</v>
      </c>
      <c r="F3" s="2" t="s">
        <v>23</v>
      </c>
      <c r="G3" s="193" t="s">
        <v>22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2" t="s">
        <v>13</v>
      </c>
      <c r="T3" s="2" t="s">
        <v>36</v>
      </c>
      <c r="U3" s="2" t="s">
        <v>24</v>
      </c>
      <c r="V3" s="2" t="s">
        <v>52</v>
      </c>
      <c r="W3" s="74" t="s">
        <v>35</v>
      </c>
      <c r="X3" s="2" t="s">
        <v>54</v>
      </c>
      <c r="Y3" s="60" t="s">
        <v>22</v>
      </c>
      <c r="Z3" s="60" t="s">
        <v>36</v>
      </c>
      <c r="AA3" s="2" t="s">
        <v>201</v>
      </c>
      <c r="AB3" s="60" t="s">
        <v>36</v>
      </c>
      <c r="AC3" s="2" t="s">
        <v>200</v>
      </c>
      <c r="AD3" s="60" t="s">
        <v>36</v>
      </c>
      <c r="AE3" s="2" t="s">
        <v>211</v>
      </c>
      <c r="AF3" s="60" t="s">
        <v>36</v>
      </c>
      <c r="AG3" s="2" t="s">
        <v>219</v>
      </c>
      <c r="AH3" s="60" t="s">
        <v>36</v>
      </c>
      <c r="AI3" s="2" t="s">
        <v>226</v>
      </c>
      <c r="AJ3" s="60" t="s">
        <v>36</v>
      </c>
      <c r="AK3" s="2" t="s">
        <v>230</v>
      </c>
      <c r="AL3" s="60" t="s">
        <v>36</v>
      </c>
      <c r="AM3" s="2" t="s">
        <v>235</v>
      </c>
      <c r="AN3" s="60" t="s">
        <v>36</v>
      </c>
      <c r="AO3" s="2" t="s">
        <v>240</v>
      </c>
      <c r="AP3" s="60" t="s">
        <v>36</v>
      </c>
    </row>
    <row r="4" spans="1:43" x14ac:dyDescent="0.35">
      <c r="A4" s="4" t="s">
        <v>16</v>
      </c>
      <c r="B4" s="4" t="s">
        <v>18</v>
      </c>
      <c r="C4" s="37" t="s">
        <v>35</v>
      </c>
      <c r="D4" s="37" t="s">
        <v>28</v>
      </c>
      <c r="E4" s="4" t="s">
        <v>21</v>
      </c>
      <c r="F4" s="4" t="s">
        <v>15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5" t="s">
        <v>10</v>
      </c>
      <c r="Q4" s="5" t="s">
        <v>11</v>
      </c>
      <c r="R4" s="5" t="s">
        <v>12</v>
      </c>
      <c r="S4" s="4" t="s">
        <v>22</v>
      </c>
      <c r="T4" s="4" t="s">
        <v>37</v>
      </c>
      <c r="U4" s="4" t="s">
        <v>25</v>
      </c>
      <c r="V4" s="4" t="s">
        <v>104</v>
      </c>
      <c r="W4" s="75" t="s">
        <v>194</v>
      </c>
      <c r="X4" s="4" t="s">
        <v>55</v>
      </c>
      <c r="Y4" s="62" t="s">
        <v>190</v>
      </c>
      <c r="Z4" s="62" t="s">
        <v>189</v>
      </c>
      <c r="AA4" s="4" t="s">
        <v>22</v>
      </c>
      <c r="AB4" s="62" t="s">
        <v>197</v>
      </c>
      <c r="AC4" s="4" t="s">
        <v>22</v>
      </c>
      <c r="AD4" s="62" t="s">
        <v>199</v>
      </c>
      <c r="AE4" s="4" t="s">
        <v>22</v>
      </c>
      <c r="AF4" s="62" t="s">
        <v>212</v>
      </c>
      <c r="AG4" s="4" t="s">
        <v>22</v>
      </c>
      <c r="AH4" s="62" t="s">
        <v>220</v>
      </c>
      <c r="AI4" s="4" t="s">
        <v>22</v>
      </c>
      <c r="AJ4" s="62" t="s">
        <v>227</v>
      </c>
      <c r="AK4" s="4" t="s">
        <v>22</v>
      </c>
      <c r="AL4" s="62" t="s">
        <v>231</v>
      </c>
      <c r="AM4" s="4" t="s">
        <v>22</v>
      </c>
      <c r="AN4" s="62" t="s">
        <v>234</v>
      </c>
      <c r="AO4" s="4" t="s">
        <v>22</v>
      </c>
      <c r="AP4" s="62" t="s">
        <v>239</v>
      </c>
    </row>
    <row r="5" spans="1:43" x14ac:dyDescent="0.35">
      <c r="A5" s="1">
        <v>1</v>
      </c>
      <c r="B5" t="s">
        <v>85</v>
      </c>
      <c r="C5" s="21">
        <v>0.4</v>
      </c>
      <c r="D5" s="1">
        <v>3</v>
      </c>
      <c r="E5" s="1" t="s">
        <v>86</v>
      </c>
      <c r="F5" s="9">
        <v>42760</v>
      </c>
      <c r="G5" s="9">
        <f>ROUND(F5*C5,0)</f>
        <v>17104</v>
      </c>
      <c r="H5" s="9">
        <f>ROUND((F5-G5)*C5,0)</f>
        <v>10262</v>
      </c>
      <c r="I5" s="9">
        <f>ROUND((F5-G5-H5)*C5,0)</f>
        <v>6158</v>
      </c>
      <c r="J5" s="9">
        <f>ROUND((F5-G5-H5-I5)*C5,0)</f>
        <v>3694</v>
      </c>
      <c r="K5" s="9">
        <f>ROUND((F5-G5-H5-I5-J5)*C5,0)</f>
        <v>2217</v>
      </c>
      <c r="L5" s="9">
        <f>ROUND((F5-G5-H5-I5-J5-K5)*C5,0)</f>
        <v>1330</v>
      </c>
      <c r="M5" s="9">
        <f>ROUND((F5-G5-H5-I5-J5-K5-L5)*C5,0)</f>
        <v>798</v>
      </c>
      <c r="N5" s="9">
        <f>ROUND((F5-G5-H5-I5-J5-K5-L5-M5)*C5,0)</f>
        <v>479</v>
      </c>
      <c r="O5" s="9">
        <f>ROUND((F5-G5-H5-I5-J5-K5-L5-M5-N5)*C5,0)</f>
        <v>287</v>
      </c>
      <c r="P5" s="9">
        <f>ROUND((F5-G5-H5-I5-J5-K5-L5-M5-N5-O5)*C5,0)</f>
        <v>172</v>
      </c>
      <c r="Q5" s="9">
        <f>ROUND((F5-G5-H5-I5-J5-K5-L5-M5-N5-O5-P5)*C5,0)</f>
        <v>104</v>
      </c>
      <c r="R5" s="9">
        <f>ROUND((F5-G5-H5-I5-J5-K5-L5-M5-N5-O5-P5-Q5)*C5,0)</f>
        <v>62</v>
      </c>
      <c r="S5" s="11">
        <f>SUM(G5:R5)</f>
        <v>42667</v>
      </c>
      <c r="T5" s="11">
        <f>+F5-S5</f>
        <v>93</v>
      </c>
      <c r="U5" s="9">
        <f>ROUND(F5*5%,0)</f>
        <v>2138</v>
      </c>
      <c r="V5" s="38" t="s">
        <v>118</v>
      </c>
      <c r="W5" s="53"/>
      <c r="X5" s="9"/>
      <c r="Y5" s="8">
        <v>0</v>
      </c>
      <c r="Z5" s="10">
        <f>+T5-X5-Y5</f>
        <v>93</v>
      </c>
      <c r="AA5" s="8">
        <v>0</v>
      </c>
      <c r="AB5" s="8">
        <f>Z5-AA5</f>
        <v>93</v>
      </c>
      <c r="AC5" s="8">
        <v>0</v>
      </c>
      <c r="AD5" s="10">
        <f>AB5-AC5</f>
        <v>93</v>
      </c>
      <c r="AE5" s="8">
        <v>0</v>
      </c>
      <c r="AF5" s="10">
        <f>+AD5-AE5</f>
        <v>93</v>
      </c>
      <c r="AG5" s="11">
        <f>+T5-AF5</f>
        <v>0</v>
      </c>
      <c r="AH5" s="11">
        <f>+AF5-AG5</f>
        <v>93</v>
      </c>
      <c r="AI5" s="11">
        <f>+T5-AH5</f>
        <v>0</v>
      </c>
      <c r="AJ5" s="11">
        <f>+AH5-AI5</f>
        <v>93</v>
      </c>
      <c r="AK5" s="11">
        <v>0</v>
      </c>
      <c r="AL5" s="11">
        <f>+AJ5-AK5</f>
        <v>93</v>
      </c>
      <c r="AM5" s="11">
        <v>0</v>
      </c>
      <c r="AN5" s="11">
        <f>+AL5-AM5</f>
        <v>93</v>
      </c>
      <c r="AO5" s="11">
        <v>0</v>
      </c>
      <c r="AP5" s="11">
        <f>+AN5-AO5</f>
        <v>93</v>
      </c>
      <c r="AQ5" s="11">
        <f>+AP5-U5</f>
        <v>-2045</v>
      </c>
    </row>
    <row r="6" spans="1:43" x14ac:dyDescent="0.35">
      <c r="A6" s="1">
        <v>1</v>
      </c>
      <c r="B6" t="s">
        <v>85</v>
      </c>
      <c r="C6" s="21">
        <v>0.4</v>
      </c>
      <c r="D6" s="1">
        <v>3</v>
      </c>
      <c r="E6" s="1" t="s">
        <v>87</v>
      </c>
      <c r="F6" s="9">
        <v>33250</v>
      </c>
      <c r="G6" s="9">
        <v>0</v>
      </c>
      <c r="H6" s="9">
        <f>ROUND((F6*C6)*293/366,0)</f>
        <v>10647</v>
      </c>
      <c r="I6" s="9">
        <f>ROUND((F6-H6)*C6,0)</f>
        <v>9041</v>
      </c>
      <c r="J6" s="9">
        <f>ROUND((F6-H6-I6)*C6,0)</f>
        <v>5425</v>
      </c>
      <c r="K6" s="9">
        <f>ROUND((F6-H6-I6-J6)*C6,0)</f>
        <v>3255</v>
      </c>
      <c r="L6" s="9">
        <f>ROUND((F6-H6-I6-J6-K6)*C6,0)</f>
        <v>1953</v>
      </c>
      <c r="M6" s="9">
        <f>ROUND((F6-H6-I6-J6-K6-L6)*C6,0)</f>
        <v>1172</v>
      </c>
      <c r="N6" s="9">
        <f>ROUND((F6-H6-I6-J6-K6-L6-M6)*C6,0)</f>
        <v>703</v>
      </c>
      <c r="O6" s="9">
        <f>ROUND((F6-H6-I6-J6-K6-L6-M6-N6)*C6,0)</f>
        <v>422</v>
      </c>
      <c r="P6" s="9">
        <f>ROUND((F6-H6-I6-J6-K6-L6-M6-N6-O6)*C6,0)</f>
        <v>253</v>
      </c>
      <c r="Q6" s="9">
        <f>ROUND((F6-H6-I6-J6-K6-L6-M6-N6-O6-P6)*C6,0)</f>
        <v>152</v>
      </c>
      <c r="R6" s="9">
        <f>ROUND((F6-H6-I6-J6-K6-L6-M6-N6-O6-P6-Q6)*C6,0)</f>
        <v>91</v>
      </c>
      <c r="S6" s="11">
        <f t="shared" ref="S6:S8" si="0">SUM(G6:R6)</f>
        <v>33114</v>
      </c>
      <c r="T6" s="11">
        <f t="shared" ref="T6:T8" si="1">+F6-S6</f>
        <v>136</v>
      </c>
      <c r="U6" s="9">
        <f t="shared" ref="U6:U8" si="2">ROUND(F6*5%,0)</f>
        <v>1663</v>
      </c>
      <c r="V6" s="38" t="s">
        <v>121</v>
      </c>
      <c r="W6" s="53"/>
      <c r="X6" s="9"/>
      <c r="Y6" s="8">
        <v>0</v>
      </c>
      <c r="Z6" s="10">
        <f t="shared" ref="Z6:Z16" si="3">+T6-X6-Y6</f>
        <v>136</v>
      </c>
      <c r="AA6" s="8">
        <v>0</v>
      </c>
      <c r="AB6" s="8">
        <f t="shared" ref="AB6:AB17" si="4">Z6-AA6</f>
        <v>136</v>
      </c>
      <c r="AC6" s="8">
        <v>0</v>
      </c>
      <c r="AD6" s="10">
        <f t="shared" ref="AD6:AD16" si="5">AB6-AC6</f>
        <v>136</v>
      </c>
      <c r="AE6" s="8">
        <v>0</v>
      </c>
      <c r="AF6" s="10">
        <f t="shared" ref="AF6:AF17" si="6">+AD6-AE6</f>
        <v>136</v>
      </c>
      <c r="AG6" s="11">
        <f t="shared" ref="AG6:AG13" si="7">+T6-AF6</f>
        <v>0</v>
      </c>
      <c r="AH6" s="11">
        <f t="shared" ref="AH6:AH16" si="8">+AF6-AG6</f>
        <v>136</v>
      </c>
      <c r="AI6" s="11">
        <f t="shared" ref="AI6:AI13" si="9">+T6-AH6</f>
        <v>0</v>
      </c>
      <c r="AJ6" s="11">
        <f t="shared" ref="AJ6:AJ16" si="10">+AH6-AI6</f>
        <v>136</v>
      </c>
      <c r="AK6" s="11">
        <v>0</v>
      </c>
      <c r="AL6" s="11">
        <f t="shared" ref="AL6:AL13" si="11">+AJ6-AK6</f>
        <v>136</v>
      </c>
      <c r="AM6" s="11">
        <v>0</v>
      </c>
      <c r="AN6" s="11">
        <f t="shared" ref="AN6:AN13" si="12">+AL6-AM6</f>
        <v>136</v>
      </c>
      <c r="AO6" s="11">
        <v>0</v>
      </c>
      <c r="AP6" s="11">
        <f t="shared" ref="AP6:AP13" si="13">+AN6-AO6</f>
        <v>136</v>
      </c>
      <c r="AQ6" s="11">
        <f t="shared" ref="AQ6:AQ28" si="14">+AP6-U6</f>
        <v>-1527</v>
      </c>
    </row>
    <row r="7" spans="1:43" x14ac:dyDescent="0.35">
      <c r="A7" s="1">
        <v>1</v>
      </c>
      <c r="B7" t="s">
        <v>85</v>
      </c>
      <c r="C7" s="21">
        <v>0.4</v>
      </c>
      <c r="D7" s="1">
        <v>3</v>
      </c>
      <c r="E7" s="1" t="s">
        <v>72</v>
      </c>
      <c r="F7" s="9">
        <v>7600</v>
      </c>
      <c r="G7" s="9">
        <v>0</v>
      </c>
      <c r="H7" s="9">
        <f>ROUND((F7*C7)*228/366,0)</f>
        <v>1894</v>
      </c>
      <c r="I7" s="9">
        <f t="shared" ref="I7:I8" si="15">ROUND((F7-H7)*C7,0)</f>
        <v>2282</v>
      </c>
      <c r="J7" s="9">
        <f t="shared" ref="J7:J8" si="16">ROUND((F7-H7-I7)*C7,0)</f>
        <v>1370</v>
      </c>
      <c r="K7" s="9">
        <f t="shared" ref="K7:K8" si="17">ROUND((F7-H7-I7-J7)*C7,0)</f>
        <v>822</v>
      </c>
      <c r="L7" s="9">
        <f t="shared" ref="L7:L8" si="18">ROUND((F7-H7-I7-J7-K7)*C7,0)</f>
        <v>493</v>
      </c>
      <c r="M7" s="9">
        <f t="shared" ref="M7:M8" si="19">ROUND((F7-H7-I7-J7-K7-L7)*C7,0)</f>
        <v>296</v>
      </c>
      <c r="N7" s="9">
        <f t="shared" ref="N7:N8" si="20">ROUND((F7-H7-I7-J7-K7-L7-M7)*C7,0)</f>
        <v>177</v>
      </c>
      <c r="O7" s="9">
        <f t="shared" ref="O7:O8" si="21">ROUND((F7-H7-I7-J7-K7-L7-M7-N7)*C7,0)</f>
        <v>106</v>
      </c>
      <c r="P7" s="9">
        <f t="shared" ref="P7:P8" si="22">ROUND((F7-H7-I7-J7-K7-L7-M7-N7-O7)*C7,0)</f>
        <v>64</v>
      </c>
      <c r="Q7" s="9">
        <f t="shared" ref="Q7:Q8" si="23">ROUND((F7-H7-I7-J7-K7-L7-M7-N7-O7-P7)*C7,0)</f>
        <v>38</v>
      </c>
      <c r="R7" s="9">
        <f t="shared" ref="R7:R8" si="24">ROUND((F7-H7-I7-J7-K7-L7-M7-N7-O7-P7-Q7)*C7,0)</f>
        <v>23</v>
      </c>
      <c r="S7" s="11">
        <f t="shared" si="0"/>
        <v>7565</v>
      </c>
      <c r="T7" s="11">
        <f t="shared" si="1"/>
        <v>35</v>
      </c>
      <c r="U7" s="9">
        <f t="shared" si="2"/>
        <v>380</v>
      </c>
      <c r="V7" s="38" t="s">
        <v>122</v>
      </c>
      <c r="W7" s="53"/>
      <c r="X7" s="9"/>
      <c r="Y7" s="8">
        <v>0</v>
      </c>
      <c r="Z7" s="10">
        <f t="shared" si="3"/>
        <v>35</v>
      </c>
      <c r="AA7" s="8">
        <v>0</v>
      </c>
      <c r="AB7" s="8">
        <f t="shared" si="4"/>
        <v>35</v>
      </c>
      <c r="AC7" s="8">
        <v>0</v>
      </c>
      <c r="AD7" s="10">
        <f t="shared" si="5"/>
        <v>35</v>
      </c>
      <c r="AE7" s="8">
        <v>0</v>
      </c>
      <c r="AF7" s="10">
        <f t="shared" si="6"/>
        <v>35</v>
      </c>
      <c r="AG7" s="11">
        <f t="shared" si="7"/>
        <v>0</v>
      </c>
      <c r="AH7" s="11">
        <f t="shared" si="8"/>
        <v>35</v>
      </c>
      <c r="AI7" s="11">
        <f t="shared" si="9"/>
        <v>0</v>
      </c>
      <c r="AJ7" s="11">
        <f t="shared" si="10"/>
        <v>35</v>
      </c>
      <c r="AK7" s="11">
        <v>0</v>
      </c>
      <c r="AL7" s="11">
        <f t="shared" si="11"/>
        <v>35</v>
      </c>
      <c r="AM7" s="11">
        <v>0</v>
      </c>
      <c r="AN7" s="11">
        <f t="shared" si="12"/>
        <v>35</v>
      </c>
      <c r="AO7" s="11">
        <v>0</v>
      </c>
      <c r="AP7" s="11">
        <f t="shared" si="13"/>
        <v>35</v>
      </c>
      <c r="AQ7" s="11">
        <f t="shared" si="14"/>
        <v>-345</v>
      </c>
    </row>
    <row r="8" spans="1:43" x14ac:dyDescent="0.35">
      <c r="A8" s="1">
        <v>1</v>
      </c>
      <c r="B8" t="s">
        <v>85</v>
      </c>
      <c r="C8" s="21">
        <v>0.4</v>
      </c>
      <c r="D8" s="1">
        <v>3</v>
      </c>
      <c r="E8" s="1" t="s">
        <v>88</v>
      </c>
      <c r="F8" s="9">
        <v>32850</v>
      </c>
      <c r="G8" s="9">
        <v>0</v>
      </c>
      <c r="H8" s="9">
        <v>0</v>
      </c>
      <c r="I8" s="9">
        <f t="shared" si="15"/>
        <v>13140</v>
      </c>
      <c r="J8" s="9">
        <f t="shared" si="16"/>
        <v>7884</v>
      </c>
      <c r="K8" s="9">
        <f t="shared" si="17"/>
        <v>4730</v>
      </c>
      <c r="L8" s="9">
        <f t="shared" si="18"/>
        <v>2838</v>
      </c>
      <c r="M8" s="9">
        <f t="shared" si="19"/>
        <v>1703</v>
      </c>
      <c r="N8" s="9">
        <f t="shared" si="20"/>
        <v>1022</v>
      </c>
      <c r="O8" s="9">
        <f t="shared" si="21"/>
        <v>613</v>
      </c>
      <c r="P8" s="9">
        <f t="shared" si="22"/>
        <v>368</v>
      </c>
      <c r="Q8" s="9">
        <f t="shared" si="23"/>
        <v>221</v>
      </c>
      <c r="R8" s="9">
        <f t="shared" si="24"/>
        <v>132</v>
      </c>
      <c r="S8" s="11">
        <f t="shared" si="0"/>
        <v>32651</v>
      </c>
      <c r="T8" s="11">
        <f t="shared" si="1"/>
        <v>199</v>
      </c>
      <c r="U8" s="9">
        <f t="shared" si="2"/>
        <v>1643</v>
      </c>
      <c r="V8" s="38" t="s">
        <v>132</v>
      </c>
      <c r="W8" s="53"/>
      <c r="X8" s="9"/>
      <c r="Y8" s="8">
        <v>0</v>
      </c>
      <c r="Z8" s="10">
        <f t="shared" si="3"/>
        <v>199</v>
      </c>
      <c r="AA8" s="8">
        <v>0</v>
      </c>
      <c r="AB8" s="8">
        <f t="shared" si="4"/>
        <v>199</v>
      </c>
      <c r="AC8" s="8">
        <v>0</v>
      </c>
      <c r="AD8" s="10">
        <f t="shared" si="5"/>
        <v>199</v>
      </c>
      <c r="AE8" s="8">
        <v>0</v>
      </c>
      <c r="AF8" s="10">
        <f t="shared" si="6"/>
        <v>199</v>
      </c>
      <c r="AG8" s="11">
        <f t="shared" si="7"/>
        <v>0</v>
      </c>
      <c r="AH8" s="11">
        <f t="shared" si="8"/>
        <v>199</v>
      </c>
      <c r="AI8" s="11">
        <f t="shared" si="9"/>
        <v>0</v>
      </c>
      <c r="AJ8" s="11">
        <f t="shared" si="10"/>
        <v>199</v>
      </c>
      <c r="AK8" s="11">
        <v>0</v>
      </c>
      <c r="AL8" s="11">
        <f t="shared" si="11"/>
        <v>199</v>
      </c>
      <c r="AM8" s="11">
        <v>0</v>
      </c>
      <c r="AN8" s="11">
        <f t="shared" si="12"/>
        <v>199</v>
      </c>
      <c r="AO8" s="11">
        <v>0</v>
      </c>
      <c r="AP8" s="11">
        <f t="shared" si="13"/>
        <v>199</v>
      </c>
      <c r="AQ8" s="11">
        <f t="shared" si="14"/>
        <v>-1444</v>
      </c>
    </row>
    <row r="9" spans="1:43" x14ac:dyDescent="0.35">
      <c r="A9" s="1">
        <v>1</v>
      </c>
      <c r="B9" t="s">
        <v>85</v>
      </c>
      <c r="C9" s="21">
        <v>0.4</v>
      </c>
      <c r="D9" s="1">
        <v>3</v>
      </c>
      <c r="E9" s="1" t="s">
        <v>89</v>
      </c>
      <c r="F9" s="9">
        <v>37000</v>
      </c>
      <c r="G9" s="9">
        <v>0</v>
      </c>
      <c r="H9" s="9">
        <v>0</v>
      </c>
      <c r="I9" s="9">
        <f>ROUND((F9*C9)*183/365,0)</f>
        <v>7420</v>
      </c>
      <c r="J9" s="9">
        <f>ROUND((F9-I9)*C9,0)</f>
        <v>11832</v>
      </c>
      <c r="K9" s="9">
        <f>ROUND((F9-I9-J9)*C9,0)</f>
        <v>7099</v>
      </c>
      <c r="L9" s="9">
        <f>ROUND((F9-I9-J9-K9)*C9,0)</f>
        <v>4260</v>
      </c>
      <c r="M9" s="9">
        <f>ROUND((F9-I9-J9-K9-L9)*C9,0)</f>
        <v>2556</v>
      </c>
      <c r="N9" s="9">
        <f>ROUND((F9-I9-J9-K9-L9-M9)*C9,0)</f>
        <v>1533</v>
      </c>
      <c r="O9" s="9">
        <f>ROUND((F9-I9-J9-K9-L9-M9-N9)*C9,0)</f>
        <v>920</v>
      </c>
      <c r="P9" s="9">
        <f>ROUND((F9-I9-J9-K9-L9-M9-N9-O9)*C9,0)</f>
        <v>552</v>
      </c>
      <c r="Q9" s="9">
        <f>ROUND((F9-I9-J9-K9-L9-M9-N9-O9-P9)*C9,0)</f>
        <v>331</v>
      </c>
      <c r="R9" s="9">
        <f>ROUND((F9-I9-J9-K9-L9-M9-N9-O9-P9-Q9)*C9,0)</f>
        <v>199</v>
      </c>
      <c r="S9" s="11">
        <f t="shared" ref="S9:S10" si="25">SUM(G9:R9)</f>
        <v>36702</v>
      </c>
      <c r="T9" s="11">
        <f t="shared" ref="T9" si="26">+F9-S9</f>
        <v>298</v>
      </c>
      <c r="U9" s="9">
        <f t="shared" ref="U9" si="27">ROUND(F9*5%,0)</f>
        <v>1850</v>
      </c>
      <c r="V9" s="38" t="s">
        <v>133</v>
      </c>
      <c r="W9" s="53"/>
      <c r="X9" s="9"/>
      <c r="Y9" s="8">
        <v>0</v>
      </c>
      <c r="Z9" s="10">
        <f t="shared" si="3"/>
        <v>298</v>
      </c>
      <c r="AA9" s="8">
        <v>0</v>
      </c>
      <c r="AB9" s="8">
        <f t="shared" si="4"/>
        <v>298</v>
      </c>
      <c r="AC9" s="8">
        <v>0</v>
      </c>
      <c r="AD9" s="10">
        <f t="shared" si="5"/>
        <v>298</v>
      </c>
      <c r="AE9" s="8">
        <v>0</v>
      </c>
      <c r="AF9" s="10">
        <f t="shared" si="6"/>
        <v>298</v>
      </c>
      <c r="AG9" s="11">
        <f t="shared" si="7"/>
        <v>0</v>
      </c>
      <c r="AH9" s="11">
        <f t="shared" si="8"/>
        <v>298</v>
      </c>
      <c r="AI9" s="11">
        <f t="shared" si="9"/>
        <v>0</v>
      </c>
      <c r="AJ9" s="11">
        <f t="shared" si="10"/>
        <v>298</v>
      </c>
      <c r="AK9" s="11">
        <v>0</v>
      </c>
      <c r="AL9" s="11">
        <f t="shared" si="11"/>
        <v>298</v>
      </c>
      <c r="AM9" s="11">
        <v>0</v>
      </c>
      <c r="AN9" s="11">
        <f t="shared" si="12"/>
        <v>298</v>
      </c>
      <c r="AO9" s="11">
        <v>0</v>
      </c>
      <c r="AP9" s="11">
        <f t="shared" si="13"/>
        <v>298</v>
      </c>
      <c r="AQ9" s="11">
        <f t="shared" si="14"/>
        <v>-1552</v>
      </c>
    </row>
    <row r="10" spans="1:43" x14ac:dyDescent="0.35">
      <c r="A10" s="1">
        <v>1</v>
      </c>
      <c r="B10" t="s">
        <v>85</v>
      </c>
      <c r="C10" s="21">
        <v>0.4</v>
      </c>
      <c r="D10" s="1">
        <v>3</v>
      </c>
      <c r="E10" s="1" t="s">
        <v>89</v>
      </c>
      <c r="F10" s="9">
        <v>22880</v>
      </c>
      <c r="G10" s="9">
        <v>0</v>
      </c>
      <c r="H10" s="9">
        <v>0</v>
      </c>
      <c r="I10" s="9">
        <f>ROUND((F10*C10)*126/365,0)</f>
        <v>3159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11">
        <f t="shared" si="25"/>
        <v>3159</v>
      </c>
      <c r="T10" s="11">
        <v>0</v>
      </c>
      <c r="U10" s="9">
        <v>0</v>
      </c>
      <c r="V10" s="38" t="s">
        <v>120</v>
      </c>
      <c r="W10" s="53"/>
      <c r="X10" s="9"/>
      <c r="Z10" s="10">
        <f t="shared" si="3"/>
        <v>0</v>
      </c>
      <c r="AA10" s="8">
        <v>0</v>
      </c>
      <c r="AB10" s="8">
        <f t="shared" si="4"/>
        <v>0</v>
      </c>
      <c r="AC10" s="8">
        <v>0</v>
      </c>
      <c r="AD10" s="10">
        <f t="shared" si="5"/>
        <v>0</v>
      </c>
      <c r="AE10" s="8">
        <v>0</v>
      </c>
      <c r="AF10" s="10">
        <f t="shared" si="6"/>
        <v>0</v>
      </c>
      <c r="AG10" s="11">
        <f t="shared" si="7"/>
        <v>0</v>
      </c>
      <c r="AH10" s="11">
        <f t="shared" si="8"/>
        <v>0</v>
      </c>
      <c r="AI10" s="11">
        <f t="shared" si="9"/>
        <v>0</v>
      </c>
      <c r="AJ10" s="11">
        <f t="shared" si="10"/>
        <v>0</v>
      </c>
      <c r="AK10" s="11">
        <v>0</v>
      </c>
      <c r="AL10" s="11">
        <f t="shared" si="11"/>
        <v>0</v>
      </c>
      <c r="AM10" s="11">
        <v>0</v>
      </c>
      <c r="AN10" s="11">
        <f t="shared" si="12"/>
        <v>0</v>
      </c>
      <c r="AO10" s="11">
        <v>0</v>
      </c>
      <c r="AP10" s="11">
        <f t="shared" si="13"/>
        <v>0</v>
      </c>
      <c r="AQ10" s="11">
        <f t="shared" si="14"/>
        <v>0</v>
      </c>
    </row>
    <row r="11" spans="1:43" x14ac:dyDescent="0.35">
      <c r="A11" s="1">
        <v>1</v>
      </c>
      <c r="B11" t="s">
        <v>85</v>
      </c>
      <c r="C11" s="21">
        <v>0.4</v>
      </c>
      <c r="D11" s="1">
        <v>3</v>
      </c>
      <c r="E11" s="1" t="s">
        <v>90</v>
      </c>
      <c r="F11" s="9">
        <v>22500</v>
      </c>
      <c r="G11" s="9">
        <v>0</v>
      </c>
      <c r="H11" s="9">
        <v>0</v>
      </c>
      <c r="I11" s="9">
        <v>0</v>
      </c>
      <c r="J11" s="9">
        <f>ROUND((F11*C11)*342/365,0)</f>
        <v>8433</v>
      </c>
      <c r="K11" s="9">
        <f>ROUND((F11-J11)*C11,0)</f>
        <v>5627</v>
      </c>
      <c r="L11" s="9">
        <f>ROUND((F11-J11-K11)*C11,0)</f>
        <v>3376</v>
      </c>
      <c r="M11" s="9">
        <f>ROUND((F11-J11-K11-L11)*C11,0)</f>
        <v>2026</v>
      </c>
      <c r="N11" s="9">
        <f>ROUND((F11-J11-K11-L11-M11)*C11,0)</f>
        <v>1215</v>
      </c>
      <c r="O11" s="9">
        <f>ROUND((F11-J11-K11-L11-M11-N11)*C11,0)</f>
        <v>729</v>
      </c>
      <c r="P11" s="9">
        <f>ROUND((F11-J11-K11-L11-M11-N11-O11)*C11,0)</f>
        <v>438</v>
      </c>
      <c r="Q11" s="9">
        <f>ROUND((F11-J11-K11-L11-M11-N11-O11-P11)*C11,0)</f>
        <v>262</v>
      </c>
      <c r="R11" s="9">
        <f>ROUND((F11-J11-K11-L11-M11-N11-O11-P11-Q11)*C11,0)</f>
        <v>158</v>
      </c>
      <c r="S11" s="11">
        <f t="shared" ref="S11" si="28">SUM(G11:R11)</f>
        <v>22264</v>
      </c>
      <c r="T11" s="11">
        <f t="shared" ref="T11" si="29">+F11-S11</f>
        <v>236</v>
      </c>
      <c r="U11" s="9">
        <f t="shared" ref="U11" si="30">ROUND(F11*5%,0)</f>
        <v>1125</v>
      </c>
      <c r="V11" s="38" t="s">
        <v>142</v>
      </c>
      <c r="W11" s="53"/>
      <c r="X11" s="9"/>
      <c r="Y11" s="8">
        <v>0</v>
      </c>
      <c r="Z11" s="10">
        <f t="shared" si="3"/>
        <v>236</v>
      </c>
      <c r="AA11" s="8">
        <v>0</v>
      </c>
      <c r="AB11" s="8">
        <f t="shared" si="4"/>
        <v>236</v>
      </c>
      <c r="AC11" s="8">
        <v>0</v>
      </c>
      <c r="AD11" s="10">
        <f t="shared" si="5"/>
        <v>236</v>
      </c>
      <c r="AE11" s="8">
        <v>0</v>
      </c>
      <c r="AF11" s="10">
        <f t="shared" si="6"/>
        <v>236</v>
      </c>
      <c r="AG11" s="11">
        <f t="shared" si="7"/>
        <v>0</v>
      </c>
      <c r="AH11" s="11">
        <f t="shared" si="8"/>
        <v>236</v>
      </c>
      <c r="AI11" s="11">
        <f t="shared" si="9"/>
        <v>0</v>
      </c>
      <c r="AJ11" s="11">
        <f t="shared" si="10"/>
        <v>236</v>
      </c>
      <c r="AK11" s="11">
        <v>0</v>
      </c>
      <c r="AL11" s="11">
        <f t="shared" si="11"/>
        <v>236</v>
      </c>
      <c r="AM11" s="11">
        <v>0</v>
      </c>
      <c r="AN11" s="11">
        <f t="shared" si="12"/>
        <v>236</v>
      </c>
      <c r="AO11" s="11">
        <v>0</v>
      </c>
      <c r="AP11" s="11">
        <f t="shared" si="13"/>
        <v>236</v>
      </c>
      <c r="AQ11" s="11">
        <f t="shared" si="14"/>
        <v>-889</v>
      </c>
    </row>
    <row r="12" spans="1:43" x14ac:dyDescent="0.35">
      <c r="A12" s="1">
        <v>1</v>
      </c>
      <c r="B12" t="s">
        <v>85</v>
      </c>
      <c r="C12" s="21">
        <v>0.4</v>
      </c>
      <c r="D12" s="1">
        <v>3</v>
      </c>
      <c r="E12" s="1" t="s">
        <v>91</v>
      </c>
      <c r="F12" s="9">
        <v>78229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f>ROUND((F12*C12)*260/366,0)</f>
        <v>22229</v>
      </c>
      <c r="M12" s="9">
        <f>ROUND((F12-L12)*C12,0)</f>
        <v>22400</v>
      </c>
      <c r="N12" s="9">
        <f>ROUND((F12-L12-M12)*C12,0)</f>
        <v>13440</v>
      </c>
      <c r="O12" s="9">
        <f>ROUND((F12-L12-M12-N12)*C12,0)</f>
        <v>8064</v>
      </c>
      <c r="P12" s="9">
        <f>ROUND((F12-L12-M12-N12-O12)*C12,0)</f>
        <v>4838</v>
      </c>
      <c r="Q12" s="9">
        <f>ROUND((F12-L12-M12-N12-O12-P12)*C12,0)</f>
        <v>2903</v>
      </c>
      <c r="R12" s="9">
        <f>ROUND((F12-L12-M12-N12-O12-P12-Q12)*C12,0)</f>
        <v>1742</v>
      </c>
      <c r="S12" s="11">
        <f t="shared" ref="S12:S13" si="31">SUM(G12:R12)</f>
        <v>75616</v>
      </c>
      <c r="T12" s="11">
        <f t="shared" ref="T12:T13" si="32">+F12-S12</f>
        <v>2613</v>
      </c>
      <c r="U12" s="9">
        <f t="shared" ref="U12:U13" si="33">ROUND(F12*5%,0)</f>
        <v>3911</v>
      </c>
      <c r="V12" s="38" t="s">
        <v>146</v>
      </c>
      <c r="W12" s="53"/>
      <c r="X12" s="9"/>
      <c r="Y12" s="8">
        <v>0</v>
      </c>
      <c r="Z12" s="10">
        <f t="shared" si="3"/>
        <v>2613</v>
      </c>
      <c r="AA12" s="8">
        <v>0</v>
      </c>
      <c r="AB12" s="8">
        <f t="shared" si="4"/>
        <v>2613</v>
      </c>
      <c r="AC12" s="8">
        <v>0</v>
      </c>
      <c r="AD12" s="10">
        <f t="shared" si="5"/>
        <v>2613</v>
      </c>
      <c r="AE12" s="8">
        <v>0</v>
      </c>
      <c r="AF12" s="10">
        <f t="shared" si="6"/>
        <v>2613</v>
      </c>
      <c r="AG12" s="11">
        <f t="shared" si="7"/>
        <v>0</v>
      </c>
      <c r="AH12" s="11">
        <f t="shared" si="8"/>
        <v>2613</v>
      </c>
      <c r="AI12" s="11">
        <f t="shared" si="9"/>
        <v>0</v>
      </c>
      <c r="AJ12" s="11">
        <f t="shared" si="10"/>
        <v>2613</v>
      </c>
      <c r="AK12" s="11">
        <v>0</v>
      </c>
      <c r="AL12" s="11">
        <f t="shared" si="11"/>
        <v>2613</v>
      </c>
      <c r="AM12" s="11">
        <v>0</v>
      </c>
      <c r="AN12" s="11">
        <f t="shared" si="12"/>
        <v>2613</v>
      </c>
      <c r="AO12" s="11">
        <v>0</v>
      </c>
      <c r="AP12" s="11">
        <f t="shared" si="13"/>
        <v>2613</v>
      </c>
      <c r="AQ12" s="11">
        <f t="shared" si="14"/>
        <v>-1298</v>
      </c>
    </row>
    <row r="13" spans="1:43" x14ac:dyDescent="0.35">
      <c r="A13" s="1">
        <v>1</v>
      </c>
      <c r="B13" t="s">
        <v>85</v>
      </c>
      <c r="C13" s="21">
        <v>0.4</v>
      </c>
      <c r="D13" s="1">
        <v>3</v>
      </c>
      <c r="E13" s="1" t="s">
        <v>92</v>
      </c>
      <c r="F13" s="9">
        <v>28500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f>ROUND((F13*C13)*8/366,0)</f>
        <v>249</v>
      </c>
      <c r="M13" s="9">
        <f>ROUND((F13-L13)*C13,0)</f>
        <v>11300</v>
      </c>
      <c r="N13" s="9">
        <f>ROUND((F13-L13-M13)*C13,0)</f>
        <v>6780</v>
      </c>
      <c r="O13" s="9">
        <f>ROUND((F13-L13-M13-N13)*C13,0)</f>
        <v>4068</v>
      </c>
      <c r="P13" s="9">
        <f>ROUND((F13-L13-M13-N13-O13)*C13,0)</f>
        <v>2441</v>
      </c>
      <c r="Q13" s="9">
        <f>ROUND((F13-L13-M13-N13-O13-P13)*C13,0)</f>
        <v>1465</v>
      </c>
      <c r="R13" s="9">
        <f>ROUND((F13-L13-M13-N13-O13-P13-Q13)*C13,0)</f>
        <v>879</v>
      </c>
      <c r="S13" s="11">
        <f t="shared" si="31"/>
        <v>27182</v>
      </c>
      <c r="T13" s="11">
        <f t="shared" si="32"/>
        <v>1318</v>
      </c>
      <c r="U13" s="9">
        <f t="shared" si="33"/>
        <v>1425</v>
      </c>
      <c r="V13" s="38" t="s">
        <v>147</v>
      </c>
      <c r="W13" s="53"/>
      <c r="X13" s="9"/>
      <c r="Y13" s="8">
        <v>0</v>
      </c>
      <c r="Z13" s="10">
        <f t="shared" si="3"/>
        <v>1318</v>
      </c>
      <c r="AA13" s="8">
        <v>0</v>
      </c>
      <c r="AB13" s="8">
        <f t="shared" si="4"/>
        <v>1318</v>
      </c>
      <c r="AC13" s="8">
        <v>0</v>
      </c>
      <c r="AD13" s="10">
        <f t="shared" si="5"/>
        <v>1318</v>
      </c>
      <c r="AE13" s="8">
        <v>0</v>
      </c>
      <c r="AF13" s="10">
        <f t="shared" si="6"/>
        <v>1318</v>
      </c>
      <c r="AG13" s="11">
        <f t="shared" si="7"/>
        <v>0</v>
      </c>
      <c r="AH13" s="11">
        <f t="shared" si="8"/>
        <v>1318</v>
      </c>
      <c r="AI13" s="11">
        <f t="shared" si="9"/>
        <v>0</v>
      </c>
      <c r="AJ13" s="11">
        <f t="shared" si="10"/>
        <v>1318</v>
      </c>
      <c r="AK13" s="11">
        <v>0</v>
      </c>
      <c r="AL13" s="11">
        <f t="shared" si="11"/>
        <v>1318</v>
      </c>
      <c r="AM13" s="11">
        <v>0</v>
      </c>
      <c r="AN13" s="11">
        <f t="shared" si="12"/>
        <v>1318</v>
      </c>
      <c r="AO13" s="11">
        <v>0</v>
      </c>
      <c r="AP13" s="11">
        <f t="shared" si="13"/>
        <v>1318</v>
      </c>
      <c r="AQ13" s="11">
        <f t="shared" si="14"/>
        <v>-107</v>
      </c>
    </row>
    <row r="14" spans="1:43" x14ac:dyDescent="0.35">
      <c r="A14" s="1">
        <v>1</v>
      </c>
      <c r="B14" t="s">
        <v>85</v>
      </c>
      <c r="C14" s="21">
        <v>0.4</v>
      </c>
      <c r="D14" s="1">
        <v>3</v>
      </c>
      <c r="E14" s="1" t="s">
        <v>93</v>
      </c>
      <c r="F14" s="9">
        <v>4600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f>ROUND((F14*C14)*268/365,0)</f>
        <v>1351</v>
      </c>
      <c r="O14" s="9">
        <f>ROUND((F14-N14)*C14,0)</f>
        <v>1300</v>
      </c>
      <c r="P14" s="9">
        <f>ROUND((F14-N14-O14)*C14,0)</f>
        <v>780</v>
      </c>
      <c r="Q14" s="9">
        <f>ROUND((F14-N14-O14-P14)*C14,0)</f>
        <v>468</v>
      </c>
      <c r="R14" s="9">
        <f>ROUND((F14-N14-O14-P14-Q14)*C14,0)</f>
        <v>280</v>
      </c>
      <c r="S14" s="11">
        <f t="shared" ref="S14:S15" si="34">SUM(G14:R14)</f>
        <v>4179</v>
      </c>
      <c r="T14" s="11">
        <f t="shared" ref="T14:T15" si="35">+F14-S14</f>
        <v>421</v>
      </c>
      <c r="U14" s="9">
        <f t="shared" ref="U14:U15" si="36">ROUND(F14*5%,0)</f>
        <v>230</v>
      </c>
      <c r="V14" s="38" t="s">
        <v>158</v>
      </c>
      <c r="W14" s="53"/>
      <c r="X14" s="9"/>
      <c r="Y14" s="8">
        <f>+T14-U14</f>
        <v>191</v>
      </c>
      <c r="Z14" s="10">
        <f t="shared" si="3"/>
        <v>230</v>
      </c>
      <c r="AA14" s="8">
        <v>0</v>
      </c>
      <c r="AB14" s="8">
        <f t="shared" si="4"/>
        <v>230</v>
      </c>
      <c r="AC14" s="8">
        <v>0</v>
      </c>
      <c r="AD14" s="10">
        <f t="shared" si="5"/>
        <v>230</v>
      </c>
      <c r="AE14" s="8">
        <v>0</v>
      </c>
      <c r="AF14" s="10">
        <f t="shared" si="6"/>
        <v>230</v>
      </c>
      <c r="AG14" s="11">
        <f>+U14-AF14</f>
        <v>0</v>
      </c>
      <c r="AH14" s="11">
        <f t="shared" si="8"/>
        <v>230</v>
      </c>
      <c r="AI14" s="11">
        <f>+AH14-U14</f>
        <v>0</v>
      </c>
      <c r="AJ14" s="11">
        <f>+AH14-AI14</f>
        <v>230</v>
      </c>
      <c r="AK14" s="11">
        <v>0</v>
      </c>
      <c r="AL14" s="11">
        <f>+AJ14-AK14</f>
        <v>230</v>
      </c>
      <c r="AM14" s="11">
        <v>0</v>
      </c>
      <c r="AN14" s="11">
        <f>+AL14-AM14</f>
        <v>230</v>
      </c>
      <c r="AO14" s="11">
        <v>0</v>
      </c>
      <c r="AP14" s="11">
        <f>+AN14-AO14</f>
        <v>230</v>
      </c>
      <c r="AQ14" s="11">
        <f t="shared" si="14"/>
        <v>0</v>
      </c>
    </row>
    <row r="15" spans="1:43" x14ac:dyDescent="0.35">
      <c r="A15" s="1">
        <v>1</v>
      </c>
      <c r="B15" t="s">
        <v>85</v>
      </c>
      <c r="C15" s="21">
        <v>0.4</v>
      </c>
      <c r="D15" s="1">
        <v>3</v>
      </c>
      <c r="E15" s="1" t="s">
        <v>94</v>
      </c>
      <c r="F15" s="9">
        <v>29000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f>ROUND((F15*C15)*149/365,0)</f>
        <v>4735</v>
      </c>
      <c r="O15" s="9">
        <f>ROUND((F15-N15)*C15,0)</f>
        <v>9706</v>
      </c>
      <c r="P15" s="9">
        <f>ROUND((F15-N15-O15)*C15,0)</f>
        <v>5824</v>
      </c>
      <c r="Q15" s="9">
        <f>ROUND((F15-N15-O15-P15)*C15,0)</f>
        <v>3494</v>
      </c>
      <c r="R15" s="9">
        <f>ROUND((F15-N15-O15-P15-Q15)*C15,0)</f>
        <v>2096</v>
      </c>
      <c r="S15" s="11">
        <f t="shared" si="34"/>
        <v>25855</v>
      </c>
      <c r="T15" s="11">
        <f t="shared" si="35"/>
        <v>3145</v>
      </c>
      <c r="U15" s="9">
        <f t="shared" si="36"/>
        <v>1450</v>
      </c>
      <c r="V15" s="38" t="s">
        <v>159</v>
      </c>
      <c r="W15" s="53"/>
      <c r="X15" s="9"/>
      <c r="Y15" s="8">
        <f t="shared" ref="Y15:Y16" si="37">+T15-U15</f>
        <v>1695</v>
      </c>
      <c r="Z15" s="10">
        <f t="shared" si="3"/>
        <v>1450</v>
      </c>
      <c r="AA15" s="8">
        <v>0</v>
      </c>
      <c r="AB15" s="8">
        <f t="shared" si="4"/>
        <v>1450</v>
      </c>
      <c r="AC15" s="8">
        <v>0</v>
      </c>
      <c r="AD15" s="10">
        <f t="shared" si="5"/>
        <v>1450</v>
      </c>
      <c r="AE15" s="8">
        <v>0</v>
      </c>
      <c r="AF15" s="10">
        <f t="shared" si="6"/>
        <v>1450</v>
      </c>
      <c r="AG15" s="11">
        <f>+U15-AF15</f>
        <v>0</v>
      </c>
      <c r="AH15" s="11">
        <f>+AF15-AG15</f>
        <v>1450</v>
      </c>
      <c r="AI15" s="11">
        <f>+U15-AH15</f>
        <v>0</v>
      </c>
      <c r="AJ15" s="11">
        <f t="shared" si="10"/>
        <v>1450</v>
      </c>
      <c r="AK15" s="11">
        <v>0</v>
      </c>
      <c r="AL15" s="11">
        <f t="shared" ref="AL15:AL16" si="38">+AJ15-AK15</f>
        <v>1450</v>
      </c>
      <c r="AM15" s="11">
        <v>0</v>
      </c>
      <c r="AN15" s="11">
        <f t="shared" ref="AN15:AN16" si="39">+AL15-AM15</f>
        <v>1450</v>
      </c>
      <c r="AO15" s="11">
        <v>0</v>
      </c>
      <c r="AP15" s="11">
        <f t="shared" ref="AP15:AP16" si="40">+AN15-AO15</f>
        <v>1450</v>
      </c>
      <c r="AQ15" s="11">
        <f t="shared" si="14"/>
        <v>0</v>
      </c>
    </row>
    <row r="16" spans="1:43" x14ac:dyDescent="0.35">
      <c r="A16" s="1">
        <v>1</v>
      </c>
      <c r="B16" t="s">
        <v>85</v>
      </c>
      <c r="C16" s="21">
        <v>0.4</v>
      </c>
      <c r="D16" s="1">
        <v>3</v>
      </c>
      <c r="E16" s="1" t="s">
        <v>95</v>
      </c>
      <c r="F16" s="9">
        <v>28080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f>ROUND((F16*C16)*1/365,0)</f>
        <v>31</v>
      </c>
      <c r="P16" s="9">
        <f>ROUND((F16-O16)*C16,0)</f>
        <v>11220</v>
      </c>
      <c r="Q16" s="9">
        <f>ROUND((F16-O16-P16)*C16,0)</f>
        <v>6732</v>
      </c>
      <c r="R16" s="9">
        <f>ROUND((F16-O16-P16-Q16)*C16,0)</f>
        <v>4039</v>
      </c>
      <c r="S16" s="11">
        <f t="shared" ref="S16" si="41">SUM(G16:R16)</f>
        <v>22022</v>
      </c>
      <c r="T16" s="11">
        <f t="shared" ref="T16" si="42">+F16-S16</f>
        <v>6058</v>
      </c>
      <c r="U16" s="9">
        <f t="shared" ref="U16" si="43">ROUND(F16*5%,0)</f>
        <v>1404</v>
      </c>
      <c r="V16" s="38" t="s">
        <v>168</v>
      </c>
      <c r="W16" s="53"/>
      <c r="X16" s="9"/>
      <c r="Y16" s="8">
        <f t="shared" si="37"/>
        <v>4654</v>
      </c>
      <c r="Z16" s="10">
        <f t="shared" si="3"/>
        <v>1404</v>
      </c>
      <c r="AA16" s="8">
        <v>0</v>
      </c>
      <c r="AB16" s="8">
        <f t="shared" si="4"/>
        <v>1404</v>
      </c>
      <c r="AC16" s="8">
        <v>0</v>
      </c>
      <c r="AD16" s="10">
        <f t="shared" si="5"/>
        <v>1404</v>
      </c>
      <c r="AE16" s="8">
        <v>0</v>
      </c>
      <c r="AF16" s="10">
        <f t="shared" si="6"/>
        <v>1404</v>
      </c>
      <c r="AG16" s="11">
        <f>+U16-AF16</f>
        <v>0</v>
      </c>
      <c r="AH16" s="11">
        <f t="shared" si="8"/>
        <v>1404</v>
      </c>
      <c r="AI16" s="11">
        <f>+U16-AH16</f>
        <v>0</v>
      </c>
      <c r="AJ16" s="11">
        <f t="shared" si="10"/>
        <v>1404</v>
      </c>
      <c r="AK16" s="11">
        <v>0</v>
      </c>
      <c r="AL16" s="11">
        <f t="shared" si="38"/>
        <v>1404</v>
      </c>
      <c r="AM16" s="11">
        <v>0</v>
      </c>
      <c r="AN16" s="11">
        <f t="shared" si="39"/>
        <v>1404</v>
      </c>
      <c r="AO16" s="11">
        <v>0</v>
      </c>
      <c r="AP16" s="11">
        <f t="shared" si="40"/>
        <v>1404</v>
      </c>
      <c r="AQ16" s="11">
        <f t="shared" si="14"/>
        <v>0</v>
      </c>
    </row>
    <row r="17" spans="1:45" x14ac:dyDescent="0.35">
      <c r="A17" s="1">
        <v>2</v>
      </c>
      <c r="B17" t="s">
        <v>85</v>
      </c>
      <c r="C17" s="21">
        <v>0.4</v>
      </c>
      <c r="D17" s="1">
        <v>3</v>
      </c>
      <c r="E17" s="1" t="s">
        <v>202</v>
      </c>
      <c r="F17" s="9">
        <v>13800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1"/>
      <c r="T17" s="11">
        <v>0</v>
      </c>
      <c r="U17" s="9">
        <f t="shared" ref="U17:U28" si="44">ROUND(F17*5%,0)</f>
        <v>690</v>
      </c>
      <c r="V17" s="53">
        <f>IF(D17*365-0&lt;1,0,(D17*365-0)/365)</f>
        <v>3</v>
      </c>
      <c r="W17" s="10">
        <f>1-POWER((0.05*F17)/F17,1/V17)</f>
        <v>0.63159685013596123</v>
      </c>
      <c r="X17" s="9"/>
      <c r="Y17" s="8">
        <v>0</v>
      </c>
      <c r="Z17" s="10">
        <v>0</v>
      </c>
      <c r="AA17" s="8">
        <v>0</v>
      </c>
      <c r="AB17" s="8">
        <f t="shared" si="4"/>
        <v>0</v>
      </c>
      <c r="AC17" s="8">
        <f>ROUND((F17*W17)/365*70,0)</f>
        <v>1672</v>
      </c>
      <c r="AD17" s="10">
        <f>+F17-AC17</f>
        <v>12128</v>
      </c>
      <c r="AE17" s="9">
        <f>ROUND(AD17*W17,0)</f>
        <v>7660</v>
      </c>
      <c r="AF17" s="10">
        <f t="shared" si="6"/>
        <v>4468</v>
      </c>
      <c r="AG17" s="9">
        <f>ROUND(AF17*W17,0)</f>
        <v>2822</v>
      </c>
      <c r="AH17" s="11">
        <f>AF17-AG17</f>
        <v>1646</v>
      </c>
      <c r="AI17" s="9">
        <f>+AH17-U17</f>
        <v>956</v>
      </c>
      <c r="AJ17" s="11">
        <f>AH17-AI17</f>
        <v>690</v>
      </c>
      <c r="AK17" s="9">
        <v>0</v>
      </c>
      <c r="AL17" s="11">
        <f>AJ17-AK17</f>
        <v>690</v>
      </c>
      <c r="AM17" s="9">
        <v>0</v>
      </c>
      <c r="AN17" s="11">
        <f>AL17-AM17</f>
        <v>690</v>
      </c>
      <c r="AO17" s="9">
        <v>0</v>
      </c>
      <c r="AP17" s="11">
        <f>AN17-AO17</f>
        <v>690</v>
      </c>
      <c r="AQ17" s="11">
        <f t="shared" si="14"/>
        <v>0</v>
      </c>
    </row>
    <row r="18" spans="1:45" x14ac:dyDescent="0.35">
      <c r="A18" s="1">
        <v>2</v>
      </c>
      <c r="B18" t="s">
        <v>85</v>
      </c>
      <c r="C18" s="21">
        <v>0.4</v>
      </c>
      <c r="D18" s="1">
        <v>3</v>
      </c>
      <c r="E18" s="54">
        <v>43122</v>
      </c>
      <c r="F18" s="9">
        <v>38644.07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1"/>
      <c r="T18" s="11">
        <v>0</v>
      </c>
      <c r="U18" s="9">
        <f t="shared" si="44"/>
        <v>1932</v>
      </c>
      <c r="V18" s="53"/>
      <c r="W18" s="10">
        <f>1-POWER((0.05*F18)/F18,1/D18)</f>
        <v>0.63159685013596123</v>
      </c>
      <c r="X18" s="9"/>
      <c r="Z18" s="10"/>
      <c r="AA18" s="8">
        <v>0</v>
      </c>
      <c r="AB18" s="8">
        <v>0</v>
      </c>
      <c r="AC18" s="8">
        <v>0</v>
      </c>
      <c r="AD18" s="10">
        <v>0</v>
      </c>
      <c r="AE18" s="9">
        <f>ROUND((F18*W18)/365*68,0)</f>
        <v>4547</v>
      </c>
      <c r="AF18" s="11">
        <f>+F18-AE18</f>
        <v>34097.07</v>
      </c>
      <c r="AG18" s="9">
        <f>ROUND(AF18*W18,0)</f>
        <v>21536</v>
      </c>
      <c r="AH18" s="11">
        <f>AF18-AG18</f>
        <v>12561.07</v>
      </c>
      <c r="AI18" s="9">
        <f>ROUND(AH18*W18,0)</f>
        <v>7934</v>
      </c>
      <c r="AJ18" s="11">
        <f>AH18-AI18</f>
        <v>4627.07</v>
      </c>
      <c r="AK18" s="9">
        <f>ROUND(AJ18*W18,0)-227</f>
        <v>2695</v>
      </c>
      <c r="AL18" s="11">
        <f>AJ18-AK18</f>
        <v>1932.0699999999997</v>
      </c>
      <c r="AM18" s="9">
        <v>0</v>
      </c>
      <c r="AN18" s="11">
        <f>AL18-AM18</f>
        <v>1932.0699999999997</v>
      </c>
      <c r="AO18" s="9">
        <v>0</v>
      </c>
      <c r="AP18" s="11">
        <f>AN18-AO18</f>
        <v>1932.0699999999997</v>
      </c>
      <c r="AQ18" s="11">
        <f t="shared" si="14"/>
        <v>6.9999999999708962E-2</v>
      </c>
    </row>
    <row r="19" spans="1:45" x14ac:dyDescent="0.35">
      <c r="A19" s="1">
        <v>2</v>
      </c>
      <c r="B19" t="s">
        <v>85</v>
      </c>
      <c r="C19" s="21">
        <v>0.4</v>
      </c>
      <c r="D19" s="1">
        <v>3</v>
      </c>
      <c r="E19" s="137">
        <v>43757</v>
      </c>
      <c r="F19" s="9">
        <v>13135.6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  <c r="T19" s="11"/>
      <c r="U19" s="9">
        <f t="shared" si="44"/>
        <v>657</v>
      </c>
      <c r="V19" s="53"/>
      <c r="W19" s="10">
        <f>1-POWER((0.05*F19)/F19,1/D19)</f>
        <v>0.63159685013596123</v>
      </c>
      <c r="X19" s="9"/>
      <c r="Z19" s="10"/>
      <c r="AA19" s="8"/>
      <c r="AB19" s="8"/>
      <c r="AC19" s="8"/>
      <c r="AD19" s="10"/>
      <c r="AE19" s="9">
        <v>0</v>
      </c>
      <c r="AF19" s="11">
        <v>0</v>
      </c>
      <c r="AG19" s="9">
        <v>0</v>
      </c>
      <c r="AH19" s="11">
        <v>0</v>
      </c>
      <c r="AI19" s="9">
        <f>ROUND((F19*W19)/365*165,0)</f>
        <v>3750</v>
      </c>
      <c r="AJ19" s="11">
        <f>F19-AI19</f>
        <v>9385.6</v>
      </c>
      <c r="AK19" s="9">
        <f>ROUND(AJ19*W19,0)</f>
        <v>5928</v>
      </c>
      <c r="AL19" s="11">
        <f>AJ19-AK19</f>
        <v>3457.6000000000004</v>
      </c>
      <c r="AM19" s="9">
        <f>ROUND(AL19*W19,0)</f>
        <v>2184</v>
      </c>
      <c r="AN19" s="11">
        <f>AL19-AM19</f>
        <v>1273.6000000000004</v>
      </c>
      <c r="AO19" s="9">
        <f>ROUND(AN19*W19,0)-187</f>
        <v>617</v>
      </c>
      <c r="AP19" s="11">
        <f>AN19-AO19</f>
        <v>656.60000000000036</v>
      </c>
      <c r="AQ19" s="11">
        <f t="shared" si="14"/>
        <v>-0.3999999999996362</v>
      </c>
      <c r="AR19" s="117"/>
    </row>
    <row r="20" spans="1:45" x14ac:dyDescent="0.35">
      <c r="A20" s="167">
        <v>2</v>
      </c>
      <c r="B20" s="168" t="s">
        <v>249</v>
      </c>
      <c r="C20" s="169"/>
      <c r="D20" s="167">
        <v>3</v>
      </c>
      <c r="E20" s="182">
        <v>44691</v>
      </c>
      <c r="F20" s="171">
        <v>45875</v>
      </c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2"/>
      <c r="T20" s="172"/>
      <c r="U20" s="171">
        <f t="shared" si="44"/>
        <v>2294</v>
      </c>
      <c r="V20" s="176"/>
      <c r="W20" s="177">
        <f t="shared" ref="W20:W28" si="45">1-POWER((0.05*F20)/F20,1/D20)</f>
        <v>0.63159685013596123</v>
      </c>
      <c r="X20" s="9"/>
      <c r="Z20" s="10"/>
      <c r="AA20" s="8"/>
      <c r="AB20" s="8"/>
      <c r="AC20" s="8"/>
      <c r="AD20" s="10"/>
      <c r="AE20" s="9"/>
      <c r="AF20" s="11">
        <v>0</v>
      </c>
      <c r="AG20" s="9"/>
      <c r="AH20" s="11">
        <v>0</v>
      </c>
      <c r="AI20" s="9"/>
      <c r="AJ20" s="11">
        <v>0</v>
      </c>
      <c r="AK20" s="9">
        <v>0</v>
      </c>
      <c r="AL20" s="11">
        <v>0</v>
      </c>
      <c r="AM20" s="9">
        <v>0</v>
      </c>
      <c r="AN20" s="11">
        <v>0</v>
      </c>
      <c r="AO20" s="9">
        <f>ROUND((F20*W20)/365*326,0)</f>
        <v>25879</v>
      </c>
      <c r="AP20" s="11">
        <f>+F20-AO20</f>
        <v>19996</v>
      </c>
      <c r="AQ20" s="11">
        <f t="shared" si="14"/>
        <v>17702</v>
      </c>
      <c r="AR20" s="117">
        <v>45016</v>
      </c>
      <c r="AS20" s="1">
        <f>+AR20-E20</f>
        <v>325</v>
      </c>
    </row>
    <row r="21" spans="1:45" x14ac:dyDescent="0.35">
      <c r="A21" s="167">
        <v>2</v>
      </c>
      <c r="B21" s="168" t="s">
        <v>249</v>
      </c>
      <c r="C21" s="169"/>
      <c r="D21" s="167">
        <v>3</v>
      </c>
      <c r="E21" s="182">
        <v>44716</v>
      </c>
      <c r="F21" s="171">
        <v>26750</v>
      </c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2"/>
      <c r="T21" s="172"/>
      <c r="U21" s="171">
        <f t="shared" si="44"/>
        <v>1338</v>
      </c>
      <c r="V21" s="176"/>
      <c r="W21" s="177">
        <f t="shared" si="45"/>
        <v>0.63159685013596123</v>
      </c>
      <c r="X21" s="9"/>
      <c r="Z21" s="10"/>
      <c r="AA21" s="8"/>
      <c r="AB21" s="8"/>
      <c r="AC21" s="8"/>
      <c r="AD21" s="10"/>
      <c r="AE21" s="9"/>
      <c r="AF21" s="11">
        <v>0</v>
      </c>
      <c r="AG21" s="9"/>
      <c r="AH21" s="11">
        <v>0</v>
      </c>
      <c r="AI21" s="9"/>
      <c r="AJ21" s="11">
        <v>0</v>
      </c>
      <c r="AK21" s="9">
        <v>0</v>
      </c>
      <c r="AL21" s="11">
        <v>0</v>
      </c>
      <c r="AM21" s="9">
        <v>0</v>
      </c>
      <c r="AN21" s="11">
        <v>0</v>
      </c>
      <c r="AO21" s="9">
        <f>ROUND((F21*W21)/365*301,0)</f>
        <v>13933</v>
      </c>
      <c r="AP21" s="11">
        <f t="shared" ref="AP21:AP28" si="46">+F21-AO21</f>
        <v>12817</v>
      </c>
      <c r="AQ21" s="11">
        <f t="shared" si="14"/>
        <v>11479</v>
      </c>
      <c r="AR21" s="117">
        <v>45016</v>
      </c>
      <c r="AS21" s="1">
        <f t="shared" ref="AS21:AS28" si="47">+AR21-E21</f>
        <v>300</v>
      </c>
    </row>
    <row r="22" spans="1:45" x14ac:dyDescent="0.35">
      <c r="A22" s="167">
        <v>2</v>
      </c>
      <c r="B22" s="168" t="s">
        <v>250</v>
      </c>
      <c r="C22" s="169"/>
      <c r="D22" s="167">
        <v>3</v>
      </c>
      <c r="E22" s="182">
        <v>44729</v>
      </c>
      <c r="F22" s="171">
        <v>70000</v>
      </c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2"/>
      <c r="T22" s="172"/>
      <c r="U22" s="171">
        <f t="shared" si="44"/>
        <v>3500</v>
      </c>
      <c r="V22" s="176"/>
      <c r="W22" s="177">
        <f t="shared" si="45"/>
        <v>0.63159685013596123</v>
      </c>
      <c r="X22" s="9"/>
      <c r="Z22" s="10"/>
      <c r="AA22" s="8"/>
      <c r="AB22" s="8"/>
      <c r="AC22" s="8"/>
      <c r="AD22" s="10"/>
      <c r="AE22" s="9"/>
      <c r="AF22" s="11">
        <v>0</v>
      </c>
      <c r="AG22" s="9"/>
      <c r="AH22" s="11">
        <v>0</v>
      </c>
      <c r="AI22" s="9"/>
      <c r="AJ22" s="11">
        <v>0</v>
      </c>
      <c r="AK22" s="9">
        <v>0</v>
      </c>
      <c r="AL22" s="11">
        <v>0</v>
      </c>
      <c r="AM22" s="9">
        <v>0</v>
      </c>
      <c r="AN22" s="11">
        <v>0</v>
      </c>
      <c r="AO22" s="9">
        <f>ROUND((F22*W22)/365*288,0)</f>
        <v>34885</v>
      </c>
      <c r="AP22" s="11">
        <f t="shared" si="46"/>
        <v>35115</v>
      </c>
      <c r="AQ22" s="11">
        <f t="shared" si="14"/>
        <v>31615</v>
      </c>
      <c r="AR22" s="117">
        <v>45016</v>
      </c>
      <c r="AS22" s="1">
        <f t="shared" si="47"/>
        <v>287</v>
      </c>
    </row>
    <row r="23" spans="1:45" x14ac:dyDescent="0.35">
      <c r="A23" s="167">
        <v>2</v>
      </c>
      <c r="B23" s="168" t="s">
        <v>251</v>
      </c>
      <c r="C23" s="169"/>
      <c r="D23" s="167">
        <v>3</v>
      </c>
      <c r="E23" s="182">
        <v>44732</v>
      </c>
      <c r="F23" s="171">
        <v>41500</v>
      </c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2"/>
      <c r="T23" s="172"/>
      <c r="U23" s="171">
        <f t="shared" si="44"/>
        <v>2075</v>
      </c>
      <c r="V23" s="176"/>
      <c r="W23" s="177">
        <f t="shared" si="45"/>
        <v>0.63159685013596123</v>
      </c>
      <c r="X23" s="9"/>
      <c r="Z23" s="10"/>
      <c r="AA23" s="8"/>
      <c r="AB23" s="8"/>
      <c r="AC23" s="8"/>
      <c r="AD23" s="10"/>
      <c r="AE23" s="9"/>
      <c r="AF23" s="11">
        <v>0</v>
      </c>
      <c r="AG23" s="9"/>
      <c r="AH23" s="11">
        <v>0</v>
      </c>
      <c r="AI23" s="9"/>
      <c r="AJ23" s="11">
        <v>0</v>
      </c>
      <c r="AK23" s="9">
        <v>0</v>
      </c>
      <c r="AL23" s="11">
        <v>0</v>
      </c>
      <c r="AM23" s="9">
        <v>0</v>
      </c>
      <c r="AN23" s="11">
        <v>0</v>
      </c>
      <c r="AO23" s="9">
        <f>ROUND((F23*W23)/365*285,0)</f>
        <v>20466</v>
      </c>
      <c r="AP23" s="11">
        <f t="shared" si="46"/>
        <v>21034</v>
      </c>
      <c r="AQ23" s="11">
        <f t="shared" si="14"/>
        <v>18959</v>
      </c>
      <c r="AR23" s="117">
        <v>45016</v>
      </c>
      <c r="AS23" s="1">
        <f t="shared" si="47"/>
        <v>284</v>
      </c>
    </row>
    <row r="24" spans="1:45" x14ac:dyDescent="0.35">
      <c r="A24" s="167">
        <v>2</v>
      </c>
      <c r="B24" s="168" t="s">
        <v>252</v>
      </c>
      <c r="C24" s="169"/>
      <c r="D24" s="167">
        <v>3</v>
      </c>
      <c r="E24" s="182">
        <v>44863</v>
      </c>
      <c r="F24" s="171">
        <v>113244</v>
      </c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2"/>
      <c r="T24" s="172"/>
      <c r="U24" s="171">
        <f t="shared" si="44"/>
        <v>5662</v>
      </c>
      <c r="V24" s="176"/>
      <c r="W24" s="177">
        <f t="shared" si="45"/>
        <v>0.63159685013596123</v>
      </c>
      <c r="X24" s="9"/>
      <c r="Z24" s="10"/>
      <c r="AA24" s="8"/>
      <c r="AB24" s="8"/>
      <c r="AC24" s="8"/>
      <c r="AD24" s="10"/>
      <c r="AE24" s="9"/>
      <c r="AF24" s="11">
        <v>0</v>
      </c>
      <c r="AG24" s="9"/>
      <c r="AH24" s="11">
        <v>0</v>
      </c>
      <c r="AI24" s="9"/>
      <c r="AJ24" s="11">
        <v>0</v>
      </c>
      <c r="AK24" s="9">
        <v>0</v>
      </c>
      <c r="AL24" s="11">
        <v>0</v>
      </c>
      <c r="AM24" s="9">
        <v>0</v>
      </c>
      <c r="AN24" s="11">
        <v>0</v>
      </c>
      <c r="AO24" s="9">
        <f>ROUND((F24*W24)/365*154,0)</f>
        <v>30177</v>
      </c>
      <c r="AP24" s="11">
        <f t="shared" si="46"/>
        <v>83067</v>
      </c>
      <c r="AQ24" s="11">
        <f t="shared" si="14"/>
        <v>77405</v>
      </c>
      <c r="AR24" s="117">
        <v>45016</v>
      </c>
      <c r="AS24" s="1">
        <f t="shared" si="47"/>
        <v>153</v>
      </c>
    </row>
    <row r="25" spans="1:45" x14ac:dyDescent="0.35">
      <c r="A25" s="167">
        <v>2</v>
      </c>
      <c r="B25" s="168" t="s">
        <v>249</v>
      </c>
      <c r="C25" s="169"/>
      <c r="D25" s="167">
        <v>3</v>
      </c>
      <c r="E25" s="182">
        <v>44866</v>
      </c>
      <c r="F25" s="171">
        <v>24300</v>
      </c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2"/>
      <c r="T25" s="172"/>
      <c r="U25" s="171">
        <f t="shared" si="44"/>
        <v>1215</v>
      </c>
      <c r="V25" s="176"/>
      <c r="W25" s="177">
        <f t="shared" si="45"/>
        <v>0.63159685013596123</v>
      </c>
      <c r="X25" s="9"/>
      <c r="Z25" s="10"/>
      <c r="AA25" s="8"/>
      <c r="AB25" s="8"/>
      <c r="AC25" s="8"/>
      <c r="AD25" s="10"/>
      <c r="AE25" s="9"/>
      <c r="AF25" s="11">
        <v>0</v>
      </c>
      <c r="AG25" s="9"/>
      <c r="AH25" s="11">
        <v>0</v>
      </c>
      <c r="AI25" s="9"/>
      <c r="AJ25" s="11">
        <v>0</v>
      </c>
      <c r="AK25" s="9">
        <v>0</v>
      </c>
      <c r="AL25" s="11">
        <v>0</v>
      </c>
      <c r="AM25" s="9">
        <v>0</v>
      </c>
      <c r="AN25" s="11">
        <v>0</v>
      </c>
      <c r="AO25" s="9">
        <f>ROUND((F25*W25)/365*151,0)</f>
        <v>6349</v>
      </c>
      <c r="AP25" s="11">
        <f t="shared" si="46"/>
        <v>17951</v>
      </c>
      <c r="AQ25" s="11">
        <f t="shared" si="14"/>
        <v>16736</v>
      </c>
      <c r="AR25" s="117">
        <v>45016</v>
      </c>
      <c r="AS25" s="1">
        <f t="shared" si="47"/>
        <v>150</v>
      </c>
    </row>
    <row r="26" spans="1:45" x14ac:dyDescent="0.35">
      <c r="A26" s="167">
        <v>2</v>
      </c>
      <c r="B26" s="168" t="s">
        <v>249</v>
      </c>
      <c r="C26" s="169"/>
      <c r="D26" s="167">
        <v>3</v>
      </c>
      <c r="E26" s="182">
        <v>44875</v>
      </c>
      <c r="F26" s="171">
        <v>38644</v>
      </c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2"/>
      <c r="T26" s="172"/>
      <c r="U26" s="171">
        <f t="shared" si="44"/>
        <v>1932</v>
      </c>
      <c r="V26" s="176"/>
      <c r="W26" s="177">
        <f t="shared" si="45"/>
        <v>0.63159685013596123</v>
      </c>
      <c r="X26" s="9"/>
      <c r="Z26" s="10"/>
      <c r="AA26" s="8"/>
      <c r="AB26" s="8"/>
      <c r="AC26" s="8"/>
      <c r="AD26" s="10"/>
      <c r="AE26" s="9"/>
      <c r="AF26" s="11">
        <v>0</v>
      </c>
      <c r="AG26" s="9"/>
      <c r="AH26" s="11">
        <v>0</v>
      </c>
      <c r="AI26" s="9"/>
      <c r="AJ26" s="11">
        <v>0</v>
      </c>
      <c r="AK26" s="9">
        <v>0</v>
      </c>
      <c r="AL26" s="11">
        <v>0</v>
      </c>
      <c r="AM26" s="9">
        <v>0</v>
      </c>
      <c r="AN26" s="11">
        <v>0</v>
      </c>
      <c r="AO26" s="9">
        <f>ROUND((F26*W26)/365*142,0)</f>
        <v>9495</v>
      </c>
      <c r="AP26" s="11">
        <f t="shared" si="46"/>
        <v>29149</v>
      </c>
      <c r="AQ26" s="11">
        <f t="shared" si="14"/>
        <v>27217</v>
      </c>
      <c r="AR26" s="117">
        <v>45016</v>
      </c>
      <c r="AS26" s="1">
        <f t="shared" si="47"/>
        <v>141</v>
      </c>
    </row>
    <row r="27" spans="1:45" x14ac:dyDescent="0.35">
      <c r="A27" s="167">
        <v>2</v>
      </c>
      <c r="B27" s="168" t="s">
        <v>253</v>
      </c>
      <c r="C27" s="169"/>
      <c r="D27" s="167">
        <v>3</v>
      </c>
      <c r="E27" s="182">
        <v>44885</v>
      </c>
      <c r="F27" s="171">
        <v>62712</v>
      </c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2"/>
      <c r="T27" s="172"/>
      <c r="U27" s="171">
        <f t="shared" si="44"/>
        <v>3136</v>
      </c>
      <c r="V27" s="176"/>
      <c r="W27" s="177">
        <f t="shared" si="45"/>
        <v>0.63159685013596123</v>
      </c>
      <c r="X27" s="9"/>
      <c r="Z27" s="10"/>
      <c r="AA27" s="8"/>
      <c r="AB27" s="8"/>
      <c r="AC27" s="8"/>
      <c r="AD27" s="10"/>
      <c r="AE27" s="9"/>
      <c r="AF27" s="11">
        <v>0</v>
      </c>
      <c r="AG27" s="9"/>
      <c r="AH27" s="11">
        <v>0</v>
      </c>
      <c r="AI27" s="9"/>
      <c r="AJ27" s="11">
        <v>0</v>
      </c>
      <c r="AK27" s="9">
        <v>0</v>
      </c>
      <c r="AL27" s="11">
        <v>0</v>
      </c>
      <c r="AM27" s="9">
        <v>0</v>
      </c>
      <c r="AN27" s="11">
        <v>0</v>
      </c>
      <c r="AO27" s="9">
        <f>ROUND((F27*W27)/365*132,0)</f>
        <v>14324</v>
      </c>
      <c r="AP27" s="11">
        <f t="shared" si="46"/>
        <v>48388</v>
      </c>
      <c r="AQ27" s="11">
        <f t="shared" si="14"/>
        <v>45252</v>
      </c>
      <c r="AR27" s="117">
        <v>45016</v>
      </c>
      <c r="AS27" s="1">
        <f t="shared" si="47"/>
        <v>131</v>
      </c>
    </row>
    <row r="28" spans="1:45" x14ac:dyDescent="0.35">
      <c r="A28" s="167">
        <v>2</v>
      </c>
      <c r="B28" s="168" t="s">
        <v>254</v>
      </c>
      <c r="C28" s="169"/>
      <c r="D28" s="167">
        <v>3</v>
      </c>
      <c r="E28" s="182">
        <v>44982</v>
      </c>
      <c r="F28" s="171">
        <v>51347.46</v>
      </c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2"/>
      <c r="T28" s="172"/>
      <c r="U28" s="171">
        <f t="shared" si="44"/>
        <v>2567</v>
      </c>
      <c r="V28" s="176"/>
      <c r="W28" s="177">
        <f t="shared" si="45"/>
        <v>0.63159685013596123</v>
      </c>
      <c r="X28" s="9"/>
      <c r="Z28" s="10"/>
      <c r="AA28" s="8"/>
      <c r="AB28" s="8"/>
      <c r="AC28" s="8"/>
      <c r="AD28" s="10"/>
      <c r="AE28" s="9"/>
      <c r="AF28" s="11">
        <v>0</v>
      </c>
      <c r="AG28" s="9"/>
      <c r="AH28" s="11">
        <v>0</v>
      </c>
      <c r="AI28" s="9"/>
      <c r="AJ28" s="11">
        <v>0</v>
      </c>
      <c r="AK28" s="9">
        <v>0</v>
      </c>
      <c r="AL28" s="11">
        <v>0</v>
      </c>
      <c r="AM28" s="9">
        <v>0</v>
      </c>
      <c r="AN28" s="11">
        <v>0</v>
      </c>
      <c r="AO28" s="9">
        <f>ROUND((F28*W28)/365*35,0)</f>
        <v>3110</v>
      </c>
      <c r="AP28" s="11">
        <f t="shared" si="46"/>
        <v>48237.46</v>
      </c>
      <c r="AQ28" s="11">
        <f t="shared" si="14"/>
        <v>45670.46</v>
      </c>
      <c r="AR28" s="117">
        <v>45016</v>
      </c>
      <c r="AS28" s="1">
        <f t="shared" si="47"/>
        <v>34</v>
      </c>
    </row>
    <row r="29" spans="1:45" ht="16" thickBot="1" x14ac:dyDescent="0.4">
      <c r="B29" s="6" t="s">
        <v>85</v>
      </c>
      <c r="C29" s="24"/>
      <c r="E29" s="3" t="s">
        <v>39</v>
      </c>
      <c r="F29" s="16">
        <f>SUM(F5:F28)</f>
        <v>907201.12999999989</v>
      </c>
      <c r="G29" s="16">
        <f t="shared" ref="G29:S29" si="48">SUM(G5:G16)</f>
        <v>17104</v>
      </c>
      <c r="H29" s="16">
        <f t="shared" si="48"/>
        <v>22803</v>
      </c>
      <c r="I29" s="16">
        <f t="shared" si="48"/>
        <v>41200</v>
      </c>
      <c r="J29" s="16">
        <f t="shared" si="48"/>
        <v>38638</v>
      </c>
      <c r="K29" s="16">
        <f t="shared" si="48"/>
        <v>23750</v>
      </c>
      <c r="L29" s="16">
        <f t="shared" si="48"/>
        <v>36728</v>
      </c>
      <c r="M29" s="16">
        <f t="shared" si="48"/>
        <v>42251</v>
      </c>
      <c r="N29" s="16">
        <f t="shared" si="48"/>
        <v>31435</v>
      </c>
      <c r="O29" s="16">
        <f t="shared" si="48"/>
        <v>26246</v>
      </c>
      <c r="P29" s="16">
        <f t="shared" si="48"/>
        <v>26950</v>
      </c>
      <c r="Q29" s="16">
        <f t="shared" si="48"/>
        <v>16170</v>
      </c>
      <c r="R29" s="16">
        <f t="shared" si="48"/>
        <v>9701</v>
      </c>
      <c r="S29" s="16">
        <f t="shared" si="48"/>
        <v>332976</v>
      </c>
      <c r="T29" s="29">
        <f>SUM(T5:T18)</f>
        <v>14552</v>
      </c>
      <c r="U29" s="16">
        <f>SUM(U5:U28)</f>
        <v>44217</v>
      </c>
      <c r="V29" s="16">
        <f>SUM(V5:V16)</f>
        <v>0</v>
      </c>
      <c r="W29" s="15"/>
      <c r="X29" s="16">
        <f>SUM(X5:X16)</f>
        <v>0</v>
      </c>
      <c r="Y29" s="58">
        <f>SUM(Y5:Y16)</f>
        <v>6540</v>
      </c>
      <c r="Z29" s="58">
        <f>SUM(Z5:Z16)</f>
        <v>8012</v>
      </c>
      <c r="AA29" s="58">
        <f t="shared" ref="AA29:AD29" si="49">SUM(AA5:AA18)</f>
        <v>0</v>
      </c>
      <c r="AB29" s="16">
        <f t="shared" si="49"/>
        <v>8012</v>
      </c>
      <c r="AC29" s="16">
        <f t="shared" si="49"/>
        <v>1672</v>
      </c>
      <c r="AD29" s="16">
        <f t="shared" si="49"/>
        <v>20140</v>
      </c>
      <c r="AE29" s="16">
        <f>SUM(AE5:AE19)</f>
        <v>12207</v>
      </c>
      <c r="AF29" s="16">
        <f>SUM(AF5:AF18)</f>
        <v>46577.07</v>
      </c>
      <c r="AG29" s="16">
        <f t="shared" ref="AG29:AH29" si="50">SUM(AG5:AG18)</f>
        <v>24358</v>
      </c>
      <c r="AH29" s="16">
        <f t="shared" si="50"/>
        <v>22219.07</v>
      </c>
      <c r="AI29" s="16">
        <f t="shared" ref="AI29:AJ29" si="51">SUM(AI5:AI19)</f>
        <v>12640</v>
      </c>
      <c r="AJ29" s="16">
        <f t="shared" si="51"/>
        <v>22714.67</v>
      </c>
      <c r="AK29" s="16">
        <f>SUM(AK5:AK20)</f>
        <v>8623</v>
      </c>
      <c r="AL29" s="16">
        <f>SUM(AL5:AL28)</f>
        <v>14091.67</v>
      </c>
      <c r="AM29" s="16">
        <f>SUM(AM5:AM28)</f>
        <v>2184</v>
      </c>
      <c r="AN29" s="16">
        <f>SUM(AN5:AN28)</f>
        <v>11907.67</v>
      </c>
      <c r="AO29" s="16">
        <f>SUM(AO5:AO28)</f>
        <v>159235</v>
      </c>
      <c r="AP29" s="29">
        <f>SUM(AP5:AP28)</f>
        <v>327045.13</v>
      </c>
      <c r="AR29" s="136"/>
    </row>
    <row r="30" spans="1:45" ht="16" thickTop="1" x14ac:dyDescent="0.35">
      <c r="F30" s="9"/>
      <c r="U30" s="11"/>
      <c r="V30" s="11"/>
    </row>
    <row r="31" spans="1:45" x14ac:dyDescent="0.35">
      <c r="F31" s="9"/>
      <c r="U31" s="11"/>
      <c r="V31" s="11"/>
    </row>
    <row r="32" spans="1:45" x14ac:dyDescent="0.35">
      <c r="E32" s="117"/>
      <c r="F32" s="9"/>
      <c r="U32" s="11"/>
      <c r="V32" s="11"/>
    </row>
    <row r="33" spans="6:29" x14ac:dyDescent="0.35">
      <c r="F33" s="9"/>
      <c r="U33" s="11">
        <f>T29-U29</f>
        <v>-29665</v>
      </c>
      <c r="V33" s="11" t="s">
        <v>183</v>
      </c>
    </row>
    <row r="34" spans="6:29" x14ac:dyDescent="0.35">
      <c r="F34" s="9"/>
      <c r="U34" s="11"/>
      <c r="V34" s="11"/>
      <c r="AC34" s="76">
        <f>AC17/F17</f>
        <v>0.12115942028985507</v>
      </c>
    </row>
    <row r="35" spans="6:29" x14ac:dyDescent="0.35">
      <c r="F35" s="9"/>
      <c r="U35" s="11"/>
      <c r="V35" s="11"/>
    </row>
    <row r="36" spans="6:29" x14ac:dyDescent="0.35">
      <c r="F36" s="9"/>
      <c r="U36" s="11"/>
      <c r="V36" s="11"/>
    </row>
    <row r="37" spans="6:29" x14ac:dyDescent="0.35">
      <c r="F37" s="9"/>
      <c r="U37" s="11"/>
      <c r="V37" s="11"/>
    </row>
    <row r="38" spans="6:29" x14ac:dyDescent="0.35">
      <c r="U38" s="11"/>
      <c r="V38" s="11"/>
    </row>
  </sheetData>
  <mergeCells count="2">
    <mergeCell ref="A1:V1"/>
    <mergeCell ref="G3:R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10"/>
  <sheetViews>
    <sheetView workbookViewId="0">
      <selection activeCell="G18" sqref="G18"/>
    </sheetView>
  </sheetViews>
  <sheetFormatPr defaultRowHeight="15.5" x14ac:dyDescent="0.35"/>
  <cols>
    <col min="1" max="1" width="3.25" customWidth="1"/>
    <col min="2" max="2" width="9.5" bestFit="1" customWidth="1"/>
    <col min="4" max="4" width="10.33203125" bestFit="1" customWidth="1"/>
    <col min="5" max="5" width="10.08203125" customWidth="1"/>
    <col min="6" max="6" width="7.5" customWidth="1"/>
    <col min="7" max="7" width="10.08203125" customWidth="1"/>
    <col min="8" max="8" width="6.33203125" customWidth="1"/>
    <col min="9" max="9" width="8.5" customWidth="1"/>
    <col min="10" max="10" width="9.83203125" customWidth="1"/>
    <col min="11" max="11" width="8.5" customWidth="1"/>
    <col min="13" max="13" width="8.33203125" customWidth="1"/>
    <col min="17" max="17" width="9.08203125" bestFit="1" customWidth="1"/>
    <col min="18" max="18" width="11.08203125" bestFit="1" customWidth="1"/>
  </cols>
  <sheetData>
    <row r="1" spans="1:18" x14ac:dyDescent="0.35">
      <c r="A1" s="81" t="s">
        <v>209</v>
      </c>
    </row>
    <row r="2" spans="1:18" x14ac:dyDescent="0.35">
      <c r="A2" s="82"/>
      <c r="B2" s="82"/>
      <c r="C2" s="82"/>
      <c r="D2" s="82"/>
      <c r="E2" s="82"/>
      <c r="F2" s="82"/>
      <c r="G2" s="82"/>
    </row>
    <row r="3" spans="1:18" x14ac:dyDescent="0.35">
      <c r="A3" s="83" t="s">
        <v>14</v>
      </c>
      <c r="B3" s="83" t="s">
        <v>17</v>
      </c>
      <c r="C3" s="83" t="s">
        <v>19</v>
      </c>
      <c r="D3" s="83" t="s">
        <v>20</v>
      </c>
      <c r="E3" s="83" t="s">
        <v>23</v>
      </c>
      <c r="F3" s="83" t="s">
        <v>24</v>
      </c>
      <c r="G3" s="84" t="s">
        <v>210</v>
      </c>
      <c r="H3" s="85" t="s">
        <v>35</v>
      </c>
      <c r="I3" s="86" t="s">
        <v>35</v>
      </c>
      <c r="J3" s="87" t="s">
        <v>36</v>
      </c>
      <c r="K3" s="88" t="s">
        <v>201</v>
      </c>
      <c r="L3" s="87" t="s">
        <v>36</v>
      </c>
      <c r="M3" s="88" t="s">
        <v>200</v>
      </c>
      <c r="N3" s="87" t="s">
        <v>36</v>
      </c>
      <c r="O3" s="88" t="s">
        <v>211</v>
      </c>
      <c r="P3" s="89" t="s">
        <v>36</v>
      </c>
    </row>
    <row r="4" spans="1:18" x14ac:dyDescent="0.35">
      <c r="A4" s="90" t="s">
        <v>16</v>
      </c>
      <c r="B4" s="90" t="s">
        <v>18</v>
      </c>
      <c r="C4" s="91" t="s">
        <v>28</v>
      </c>
      <c r="D4" s="90" t="s">
        <v>21</v>
      </c>
      <c r="E4" s="90" t="s">
        <v>15</v>
      </c>
      <c r="F4" s="90" t="s">
        <v>25</v>
      </c>
      <c r="G4" s="92" t="s">
        <v>55</v>
      </c>
      <c r="H4" s="93" t="s">
        <v>194</v>
      </c>
      <c r="I4" s="94" t="s">
        <v>195</v>
      </c>
      <c r="J4" s="95" t="s">
        <v>189</v>
      </c>
      <c r="K4" s="96" t="s">
        <v>35</v>
      </c>
      <c r="L4" s="95" t="s">
        <v>197</v>
      </c>
      <c r="M4" s="96" t="s">
        <v>35</v>
      </c>
      <c r="N4" s="95" t="s">
        <v>199</v>
      </c>
      <c r="O4" s="96" t="s">
        <v>35</v>
      </c>
      <c r="P4" s="97" t="s">
        <v>212</v>
      </c>
    </row>
    <row r="5" spans="1:18" x14ac:dyDescent="0.35">
      <c r="A5" s="98">
        <v>1</v>
      </c>
      <c r="B5" s="99" t="s">
        <v>102</v>
      </c>
      <c r="C5" s="100">
        <v>8</v>
      </c>
      <c r="D5" s="101">
        <v>41792</v>
      </c>
      <c r="E5" s="102">
        <v>1609379</v>
      </c>
      <c r="F5" s="103">
        <v>80469</v>
      </c>
      <c r="G5" s="104">
        <f>+E5-F5</f>
        <v>1528910</v>
      </c>
      <c r="H5" s="98">
        <v>0.31</v>
      </c>
      <c r="I5" s="105">
        <v>417293</v>
      </c>
      <c r="J5" s="105">
        <v>1192086</v>
      </c>
      <c r="K5" s="105">
        <v>372341</v>
      </c>
      <c r="L5" s="106">
        <v>819745</v>
      </c>
      <c r="M5" s="105">
        <v>256042</v>
      </c>
      <c r="N5" s="106">
        <v>563703</v>
      </c>
      <c r="O5" s="107">
        <f>ROUND(N5*H5,0)</f>
        <v>174748</v>
      </c>
      <c r="P5" s="108">
        <f>+N5-O5</f>
        <v>388955</v>
      </c>
      <c r="Q5" s="110">
        <f>ROUND(+(P5*H5)/365*15,0)</f>
        <v>4955</v>
      </c>
      <c r="R5" s="10">
        <f>+P5-Q5</f>
        <v>384000</v>
      </c>
    </row>
    <row r="6" spans="1:18" x14ac:dyDescent="0.35">
      <c r="A6" s="82"/>
      <c r="B6" s="82"/>
      <c r="C6" s="82"/>
      <c r="D6" s="82"/>
      <c r="E6" s="82"/>
      <c r="F6" s="82"/>
      <c r="G6" s="82"/>
    </row>
    <row r="7" spans="1:18" x14ac:dyDescent="0.35">
      <c r="A7" s="82" t="s">
        <v>213</v>
      </c>
      <c r="B7" s="82"/>
      <c r="C7" s="82"/>
      <c r="D7" s="82"/>
      <c r="E7" s="82"/>
      <c r="F7" s="82"/>
      <c r="G7" s="82"/>
      <c r="P7" s="8">
        <f>+P5*H5/365</f>
        <v>330.34534246575345</v>
      </c>
      <c r="Q7" s="8">
        <f>+P7*15</f>
        <v>4955.1801369863015</v>
      </c>
    </row>
    <row r="8" spans="1:18" x14ac:dyDescent="0.35">
      <c r="A8" s="82"/>
      <c r="B8" s="82"/>
      <c r="C8" s="82"/>
      <c r="D8" s="82"/>
      <c r="E8" s="82"/>
      <c r="F8" s="82"/>
      <c r="G8" s="82"/>
    </row>
    <row r="9" spans="1:18" x14ac:dyDescent="0.35">
      <c r="A9" s="82"/>
      <c r="B9" s="109">
        <f>1-POWER((0.05*E5)/E5,1/C5)</f>
        <v>0.31234397806636793</v>
      </c>
      <c r="C9" s="82"/>
      <c r="D9" s="82"/>
      <c r="E9" s="82"/>
      <c r="F9" s="82"/>
      <c r="G9" s="82"/>
    </row>
    <row r="10" spans="1:18" x14ac:dyDescent="0.35">
      <c r="A10" s="82"/>
      <c r="B10" s="82"/>
      <c r="C10" s="82"/>
      <c r="D10" s="82"/>
      <c r="E10" s="82"/>
      <c r="F10" s="82"/>
      <c r="G10" s="8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41"/>
  <sheetViews>
    <sheetView workbookViewId="0">
      <selection sqref="A1:Y1"/>
    </sheetView>
  </sheetViews>
  <sheetFormatPr defaultRowHeight="15.5" x14ac:dyDescent="0.35"/>
  <cols>
    <col min="1" max="1" width="3.33203125" customWidth="1"/>
    <col min="2" max="2" width="13.83203125" customWidth="1"/>
    <col min="3" max="3" width="5.58203125" hidden="1" customWidth="1"/>
    <col min="4" max="4" width="6.33203125" customWidth="1"/>
    <col min="5" max="5" width="10.08203125" customWidth="1"/>
    <col min="6" max="6" width="10.08203125" bestFit="1" customWidth="1"/>
    <col min="7" max="7" width="7.58203125" hidden="1" customWidth="1"/>
    <col min="8" max="16" width="8.58203125" hidden="1" customWidth="1"/>
    <col min="17" max="18" width="7.58203125" hidden="1" customWidth="1"/>
    <col min="19" max="19" width="11.58203125" hidden="1" customWidth="1"/>
    <col min="20" max="20" width="10.33203125" hidden="1" customWidth="1"/>
    <col min="21" max="21" width="10.08203125" customWidth="1"/>
    <col min="22" max="22" width="10.08203125" hidden="1" customWidth="1"/>
    <col min="23" max="23" width="7" hidden="1" customWidth="1"/>
    <col min="24" max="24" width="6.83203125" hidden="1" customWidth="1"/>
    <col min="25" max="25" width="6.33203125" hidden="1" customWidth="1"/>
    <col min="26" max="26" width="9.25" hidden="1" customWidth="1"/>
    <col min="27" max="27" width="13.75" hidden="1" customWidth="1"/>
    <col min="28" max="28" width="11.58203125" hidden="1" customWidth="1"/>
    <col min="29" max="29" width="6" hidden="1" customWidth="1"/>
    <col min="30" max="30" width="8" hidden="1" customWidth="1"/>
    <col min="31" max="31" width="6.58203125" hidden="1" customWidth="1"/>
    <col min="32" max="32" width="10.08203125" style="8" hidden="1" customWidth="1"/>
    <col min="33" max="33" width="12.58203125" style="8" hidden="1" customWidth="1"/>
    <col min="34" max="34" width="8" style="8" hidden="1" customWidth="1"/>
    <col min="35" max="35" width="11.58203125" hidden="1" customWidth="1"/>
    <col min="36" max="36" width="10.58203125" hidden="1" customWidth="1"/>
    <col min="37" max="37" width="8.08203125" customWidth="1"/>
    <col min="38" max="38" width="10.83203125" hidden="1" customWidth="1"/>
    <col min="39" max="39" width="11.5" hidden="1" customWidth="1"/>
    <col min="40" max="40" width="11.33203125" hidden="1" customWidth="1"/>
    <col min="41" max="41" width="11.75" customWidth="1"/>
    <col min="42" max="42" width="11.08203125" hidden="1" customWidth="1"/>
    <col min="43" max="43" width="11.25" customWidth="1"/>
    <col min="44" max="44" width="11.25" hidden="1" customWidth="1"/>
    <col min="45" max="45" width="11.25" customWidth="1"/>
    <col min="46" max="46" width="11.58203125" bestFit="1" customWidth="1"/>
    <col min="47" max="47" width="10.08203125" bestFit="1" customWidth="1"/>
    <col min="48" max="48" width="11.58203125" bestFit="1" customWidth="1"/>
    <col min="49" max="49" width="10.08203125" customWidth="1"/>
    <col min="50" max="50" width="11.25" customWidth="1"/>
    <col min="51" max="51" width="10.08203125" customWidth="1"/>
    <col min="52" max="52" width="10.08203125" bestFit="1" customWidth="1"/>
    <col min="53" max="53" width="10.25" customWidth="1"/>
  </cols>
  <sheetData>
    <row r="1" spans="1:53" x14ac:dyDescent="0.35">
      <c r="A1" s="194" t="s">
        <v>40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</row>
    <row r="2" spans="1:53" x14ac:dyDescent="0.35">
      <c r="AB2" s="3" t="s">
        <v>36</v>
      </c>
      <c r="AC2" s="3"/>
      <c r="AD2" s="3" t="s">
        <v>184</v>
      </c>
    </row>
    <row r="3" spans="1:53" x14ac:dyDescent="0.35">
      <c r="A3" s="2" t="s">
        <v>14</v>
      </c>
      <c r="B3" s="2" t="s">
        <v>17</v>
      </c>
      <c r="C3" s="36" t="s">
        <v>34</v>
      </c>
      <c r="D3" s="36" t="s">
        <v>19</v>
      </c>
      <c r="E3" s="2" t="s">
        <v>20</v>
      </c>
      <c r="F3" s="2" t="s">
        <v>23</v>
      </c>
      <c r="G3" s="193" t="s">
        <v>22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2" t="s">
        <v>13</v>
      </c>
      <c r="T3" s="2" t="s">
        <v>36</v>
      </c>
      <c r="U3" s="2" t="s">
        <v>24</v>
      </c>
      <c r="V3" s="2"/>
      <c r="W3" s="2" t="s">
        <v>191</v>
      </c>
      <c r="X3" s="2" t="s">
        <v>104</v>
      </c>
      <c r="Y3" s="2" t="s">
        <v>52</v>
      </c>
      <c r="Z3" s="2" t="s">
        <v>52</v>
      </c>
      <c r="AA3" s="2" t="s">
        <v>54</v>
      </c>
      <c r="AB3" s="48" t="s">
        <v>22</v>
      </c>
      <c r="AC3" s="48" t="s">
        <v>170</v>
      </c>
      <c r="AD3" s="51" t="s">
        <v>185</v>
      </c>
      <c r="AE3" s="68" t="s">
        <v>35</v>
      </c>
      <c r="AF3" s="60" t="s">
        <v>195</v>
      </c>
      <c r="AG3" s="59" t="s">
        <v>36</v>
      </c>
      <c r="AH3" s="68" t="s">
        <v>35</v>
      </c>
      <c r="AI3" s="48" t="s">
        <v>196</v>
      </c>
      <c r="AJ3" s="60" t="s">
        <v>36</v>
      </c>
      <c r="AK3" s="68" t="s">
        <v>35</v>
      </c>
      <c r="AL3" s="2" t="s">
        <v>198</v>
      </c>
      <c r="AM3" s="60" t="s">
        <v>36</v>
      </c>
      <c r="AN3" s="2" t="s">
        <v>211</v>
      </c>
      <c r="AO3" s="60" t="s">
        <v>36</v>
      </c>
      <c r="AP3" s="2" t="s">
        <v>219</v>
      </c>
      <c r="AQ3" s="60" t="s">
        <v>36</v>
      </c>
      <c r="AR3" s="2" t="s">
        <v>226</v>
      </c>
      <c r="AS3" s="60" t="s">
        <v>36</v>
      </c>
      <c r="AT3" s="2" t="s">
        <v>230</v>
      </c>
      <c r="AU3" s="60" t="s">
        <v>36</v>
      </c>
      <c r="AV3" s="2" t="s">
        <v>235</v>
      </c>
      <c r="AW3" s="60" t="s">
        <v>36</v>
      </c>
      <c r="AX3" s="2" t="s">
        <v>240</v>
      </c>
      <c r="AY3" s="60" t="s">
        <v>36</v>
      </c>
    </row>
    <row r="4" spans="1:53" x14ac:dyDescent="0.35">
      <c r="A4" s="4" t="s">
        <v>16</v>
      </c>
      <c r="B4" s="4" t="s">
        <v>18</v>
      </c>
      <c r="C4" s="37" t="s">
        <v>35</v>
      </c>
      <c r="D4" s="37" t="s">
        <v>28</v>
      </c>
      <c r="E4" s="4" t="s">
        <v>21</v>
      </c>
      <c r="F4" s="4" t="s">
        <v>15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5" t="s">
        <v>10</v>
      </c>
      <c r="Q4" s="5" t="s">
        <v>11</v>
      </c>
      <c r="R4" s="5" t="s">
        <v>12</v>
      </c>
      <c r="S4" s="4" t="s">
        <v>22</v>
      </c>
      <c r="T4" s="4" t="s">
        <v>37</v>
      </c>
      <c r="U4" s="4" t="s">
        <v>25</v>
      </c>
      <c r="V4" s="4"/>
      <c r="W4" s="4" t="s">
        <v>192</v>
      </c>
      <c r="X4" s="4" t="s">
        <v>193</v>
      </c>
      <c r="Y4" s="7" t="s">
        <v>104</v>
      </c>
      <c r="Z4" s="4" t="s">
        <v>53</v>
      </c>
      <c r="AA4" s="4" t="s">
        <v>55</v>
      </c>
      <c r="AB4" s="48" t="s">
        <v>169</v>
      </c>
      <c r="AC4" s="48" t="s">
        <v>171</v>
      </c>
      <c r="AE4" s="69" t="s">
        <v>194</v>
      </c>
      <c r="AF4" s="66" t="s">
        <v>22</v>
      </c>
      <c r="AG4" s="67" t="s">
        <v>189</v>
      </c>
      <c r="AH4" s="69" t="s">
        <v>194</v>
      </c>
      <c r="AI4" s="48" t="s">
        <v>22</v>
      </c>
      <c r="AJ4" s="62" t="s">
        <v>197</v>
      </c>
      <c r="AK4" s="69" t="s">
        <v>194</v>
      </c>
      <c r="AL4" s="4" t="s">
        <v>22</v>
      </c>
      <c r="AM4" s="62" t="s">
        <v>199</v>
      </c>
      <c r="AN4" s="4" t="s">
        <v>22</v>
      </c>
      <c r="AO4" s="62" t="s">
        <v>212</v>
      </c>
      <c r="AP4" s="4" t="s">
        <v>22</v>
      </c>
      <c r="AQ4" s="62" t="s">
        <v>220</v>
      </c>
      <c r="AR4" s="4" t="s">
        <v>22</v>
      </c>
      <c r="AS4" s="62" t="s">
        <v>227</v>
      </c>
      <c r="AT4" s="4" t="s">
        <v>22</v>
      </c>
      <c r="AU4" s="62" t="s">
        <v>231</v>
      </c>
      <c r="AV4" s="4" t="s">
        <v>22</v>
      </c>
      <c r="AW4" s="62" t="s">
        <v>234</v>
      </c>
      <c r="AX4" s="4" t="s">
        <v>22</v>
      </c>
      <c r="AY4" s="62" t="s">
        <v>239</v>
      </c>
      <c r="AZ4" s="48" t="s">
        <v>222</v>
      </c>
    </row>
    <row r="5" spans="1:53" x14ac:dyDescent="0.35">
      <c r="A5" s="1">
        <v>1</v>
      </c>
      <c r="B5" t="s">
        <v>41</v>
      </c>
      <c r="C5" s="17">
        <v>0.05</v>
      </c>
      <c r="D5" s="1">
        <v>60</v>
      </c>
      <c r="E5" s="54">
        <v>37461</v>
      </c>
      <c r="F5" s="9">
        <v>1293974</v>
      </c>
      <c r="G5" s="9">
        <f>ROUND((F5*C5)*251/365,0)</f>
        <v>44491</v>
      </c>
      <c r="H5" s="9">
        <f>ROUND((F5-G5)*C5,0)</f>
        <v>62474</v>
      </c>
      <c r="I5" s="9">
        <f>ROUND((F5-G5-H5)*C5,0)</f>
        <v>59350</v>
      </c>
      <c r="J5" s="9">
        <f>ROUND((F5-G5-H5-I5)*C5,0)</f>
        <v>56383</v>
      </c>
      <c r="K5" s="9">
        <f>ROUND((F5-G5-H5-I5-J5)*C5,0)</f>
        <v>53564</v>
      </c>
      <c r="L5" s="9">
        <f>ROUND((F5-G5-H5-I5-J5-K5)*C5,0)</f>
        <v>50886</v>
      </c>
      <c r="M5" s="9">
        <f>ROUND((F5-G5-H5-I5-J5-K5-L5)*C5,0)</f>
        <v>48341</v>
      </c>
      <c r="N5" s="9">
        <f>ROUND((F5-G5-H5-I5-J5-K5-L5-M5)*C5,0)</f>
        <v>45924</v>
      </c>
      <c r="O5" s="9">
        <f>ROUND((F5-G5-H5-I5-J5-K5-L5-M5-N5)*C5,0)</f>
        <v>43628</v>
      </c>
      <c r="P5" s="9">
        <f>ROUND((F5-G5-H5-I5-J5-K5-L5-M5-N5-O5)*C5,0)</f>
        <v>41447</v>
      </c>
      <c r="Q5" s="9">
        <f>ROUND((F5-G5-H5-I5-J5-K5-L5-M5-N5-O5-P5)*C5,0)</f>
        <v>39374</v>
      </c>
      <c r="R5" s="9">
        <f>ROUND((F5-G5-H5-I5-J5-K5-L5-M5-N5-O5-P5-Q5)*C5,0)</f>
        <v>37406</v>
      </c>
      <c r="S5" s="11">
        <f>SUM(G5:R5)</f>
        <v>583268</v>
      </c>
      <c r="T5" s="11">
        <f>+F5-S5</f>
        <v>710706</v>
      </c>
      <c r="U5" s="9">
        <f>ROUND(F5*5%,0)</f>
        <v>64699</v>
      </c>
      <c r="V5" s="52">
        <v>41729</v>
      </c>
      <c r="W5" s="55">
        <f>V5-E5</f>
        <v>4268</v>
      </c>
      <c r="X5" s="53">
        <f>((365*D5)-W5)/365</f>
        <v>48.30684931506849</v>
      </c>
      <c r="Y5" s="38" t="s">
        <v>105</v>
      </c>
      <c r="Z5" s="1">
        <v>48.31</v>
      </c>
      <c r="AA5" s="9">
        <f>T5-U5</f>
        <v>646007</v>
      </c>
      <c r="AB5">
        <v>34114</v>
      </c>
      <c r="AC5" s="10">
        <f>AB5/(T5-U5)*100</f>
        <v>5.2807477318357225</v>
      </c>
      <c r="AD5">
        <f>(T5-U5)/Z5</f>
        <v>13372.117574001242</v>
      </c>
      <c r="AE5" s="10">
        <f>1-POWER((0.05*F5)/T5,1/X5)</f>
        <v>4.8399817959570379E-2</v>
      </c>
      <c r="AF5" s="8">
        <f>ROUND(T5*AE5,0)</f>
        <v>34398</v>
      </c>
      <c r="AG5" s="8">
        <f>+T5-AF5</f>
        <v>676308</v>
      </c>
      <c r="AH5" s="10">
        <v>4.8399817959570379E-2</v>
      </c>
      <c r="AI5" s="8">
        <f>ROUND(AG5*AH5,0)</f>
        <v>32733</v>
      </c>
      <c r="AJ5" s="11">
        <f>AG5-AI5</f>
        <v>643575</v>
      </c>
      <c r="AK5" s="10">
        <v>4.8399817959570379E-2</v>
      </c>
      <c r="AL5" s="9">
        <f>ROUND(AJ5*AK5,0)</f>
        <v>31149</v>
      </c>
      <c r="AM5" s="11">
        <f>AJ5-AL5</f>
        <v>612426</v>
      </c>
      <c r="AN5" s="9">
        <f>ROUND(AM5*AK5,0)</f>
        <v>29641</v>
      </c>
      <c r="AO5" s="11">
        <f>+AM5-AN5</f>
        <v>582785</v>
      </c>
      <c r="AP5" s="9">
        <f>ROUND(AO5*AK5,0)</f>
        <v>28207</v>
      </c>
      <c r="AQ5" s="11">
        <f>+AO5-AP5</f>
        <v>554578</v>
      </c>
      <c r="AR5" s="9">
        <f>ROUND(AQ5*AK5,0)</f>
        <v>26841</v>
      </c>
      <c r="AS5" s="11">
        <f>+AQ5-AR5</f>
        <v>527737</v>
      </c>
      <c r="AT5" s="9">
        <f>ROUND(AK5*AS5,0)</f>
        <v>25542</v>
      </c>
      <c r="AU5" s="11">
        <f>+AS5-AT5</f>
        <v>502195</v>
      </c>
      <c r="AV5" s="9">
        <f>ROUND(AK5*AU5,0)</f>
        <v>24306</v>
      </c>
      <c r="AW5" s="11">
        <f>+AU5-AV5</f>
        <v>477889</v>
      </c>
      <c r="AX5" s="9">
        <f>ROUND(AK5*AW5,0)</f>
        <v>23130</v>
      </c>
      <c r="AY5" s="11">
        <f>+AW5-AX5</f>
        <v>454759</v>
      </c>
      <c r="AZ5" s="11">
        <f>+AY5-U5</f>
        <v>390060</v>
      </c>
    </row>
    <row r="6" spans="1:53" x14ac:dyDescent="0.35">
      <c r="C6" s="3"/>
      <c r="E6" s="3" t="s">
        <v>38</v>
      </c>
      <c r="F6" s="13">
        <f>SUM(F5)</f>
        <v>1293974</v>
      </c>
      <c r="G6" s="13">
        <f t="shared" ref="G6:U6" si="0">SUM(G5)</f>
        <v>44491</v>
      </c>
      <c r="H6" s="13">
        <f t="shared" si="0"/>
        <v>62474</v>
      </c>
      <c r="I6" s="13">
        <f t="shared" si="0"/>
        <v>59350</v>
      </c>
      <c r="J6" s="13">
        <f t="shared" si="0"/>
        <v>56383</v>
      </c>
      <c r="K6" s="13">
        <f t="shared" si="0"/>
        <v>53564</v>
      </c>
      <c r="L6" s="13">
        <f t="shared" si="0"/>
        <v>50886</v>
      </c>
      <c r="M6" s="13">
        <f t="shared" si="0"/>
        <v>48341</v>
      </c>
      <c r="N6" s="13">
        <f t="shared" si="0"/>
        <v>45924</v>
      </c>
      <c r="O6" s="13">
        <f t="shared" si="0"/>
        <v>43628</v>
      </c>
      <c r="P6" s="13">
        <f t="shared" si="0"/>
        <v>41447</v>
      </c>
      <c r="Q6" s="13">
        <f t="shared" si="0"/>
        <v>39374</v>
      </c>
      <c r="R6" s="13">
        <f t="shared" si="0"/>
        <v>37406</v>
      </c>
      <c r="S6" s="13">
        <f t="shared" si="0"/>
        <v>583268</v>
      </c>
      <c r="T6" s="28">
        <f>SUM(T5)</f>
        <v>710706</v>
      </c>
      <c r="U6" s="13">
        <f t="shared" si="0"/>
        <v>64699</v>
      </c>
      <c r="V6" s="13"/>
      <c r="W6" s="13"/>
      <c r="X6" s="13"/>
      <c r="Y6" s="39"/>
      <c r="Z6" s="12"/>
      <c r="AA6" s="20">
        <f>SUM(AA5)</f>
        <v>646007</v>
      </c>
      <c r="AC6" s="10">
        <f t="shared" ref="AC6:AC14" si="1">AB6/(T6-U6)*100</f>
        <v>0</v>
      </c>
      <c r="AF6" s="57">
        <f t="shared" ref="AF6:AJ6" si="2">SUM(AF5)</f>
        <v>34398</v>
      </c>
      <c r="AG6" s="57">
        <f t="shared" si="2"/>
        <v>676308</v>
      </c>
      <c r="AH6" s="57"/>
      <c r="AI6" s="57">
        <f t="shared" si="2"/>
        <v>32733</v>
      </c>
      <c r="AJ6" s="13">
        <f t="shared" si="2"/>
        <v>643575</v>
      </c>
      <c r="AK6" s="57"/>
      <c r="AL6" s="13">
        <f t="shared" ref="AL6:AM6" si="3">SUM(AL5)</f>
        <v>31149</v>
      </c>
      <c r="AM6" s="13">
        <f t="shared" si="3"/>
        <v>612426</v>
      </c>
      <c r="AN6" s="20">
        <f>SUM(AN5)</f>
        <v>29641</v>
      </c>
      <c r="AO6" s="20">
        <f>SUM(AO5)</f>
        <v>582785</v>
      </c>
      <c r="AP6" s="20">
        <f t="shared" ref="AP6:AQ6" si="4">SUM(AP5)</f>
        <v>28207</v>
      </c>
      <c r="AQ6" s="20">
        <f t="shared" si="4"/>
        <v>554578</v>
      </c>
      <c r="AR6" s="20">
        <f t="shared" ref="AR6:AY6" si="5">SUM(AR5)</f>
        <v>26841</v>
      </c>
      <c r="AS6" s="20">
        <f t="shared" si="5"/>
        <v>527737</v>
      </c>
      <c r="AT6" s="20">
        <f t="shared" si="5"/>
        <v>25542</v>
      </c>
      <c r="AU6" s="20">
        <f t="shared" si="5"/>
        <v>502195</v>
      </c>
      <c r="AV6" s="20">
        <f t="shared" si="5"/>
        <v>24306</v>
      </c>
      <c r="AW6" s="20">
        <f t="shared" si="5"/>
        <v>477889</v>
      </c>
      <c r="AX6" s="20">
        <f t="shared" si="5"/>
        <v>23130</v>
      </c>
      <c r="AY6" s="20">
        <f t="shared" si="5"/>
        <v>454759</v>
      </c>
    </row>
    <row r="7" spans="1:53" x14ac:dyDescent="0.35">
      <c r="C7" s="1"/>
      <c r="F7" s="9"/>
      <c r="U7" s="11"/>
      <c r="V7" s="11"/>
      <c r="W7" s="11"/>
      <c r="X7" s="11"/>
      <c r="Y7" s="38"/>
      <c r="AC7" s="10"/>
      <c r="AJ7" s="11"/>
      <c r="AK7" s="8"/>
      <c r="AL7" s="11"/>
      <c r="AM7" s="11"/>
      <c r="AN7" s="11"/>
      <c r="AO7" s="11"/>
    </row>
    <row r="8" spans="1:53" x14ac:dyDescent="0.35">
      <c r="A8" s="1">
        <v>2</v>
      </c>
      <c r="B8" t="s">
        <v>42</v>
      </c>
      <c r="C8" s="18">
        <v>0.05</v>
      </c>
      <c r="D8" s="1">
        <v>60</v>
      </c>
      <c r="E8" s="54">
        <v>37461</v>
      </c>
      <c r="F8" s="9">
        <v>243092</v>
      </c>
      <c r="G8" s="9">
        <f>ROUND((F8*C8)*251/365,0)</f>
        <v>8358</v>
      </c>
      <c r="H8" s="9">
        <f>ROUND((F8-G8)*C8,0)</f>
        <v>11737</v>
      </c>
      <c r="I8" s="9">
        <f>ROUND((F8-G8-H8)*C8,0)</f>
        <v>11150</v>
      </c>
      <c r="J8" s="9">
        <f>ROUND((F8-G8-H8-I8)*C8,0)</f>
        <v>10592</v>
      </c>
      <c r="K8" s="9">
        <f>ROUND((F8-G8-H8-I8-J8)*C8,0)</f>
        <v>10063</v>
      </c>
      <c r="L8" s="9">
        <f>ROUND((F8-G8-H8-I8-J8-K8)*C8,0)</f>
        <v>9560</v>
      </c>
      <c r="M8" s="9">
        <f>ROUND((F8-G8-H8-I8-J8-K8-L8)*C8,0)</f>
        <v>9082</v>
      </c>
      <c r="N8" s="9">
        <f>ROUND((F8-G8-H8-I8-J8-K8-L8-M8)*C8,0)</f>
        <v>8628</v>
      </c>
      <c r="O8" s="9">
        <f>ROUND((F8-G8-H8-I8-J8-K8-L8-M8-N8)*C8,0)</f>
        <v>8196</v>
      </c>
      <c r="P8" s="9">
        <f>ROUND((F8-G8-H8-I8-J8-K8-L8-M8-N8-O8)*C8,0)</f>
        <v>7786</v>
      </c>
      <c r="Q8" s="9">
        <f>ROUND((F8-G8-H8-I8-J8-K8-L8-M8-N8-O8-P8)*C8,0)</f>
        <v>7397</v>
      </c>
      <c r="R8" s="9">
        <f>ROUND((F8-G8-H8-I8-J8-K8-L8-M8-N8-O8-P8-Q8)*C8,0)</f>
        <v>7027</v>
      </c>
      <c r="S8" s="10">
        <f t="shared" ref="S8:S9" si="6">SUM(G8:R8)</f>
        <v>109576</v>
      </c>
      <c r="T8" s="11">
        <f t="shared" ref="T8:T9" si="7">+F8-S8</f>
        <v>133516</v>
      </c>
      <c r="U8" s="9">
        <f t="shared" ref="U8:U9" si="8">ROUND(F8*5%,0)</f>
        <v>12155</v>
      </c>
      <c r="V8" s="52">
        <v>41729</v>
      </c>
      <c r="W8" s="55">
        <f t="shared" ref="W8:W9" si="9">V8-E8</f>
        <v>4268</v>
      </c>
      <c r="X8" s="53">
        <f t="shared" ref="X8:X9" si="10">((365*D8)-W8)/365</f>
        <v>48.30684931506849</v>
      </c>
      <c r="Y8" s="38" t="s">
        <v>105</v>
      </c>
      <c r="Z8" s="1">
        <v>48.31</v>
      </c>
      <c r="AA8" s="9">
        <f t="shared" ref="AA8:AA9" si="11">T8-U8</f>
        <v>121361</v>
      </c>
      <c r="AB8">
        <v>6409</v>
      </c>
      <c r="AC8" s="10">
        <f t="shared" si="1"/>
        <v>5.2809386870576214</v>
      </c>
      <c r="AD8">
        <f t="shared" ref="AD8:AD9" si="12">(T8-U8)/Z8</f>
        <v>2512.1299937901053</v>
      </c>
      <c r="AE8" s="10">
        <f t="shared" ref="AE8:AE9" si="13">1-POWER((0.05*F8)/T8,1/X8)</f>
        <v>4.8399736962472906E-2</v>
      </c>
      <c r="AF8" s="8">
        <f t="shared" ref="AF8:AF9" si="14">ROUND(T8*AE8,0)</f>
        <v>6462</v>
      </c>
      <c r="AG8" s="8">
        <f t="shared" ref="AG8:AG9" si="15">+T8-AF8</f>
        <v>127054</v>
      </c>
      <c r="AH8" s="10">
        <v>4.8399736962472906E-2</v>
      </c>
      <c r="AI8" s="8">
        <f t="shared" ref="AI8:AI9" si="16">ROUND(AG8*AH8,0)</f>
        <v>6149</v>
      </c>
      <c r="AJ8" s="11">
        <f t="shared" ref="AJ8:AJ9" si="17">AG8-AI8</f>
        <v>120905</v>
      </c>
      <c r="AK8" s="10">
        <v>4.8399736962472906E-2</v>
      </c>
      <c r="AL8" s="9">
        <f t="shared" ref="AL8:AL9" si="18">ROUND(AJ8*AK8,0)</f>
        <v>5852</v>
      </c>
      <c r="AM8" s="11">
        <f t="shared" ref="AM8:AM9" si="19">AJ8-AL8</f>
        <v>115053</v>
      </c>
      <c r="AN8" s="9">
        <f>ROUND(AM8*AK8,0)</f>
        <v>5569</v>
      </c>
      <c r="AO8" s="11">
        <f>+AM8-AN8</f>
        <v>109484</v>
      </c>
      <c r="AP8" s="9">
        <f>ROUND(AO8*AK8,0)</f>
        <v>5299</v>
      </c>
      <c r="AQ8" s="11">
        <f t="shared" ref="AQ8:AQ9" si="20">+AO8-AP8</f>
        <v>104185</v>
      </c>
      <c r="AR8" s="9">
        <f t="shared" ref="AR8:AR9" si="21">ROUND(AQ8*AK8,0)</f>
        <v>5043</v>
      </c>
      <c r="AS8" s="11">
        <f t="shared" ref="AS8:AS9" si="22">+AQ8-AR8</f>
        <v>99142</v>
      </c>
      <c r="AT8" s="9">
        <f t="shared" ref="AT8:AT9" si="23">ROUND(AK8*AS8,0)</f>
        <v>4798</v>
      </c>
      <c r="AU8" s="11">
        <f t="shared" ref="AU8:AU9" si="24">+AS8-AT8</f>
        <v>94344</v>
      </c>
      <c r="AV8" s="9">
        <f>ROUND(AK8*AU8,0)</f>
        <v>4566</v>
      </c>
      <c r="AW8" s="11">
        <f t="shared" ref="AW8:AW9" si="25">+AU8-AV8</f>
        <v>89778</v>
      </c>
      <c r="AX8" s="9">
        <f>ROUND(AK8*AW8,0)</f>
        <v>4345</v>
      </c>
      <c r="AY8" s="11">
        <f t="shared" ref="AY8" si="26">+AW8-AX8</f>
        <v>85433</v>
      </c>
      <c r="AZ8" s="11">
        <f t="shared" ref="AZ8:AZ9" si="27">+AY8-U8</f>
        <v>73278</v>
      </c>
    </row>
    <row r="9" spans="1:53" x14ac:dyDescent="0.35">
      <c r="A9" s="1">
        <v>3</v>
      </c>
      <c r="B9" t="s">
        <v>43</v>
      </c>
      <c r="C9" s="18">
        <v>0.05</v>
      </c>
      <c r="D9" s="1">
        <v>60</v>
      </c>
      <c r="E9" s="54">
        <v>37690</v>
      </c>
      <c r="F9" s="9">
        <v>1626641</v>
      </c>
      <c r="G9" s="9">
        <f>ROUND((F9*C9)*22/365,0)</f>
        <v>4902</v>
      </c>
      <c r="H9" s="9">
        <f>ROUND((F9-G9)*C9,0)</f>
        <v>81087</v>
      </c>
      <c r="I9" s="9">
        <f>ROUND((F9-G9-H9)*C9,0)</f>
        <v>77033</v>
      </c>
      <c r="J9" s="9">
        <f>ROUND((F9-G9-H9-I9)*C9,0)</f>
        <v>73181</v>
      </c>
      <c r="K9" s="9">
        <f>ROUND((F9-G9-H9-I9-J9)*C9,0)</f>
        <v>69522</v>
      </c>
      <c r="L9" s="9">
        <f>ROUND((F9-G9-H9-I9-J9-K9)*C9,0)</f>
        <v>66046</v>
      </c>
      <c r="M9" s="9">
        <f>ROUND((F9-G9-H9-I9-J9-K9-L9)*C9,0)</f>
        <v>62744</v>
      </c>
      <c r="N9" s="9">
        <f>ROUND((F9-G9-H9-I9-J9-K9-L9-M9)*C9,0)</f>
        <v>59606</v>
      </c>
      <c r="O9" s="9">
        <f>ROUND((F9-G9-H9-I9-J9-K9-L9-M9-N9)*C9,0)</f>
        <v>56626</v>
      </c>
      <c r="P9" s="9">
        <f>ROUND((F9-G9-H9-I9-J9-K9-L9-M9-N9-O9)*C9,0)</f>
        <v>53795</v>
      </c>
      <c r="Q9" s="9">
        <f>ROUND((F9-G9-H9-I9-J9-K9-L9-M9-N9-O9-P9)*C9,0)</f>
        <v>51105</v>
      </c>
      <c r="R9" s="9">
        <f>ROUND((F9-G9-H9-I9-J9-K9-L9-M9-N9-O9-P9-Q9)*C9,0)</f>
        <v>48550</v>
      </c>
      <c r="S9" s="10">
        <f t="shared" si="6"/>
        <v>704197</v>
      </c>
      <c r="T9" s="11">
        <f t="shared" si="7"/>
        <v>922444</v>
      </c>
      <c r="U9" s="9">
        <f t="shared" si="8"/>
        <v>81332</v>
      </c>
      <c r="V9" s="52">
        <v>41729</v>
      </c>
      <c r="W9" s="55">
        <f t="shared" si="9"/>
        <v>4039</v>
      </c>
      <c r="X9" s="53">
        <f t="shared" si="10"/>
        <v>48.934246575342463</v>
      </c>
      <c r="Y9" s="38" t="s">
        <v>106</v>
      </c>
      <c r="Z9" s="1">
        <v>48.94</v>
      </c>
      <c r="AA9" s="9">
        <f t="shared" si="11"/>
        <v>841112</v>
      </c>
      <c r="AB9">
        <v>44277</v>
      </c>
      <c r="AC9" s="10">
        <f t="shared" si="1"/>
        <v>5.2641027592044818</v>
      </c>
      <c r="AD9">
        <f t="shared" si="12"/>
        <v>17186.59583163057</v>
      </c>
      <c r="AE9" s="10">
        <f t="shared" si="13"/>
        <v>4.8416219117917936E-2</v>
      </c>
      <c r="AF9" s="8">
        <f t="shared" si="14"/>
        <v>44661</v>
      </c>
      <c r="AG9" s="8">
        <f t="shared" si="15"/>
        <v>877783</v>
      </c>
      <c r="AH9" s="10">
        <v>4.8416219117917936E-2</v>
      </c>
      <c r="AI9" s="8">
        <f t="shared" si="16"/>
        <v>42499</v>
      </c>
      <c r="AJ9" s="11">
        <f t="shared" si="17"/>
        <v>835284</v>
      </c>
      <c r="AK9" s="10">
        <v>4.8416219117917936E-2</v>
      </c>
      <c r="AL9" s="9">
        <f t="shared" si="18"/>
        <v>40441</v>
      </c>
      <c r="AM9" s="11">
        <f t="shared" si="19"/>
        <v>794843</v>
      </c>
      <c r="AN9" s="9">
        <f t="shared" ref="AN9" si="28">ROUND(AM9*AK9,0)</f>
        <v>38483</v>
      </c>
      <c r="AO9" s="11">
        <f t="shared" ref="AO9" si="29">+AM9-AN9</f>
        <v>756360</v>
      </c>
      <c r="AP9" s="9">
        <f>ROUND(AO9*AK9,0)</f>
        <v>36620</v>
      </c>
      <c r="AQ9" s="11">
        <f t="shared" si="20"/>
        <v>719740</v>
      </c>
      <c r="AR9" s="9">
        <f t="shared" si="21"/>
        <v>34847</v>
      </c>
      <c r="AS9" s="11">
        <f t="shared" si="22"/>
        <v>684893</v>
      </c>
      <c r="AT9" s="9">
        <f t="shared" si="23"/>
        <v>33160</v>
      </c>
      <c r="AU9" s="11">
        <f t="shared" si="24"/>
        <v>651733</v>
      </c>
      <c r="AV9" s="9">
        <f>ROUND(AK9*AU9,0)</f>
        <v>31554</v>
      </c>
      <c r="AW9" s="11">
        <f t="shared" si="25"/>
        <v>620179</v>
      </c>
      <c r="AX9" s="9">
        <f>ROUND(AK9*AW9,0)</f>
        <v>30027</v>
      </c>
      <c r="AY9" s="11">
        <f>+AW9-AX9</f>
        <v>590152</v>
      </c>
      <c r="AZ9" s="11">
        <f t="shared" si="27"/>
        <v>508820</v>
      </c>
    </row>
    <row r="10" spans="1:53" x14ac:dyDescent="0.35">
      <c r="C10" s="3"/>
      <c r="E10" s="3" t="s">
        <v>38</v>
      </c>
      <c r="F10" s="13">
        <f t="shared" ref="F10:U10" si="30">SUM(F8:F9)</f>
        <v>1869733</v>
      </c>
      <c r="G10" s="13">
        <f t="shared" si="30"/>
        <v>13260</v>
      </c>
      <c r="H10" s="13">
        <f t="shared" si="30"/>
        <v>92824</v>
      </c>
      <c r="I10" s="13">
        <f t="shared" si="30"/>
        <v>88183</v>
      </c>
      <c r="J10" s="13">
        <f t="shared" si="30"/>
        <v>83773</v>
      </c>
      <c r="K10" s="13">
        <f t="shared" si="30"/>
        <v>79585</v>
      </c>
      <c r="L10" s="13">
        <f t="shared" si="30"/>
        <v>75606</v>
      </c>
      <c r="M10" s="13">
        <f t="shared" si="30"/>
        <v>71826</v>
      </c>
      <c r="N10" s="13">
        <f t="shared" si="30"/>
        <v>68234</v>
      </c>
      <c r="O10" s="13">
        <f t="shared" si="30"/>
        <v>64822</v>
      </c>
      <c r="P10" s="13">
        <f t="shared" si="30"/>
        <v>61581</v>
      </c>
      <c r="Q10" s="13">
        <f t="shared" si="30"/>
        <v>58502</v>
      </c>
      <c r="R10" s="13">
        <f t="shared" si="30"/>
        <v>55577</v>
      </c>
      <c r="S10" s="13">
        <f t="shared" si="30"/>
        <v>813773</v>
      </c>
      <c r="T10" s="28">
        <f t="shared" si="30"/>
        <v>1055960</v>
      </c>
      <c r="U10" s="13">
        <f t="shared" si="30"/>
        <v>93487</v>
      </c>
      <c r="V10" s="13"/>
      <c r="W10" s="13"/>
      <c r="X10" s="13"/>
      <c r="Y10" s="39"/>
      <c r="Z10" s="12"/>
      <c r="AA10" s="20">
        <f>SUM(AA8:AA9)</f>
        <v>962473</v>
      </c>
      <c r="AC10" s="10">
        <f t="shared" si="1"/>
        <v>0</v>
      </c>
      <c r="AF10" s="57">
        <f t="shared" ref="AF10:AJ10" si="31">SUM(AF8:AF9)</f>
        <v>51123</v>
      </c>
      <c r="AG10" s="57">
        <f t="shared" si="31"/>
        <v>1004837</v>
      </c>
      <c r="AH10" s="57"/>
      <c r="AI10" s="57">
        <f t="shared" si="31"/>
        <v>48648</v>
      </c>
      <c r="AJ10" s="13">
        <f t="shared" si="31"/>
        <v>956189</v>
      </c>
      <c r="AK10" s="57"/>
      <c r="AL10" s="13">
        <f t="shared" ref="AL10:AM10" si="32">SUM(AL8:AL9)</f>
        <v>46293</v>
      </c>
      <c r="AM10" s="13">
        <f t="shared" si="32"/>
        <v>909896</v>
      </c>
      <c r="AN10" s="20">
        <f t="shared" ref="AN10:AS10" si="33">SUM(AN8:AN9)</f>
        <v>44052</v>
      </c>
      <c r="AO10" s="20">
        <f t="shared" si="33"/>
        <v>865844</v>
      </c>
      <c r="AP10" s="20">
        <f t="shared" si="33"/>
        <v>41919</v>
      </c>
      <c r="AQ10" s="20">
        <f t="shared" si="33"/>
        <v>823925</v>
      </c>
      <c r="AR10" s="20">
        <f t="shared" si="33"/>
        <v>39890</v>
      </c>
      <c r="AS10" s="20">
        <f t="shared" si="33"/>
        <v>784035</v>
      </c>
      <c r="AT10" s="20">
        <f t="shared" ref="AT10:AU10" si="34">SUM(AT8:AT9)</f>
        <v>37958</v>
      </c>
      <c r="AU10" s="20">
        <f t="shared" si="34"/>
        <v>746077</v>
      </c>
      <c r="AV10" s="20">
        <f t="shared" ref="AV10:AY10" si="35">SUM(AV8:AV9)</f>
        <v>36120</v>
      </c>
      <c r="AW10" s="20">
        <f t="shared" si="35"/>
        <v>709957</v>
      </c>
      <c r="AX10" s="20">
        <f>SUM(AX8:AX9)</f>
        <v>34372</v>
      </c>
      <c r="AY10" s="20">
        <f t="shared" si="35"/>
        <v>675585</v>
      </c>
    </row>
    <row r="11" spans="1:53" x14ac:dyDescent="0.35">
      <c r="E11" s="1"/>
      <c r="F11" s="9"/>
      <c r="U11" s="11"/>
      <c r="V11" s="11"/>
      <c r="W11" s="11"/>
      <c r="X11" s="11"/>
      <c r="Y11" s="38"/>
      <c r="AC11" s="10"/>
      <c r="AJ11" s="11"/>
      <c r="AK11" s="8"/>
      <c r="AL11" s="11"/>
      <c r="AM11" s="11"/>
      <c r="AN11" s="11"/>
      <c r="AO11" s="11"/>
    </row>
    <row r="12" spans="1:53" x14ac:dyDescent="0.35">
      <c r="B12" t="s">
        <v>215</v>
      </c>
      <c r="D12" s="1">
        <v>60</v>
      </c>
      <c r="E12" s="54">
        <v>42998</v>
      </c>
      <c r="F12" s="9">
        <v>2793651.12</v>
      </c>
      <c r="U12" s="9">
        <f t="shared" ref="U12" si="36">ROUND(F12*5%,0)</f>
        <v>139683</v>
      </c>
      <c r="V12" s="11"/>
      <c r="W12" s="11"/>
      <c r="X12" s="11"/>
      <c r="Y12" s="38"/>
      <c r="AC12" s="10"/>
      <c r="AE12" s="10">
        <f>1-POWER((0.05*F12)/F12,1/D12)</f>
        <v>4.8702913310097462E-2</v>
      </c>
      <c r="AJ12" s="11">
        <v>0</v>
      </c>
      <c r="AK12" s="10">
        <f>1-POWER((0.05*F12)/F12,1/D12)</f>
        <v>4.8702913310097462E-2</v>
      </c>
      <c r="AL12" s="11">
        <v>0</v>
      </c>
      <c r="AM12" s="11">
        <v>0</v>
      </c>
      <c r="AN12" s="8">
        <f>ROUND((F12*AE12)/365*192,0)</f>
        <v>71571</v>
      </c>
      <c r="AO12" s="11">
        <f>+F12-AN12</f>
        <v>2722080.12</v>
      </c>
      <c r="AP12" s="9">
        <f>ROUND(AO12*AK12,0)</f>
        <v>132573</v>
      </c>
      <c r="AQ12" s="11">
        <f>+AO12-AP12</f>
        <v>2589507.12</v>
      </c>
      <c r="AR12" s="9">
        <f>ROUND(AQ12*AK12,0)</f>
        <v>126117</v>
      </c>
      <c r="AS12" s="11">
        <f>+AQ12-AR12</f>
        <v>2463390.12</v>
      </c>
      <c r="AT12" s="9">
        <f t="shared" ref="AT12" si="37">ROUND(AK12*AS12,0)</f>
        <v>119974</v>
      </c>
      <c r="AU12" s="11">
        <f>+AS12-AT12</f>
        <v>2343416.12</v>
      </c>
      <c r="AV12" s="9">
        <f>ROUND(AK12*AU12,0)</f>
        <v>114131</v>
      </c>
      <c r="AW12" s="11">
        <f>+AU12-AV12</f>
        <v>2229285.12</v>
      </c>
      <c r="AX12" s="190">
        <f>ROUND(AK12*AW12,0)</f>
        <v>108573</v>
      </c>
      <c r="AY12" s="11">
        <f t="shared" ref="AY12" si="38">+AW12-AX12</f>
        <v>2120712.12</v>
      </c>
      <c r="AZ12" s="11">
        <f t="shared" ref="AZ12" si="39">+AY12-U12</f>
        <v>1981029.12</v>
      </c>
    </row>
    <row r="13" spans="1:53" x14ac:dyDescent="0.35">
      <c r="E13" s="1"/>
      <c r="F13" s="9"/>
      <c r="U13" s="11"/>
      <c r="V13" s="11"/>
      <c r="W13" s="11"/>
      <c r="X13" s="11"/>
      <c r="Y13" s="38"/>
      <c r="AC13" s="10"/>
      <c r="AJ13" s="11"/>
      <c r="AK13" s="8"/>
      <c r="AL13" s="11"/>
      <c r="AM13" s="11"/>
      <c r="AN13" s="11"/>
      <c r="AO13" s="11"/>
    </row>
    <row r="14" spans="1:53" ht="16" thickBot="1" x14ac:dyDescent="0.4">
      <c r="B14" s="6" t="s">
        <v>44</v>
      </c>
      <c r="C14" s="3"/>
      <c r="E14" s="3" t="s">
        <v>39</v>
      </c>
      <c r="F14" s="16">
        <f>+F6+F10+F12</f>
        <v>5957358.1200000001</v>
      </c>
      <c r="G14" s="16">
        <f t="shared" ref="G14:T14" si="40">+G6+G10</f>
        <v>57751</v>
      </c>
      <c r="H14" s="16">
        <f t="shared" si="40"/>
        <v>155298</v>
      </c>
      <c r="I14" s="16">
        <f t="shared" si="40"/>
        <v>147533</v>
      </c>
      <c r="J14" s="16">
        <f t="shared" si="40"/>
        <v>140156</v>
      </c>
      <c r="K14" s="16">
        <f t="shared" si="40"/>
        <v>133149</v>
      </c>
      <c r="L14" s="16">
        <f t="shared" si="40"/>
        <v>126492</v>
      </c>
      <c r="M14" s="16">
        <f t="shared" si="40"/>
        <v>120167</v>
      </c>
      <c r="N14" s="16">
        <f t="shared" si="40"/>
        <v>114158</v>
      </c>
      <c r="O14" s="16">
        <f t="shared" si="40"/>
        <v>108450</v>
      </c>
      <c r="P14" s="16">
        <f t="shared" si="40"/>
        <v>103028</v>
      </c>
      <c r="Q14" s="16">
        <f t="shared" si="40"/>
        <v>97876</v>
      </c>
      <c r="R14" s="16">
        <f t="shared" si="40"/>
        <v>92983</v>
      </c>
      <c r="S14" s="16">
        <f t="shared" si="40"/>
        <v>1397041</v>
      </c>
      <c r="T14" s="29">
        <f t="shared" si="40"/>
        <v>1766666</v>
      </c>
      <c r="U14" s="16">
        <f>+U6+U10+U12</f>
        <v>297869</v>
      </c>
      <c r="V14" s="16"/>
      <c r="W14" s="16"/>
      <c r="X14" s="16"/>
      <c r="Y14" s="40"/>
      <c r="Z14" s="15"/>
      <c r="AA14" s="19">
        <f>+AA6+AA10</f>
        <v>1608480</v>
      </c>
      <c r="AB14">
        <f>SUM(AB5:AB11)</f>
        <v>84800</v>
      </c>
      <c r="AC14" s="10">
        <f t="shared" si="1"/>
        <v>5.7734322714439097</v>
      </c>
      <c r="AD14">
        <f>SUM(AD5:AD11)</f>
        <v>33070.843399421916</v>
      </c>
      <c r="AF14" s="58">
        <f t="shared" ref="AF14:AJ14" si="41">+AF6+AF10</f>
        <v>85521</v>
      </c>
      <c r="AG14" s="58">
        <f t="shared" si="41"/>
        <v>1681145</v>
      </c>
      <c r="AH14" s="58"/>
      <c r="AI14" s="58">
        <f t="shared" si="41"/>
        <v>81381</v>
      </c>
      <c r="AJ14" s="16">
        <f t="shared" si="41"/>
        <v>1599764</v>
      </c>
      <c r="AK14" s="58"/>
      <c r="AL14" s="16">
        <f>+AL6+AL10</f>
        <v>77442</v>
      </c>
      <c r="AM14" s="16">
        <f t="shared" ref="AM14:AN14" si="42">+AM6+AM10+AM12</f>
        <v>1522322</v>
      </c>
      <c r="AN14" s="16">
        <f t="shared" si="42"/>
        <v>145264</v>
      </c>
      <c r="AO14" s="16">
        <f>+AO6+AO10+AO12</f>
        <v>4170709.12</v>
      </c>
      <c r="AP14" s="16">
        <f>+AP6+AP10+AP12</f>
        <v>202699</v>
      </c>
      <c r="AQ14" s="16">
        <f>+AQ6+AQ10+AQ12</f>
        <v>3968010.12</v>
      </c>
      <c r="AR14" s="16">
        <f t="shared" ref="AR14:AS14" si="43">+AR6+AR10+AR12</f>
        <v>192848</v>
      </c>
      <c r="AS14" s="16">
        <f t="shared" si="43"/>
        <v>3775162.12</v>
      </c>
      <c r="AT14" s="16">
        <f t="shared" ref="AT14:AU14" si="44">+AT6+AT10+AT12</f>
        <v>183474</v>
      </c>
      <c r="AU14" s="16">
        <f t="shared" si="44"/>
        <v>3591688.12</v>
      </c>
      <c r="AV14" s="16">
        <f>+AV6+AV10+AV12</f>
        <v>174557</v>
      </c>
      <c r="AW14" s="16">
        <f t="shared" ref="AW14:AY14" si="45">+AW6+AW10+AW12</f>
        <v>3417131.12</v>
      </c>
      <c r="AX14" s="16">
        <f>+AX6+AX10+AX12</f>
        <v>166075</v>
      </c>
      <c r="AY14" s="16">
        <f t="shared" si="45"/>
        <v>3251056.12</v>
      </c>
      <c r="BA14" s="132"/>
    </row>
    <row r="15" spans="1:53" ht="16" thickTop="1" x14ac:dyDescent="0.35">
      <c r="F15" s="9"/>
      <c r="U15" s="11"/>
      <c r="V15" s="11"/>
      <c r="W15" s="11"/>
      <c r="X15" s="11"/>
      <c r="Y15" s="11"/>
      <c r="AL15" s="10"/>
    </row>
    <row r="16" spans="1:53" x14ac:dyDescent="0.35">
      <c r="F16" s="9"/>
      <c r="U16" s="11"/>
      <c r="V16" s="11"/>
      <c r="W16" s="11"/>
      <c r="X16" s="11"/>
      <c r="Y16" s="11"/>
    </row>
    <row r="17" spans="5:40" x14ac:dyDescent="0.35">
      <c r="E17" s="117"/>
      <c r="F17" s="117"/>
      <c r="V17" s="11"/>
      <c r="W17" s="11"/>
      <c r="X17" s="11"/>
      <c r="Y17" s="11">
        <f>T17-U17</f>
        <v>0</v>
      </c>
      <c r="Z17" s="10" t="e">
        <f>Y17/T17</f>
        <v>#DIV/0!</v>
      </c>
    </row>
    <row r="18" spans="5:40" x14ac:dyDescent="0.35">
      <c r="F18" s="9"/>
      <c r="T18">
        <v>365</v>
      </c>
      <c r="U18" s="11"/>
      <c r="V18" s="11"/>
      <c r="W18" s="11"/>
      <c r="X18" s="11"/>
      <c r="Y18" s="11">
        <f>T18-U18</f>
        <v>365</v>
      </c>
      <c r="Z18" s="10">
        <f>Y18/T18</f>
        <v>1</v>
      </c>
    </row>
    <row r="19" spans="5:40" x14ac:dyDescent="0.35">
      <c r="F19" s="9"/>
      <c r="U19" s="11"/>
      <c r="V19" s="11"/>
      <c r="W19" s="11"/>
      <c r="X19" s="11"/>
      <c r="Y19" s="11"/>
      <c r="AF19" s="112"/>
      <c r="AG19" s="112"/>
      <c r="AH19" s="112"/>
      <c r="AI19" s="111"/>
      <c r="AJ19" s="111"/>
      <c r="AK19" s="111"/>
      <c r="AL19" s="111"/>
      <c r="AM19" s="111"/>
    </row>
    <row r="20" spans="5:40" x14ac:dyDescent="0.35">
      <c r="F20" s="9"/>
      <c r="U20" s="11"/>
      <c r="V20" s="11"/>
      <c r="W20" s="11"/>
      <c r="X20" s="11"/>
      <c r="Y20" s="11"/>
      <c r="AF20" s="112"/>
      <c r="AG20" s="112"/>
      <c r="AH20" s="112"/>
      <c r="AI20" s="1"/>
      <c r="AJ20" s="1"/>
      <c r="AK20" s="113"/>
      <c r="AL20" s="113"/>
      <c r="AM20" s="114"/>
    </row>
    <row r="21" spans="5:40" x14ac:dyDescent="0.35">
      <c r="F21" s="9"/>
      <c r="U21" s="11"/>
      <c r="V21" s="11"/>
      <c r="W21" s="11"/>
      <c r="X21" s="11"/>
      <c r="Y21" s="11"/>
      <c r="AE21" s="115"/>
      <c r="AF21" s="112"/>
      <c r="AG21" s="112"/>
      <c r="AH21" s="112"/>
      <c r="AI21" s="11"/>
      <c r="AJ21" s="11"/>
      <c r="AK21" s="11"/>
      <c r="AL21" s="11"/>
      <c r="AM21" s="11"/>
      <c r="AN21" s="116"/>
    </row>
    <row r="22" spans="5:40" x14ac:dyDescent="0.35">
      <c r="U22" s="11"/>
      <c r="V22" s="11"/>
      <c r="W22" s="11"/>
      <c r="X22" s="11"/>
      <c r="Y22" s="11"/>
      <c r="AE22" s="115"/>
      <c r="AF22" s="112"/>
      <c r="AG22" s="112"/>
      <c r="AH22" s="112"/>
      <c r="AI22" s="11"/>
      <c r="AJ22" s="11"/>
      <c r="AK22" s="11"/>
      <c r="AL22" s="11"/>
      <c r="AM22" s="11"/>
      <c r="AN22" s="116"/>
    </row>
    <row r="23" spans="5:40" x14ac:dyDescent="0.35">
      <c r="AE23" s="115"/>
      <c r="AF23" s="112"/>
      <c r="AG23" s="112"/>
      <c r="AH23" s="112"/>
      <c r="AI23" s="11"/>
      <c r="AJ23" s="11"/>
      <c r="AK23" s="11"/>
      <c r="AL23" s="11"/>
      <c r="AM23" s="11"/>
      <c r="AN23" s="116"/>
    </row>
    <row r="24" spans="5:40" x14ac:dyDescent="0.35">
      <c r="AE24" s="115"/>
      <c r="AF24" s="112"/>
      <c r="AG24" s="112"/>
      <c r="AH24" s="112"/>
      <c r="AI24" s="11"/>
      <c r="AJ24" s="11"/>
      <c r="AK24" s="11"/>
      <c r="AL24" s="11"/>
      <c r="AM24" s="11"/>
      <c r="AN24" s="116"/>
    </row>
    <row r="25" spans="5:40" x14ac:dyDescent="0.35">
      <c r="AE25" s="115"/>
      <c r="AF25" s="112"/>
      <c r="AG25" s="112"/>
      <c r="AH25" s="112"/>
      <c r="AI25" s="11"/>
      <c r="AJ25" s="11"/>
      <c r="AK25" s="11"/>
      <c r="AL25" s="11"/>
      <c r="AM25" s="11"/>
      <c r="AN25" s="116"/>
    </row>
    <row r="26" spans="5:40" x14ac:dyDescent="0.35">
      <c r="AE26" s="115"/>
      <c r="AF26" s="112"/>
      <c r="AG26" s="112"/>
      <c r="AH26" s="112"/>
      <c r="AI26" s="11"/>
      <c r="AJ26" s="11"/>
      <c r="AK26" s="11"/>
      <c r="AL26" s="11"/>
      <c r="AM26" s="11"/>
      <c r="AN26" s="116"/>
    </row>
    <row r="27" spans="5:40" x14ac:dyDescent="0.35">
      <c r="AE27" s="115"/>
      <c r="AF27" s="112"/>
      <c r="AG27" s="112"/>
      <c r="AH27" s="112"/>
      <c r="AI27" s="11"/>
      <c r="AJ27" s="11"/>
      <c r="AK27" s="11"/>
      <c r="AL27" s="11"/>
      <c r="AM27" s="11"/>
      <c r="AN27" s="116"/>
    </row>
    <row r="28" spans="5:40" x14ac:dyDescent="0.35">
      <c r="AE28" s="115"/>
      <c r="AF28" s="112"/>
      <c r="AG28" s="112"/>
      <c r="AH28" s="112"/>
      <c r="AI28" s="11"/>
      <c r="AJ28" s="11"/>
      <c r="AK28" s="11"/>
      <c r="AL28" s="11"/>
      <c r="AM28" s="11"/>
      <c r="AN28" s="116"/>
    </row>
    <row r="29" spans="5:40" x14ac:dyDescent="0.35">
      <c r="AE29" s="115"/>
      <c r="AF29" s="112"/>
      <c r="AG29" s="112"/>
      <c r="AH29" s="112"/>
      <c r="AI29" s="11"/>
      <c r="AJ29" s="11"/>
      <c r="AK29" s="11"/>
      <c r="AL29" s="11"/>
      <c r="AM29" s="11"/>
      <c r="AN29" s="116"/>
    </row>
    <row r="30" spans="5:40" x14ac:dyDescent="0.35">
      <c r="AE30" s="115"/>
      <c r="AF30" s="112"/>
      <c r="AG30" s="112"/>
      <c r="AH30" s="112"/>
      <c r="AI30" s="11"/>
      <c r="AJ30" s="11"/>
      <c r="AK30" s="11"/>
      <c r="AL30" s="11"/>
      <c r="AM30" s="11"/>
      <c r="AN30" s="116"/>
    </row>
    <row r="31" spans="5:40" x14ac:dyDescent="0.35">
      <c r="AE31" s="115"/>
      <c r="AF31" s="112"/>
      <c r="AG31" s="112"/>
      <c r="AH31" s="112"/>
      <c r="AI31" s="11"/>
      <c r="AJ31" s="11"/>
      <c r="AK31" s="11"/>
      <c r="AL31" s="11"/>
      <c r="AM31" s="11"/>
      <c r="AN31" s="116"/>
    </row>
    <row r="32" spans="5:40" x14ac:dyDescent="0.35">
      <c r="AE32" s="115"/>
      <c r="AF32" s="112"/>
      <c r="AG32" s="112"/>
      <c r="AH32" s="112"/>
      <c r="AI32" s="11"/>
      <c r="AJ32" s="11"/>
      <c r="AK32" s="11"/>
      <c r="AL32" s="11"/>
      <c r="AM32" s="11"/>
      <c r="AN32" s="116"/>
    </row>
    <row r="33" spans="31:40" x14ac:dyDescent="0.35">
      <c r="AE33" s="115"/>
      <c r="AF33" s="112"/>
      <c r="AG33" s="112"/>
      <c r="AH33" s="112"/>
      <c r="AI33" s="11"/>
      <c r="AJ33" s="11"/>
      <c r="AK33" s="11"/>
      <c r="AL33" s="11"/>
      <c r="AM33" s="11"/>
      <c r="AN33" s="116"/>
    </row>
    <row r="34" spans="31:40" x14ac:dyDescent="0.35">
      <c r="AE34" s="115"/>
      <c r="AF34" s="112"/>
      <c r="AG34" s="112"/>
      <c r="AH34" s="112"/>
      <c r="AI34" s="11"/>
      <c r="AJ34" s="11"/>
      <c r="AK34" s="11"/>
      <c r="AL34" s="11"/>
      <c r="AM34" s="11"/>
      <c r="AN34" s="116"/>
    </row>
    <row r="35" spans="31:40" x14ac:dyDescent="0.35">
      <c r="AE35" s="115"/>
      <c r="AF35" s="112"/>
      <c r="AG35" s="112"/>
      <c r="AH35" s="112"/>
      <c r="AI35" s="11"/>
      <c r="AJ35" s="11"/>
      <c r="AK35" s="11"/>
      <c r="AL35" s="11"/>
      <c r="AM35" s="11"/>
      <c r="AN35" s="116"/>
    </row>
    <row r="36" spans="31:40" x14ac:dyDescent="0.35">
      <c r="AE36" s="115"/>
      <c r="AF36" s="112"/>
      <c r="AG36" s="112"/>
      <c r="AH36" s="112"/>
      <c r="AI36" s="11"/>
      <c r="AJ36" s="11"/>
      <c r="AK36" s="11"/>
      <c r="AL36" s="11"/>
      <c r="AM36" s="11"/>
      <c r="AN36" s="116"/>
    </row>
    <row r="37" spans="31:40" x14ac:dyDescent="0.35">
      <c r="AE37" s="115"/>
      <c r="AF37" s="112"/>
      <c r="AG37" s="112"/>
      <c r="AH37" s="112"/>
      <c r="AI37" s="11"/>
      <c r="AJ37" s="11"/>
      <c r="AK37" s="11"/>
      <c r="AL37" s="11"/>
      <c r="AM37" s="11"/>
      <c r="AN37" s="116"/>
    </row>
    <row r="38" spans="31:40" x14ac:dyDescent="0.35">
      <c r="AF38" s="112"/>
      <c r="AG38" s="112"/>
      <c r="AH38" s="112"/>
      <c r="AI38" s="11"/>
      <c r="AJ38" s="11"/>
      <c r="AK38" s="11"/>
      <c r="AL38" s="11"/>
      <c r="AM38" s="11"/>
    </row>
    <row r="41" spans="31:40" x14ac:dyDescent="0.35">
      <c r="AI41" s="11"/>
    </row>
  </sheetData>
  <mergeCells count="2">
    <mergeCell ref="A1:Y1"/>
    <mergeCell ref="G3:R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25"/>
  <sheetViews>
    <sheetView workbookViewId="0">
      <selection activeCell="F26" sqref="F26"/>
    </sheetView>
  </sheetViews>
  <sheetFormatPr defaultRowHeight="15.5" x14ac:dyDescent="0.35"/>
  <cols>
    <col min="1" max="1" width="3.33203125" customWidth="1"/>
    <col min="2" max="2" width="15" customWidth="1"/>
    <col min="3" max="3" width="5.58203125" hidden="1" customWidth="1"/>
    <col min="4" max="4" width="6.25" customWidth="1"/>
    <col min="5" max="5" width="10.08203125" customWidth="1"/>
    <col min="6" max="6" width="11.83203125" customWidth="1"/>
    <col min="7" max="7" width="8.58203125" hidden="1" customWidth="1"/>
    <col min="8" max="13" width="10.08203125" hidden="1" customWidth="1"/>
    <col min="14" max="18" width="8.58203125" hidden="1" customWidth="1"/>
    <col min="19" max="19" width="11.58203125" hidden="1" customWidth="1"/>
    <col min="20" max="20" width="11" hidden="1" customWidth="1"/>
    <col min="21" max="21" width="10.08203125" customWidth="1"/>
    <col min="22" max="22" width="6.5" hidden="1" customWidth="1"/>
    <col min="23" max="26" width="9.33203125" hidden="1" customWidth="1"/>
    <col min="27" max="27" width="13" hidden="1" customWidth="1"/>
    <col min="28" max="28" width="11.58203125" hidden="1" customWidth="1"/>
    <col min="29" max="30" width="0" hidden="1" customWidth="1"/>
    <col min="31" max="31" width="5.58203125" bestFit="1" customWidth="1"/>
    <col min="32" max="32" width="11.08203125" style="8" hidden="1" customWidth="1"/>
    <col min="33" max="33" width="12.58203125" style="8" hidden="1" customWidth="1"/>
    <col min="34" max="34" width="12.58203125" hidden="1" customWidth="1"/>
    <col min="35" max="35" width="11.75" hidden="1" customWidth="1"/>
    <col min="36" max="36" width="11.33203125" hidden="1" customWidth="1"/>
    <col min="37" max="37" width="11.08203125" hidden="1" customWidth="1"/>
    <col min="38" max="38" width="11.33203125" hidden="1" customWidth="1"/>
    <col min="39" max="39" width="11.33203125" customWidth="1"/>
    <col min="40" max="40" width="11.5" hidden="1" customWidth="1"/>
    <col min="41" max="41" width="12.08203125" customWidth="1"/>
    <col min="42" max="42" width="12.08203125" hidden="1" customWidth="1"/>
    <col min="43" max="47" width="12.08203125" customWidth="1"/>
    <col min="48" max="48" width="11.58203125" customWidth="1"/>
    <col min="49" max="49" width="10.25" customWidth="1"/>
    <col min="50" max="50" width="10.25" bestFit="1" customWidth="1"/>
    <col min="51" max="51" width="9.75" customWidth="1"/>
  </cols>
  <sheetData>
    <row r="1" spans="1:51" x14ac:dyDescent="0.35">
      <c r="A1" s="111" t="s">
        <v>51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</row>
    <row r="2" spans="1:51" x14ac:dyDescent="0.35">
      <c r="AB2" t="s">
        <v>36</v>
      </c>
      <c r="AD2" t="s">
        <v>184</v>
      </c>
    </row>
    <row r="3" spans="1:51" x14ac:dyDescent="0.35">
      <c r="A3" s="2" t="s">
        <v>14</v>
      </c>
      <c r="B3" s="2" t="s">
        <v>17</v>
      </c>
      <c r="C3" s="36" t="s">
        <v>34</v>
      </c>
      <c r="D3" s="36" t="s">
        <v>19</v>
      </c>
      <c r="E3" s="2" t="s">
        <v>20</v>
      </c>
      <c r="F3" s="2" t="s">
        <v>23</v>
      </c>
      <c r="G3" s="193" t="s">
        <v>22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2" t="s">
        <v>13</v>
      </c>
      <c r="T3" s="2" t="s">
        <v>36</v>
      </c>
      <c r="U3" s="2" t="s">
        <v>24</v>
      </c>
      <c r="V3" s="2" t="s">
        <v>52</v>
      </c>
      <c r="W3" s="2" t="s">
        <v>52</v>
      </c>
      <c r="X3" s="2"/>
      <c r="Y3" s="2" t="s">
        <v>191</v>
      </c>
      <c r="Z3" s="2" t="s">
        <v>104</v>
      </c>
      <c r="AA3" s="2" t="s">
        <v>54</v>
      </c>
      <c r="AB3" s="48" t="s">
        <v>22</v>
      </c>
      <c r="AC3" s="48" t="s">
        <v>170</v>
      </c>
      <c r="AE3" s="68" t="s">
        <v>35</v>
      </c>
      <c r="AF3" s="60" t="s">
        <v>195</v>
      </c>
      <c r="AG3" s="59" t="s">
        <v>36</v>
      </c>
      <c r="AH3" s="2" t="s">
        <v>196</v>
      </c>
      <c r="AI3" s="60" t="s">
        <v>36</v>
      </c>
      <c r="AJ3" s="2" t="s">
        <v>198</v>
      </c>
      <c r="AK3" s="60" t="s">
        <v>36</v>
      </c>
      <c r="AL3" s="2" t="s">
        <v>211</v>
      </c>
      <c r="AM3" s="60" t="s">
        <v>36</v>
      </c>
      <c r="AN3" s="2" t="s">
        <v>219</v>
      </c>
      <c r="AO3" s="60" t="s">
        <v>36</v>
      </c>
      <c r="AP3" s="2" t="s">
        <v>226</v>
      </c>
      <c r="AQ3" s="60" t="s">
        <v>36</v>
      </c>
      <c r="AR3" s="2" t="s">
        <v>230</v>
      </c>
      <c r="AS3" s="60" t="s">
        <v>36</v>
      </c>
      <c r="AT3" s="2" t="s">
        <v>230</v>
      </c>
      <c r="AU3" s="60" t="s">
        <v>36</v>
      </c>
      <c r="AV3" s="2" t="s">
        <v>240</v>
      </c>
      <c r="AW3" s="60" t="s">
        <v>36</v>
      </c>
    </row>
    <row r="4" spans="1:51" x14ac:dyDescent="0.35">
      <c r="A4" s="4" t="s">
        <v>16</v>
      </c>
      <c r="B4" s="4" t="s">
        <v>18</v>
      </c>
      <c r="C4" s="37" t="s">
        <v>35</v>
      </c>
      <c r="D4" s="37" t="s">
        <v>28</v>
      </c>
      <c r="E4" s="4" t="s">
        <v>21</v>
      </c>
      <c r="F4" s="4" t="s">
        <v>15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5" t="s">
        <v>10</v>
      </c>
      <c r="Q4" s="5" t="s">
        <v>11</v>
      </c>
      <c r="R4" s="5" t="s">
        <v>12</v>
      </c>
      <c r="S4" s="4" t="s">
        <v>22</v>
      </c>
      <c r="T4" s="4" t="s">
        <v>37</v>
      </c>
      <c r="U4" s="4" t="s">
        <v>25</v>
      </c>
      <c r="V4" s="4" t="s">
        <v>104</v>
      </c>
      <c r="W4" s="4" t="s">
        <v>53</v>
      </c>
      <c r="X4" s="4"/>
      <c r="Y4" s="4" t="s">
        <v>192</v>
      </c>
      <c r="Z4" s="4" t="s">
        <v>193</v>
      </c>
      <c r="AA4" s="4" t="s">
        <v>55</v>
      </c>
      <c r="AB4" s="48" t="s">
        <v>169</v>
      </c>
      <c r="AC4" s="48" t="s">
        <v>171</v>
      </c>
      <c r="AE4" s="69" t="s">
        <v>194</v>
      </c>
      <c r="AF4" s="66" t="s">
        <v>22</v>
      </c>
      <c r="AG4" s="67" t="s">
        <v>189</v>
      </c>
      <c r="AH4" s="4" t="s">
        <v>22</v>
      </c>
      <c r="AI4" s="62" t="s">
        <v>197</v>
      </c>
      <c r="AJ4" s="4" t="s">
        <v>22</v>
      </c>
      <c r="AK4" s="62" t="s">
        <v>199</v>
      </c>
      <c r="AL4" s="4" t="s">
        <v>22</v>
      </c>
      <c r="AM4" s="62" t="s">
        <v>212</v>
      </c>
      <c r="AN4" s="4" t="s">
        <v>22</v>
      </c>
      <c r="AO4" s="62" t="s">
        <v>220</v>
      </c>
      <c r="AP4" s="4" t="s">
        <v>22</v>
      </c>
      <c r="AQ4" s="62" t="s">
        <v>227</v>
      </c>
      <c r="AR4" s="4" t="s">
        <v>22</v>
      </c>
      <c r="AS4" s="62" t="s">
        <v>231</v>
      </c>
      <c r="AT4" s="4" t="s">
        <v>22</v>
      </c>
      <c r="AU4" s="62" t="s">
        <v>231</v>
      </c>
      <c r="AV4" s="4" t="s">
        <v>22</v>
      </c>
      <c r="AW4" s="62" t="s">
        <v>239</v>
      </c>
      <c r="AX4" s="48" t="s">
        <v>223</v>
      </c>
    </row>
    <row r="5" spans="1:51" x14ac:dyDescent="0.35">
      <c r="A5" s="1">
        <v>1</v>
      </c>
      <c r="B5" t="s">
        <v>46</v>
      </c>
      <c r="C5" s="17">
        <v>0.1</v>
      </c>
      <c r="D5" s="1">
        <v>30</v>
      </c>
      <c r="E5" s="54">
        <v>37461</v>
      </c>
      <c r="F5" s="9">
        <v>3327501</v>
      </c>
      <c r="G5" s="9">
        <f>ROUND((F5*C5)*251/365,0)</f>
        <v>228823</v>
      </c>
      <c r="H5" s="9">
        <f>ROUND((F5-G5)*C5,0)</f>
        <v>309868</v>
      </c>
      <c r="I5" s="9">
        <f>ROUND((F5-G5-H5)*C5,0)</f>
        <v>278881</v>
      </c>
      <c r="J5" s="9">
        <f>ROUND((F5-G5-H5-I5)*C5,0)</f>
        <v>250993</v>
      </c>
      <c r="K5" s="9">
        <f>ROUND((F5-G5-H5-I5-J5)*C5,0)</f>
        <v>225894</v>
      </c>
      <c r="L5" s="9">
        <f>ROUND((F5-G5-H5-I5-J5-K5)*C5,0)</f>
        <v>203304</v>
      </c>
      <c r="M5" s="9">
        <f>ROUND((F5-G5-H5-I5-J5-K5-L5)*C5,0)</f>
        <v>182974</v>
      </c>
      <c r="N5" s="9">
        <f>ROUND((F5-G5-H5-I5-J5-K5-L5-M5)*C5,0)</f>
        <v>164676</v>
      </c>
      <c r="O5" s="9">
        <f>ROUND((F5-G5-H5-I5-J5-K5-L5-M5-N5)*C5,0)</f>
        <v>148209</v>
      </c>
      <c r="P5" s="9">
        <f>ROUND((F5-G5-H5-I5-J5-K5-L5-M5-N5-O5)*C5,0)</f>
        <v>133388</v>
      </c>
      <c r="Q5" s="9">
        <f>ROUND((F5-G5-H5-I5-J5-K5-L5-M5-N5-O5-P5)*C5,0)</f>
        <v>120049</v>
      </c>
      <c r="R5" s="9">
        <f>ROUND((F5-G5-H5-I5-J5-K5-L5-M5-N5-O5-P5-Q5)*C5,0)</f>
        <v>108044</v>
      </c>
      <c r="S5" s="11">
        <f>SUM(G5:R5)-1</f>
        <v>2355102</v>
      </c>
      <c r="T5" s="11">
        <f>+F5-S5</f>
        <v>972399</v>
      </c>
      <c r="U5" s="9">
        <f>ROUND(F5*5%,0)</f>
        <v>166375</v>
      </c>
      <c r="V5" s="38" t="s">
        <v>105</v>
      </c>
      <c r="W5" s="1">
        <v>18.309999999999999</v>
      </c>
      <c r="X5" s="52">
        <v>41729</v>
      </c>
      <c r="Y5" s="55">
        <f>X5-E5</f>
        <v>4268</v>
      </c>
      <c r="Z5" s="53">
        <f>((365*D5)-Y5)/365</f>
        <v>18.306849315068494</v>
      </c>
      <c r="AA5" s="9">
        <f>T5-U5</f>
        <v>806024</v>
      </c>
      <c r="AB5">
        <v>89461</v>
      </c>
      <c r="AC5" s="10">
        <f>AB5/(T5-U5)*100</f>
        <v>11.099049159826507</v>
      </c>
      <c r="AD5">
        <f>(T5-U5)/W5</f>
        <v>44020.972146368105</v>
      </c>
      <c r="AE5" s="10">
        <f>1-POWER((0.05*F5)/T5,1/Z5)</f>
        <v>9.19360710020376E-2</v>
      </c>
      <c r="AF5" s="8">
        <f>ROUND(T5*AE5,0)</f>
        <v>89399</v>
      </c>
      <c r="AG5" s="8">
        <f>+T5-AF5</f>
        <v>883000</v>
      </c>
      <c r="AH5" s="8">
        <f>ROUND(AE5*AG5,0)</f>
        <v>81180</v>
      </c>
      <c r="AI5" s="11">
        <f>AG5-AH5</f>
        <v>801820</v>
      </c>
      <c r="AJ5" s="9">
        <f>ROUND(AE5*AI5,0)</f>
        <v>73716</v>
      </c>
      <c r="AK5" s="11">
        <f>AI5-AJ5</f>
        <v>728104</v>
      </c>
      <c r="AL5" s="9">
        <f>ROUND(AK5*AE5,0)</f>
        <v>66939</v>
      </c>
      <c r="AM5" s="11">
        <f>AK5-AL5</f>
        <v>661165</v>
      </c>
      <c r="AN5" s="9">
        <f>ROUND(AM5*AE5,0)</f>
        <v>60785</v>
      </c>
      <c r="AO5" s="11">
        <f>AM5-AN5</f>
        <v>600380</v>
      </c>
      <c r="AP5" s="9">
        <f>ROUND(AO5*AE5,0)</f>
        <v>55197</v>
      </c>
      <c r="AQ5" s="11">
        <f>AO5-AP5</f>
        <v>545183</v>
      </c>
      <c r="AR5" s="9">
        <f>ROUND(AQ5*AE5,0)</f>
        <v>50122</v>
      </c>
      <c r="AS5" s="11">
        <f>AQ5-AR5</f>
        <v>495061</v>
      </c>
      <c r="AT5" s="9">
        <f>ROUND(AS5*AE5,0)</f>
        <v>45514</v>
      </c>
      <c r="AU5" s="11">
        <f>AS5-AT5</f>
        <v>449547</v>
      </c>
      <c r="AV5" s="9">
        <f>ROUND(AU5*AE5,0)</f>
        <v>41330</v>
      </c>
      <c r="AW5" s="11">
        <f>AU5-AV5</f>
        <v>408217</v>
      </c>
      <c r="AX5" s="11">
        <f>+AW5-U5</f>
        <v>241842</v>
      </c>
    </row>
    <row r="6" spans="1:51" x14ac:dyDescent="0.35">
      <c r="A6" s="1">
        <v>2</v>
      </c>
      <c r="B6" t="s">
        <v>47</v>
      </c>
      <c r="C6" s="17">
        <v>0.1</v>
      </c>
      <c r="D6" s="1">
        <v>30</v>
      </c>
      <c r="E6" s="54">
        <v>37690</v>
      </c>
      <c r="F6" s="9">
        <v>552185</v>
      </c>
      <c r="G6" s="9">
        <f>ROUND((F6*C6)*22/365,0)</f>
        <v>3328</v>
      </c>
      <c r="H6" s="9">
        <f>ROUND((F6-G6)*C6,0)</f>
        <v>54886</v>
      </c>
      <c r="I6" s="9">
        <f>ROUND((F6-G6-H6)*C6,0)</f>
        <v>49397</v>
      </c>
      <c r="J6" s="9">
        <f>ROUND((F6-G6-H6-I6)*C6,0)</f>
        <v>44457</v>
      </c>
      <c r="K6" s="9">
        <f>ROUND((F6-G6-H6-I6-J6)*C6,0)</f>
        <v>40012</v>
      </c>
      <c r="L6" s="9">
        <f>ROUND((F6-G6-H6-I6-J6-K6)*C6,0)</f>
        <v>36011</v>
      </c>
      <c r="M6" s="9">
        <f>ROUND((F6-G6-H6-I6-J6-K6-L6)*C6,0)</f>
        <v>32409</v>
      </c>
      <c r="N6" s="9">
        <f>ROUND((F6-G6-H6-I6-J6-K6-L6-M6)*C6,0)</f>
        <v>29169</v>
      </c>
      <c r="O6" s="9">
        <f>ROUND((F6-G6-H6-I6-J6-K6-L6-M6-N6)*C6,0)</f>
        <v>26252</v>
      </c>
      <c r="P6" s="9">
        <f>ROUND((F6-G6-H6-I6-J6-K6-L6-M6-N6-O6)*C6,0)</f>
        <v>23626</v>
      </c>
      <c r="Q6" s="9">
        <f>ROUND((F6-G6-H6-I6-J6-K6-L6-M6-N6-O6-P6)*C6,0)</f>
        <v>21264</v>
      </c>
      <c r="R6" s="9">
        <f>ROUND((F6-G6-H6-I6-J6-K6-L6-M6-N6-O6-P6-Q6)*C6,0)</f>
        <v>19137</v>
      </c>
      <c r="S6" s="11">
        <f>SUM(G6:R6)-1</f>
        <v>379947</v>
      </c>
      <c r="T6" s="11">
        <f t="shared" ref="T6" si="0">+F6-S6</f>
        <v>172238</v>
      </c>
      <c r="U6" s="9">
        <f t="shared" ref="U6" si="1">ROUND(F6*5%,0)</f>
        <v>27609</v>
      </c>
      <c r="V6" s="38" t="s">
        <v>106</v>
      </c>
      <c r="W6" s="1">
        <v>18.940000000000001</v>
      </c>
      <c r="X6" s="52">
        <v>41729</v>
      </c>
      <c r="Y6" s="55">
        <f>X6-E6</f>
        <v>4039</v>
      </c>
      <c r="Z6" s="53">
        <f>((365*D6)-Y6)/365</f>
        <v>18.934246575342467</v>
      </c>
      <c r="AA6" s="9">
        <f>T6-U6</f>
        <v>144629</v>
      </c>
      <c r="AB6">
        <v>15846</v>
      </c>
      <c r="AC6" s="10">
        <f t="shared" ref="AC6:AC11" si="2">AB6/(T6-U6)*100</f>
        <v>10.956308900704562</v>
      </c>
      <c r="AD6">
        <f>(T6-U6)/W6</f>
        <v>7636.166842661034</v>
      </c>
      <c r="AE6" s="10">
        <f>1-POWER((0.05*F6)/T6,1/Z6)</f>
        <v>9.2161365033037068E-2</v>
      </c>
      <c r="AF6" s="8">
        <f>ROUND(T6*AE6,0)</f>
        <v>15874</v>
      </c>
      <c r="AG6" s="8">
        <f>+T6-AF6</f>
        <v>156364</v>
      </c>
      <c r="AH6" s="8">
        <f>ROUND(AE6*AG6,0)</f>
        <v>14411</v>
      </c>
      <c r="AI6" s="11">
        <f>AG6-AH6</f>
        <v>141953</v>
      </c>
      <c r="AJ6" s="9">
        <f>ROUND(AE6*AI6,0)</f>
        <v>13083</v>
      </c>
      <c r="AK6" s="11">
        <f>AI6-AJ6</f>
        <v>128870</v>
      </c>
      <c r="AL6" s="9">
        <f>ROUND(AK6*AE6,0)</f>
        <v>11877</v>
      </c>
      <c r="AM6" s="11">
        <f>AK6-AL6</f>
        <v>116993</v>
      </c>
      <c r="AN6" s="9">
        <f>ROUND(AM6*AE6,0)</f>
        <v>10782</v>
      </c>
      <c r="AO6" s="11">
        <f>AM6-AN6</f>
        <v>106211</v>
      </c>
      <c r="AP6" s="9">
        <f>ROUND(AO6*AE6,0)</f>
        <v>9789</v>
      </c>
      <c r="AQ6" s="11">
        <f>AO6-AP6</f>
        <v>96422</v>
      </c>
      <c r="AR6" s="9">
        <f>ROUND(AQ6*AE6,0)</f>
        <v>8886</v>
      </c>
      <c r="AS6" s="11">
        <f>AQ6-AR6</f>
        <v>87536</v>
      </c>
      <c r="AT6" s="9">
        <f>ROUND(AS6*AE6,0)</f>
        <v>8067</v>
      </c>
      <c r="AU6" s="11">
        <f>AS6-AT6</f>
        <v>79469</v>
      </c>
      <c r="AV6" s="9">
        <f>ROUND(AU6*AE6,0)</f>
        <v>7324</v>
      </c>
      <c r="AW6" s="11">
        <f>AU6-AV6</f>
        <v>72145</v>
      </c>
      <c r="AX6" s="11">
        <f>+AW6-U6</f>
        <v>44536</v>
      </c>
    </row>
    <row r="7" spans="1:51" x14ac:dyDescent="0.35">
      <c r="C7" s="3"/>
      <c r="E7" s="3" t="s">
        <v>38</v>
      </c>
      <c r="F7" s="13">
        <f>SUM(F5:F6)</f>
        <v>3879686</v>
      </c>
      <c r="G7" s="13">
        <f t="shared" ref="G7:U7" si="3">SUM(G5:G6)</f>
        <v>232151</v>
      </c>
      <c r="H7" s="13">
        <f t="shared" si="3"/>
        <v>364754</v>
      </c>
      <c r="I7" s="13">
        <f t="shared" si="3"/>
        <v>328278</v>
      </c>
      <c r="J7" s="13">
        <f t="shared" si="3"/>
        <v>295450</v>
      </c>
      <c r="K7" s="13">
        <f t="shared" si="3"/>
        <v>265906</v>
      </c>
      <c r="L7" s="13">
        <f t="shared" si="3"/>
        <v>239315</v>
      </c>
      <c r="M7" s="13">
        <f t="shared" si="3"/>
        <v>215383</v>
      </c>
      <c r="N7" s="13">
        <f t="shared" si="3"/>
        <v>193845</v>
      </c>
      <c r="O7" s="13">
        <f t="shared" si="3"/>
        <v>174461</v>
      </c>
      <c r="P7" s="13">
        <f t="shared" si="3"/>
        <v>157014</v>
      </c>
      <c r="Q7" s="13">
        <f t="shared" si="3"/>
        <v>141313</v>
      </c>
      <c r="R7" s="13">
        <f t="shared" si="3"/>
        <v>127181</v>
      </c>
      <c r="S7" s="13">
        <f t="shared" si="3"/>
        <v>2735049</v>
      </c>
      <c r="T7" s="28">
        <f t="shared" si="3"/>
        <v>1144637</v>
      </c>
      <c r="U7" s="13">
        <f t="shared" si="3"/>
        <v>193984</v>
      </c>
      <c r="V7" s="34"/>
      <c r="W7" s="12"/>
      <c r="X7" s="12"/>
      <c r="Y7" s="12"/>
      <c r="Z7" s="12"/>
      <c r="AA7" s="20">
        <f>SUM(AA5:AA6)</f>
        <v>950653</v>
      </c>
      <c r="AB7" s="20">
        <f>SUM(AB5:AB6)</f>
        <v>105307</v>
      </c>
      <c r="AC7" s="20">
        <f t="shared" ref="AC7:AD7" si="4">SUM(AC5:AC6)</f>
        <v>22.05535806053107</v>
      </c>
      <c r="AD7" s="20">
        <f t="shared" si="4"/>
        <v>51657.138989029139</v>
      </c>
      <c r="AF7" s="57">
        <f t="shared" ref="AF7:AI7" si="5">SUM(AF5:AF6)</f>
        <v>105273</v>
      </c>
      <c r="AG7" s="57">
        <f t="shared" si="5"/>
        <v>1039364</v>
      </c>
      <c r="AH7" s="57">
        <f t="shared" si="5"/>
        <v>95591</v>
      </c>
      <c r="AI7" s="13">
        <f t="shared" si="5"/>
        <v>943773</v>
      </c>
      <c r="AJ7" s="13">
        <f>SUM(AJ5:AJ6)</f>
        <v>86799</v>
      </c>
      <c r="AK7" s="13">
        <f t="shared" ref="AK7" si="6">SUM(AK5:AK6)</f>
        <v>856974</v>
      </c>
      <c r="AL7" s="20">
        <f>SUM(AL5:AL6)</f>
        <v>78816</v>
      </c>
      <c r="AM7" s="20">
        <f>SUM(AM5:AM6)</f>
        <v>778158</v>
      </c>
      <c r="AN7" s="20">
        <f t="shared" ref="AN7:AQ7" si="7">SUM(AN5:AN6)</f>
        <v>71567</v>
      </c>
      <c r="AO7" s="20">
        <f t="shared" si="7"/>
        <v>706591</v>
      </c>
      <c r="AP7" s="20">
        <f t="shared" si="7"/>
        <v>64986</v>
      </c>
      <c r="AQ7" s="20">
        <f t="shared" si="7"/>
        <v>641605</v>
      </c>
      <c r="AR7" s="20">
        <f t="shared" ref="AR7:AS7" si="8">SUM(AR5:AR6)</f>
        <v>59008</v>
      </c>
      <c r="AS7" s="20">
        <f t="shared" si="8"/>
        <v>582597</v>
      </c>
      <c r="AT7" s="20">
        <f t="shared" ref="AT7:AW7" si="9">SUM(AT5:AT6)</f>
        <v>53581</v>
      </c>
      <c r="AU7" s="20">
        <f t="shared" si="9"/>
        <v>529016</v>
      </c>
      <c r="AV7" s="20">
        <f t="shared" si="9"/>
        <v>48654</v>
      </c>
      <c r="AW7" s="20">
        <f t="shared" si="9"/>
        <v>480362</v>
      </c>
    </row>
    <row r="8" spans="1:51" x14ac:dyDescent="0.35">
      <c r="C8" s="1"/>
      <c r="F8" s="9"/>
      <c r="U8" s="11"/>
      <c r="V8" s="33"/>
      <c r="AC8" s="10"/>
      <c r="AI8" s="11"/>
      <c r="AJ8" s="11"/>
      <c r="AK8" s="11"/>
      <c r="AL8" s="11"/>
      <c r="AM8" s="11"/>
      <c r="AN8" s="133"/>
      <c r="AO8" s="134"/>
      <c r="AP8" s="11"/>
      <c r="AQ8" s="11"/>
      <c r="AR8" s="11"/>
      <c r="AS8" s="11"/>
      <c r="AT8" s="11"/>
      <c r="AU8" s="11"/>
      <c r="AV8" s="11"/>
      <c r="AW8" s="11"/>
    </row>
    <row r="9" spans="1:51" x14ac:dyDescent="0.35">
      <c r="A9" s="1">
        <v>3</v>
      </c>
      <c r="B9" t="s">
        <v>48</v>
      </c>
      <c r="C9" s="17">
        <v>0.1</v>
      </c>
      <c r="D9" s="1">
        <v>30</v>
      </c>
      <c r="E9" s="54">
        <v>37461</v>
      </c>
      <c r="F9" s="9">
        <v>10202687</v>
      </c>
      <c r="G9" s="9">
        <f>ROUND((F9*C9)*251/365,0)</f>
        <v>701609</v>
      </c>
      <c r="H9" s="9">
        <f>ROUND((F9-G9)*C9,0)</f>
        <v>950108</v>
      </c>
      <c r="I9" s="9">
        <f>ROUND((F9-G9-H9)*C9,0)</f>
        <v>855097</v>
      </c>
      <c r="J9" s="9">
        <f>ROUND((F9-G9-H9-I9)*C9,0)</f>
        <v>769587</v>
      </c>
      <c r="K9" s="9">
        <f>ROUND((F9-G9-H9-I9-J9)*C9,0)</f>
        <v>692629</v>
      </c>
      <c r="L9" s="9">
        <f>ROUND((F9-G9-H9-I9-J9-K9)*C9,0)</f>
        <v>623366</v>
      </c>
      <c r="M9" s="9">
        <f>ROUND((F9-G9-H9-I9-J9-K9-L9)*C9,0)</f>
        <v>561029</v>
      </c>
      <c r="N9" s="9">
        <f>ROUND((F9-G9-H9-I9-J9-K9-L9-M9)*C9,0)</f>
        <v>504926</v>
      </c>
      <c r="O9" s="9">
        <f>ROUND((F9-G9-H9-I9-J9-K9-L9-M9-N9)*C9,0)</f>
        <v>454434</v>
      </c>
      <c r="P9" s="9">
        <f>ROUND((F9-G9-H9-I9-J9-K9-L9-M9-N9-O9)*C9,0)</f>
        <v>408990</v>
      </c>
      <c r="Q9" s="9">
        <f>ROUND((F9-G9-H9-I9-J9-K9-L9-M9-N9-O9-P9)*C9,0)</f>
        <v>368091</v>
      </c>
      <c r="R9" s="9">
        <f>ROUND((F9-G9-H9-I9-J9-K9-L9-M9-N9-O9-P9-Q9)*C9,0)</f>
        <v>331282</v>
      </c>
      <c r="S9" s="11">
        <f t="shared" ref="S9:S10" si="10">SUM(G9:R9)</f>
        <v>7221148</v>
      </c>
      <c r="T9" s="11">
        <f t="shared" ref="T9:T10" si="11">+F9-S9</f>
        <v>2981539</v>
      </c>
      <c r="U9" s="9">
        <f t="shared" ref="U9:U10" si="12">ROUND(F9*5%,0)</f>
        <v>510134</v>
      </c>
      <c r="V9" s="38" t="s">
        <v>105</v>
      </c>
      <c r="W9" s="1">
        <v>18.309999999999999</v>
      </c>
      <c r="X9" s="52">
        <v>41729</v>
      </c>
      <c r="Y9" s="55">
        <f t="shared" ref="Y9:Y11" si="13">X9-E9</f>
        <v>4268</v>
      </c>
      <c r="Z9" s="53">
        <f t="shared" ref="Z9:Z11" si="14">((365*D9)-Y9)/365</f>
        <v>18.306849315068494</v>
      </c>
      <c r="AA9" s="9">
        <f t="shared" ref="AA9:AA11" si="15">T9-U9</f>
        <v>2471405</v>
      </c>
      <c r="AB9">
        <v>274302</v>
      </c>
      <c r="AC9" s="10">
        <f t="shared" si="2"/>
        <v>11.09903071329871</v>
      </c>
      <c r="AD9">
        <f t="shared" ref="AD9:AD11" si="16">(T9-U9)/W9</f>
        <v>134975.69634079738</v>
      </c>
      <c r="AE9" s="10">
        <f t="shared" ref="AE9:AE11" si="17">1-POWER((0.05*F9)/T9,1/Z9)</f>
        <v>9.1936027844256807E-2</v>
      </c>
      <c r="AF9" s="8">
        <f t="shared" ref="AF9:AF11" si="18">ROUND(T9*AE9,0)</f>
        <v>274111</v>
      </c>
      <c r="AG9" s="8">
        <f t="shared" ref="AG9:AG11" si="19">+T9-AF9</f>
        <v>2707428</v>
      </c>
      <c r="AH9" s="8">
        <f t="shared" ref="AH9:AH11" si="20">ROUND(AE9*AG9,0)</f>
        <v>248910</v>
      </c>
      <c r="AI9" s="11">
        <f t="shared" ref="AI9:AI11" si="21">AG9-AH9</f>
        <v>2458518</v>
      </c>
      <c r="AJ9" s="9">
        <f t="shared" ref="AJ9:AJ11" si="22">ROUND(AE9*AI9,0)</f>
        <v>226026</v>
      </c>
      <c r="AK9" s="11">
        <f t="shared" ref="AK9:AK11" si="23">AI9-AJ9</f>
        <v>2232492</v>
      </c>
      <c r="AL9" s="9">
        <f>ROUND(AK9*AE9,0)</f>
        <v>205246</v>
      </c>
      <c r="AM9" s="11">
        <f t="shared" ref="AM9:AM11" si="24">AK9-AL9</f>
        <v>2027246</v>
      </c>
      <c r="AN9" s="9">
        <f t="shared" ref="AN9:AN11" si="25">ROUND(AM9*AE9,0)</f>
        <v>186377</v>
      </c>
      <c r="AO9" s="11">
        <f t="shared" ref="AO9:AO11" si="26">AM9-AN9</f>
        <v>1840869</v>
      </c>
      <c r="AP9" s="9">
        <f t="shared" ref="AP9:AP11" si="27">ROUND(AO9*AE9,0)</f>
        <v>169242</v>
      </c>
      <c r="AQ9" s="11">
        <f t="shared" ref="AQ9:AQ11" si="28">AO9-AP9</f>
        <v>1671627</v>
      </c>
      <c r="AR9" s="9">
        <f t="shared" ref="AR9:AR11" si="29">ROUND(AQ9*AE9,0)</f>
        <v>153683</v>
      </c>
      <c r="AS9" s="11">
        <f t="shared" ref="AS9:AS11" si="30">AQ9-AR9</f>
        <v>1517944</v>
      </c>
      <c r="AT9" s="9">
        <f t="shared" ref="AT9:AT11" si="31">ROUND(AS9*AE9,0)</f>
        <v>139554</v>
      </c>
      <c r="AU9" s="11">
        <f t="shared" ref="AU9:AU11" si="32">AS9-AT9</f>
        <v>1378390</v>
      </c>
      <c r="AV9" s="9">
        <f t="shared" ref="AV9:AV11" si="33">ROUND(AU9*AE9,0)</f>
        <v>126724</v>
      </c>
      <c r="AW9" s="11">
        <f t="shared" ref="AW9:AW11" si="34">AU9-AV9</f>
        <v>1251666</v>
      </c>
      <c r="AX9" s="11">
        <f t="shared" ref="AX9:AX11" si="35">+AW9-U9</f>
        <v>741532</v>
      </c>
    </row>
    <row r="10" spans="1:51" x14ac:dyDescent="0.35">
      <c r="A10" s="1">
        <v>4</v>
      </c>
      <c r="B10" t="s">
        <v>49</v>
      </c>
      <c r="C10" s="17">
        <v>0.1</v>
      </c>
      <c r="D10" s="1">
        <v>30</v>
      </c>
      <c r="E10" s="54">
        <v>37690</v>
      </c>
      <c r="F10" s="9">
        <v>4535544</v>
      </c>
      <c r="G10" s="9">
        <f>ROUND((F10*C10)*22/365,0)</f>
        <v>27338</v>
      </c>
      <c r="H10" s="9">
        <f>ROUND((F10-G10)*C10,0)</f>
        <v>450821</v>
      </c>
      <c r="I10" s="9">
        <f>ROUND((F10-G10-H10)*C10,0)</f>
        <v>405739</v>
      </c>
      <c r="J10" s="9">
        <f>ROUND((F10-G10-H10-I10)*C10,0)</f>
        <v>365165</v>
      </c>
      <c r="K10" s="9">
        <f>ROUND((F10-G10-H10-I10-J10)*C10,0)</f>
        <v>328648</v>
      </c>
      <c r="L10" s="9">
        <f>ROUND((F10-G10-H10-I10-J10-K10)*C10,0)</f>
        <v>295783</v>
      </c>
      <c r="M10" s="9">
        <f>ROUND((F10-G10-H10-I10-J10-K10-L10)*C10,0)</f>
        <v>266205</v>
      </c>
      <c r="N10" s="9">
        <f>ROUND((F10-G10-H10-I10-J10-K10-L10-M10)*C10,0)</f>
        <v>239585</v>
      </c>
      <c r="O10" s="9">
        <f>ROUND((F10-G10-H10-I10-J10-K10-L10-M10-N10)*C10,0)</f>
        <v>215626</v>
      </c>
      <c r="P10" s="9">
        <f>ROUND((F10-G10-H10-I10-J10-K10-L10-M10-N10-O10)*C10,0)</f>
        <v>194063</v>
      </c>
      <c r="Q10" s="9">
        <f>ROUND((F10-G10-H10-I10-J10-K10-L10-M10-N10-O10-P10)*C10,0)</f>
        <v>174657</v>
      </c>
      <c r="R10" s="9">
        <f>ROUND((F10-G10-H10-I10-J10-K10-L10-M10-N10-O10-P10-Q10)*C10,0)</f>
        <v>157191</v>
      </c>
      <c r="S10" s="11">
        <f t="shared" si="10"/>
        <v>3120821</v>
      </c>
      <c r="T10" s="11">
        <f t="shared" si="11"/>
        <v>1414723</v>
      </c>
      <c r="U10" s="9">
        <f t="shared" si="12"/>
        <v>226777</v>
      </c>
      <c r="V10" s="38" t="s">
        <v>106</v>
      </c>
      <c r="W10" s="1">
        <v>18.940000000000001</v>
      </c>
      <c r="X10" s="52">
        <v>41729</v>
      </c>
      <c r="Y10" s="55">
        <f t="shared" si="13"/>
        <v>4039</v>
      </c>
      <c r="Z10" s="53">
        <f t="shared" si="14"/>
        <v>18.934246575342467</v>
      </c>
      <c r="AA10" s="9">
        <f t="shared" si="15"/>
        <v>1187946</v>
      </c>
      <c r="AB10">
        <v>130155</v>
      </c>
      <c r="AC10" s="10">
        <f t="shared" si="2"/>
        <v>10.956306094721477</v>
      </c>
      <c r="AD10">
        <f t="shared" si="16"/>
        <v>62721.541710665253</v>
      </c>
      <c r="AE10" s="10">
        <f t="shared" si="17"/>
        <v>9.2161106777270074E-2</v>
      </c>
      <c r="AF10" s="8">
        <f t="shared" si="18"/>
        <v>130382</v>
      </c>
      <c r="AG10" s="8">
        <f t="shared" si="19"/>
        <v>1284341</v>
      </c>
      <c r="AH10" s="8">
        <f t="shared" si="20"/>
        <v>118366</v>
      </c>
      <c r="AI10" s="11">
        <f t="shared" si="21"/>
        <v>1165975</v>
      </c>
      <c r="AJ10" s="9">
        <f t="shared" si="22"/>
        <v>107458</v>
      </c>
      <c r="AK10" s="11">
        <f t="shared" si="23"/>
        <v>1058517</v>
      </c>
      <c r="AL10" s="9">
        <f>ROUND(AK10*AE10,0)</f>
        <v>97554</v>
      </c>
      <c r="AM10" s="11">
        <f t="shared" si="24"/>
        <v>960963</v>
      </c>
      <c r="AN10" s="9">
        <f t="shared" si="25"/>
        <v>88563</v>
      </c>
      <c r="AO10" s="11">
        <f t="shared" si="26"/>
        <v>872400</v>
      </c>
      <c r="AP10" s="9">
        <f t="shared" si="27"/>
        <v>80401</v>
      </c>
      <c r="AQ10" s="11">
        <f t="shared" si="28"/>
        <v>791999</v>
      </c>
      <c r="AR10" s="9">
        <f t="shared" si="29"/>
        <v>72992</v>
      </c>
      <c r="AS10" s="11">
        <f t="shared" si="30"/>
        <v>719007</v>
      </c>
      <c r="AT10" s="9">
        <f t="shared" si="31"/>
        <v>66264</v>
      </c>
      <c r="AU10" s="11">
        <f t="shared" si="32"/>
        <v>652743</v>
      </c>
      <c r="AV10" s="9">
        <f t="shared" si="33"/>
        <v>60158</v>
      </c>
      <c r="AW10" s="11">
        <f t="shared" si="34"/>
        <v>592585</v>
      </c>
      <c r="AX10" s="11">
        <f t="shared" si="35"/>
        <v>365808</v>
      </c>
    </row>
    <row r="11" spans="1:51" x14ac:dyDescent="0.35">
      <c r="A11" s="1">
        <v>4</v>
      </c>
      <c r="B11" t="s">
        <v>49</v>
      </c>
      <c r="C11" s="17">
        <v>0.1</v>
      </c>
      <c r="D11" s="1">
        <v>30</v>
      </c>
      <c r="E11" s="54">
        <v>37750</v>
      </c>
      <c r="F11" s="9">
        <v>715326</v>
      </c>
      <c r="G11" s="9">
        <v>0</v>
      </c>
      <c r="H11" s="9">
        <f>ROUND((F11*C11)*328/366,0)</f>
        <v>64106</v>
      </c>
      <c r="I11" s="9">
        <f>ROUND((F11-H11)*C11,0)</f>
        <v>65122</v>
      </c>
      <c r="J11" s="9">
        <f>ROUND((F11-H11-I11)*C11,0)</f>
        <v>58610</v>
      </c>
      <c r="K11" s="9">
        <f>ROUND((F11-H11-I11-J11)*C11,0)</f>
        <v>52749</v>
      </c>
      <c r="L11" s="9">
        <f>ROUND((F11-H11-I11-J11-K11)*C11,0)</f>
        <v>47474</v>
      </c>
      <c r="M11" s="9">
        <f>ROUND((F11-H11-I11-J11-K11-L11)*C11,0)</f>
        <v>42727</v>
      </c>
      <c r="N11" s="9">
        <f>ROUND((F11-H11-I11-J11-K11-L11-M11)*C11,0)</f>
        <v>38454</v>
      </c>
      <c r="O11" s="9">
        <f>ROUND((F11-H11-I11-J11-K11-L11-M11-N11)*C11,0)</f>
        <v>34608</v>
      </c>
      <c r="P11" s="9">
        <f>ROUND((F11-H11-I11-J11-K11-L11-M11-N11-O11)*C11,0)</f>
        <v>31148</v>
      </c>
      <c r="Q11" s="9">
        <f>ROUND((F11-H11-I11-J11-K11-L11-M11-N11-O11-P11)*C11,0)</f>
        <v>28033</v>
      </c>
      <c r="R11" s="9">
        <f>ROUND((F11-H11-I11-J11-K11-L11-M11-N11-O11-P11-Q11)*C11,0)</f>
        <v>25230</v>
      </c>
      <c r="S11" s="11">
        <f t="shared" ref="S11" si="36">SUM(G11:R11)</f>
        <v>488261</v>
      </c>
      <c r="T11" s="11">
        <f t="shared" ref="T11" si="37">+F11-S11</f>
        <v>227065</v>
      </c>
      <c r="U11" s="9">
        <f t="shared" ref="U11" si="38">ROUND(F11*5%,0)</f>
        <v>35766</v>
      </c>
      <c r="V11" s="33" t="s">
        <v>107</v>
      </c>
      <c r="W11" s="1">
        <v>19.100000000000001</v>
      </c>
      <c r="X11" s="52">
        <v>41729</v>
      </c>
      <c r="Y11" s="55">
        <f t="shared" si="13"/>
        <v>3979</v>
      </c>
      <c r="Z11" s="53">
        <f t="shared" si="14"/>
        <v>19.098630136986301</v>
      </c>
      <c r="AA11" s="9">
        <f t="shared" si="15"/>
        <v>191299</v>
      </c>
      <c r="AB11">
        <v>20890</v>
      </c>
      <c r="AC11" s="10">
        <f t="shared" si="2"/>
        <v>10.920077993089352</v>
      </c>
      <c r="AD11">
        <f t="shared" si="16"/>
        <v>10015.65445026178</v>
      </c>
      <c r="AE11" s="10">
        <f t="shared" si="17"/>
        <v>9.2237882860047971E-2</v>
      </c>
      <c r="AF11" s="8">
        <f t="shared" si="18"/>
        <v>20944</v>
      </c>
      <c r="AG11" s="8">
        <f t="shared" si="19"/>
        <v>206121</v>
      </c>
      <c r="AH11" s="8">
        <f t="shared" si="20"/>
        <v>19012</v>
      </c>
      <c r="AI11" s="11">
        <f t="shared" si="21"/>
        <v>187109</v>
      </c>
      <c r="AJ11" s="9">
        <f t="shared" si="22"/>
        <v>17259</v>
      </c>
      <c r="AK11" s="11">
        <f t="shared" si="23"/>
        <v>169850</v>
      </c>
      <c r="AL11" s="9">
        <f t="shared" ref="AL11" si="39">ROUND(AK11*AE11,0)</f>
        <v>15667</v>
      </c>
      <c r="AM11" s="11">
        <f t="shared" si="24"/>
        <v>154183</v>
      </c>
      <c r="AN11" s="9">
        <f t="shared" si="25"/>
        <v>14222</v>
      </c>
      <c r="AO11" s="11">
        <f t="shared" si="26"/>
        <v>139961</v>
      </c>
      <c r="AP11" s="9">
        <f t="shared" si="27"/>
        <v>12910</v>
      </c>
      <c r="AQ11" s="11">
        <f t="shared" si="28"/>
        <v>127051</v>
      </c>
      <c r="AR11" s="9">
        <f t="shared" si="29"/>
        <v>11719</v>
      </c>
      <c r="AS11" s="11">
        <f t="shared" si="30"/>
        <v>115332</v>
      </c>
      <c r="AT11" s="9">
        <f t="shared" si="31"/>
        <v>10638</v>
      </c>
      <c r="AU11" s="11">
        <f t="shared" si="32"/>
        <v>104694</v>
      </c>
      <c r="AV11" s="9">
        <f t="shared" si="33"/>
        <v>9657</v>
      </c>
      <c r="AW11" s="11">
        <f t="shared" si="34"/>
        <v>95037</v>
      </c>
      <c r="AX11" s="11">
        <f t="shared" si="35"/>
        <v>59271</v>
      </c>
    </row>
    <row r="12" spans="1:51" x14ac:dyDescent="0.35">
      <c r="C12" s="3"/>
      <c r="E12" s="3" t="s">
        <v>38</v>
      </c>
      <c r="F12" s="13">
        <f>SUM(F9:F11)</f>
        <v>15453557</v>
      </c>
      <c r="G12" s="13">
        <f t="shared" ref="G12:U12" si="40">SUM(G9:G11)</f>
        <v>728947</v>
      </c>
      <c r="H12" s="13">
        <f t="shared" si="40"/>
        <v>1465035</v>
      </c>
      <c r="I12" s="13">
        <f t="shared" si="40"/>
        <v>1325958</v>
      </c>
      <c r="J12" s="13">
        <f t="shared" si="40"/>
        <v>1193362</v>
      </c>
      <c r="K12" s="13">
        <f t="shared" si="40"/>
        <v>1074026</v>
      </c>
      <c r="L12" s="13">
        <f t="shared" si="40"/>
        <v>966623</v>
      </c>
      <c r="M12" s="13">
        <f t="shared" si="40"/>
        <v>869961</v>
      </c>
      <c r="N12" s="13">
        <f t="shared" si="40"/>
        <v>782965</v>
      </c>
      <c r="O12" s="13">
        <f t="shared" si="40"/>
        <v>704668</v>
      </c>
      <c r="P12" s="13">
        <f t="shared" si="40"/>
        <v>634201</v>
      </c>
      <c r="Q12" s="13">
        <f t="shared" si="40"/>
        <v>570781</v>
      </c>
      <c r="R12" s="13">
        <f t="shared" si="40"/>
        <v>513703</v>
      </c>
      <c r="S12" s="13">
        <f t="shared" si="40"/>
        <v>10830230</v>
      </c>
      <c r="T12" s="28">
        <f t="shared" si="40"/>
        <v>4623327</v>
      </c>
      <c r="U12" s="13">
        <f t="shared" si="40"/>
        <v>772677</v>
      </c>
      <c r="V12" s="34"/>
      <c r="W12" s="12"/>
      <c r="X12" s="12"/>
      <c r="Y12" s="12"/>
      <c r="Z12" s="12"/>
      <c r="AA12" s="20">
        <f>SUM(AA9:AA11)</f>
        <v>3850650</v>
      </c>
      <c r="AB12" s="20">
        <f>SUM(AB9:AB11)</f>
        <v>425347</v>
      </c>
      <c r="AC12" s="20">
        <f t="shared" ref="AC12:AD12" si="41">SUM(AC9:AC11)</f>
        <v>32.975414801109537</v>
      </c>
      <c r="AD12" s="20">
        <f t="shared" si="41"/>
        <v>207712.89250172442</v>
      </c>
      <c r="AF12" s="57">
        <f t="shared" ref="AF12:AI12" si="42">SUM(AF9:AF11)</f>
        <v>425437</v>
      </c>
      <c r="AG12" s="57">
        <f t="shared" si="42"/>
        <v>4197890</v>
      </c>
      <c r="AH12" s="57">
        <f t="shared" si="42"/>
        <v>386288</v>
      </c>
      <c r="AI12" s="13">
        <f t="shared" si="42"/>
        <v>3811602</v>
      </c>
      <c r="AJ12" s="13">
        <f>SUM(AJ9:AJ11)</f>
        <v>350743</v>
      </c>
      <c r="AK12" s="13">
        <f>SUM(AK9:AK11)</f>
        <v>3460859</v>
      </c>
      <c r="AL12" s="13">
        <f>SUM(AL9:AL11)</f>
        <v>318467</v>
      </c>
      <c r="AM12" s="13">
        <f t="shared" ref="AM12:AQ12" si="43">SUM(AM9:AM11)</f>
        <v>3142392</v>
      </c>
      <c r="AN12" s="13">
        <f>SUM(AN9:AN11)</f>
        <v>289162</v>
      </c>
      <c r="AO12" s="13">
        <f>SUM(AO9:AO11)</f>
        <v>2853230</v>
      </c>
      <c r="AP12" s="13">
        <f t="shared" si="43"/>
        <v>262553</v>
      </c>
      <c r="AQ12" s="13">
        <f t="shared" si="43"/>
        <v>2590677</v>
      </c>
      <c r="AR12" s="13">
        <f t="shared" ref="AR12:AS12" si="44">SUM(AR9:AR11)</f>
        <v>238394</v>
      </c>
      <c r="AS12" s="13">
        <f t="shared" si="44"/>
        <v>2352283</v>
      </c>
      <c r="AT12" s="13">
        <f t="shared" ref="AT12:AW12" si="45">SUM(AT9:AT11)</f>
        <v>216456</v>
      </c>
      <c r="AU12" s="13">
        <f t="shared" si="45"/>
        <v>2135827</v>
      </c>
      <c r="AV12" s="13">
        <f t="shared" si="45"/>
        <v>196539</v>
      </c>
      <c r="AW12" s="13">
        <f t="shared" si="45"/>
        <v>1939288</v>
      </c>
    </row>
    <row r="13" spans="1:51" x14ac:dyDescent="0.35">
      <c r="E13" s="1"/>
      <c r="F13" s="9"/>
      <c r="U13" s="11"/>
      <c r="V13" s="33"/>
      <c r="AI13" s="11"/>
      <c r="AJ13" s="11"/>
      <c r="AK13" s="11"/>
      <c r="AL13" s="11"/>
      <c r="AM13" s="11"/>
      <c r="AO13" s="11"/>
      <c r="AP13" s="11"/>
      <c r="AQ13" s="11"/>
      <c r="AR13" s="11"/>
      <c r="AS13" s="11"/>
      <c r="AT13" s="11"/>
      <c r="AU13" s="11"/>
      <c r="AV13" s="11"/>
      <c r="AW13" s="11"/>
    </row>
    <row r="14" spans="1:51" x14ac:dyDescent="0.35">
      <c r="A14" s="1">
        <v>5</v>
      </c>
      <c r="B14" t="s">
        <v>216</v>
      </c>
      <c r="D14" s="1">
        <v>30</v>
      </c>
      <c r="E14" s="54">
        <v>42917</v>
      </c>
      <c r="F14" s="9">
        <v>2010468.65</v>
      </c>
      <c r="U14" s="9">
        <f>ROUND(F14*5%,0)</f>
        <v>100523</v>
      </c>
      <c r="V14" s="38" t="s">
        <v>105</v>
      </c>
      <c r="W14" s="1">
        <v>18.309999999999999</v>
      </c>
      <c r="X14" s="52">
        <v>41729</v>
      </c>
      <c r="Y14" s="55">
        <f t="shared" ref="Y14" si="46">X14-E14</f>
        <v>-1188</v>
      </c>
      <c r="Z14" s="53">
        <f t="shared" ref="Z14" si="47">((365*D14)-Y14)/365</f>
        <v>33.254794520547946</v>
      </c>
      <c r="AA14" s="9">
        <f t="shared" ref="AA14" si="48">T14-U14</f>
        <v>-100523</v>
      </c>
      <c r="AB14">
        <v>274302</v>
      </c>
      <c r="AC14" s="10">
        <f t="shared" ref="AC14" si="49">AB14/(T14-U14)*100</f>
        <v>-272.87486445888004</v>
      </c>
      <c r="AD14">
        <f t="shared" ref="AD14" si="50">(T14-U14)/W14</f>
        <v>-5490.0600764609508</v>
      </c>
      <c r="AE14" s="10">
        <f>1-POWER((0.05*F14)/F14,1/D14)</f>
        <v>9.503385285530408E-2</v>
      </c>
      <c r="AI14" s="11"/>
      <c r="AJ14" s="11">
        <v>0</v>
      </c>
      <c r="AK14" s="11">
        <v>0</v>
      </c>
      <c r="AL14" s="9">
        <f>ROUND((F14*AE14)/365*273,0)</f>
        <v>142904</v>
      </c>
      <c r="AM14" s="11">
        <f>+F14-AL14</f>
        <v>1867564.65</v>
      </c>
      <c r="AN14" s="9">
        <f>ROUND(AM14*AE14,0)</f>
        <v>177482</v>
      </c>
      <c r="AO14" s="11">
        <f>AM14-AN14</f>
        <v>1690082.65</v>
      </c>
      <c r="AP14" s="9">
        <f>ROUND(AO14*AE14,0)</f>
        <v>160615</v>
      </c>
      <c r="AQ14" s="11">
        <f>AO14-AP14</f>
        <v>1529467.65</v>
      </c>
      <c r="AR14" s="9">
        <f>ROUND(AQ14*AE14,0)</f>
        <v>145351</v>
      </c>
      <c r="AS14" s="11">
        <f>AQ14-AR14</f>
        <v>1384116.65</v>
      </c>
      <c r="AT14" s="9">
        <f t="shared" ref="AT14" si="51">ROUND(AS14*AE14,0)</f>
        <v>131538</v>
      </c>
      <c r="AU14" s="11">
        <f>AS14-AT14</f>
        <v>1252578.6499999999</v>
      </c>
      <c r="AV14" s="9">
        <f>ROUND(AU14*AE14,0)</f>
        <v>119037</v>
      </c>
      <c r="AW14" s="11">
        <f>AU14-AV14</f>
        <v>1133541.6499999999</v>
      </c>
      <c r="AX14" s="11">
        <f>+AW14-U14</f>
        <v>1033018.6499999999</v>
      </c>
    </row>
    <row r="15" spans="1:51" x14ac:dyDescent="0.35">
      <c r="E15" s="1"/>
      <c r="F15" s="9"/>
      <c r="U15" s="11"/>
      <c r="V15" s="33"/>
      <c r="AI15" s="11"/>
      <c r="AJ15" s="11"/>
      <c r="AK15" s="11"/>
      <c r="AL15" s="11"/>
      <c r="AM15" s="11"/>
      <c r="AO15" s="11"/>
      <c r="AP15" s="11"/>
      <c r="AQ15" s="11"/>
      <c r="AR15" s="11"/>
      <c r="AS15" s="11"/>
      <c r="AT15" s="11"/>
      <c r="AU15" s="11"/>
      <c r="AV15" s="11"/>
      <c r="AW15" s="11"/>
    </row>
    <row r="16" spans="1:51" ht="16" thickBot="1" x14ac:dyDescent="0.4">
      <c r="B16" s="6" t="s">
        <v>50</v>
      </c>
      <c r="C16" s="3"/>
      <c r="E16" s="3" t="s">
        <v>39</v>
      </c>
      <c r="F16" s="16">
        <f>+F7+F12+F14</f>
        <v>21343711.649999999</v>
      </c>
      <c r="G16" s="16">
        <f t="shared" ref="G16:T16" si="52">+G7+G12</f>
        <v>961098</v>
      </c>
      <c r="H16" s="16">
        <f t="shared" si="52"/>
        <v>1829789</v>
      </c>
      <c r="I16" s="16">
        <f t="shared" si="52"/>
        <v>1654236</v>
      </c>
      <c r="J16" s="16">
        <f t="shared" si="52"/>
        <v>1488812</v>
      </c>
      <c r="K16" s="16">
        <f t="shared" si="52"/>
        <v>1339932</v>
      </c>
      <c r="L16" s="16">
        <f t="shared" si="52"/>
        <v>1205938</v>
      </c>
      <c r="M16" s="16">
        <f t="shared" si="52"/>
        <v>1085344</v>
      </c>
      <c r="N16" s="16">
        <f t="shared" si="52"/>
        <v>976810</v>
      </c>
      <c r="O16" s="16">
        <f t="shared" si="52"/>
        <v>879129</v>
      </c>
      <c r="P16" s="16">
        <f t="shared" si="52"/>
        <v>791215</v>
      </c>
      <c r="Q16" s="16">
        <f t="shared" si="52"/>
        <v>712094</v>
      </c>
      <c r="R16" s="16">
        <f t="shared" si="52"/>
        <v>640884</v>
      </c>
      <c r="S16" s="16">
        <f t="shared" si="52"/>
        <v>13565279</v>
      </c>
      <c r="T16" s="29">
        <f t="shared" si="52"/>
        <v>5767964</v>
      </c>
      <c r="U16" s="16">
        <f>+U7+U12+U14</f>
        <v>1067184</v>
      </c>
      <c r="V16" s="35"/>
      <c r="W16" s="15"/>
      <c r="X16" s="15"/>
      <c r="Y16" s="15"/>
      <c r="Z16" s="15"/>
      <c r="AA16" s="19">
        <f>+AA7+AA12</f>
        <v>4801303</v>
      </c>
      <c r="AB16" s="19">
        <f>+AB7+AB12</f>
        <v>530654</v>
      </c>
      <c r="AC16" s="19">
        <f t="shared" ref="AC16:AD16" si="53">+AC7+AC12</f>
        <v>55.030772861640607</v>
      </c>
      <c r="AD16" s="19">
        <f t="shared" si="53"/>
        <v>259370.03149075355</v>
      </c>
      <c r="AF16" s="58">
        <f t="shared" ref="AF16:AI16" si="54">+AF7+AF12</f>
        <v>530710</v>
      </c>
      <c r="AG16" s="58">
        <f t="shared" si="54"/>
        <v>5237254</v>
      </c>
      <c r="AH16" s="58">
        <f t="shared" si="54"/>
        <v>481879</v>
      </c>
      <c r="AI16" s="16">
        <f t="shared" si="54"/>
        <v>4755375</v>
      </c>
      <c r="AJ16" s="16">
        <f t="shared" ref="AJ16:AK16" si="55">+AJ7+AJ12+AJ14</f>
        <v>437542</v>
      </c>
      <c r="AK16" s="16">
        <f t="shared" si="55"/>
        <v>4317833</v>
      </c>
      <c r="AL16" s="16">
        <f>+AL7+AL12+AL14</f>
        <v>540187</v>
      </c>
      <c r="AM16" s="16">
        <f>+AM7+AM12+AM14</f>
        <v>5788114.6500000004</v>
      </c>
      <c r="AN16" s="16">
        <f>+AN7+AN12+AN14</f>
        <v>538211</v>
      </c>
      <c r="AO16" s="16">
        <f>+AO7+AO12+AO14</f>
        <v>5249903.6500000004</v>
      </c>
      <c r="AP16" s="16">
        <f t="shared" ref="AP16:AQ16" si="56">+AP7+AP12+AP14</f>
        <v>488154</v>
      </c>
      <c r="AQ16" s="16">
        <f t="shared" si="56"/>
        <v>4761749.6500000004</v>
      </c>
      <c r="AR16" s="16">
        <f t="shared" ref="AR16:AS16" si="57">+AR7+AR12+AR14</f>
        <v>442753</v>
      </c>
      <c r="AS16" s="16">
        <f t="shared" si="57"/>
        <v>4318996.6500000004</v>
      </c>
      <c r="AT16" s="16">
        <f t="shared" ref="AT16:AW16" si="58">+AT7+AT12+AT14</f>
        <v>401575</v>
      </c>
      <c r="AU16" s="16">
        <f t="shared" si="58"/>
        <v>3917421.65</v>
      </c>
      <c r="AV16" s="16">
        <f>+AV7+AV12+AV14</f>
        <v>364230</v>
      </c>
      <c r="AW16" s="16">
        <f t="shared" si="58"/>
        <v>3553191.65</v>
      </c>
      <c r="AY16" s="132"/>
    </row>
    <row r="17" spans="5:37" ht="16" thickTop="1" x14ac:dyDescent="0.35">
      <c r="F17" s="9"/>
      <c r="U17" s="11"/>
      <c r="V17" s="11"/>
      <c r="AJ17" s="10"/>
    </row>
    <row r="18" spans="5:37" x14ac:dyDescent="0.35">
      <c r="F18" s="9"/>
      <c r="U18" s="11"/>
      <c r="V18" s="11"/>
      <c r="AH18" s="10"/>
      <c r="AK18" s="10"/>
    </row>
    <row r="19" spans="5:37" x14ac:dyDescent="0.35">
      <c r="F19" s="9"/>
      <c r="U19" s="11"/>
      <c r="V19" s="11"/>
    </row>
    <row r="20" spans="5:37" x14ac:dyDescent="0.35">
      <c r="E20" s="117"/>
      <c r="F20" s="117"/>
      <c r="T20" s="11"/>
      <c r="U20" s="11"/>
      <c r="V20" s="10"/>
    </row>
    <row r="21" spans="5:37" x14ac:dyDescent="0.35">
      <c r="F21" s="9"/>
      <c r="S21">
        <v>365</v>
      </c>
      <c r="T21" s="11">
        <v>22</v>
      </c>
      <c r="U21" s="11"/>
      <c r="V21" s="10"/>
    </row>
    <row r="22" spans="5:37" x14ac:dyDescent="0.35">
      <c r="F22" s="9"/>
      <c r="S22">
        <v>365</v>
      </c>
      <c r="T22" s="11">
        <v>328</v>
      </c>
      <c r="U22" s="11"/>
      <c r="V22" s="10"/>
    </row>
    <row r="23" spans="5:37" x14ac:dyDescent="0.35">
      <c r="F23" s="9"/>
      <c r="U23" s="11"/>
      <c r="V23" s="11"/>
    </row>
    <row r="24" spans="5:37" x14ac:dyDescent="0.35">
      <c r="F24" s="9"/>
      <c r="U24" s="11"/>
      <c r="V24" s="11"/>
    </row>
    <row r="25" spans="5:37" x14ac:dyDescent="0.35">
      <c r="U25" s="11"/>
      <c r="V25" s="11"/>
    </row>
  </sheetData>
  <mergeCells count="1">
    <mergeCell ref="G3:R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49"/>
  <sheetViews>
    <sheetView topLeftCell="D13" workbookViewId="0">
      <selection activeCell="AW30" sqref="AW30"/>
    </sheetView>
  </sheetViews>
  <sheetFormatPr defaultRowHeight="15.5" x14ac:dyDescent="0.35"/>
  <cols>
    <col min="1" max="1" width="3.33203125" customWidth="1"/>
    <col min="2" max="2" width="18.75" customWidth="1"/>
    <col min="3" max="3" width="7" hidden="1" customWidth="1"/>
    <col min="4" max="4" width="7.08203125" customWidth="1"/>
    <col min="5" max="5" width="10.08203125" customWidth="1"/>
    <col min="6" max="6" width="11.08203125" customWidth="1"/>
    <col min="7" max="7" width="10.08203125" hidden="1" customWidth="1"/>
    <col min="8" max="8" width="11.08203125" hidden="1" customWidth="1"/>
    <col min="9" max="18" width="10.08203125" hidden="1" customWidth="1"/>
    <col min="19" max="19" width="11.58203125" hidden="1" customWidth="1"/>
    <col min="20" max="20" width="11.08203125" bestFit="1" customWidth="1"/>
    <col min="21" max="21" width="10.08203125" customWidth="1"/>
    <col min="22" max="22" width="10.08203125" style="46" hidden="1" customWidth="1"/>
    <col min="23" max="23" width="6.33203125" style="46" hidden="1" customWidth="1"/>
    <col min="24" max="24" width="6" style="46" hidden="1" customWidth="1"/>
    <col min="25" max="25" width="6.5" hidden="1" customWidth="1"/>
    <col min="26" max="26" width="9.33203125" hidden="1" customWidth="1"/>
    <col min="27" max="27" width="11" hidden="1" customWidth="1"/>
    <col min="28" max="28" width="10.58203125" hidden="1" customWidth="1"/>
    <col min="29" max="29" width="0" hidden="1" customWidth="1"/>
    <col min="30" max="30" width="1.58203125" hidden="1" customWidth="1"/>
    <col min="31" max="31" width="9.83203125" hidden="1" customWidth="1"/>
    <col min="32" max="32" width="7.08203125" customWidth="1"/>
    <col min="33" max="35" width="12.58203125" style="8" hidden="1" customWidth="1"/>
    <col min="36" max="36" width="11.08203125" hidden="1" customWidth="1"/>
    <col min="37" max="37" width="12.58203125" hidden="1" customWidth="1"/>
    <col min="38" max="38" width="11.58203125" hidden="1" customWidth="1"/>
    <col min="39" max="39" width="11.08203125" hidden="1" customWidth="1"/>
    <col min="40" max="40" width="10.5" hidden="1" customWidth="1"/>
    <col min="41" max="41" width="10.5" customWidth="1"/>
    <col min="42" max="42" width="11.33203125" hidden="1" customWidth="1"/>
    <col min="43" max="43" width="11" customWidth="1"/>
    <col min="44" max="44" width="11" hidden="1" customWidth="1"/>
    <col min="45" max="51" width="11" customWidth="1"/>
    <col min="53" max="53" width="10.08203125" bestFit="1" customWidth="1"/>
  </cols>
  <sheetData>
    <row r="1" spans="1:53" x14ac:dyDescent="0.35">
      <c r="A1" s="111" t="s">
        <v>70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3" spans="1:53" x14ac:dyDescent="0.35">
      <c r="A3" s="2" t="s">
        <v>14</v>
      </c>
      <c r="B3" s="2" t="s">
        <v>17</v>
      </c>
      <c r="C3" s="36" t="s">
        <v>34</v>
      </c>
      <c r="D3" s="36" t="s">
        <v>19</v>
      </c>
      <c r="E3" s="2" t="s">
        <v>20</v>
      </c>
      <c r="F3" s="2" t="s">
        <v>23</v>
      </c>
      <c r="G3" s="193" t="s">
        <v>22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2" t="s">
        <v>13</v>
      </c>
      <c r="T3" s="2" t="s">
        <v>36</v>
      </c>
      <c r="U3" s="2" t="s">
        <v>24</v>
      </c>
      <c r="V3" s="42"/>
      <c r="W3" s="2" t="s">
        <v>191</v>
      </c>
      <c r="X3" s="2" t="s">
        <v>104</v>
      </c>
      <c r="Y3" s="2" t="s">
        <v>52</v>
      </c>
      <c r="Z3" s="2" t="s">
        <v>52</v>
      </c>
      <c r="AA3" s="2" t="s">
        <v>54</v>
      </c>
      <c r="AB3" s="48" t="s">
        <v>22</v>
      </c>
      <c r="AC3" s="48" t="s">
        <v>170</v>
      </c>
      <c r="AE3" s="51" t="s">
        <v>184</v>
      </c>
      <c r="AF3" s="68" t="s">
        <v>35</v>
      </c>
      <c r="AG3" s="60" t="s">
        <v>195</v>
      </c>
      <c r="AH3" s="65" t="s">
        <v>188</v>
      </c>
      <c r="AI3" s="60" t="s">
        <v>36</v>
      </c>
      <c r="AJ3" s="2" t="s">
        <v>196</v>
      </c>
      <c r="AK3" s="60" t="s">
        <v>36</v>
      </c>
      <c r="AL3" s="2" t="s">
        <v>200</v>
      </c>
      <c r="AM3" s="60" t="s">
        <v>36</v>
      </c>
      <c r="AN3" s="2" t="s">
        <v>211</v>
      </c>
      <c r="AO3" s="60" t="s">
        <v>36</v>
      </c>
      <c r="AP3" s="2" t="s">
        <v>219</v>
      </c>
      <c r="AQ3" s="60" t="s">
        <v>36</v>
      </c>
      <c r="AR3" s="2" t="s">
        <v>226</v>
      </c>
      <c r="AS3" s="60" t="s">
        <v>36</v>
      </c>
      <c r="AT3" s="2" t="s">
        <v>230</v>
      </c>
      <c r="AU3" s="60" t="s">
        <v>36</v>
      </c>
      <c r="AV3" s="2" t="s">
        <v>235</v>
      </c>
      <c r="AW3" s="60" t="s">
        <v>36</v>
      </c>
      <c r="AX3" s="2" t="s">
        <v>240</v>
      </c>
      <c r="AY3" s="60" t="s">
        <v>36</v>
      </c>
    </row>
    <row r="4" spans="1:53" x14ac:dyDescent="0.35">
      <c r="A4" s="4" t="s">
        <v>16</v>
      </c>
      <c r="B4" s="4" t="s">
        <v>18</v>
      </c>
      <c r="C4" s="37" t="s">
        <v>35</v>
      </c>
      <c r="D4" s="37" t="s">
        <v>28</v>
      </c>
      <c r="E4" s="4" t="s">
        <v>21</v>
      </c>
      <c r="F4" s="4" t="s">
        <v>15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5" t="s">
        <v>10</v>
      </c>
      <c r="Q4" s="5" t="s">
        <v>11</v>
      </c>
      <c r="R4" s="5" t="s">
        <v>12</v>
      </c>
      <c r="S4" s="4" t="s">
        <v>22</v>
      </c>
      <c r="T4" s="4" t="s">
        <v>37</v>
      </c>
      <c r="U4" s="4" t="s">
        <v>25</v>
      </c>
      <c r="V4" s="43"/>
      <c r="W4" s="4" t="s">
        <v>192</v>
      </c>
      <c r="X4" s="4" t="s">
        <v>193</v>
      </c>
      <c r="Y4" s="4" t="s">
        <v>104</v>
      </c>
      <c r="Z4" s="4" t="s">
        <v>53</v>
      </c>
      <c r="AA4" s="4" t="s">
        <v>55</v>
      </c>
      <c r="AB4" s="48" t="s">
        <v>169</v>
      </c>
      <c r="AC4" s="48" t="s">
        <v>171</v>
      </c>
      <c r="AF4" s="69" t="s">
        <v>194</v>
      </c>
      <c r="AG4" s="66" t="s">
        <v>22</v>
      </c>
      <c r="AH4" s="66" t="s">
        <v>22</v>
      </c>
      <c r="AI4" s="66" t="s">
        <v>189</v>
      </c>
      <c r="AJ4" s="4" t="s">
        <v>22</v>
      </c>
      <c r="AK4" s="62" t="s">
        <v>197</v>
      </c>
      <c r="AL4" s="4" t="s">
        <v>22</v>
      </c>
      <c r="AM4" s="62" t="s">
        <v>199</v>
      </c>
      <c r="AN4" s="4" t="s">
        <v>22</v>
      </c>
      <c r="AO4" s="62" t="s">
        <v>212</v>
      </c>
      <c r="AP4" s="4" t="s">
        <v>22</v>
      </c>
      <c r="AQ4" s="62" t="s">
        <v>220</v>
      </c>
      <c r="AR4" s="4" t="s">
        <v>22</v>
      </c>
      <c r="AS4" s="62" t="s">
        <v>227</v>
      </c>
      <c r="AT4" s="4" t="s">
        <v>22</v>
      </c>
      <c r="AU4" s="62" t="s">
        <v>231</v>
      </c>
      <c r="AV4" s="4" t="s">
        <v>22</v>
      </c>
      <c r="AW4" s="62" t="s">
        <v>234</v>
      </c>
      <c r="AX4" s="4" t="s">
        <v>22</v>
      </c>
      <c r="AY4" s="62" t="s">
        <v>239</v>
      </c>
      <c r="AZ4" s="48" t="s">
        <v>223</v>
      </c>
    </row>
    <row r="5" spans="1:53" x14ac:dyDescent="0.35">
      <c r="A5" s="1">
        <v>1</v>
      </c>
      <c r="B5" t="s">
        <v>69</v>
      </c>
      <c r="C5" s="21">
        <v>0.15329999999999999</v>
      </c>
      <c r="D5" s="1">
        <v>8</v>
      </c>
      <c r="E5" s="44">
        <v>37461</v>
      </c>
      <c r="F5" s="9">
        <v>44516904</v>
      </c>
      <c r="G5" s="9">
        <f>ROUND((F5*C5)*251/365,0)</f>
        <v>4692972</v>
      </c>
      <c r="H5" s="9">
        <f>ROUND((F5-G5)*C5,0)</f>
        <v>6105009</v>
      </c>
      <c r="I5" s="9">
        <f>ROUND((F5-G5-H5)*C5,0)</f>
        <v>5169111</v>
      </c>
      <c r="J5" s="9">
        <f>ROUND((F5-G5-H5-I5)*C5,0)</f>
        <v>4376686</v>
      </c>
      <c r="K5" s="9">
        <f>ROUND((F5-G5-H5-I5-J5)*C5,0)</f>
        <v>3705740</v>
      </c>
      <c r="L5" s="9">
        <f>ROUND((F5-G5-H5-I5-J5-K5)*C5,0)</f>
        <v>3137650</v>
      </c>
      <c r="M5" s="9">
        <f>ROUND((F5-G5-H5-I5-J5-K5-L5)*C5,0)</f>
        <v>2656649</v>
      </c>
      <c r="N5" s="9">
        <f>ROUND((F5-G5-H5-I5-J5-K5-L5-M5)*C5,0)</f>
        <v>2249384</v>
      </c>
      <c r="O5" s="9">
        <f>ROUND((F5-G5-H5-I5-J5-K5-L5-M5-N5)*C5,0)</f>
        <v>1904554</v>
      </c>
      <c r="P5" s="9">
        <f>ROUND((F5-G5-H5-I5-J5-K5-L5-M5-N5-O5)*C5,0)</f>
        <v>1612586</v>
      </c>
      <c r="Q5" s="9">
        <f>ROUND((F5-G5-H5-I5-J5-K5-L5-M5-N5-O5-P5)*C5,0)</f>
        <v>1365376</v>
      </c>
      <c r="R5" s="9">
        <f>ROUND((F5-G5-H5-I5-J5-K5-L5-M5-N5-O5-P5-Q5)*C5,0)</f>
        <v>1156064</v>
      </c>
      <c r="S5" s="11">
        <f>SUM(G5:R5)</f>
        <v>38131781</v>
      </c>
      <c r="T5" s="11">
        <f>+F5-S5</f>
        <v>6385123</v>
      </c>
      <c r="U5" s="9">
        <f>ROUND(F5*5%,0)</f>
        <v>2225845</v>
      </c>
      <c r="V5" s="52">
        <v>41729</v>
      </c>
      <c r="W5" s="55">
        <f>V5-E5</f>
        <v>4268</v>
      </c>
      <c r="X5" s="53">
        <f>IF(D5*365-W5&lt;1,0,(D5*365-W5)/365)</f>
        <v>0</v>
      </c>
      <c r="Y5" s="38" t="s">
        <v>105</v>
      </c>
      <c r="Z5" s="1">
        <v>3.31</v>
      </c>
      <c r="AA5" s="9">
        <f>+T5-U5</f>
        <v>4159278</v>
      </c>
      <c r="AB5">
        <v>1743139</v>
      </c>
      <c r="AC5" s="10">
        <f t="shared" ref="AC5:AC15" si="0">AB5/(T5-U5)*100</f>
        <v>41.909653550447942</v>
      </c>
      <c r="AE5" s="9">
        <f t="shared" ref="AE5:AE15" si="1">(T5-U5)/Z5</f>
        <v>1256579.4561933535</v>
      </c>
      <c r="AF5" s="10"/>
      <c r="AH5" s="8">
        <f>AA5</f>
        <v>4159278</v>
      </c>
      <c r="AI5" s="8">
        <f>+T5-AG5-AH5</f>
        <v>2225845</v>
      </c>
      <c r="AJ5" s="8">
        <v>0</v>
      </c>
      <c r="AK5" s="9">
        <f>AI5-AJ5</f>
        <v>2225845</v>
      </c>
      <c r="AL5" s="9">
        <v>0</v>
      </c>
      <c r="AM5" s="11">
        <f>AK5-AL5</f>
        <v>2225845</v>
      </c>
      <c r="AN5" s="9">
        <v>0</v>
      </c>
      <c r="AO5" s="11">
        <f>+AM5-AN5</f>
        <v>2225845</v>
      </c>
      <c r="AP5" s="8">
        <v>0</v>
      </c>
      <c r="AQ5" s="11">
        <f>+AO5-AP5</f>
        <v>2225845</v>
      </c>
      <c r="AR5" s="8">
        <v>0</v>
      </c>
      <c r="AS5" s="11">
        <f t="shared" ref="AS5:AS15" si="2">+AQ5-AR5</f>
        <v>2225845</v>
      </c>
      <c r="AT5" s="8">
        <v>0</v>
      </c>
      <c r="AU5" s="11">
        <f t="shared" ref="AU5:AU15" si="3">+AS5-AT5</f>
        <v>2225845</v>
      </c>
      <c r="AV5" s="8">
        <v>0</v>
      </c>
      <c r="AW5" s="11">
        <f t="shared" ref="AW5:AW15" si="4">+AU5-AV5</f>
        <v>2225845</v>
      </c>
      <c r="AX5" s="8">
        <v>0</v>
      </c>
      <c r="AY5" s="11">
        <f t="shared" ref="AY5" si="5">+AW5-AX5</f>
        <v>2225845</v>
      </c>
      <c r="AZ5" s="11">
        <f>+AY5-U5</f>
        <v>0</v>
      </c>
    </row>
    <row r="6" spans="1:53" x14ac:dyDescent="0.35">
      <c r="A6" s="1">
        <v>1</v>
      </c>
      <c r="B6" t="s">
        <v>69</v>
      </c>
      <c r="C6" s="21">
        <v>0.15329999999999999</v>
      </c>
      <c r="D6" s="1">
        <v>8</v>
      </c>
      <c r="E6" s="54">
        <v>38595</v>
      </c>
      <c r="F6" s="9">
        <v>95000</v>
      </c>
      <c r="G6" s="9">
        <v>0</v>
      </c>
      <c r="H6" s="9">
        <v>0</v>
      </c>
      <c r="I6" s="9">
        <v>0</v>
      </c>
      <c r="J6" s="9">
        <f>ROUND((F6*13.91%)*213/365,0)</f>
        <v>7711</v>
      </c>
      <c r="K6" s="9">
        <f>ROUND((F6-J6)*C6,0)</f>
        <v>13381</v>
      </c>
      <c r="L6" s="9">
        <f>ROUND((F6-J6-K6)*C6,0)</f>
        <v>11330</v>
      </c>
      <c r="M6" s="9">
        <f>ROUND((F6-J6-K6-L6)*C6,0)</f>
        <v>9593</v>
      </c>
      <c r="N6" s="9">
        <f>ROUND((F6-J6-K6-L6-M6)*C6,0)</f>
        <v>8123</v>
      </c>
      <c r="O6" s="9">
        <f>ROUND((F6-J6-K6-L6-M6-N6)*C6,0)</f>
        <v>6877</v>
      </c>
      <c r="P6" s="9">
        <f>ROUND((F6-J6-K6-L6-M6-N6-O6)*C6,0)</f>
        <v>5823</v>
      </c>
      <c r="Q6" s="9">
        <f>ROUND((F6-J6-K6-L6-M6-N6-O6-P6)*C6,0)</f>
        <v>4930</v>
      </c>
      <c r="R6" s="9">
        <f>ROUND((F6-J6-K6-L6-M6-N6-O6-P6-Q6)*C6,0)</f>
        <v>4175</v>
      </c>
      <c r="S6" s="11">
        <f t="shared" ref="S6:S12" si="6">SUM(G6:R6)</f>
        <v>71943</v>
      </c>
      <c r="T6" s="11">
        <f t="shared" ref="T6:T12" si="7">+F6-S6</f>
        <v>23057</v>
      </c>
      <c r="U6" s="9">
        <f t="shared" ref="U6:U11" si="8">ROUND(F6*5%,0)</f>
        <v>4750</v>
      </c>
      <c r="V6" s="52">
        <v>41729</v>
      </c>
      <c r="W6" s="55">
        <f t="shared" ref="W6:W15" si="9">V6-E6</f>
        <v>3134</v>
      </c>
      <c r="X6" s="53">
        <f t="shared" ref="X6:X15" si="10">IF(D6*365-W6&lt;1,0,(D6*365-W6)/365)</f>
        <v>0</v>
      </c>
      <c r="Y6" s="38" t="s">
        <v>136</v>
      </c>
      <c r="Z6" s="1">
        <v>6.42</v>
      </c>
      <c r="AA6" s="9">
        <f t="shared" ref="AA6:AA15" si="11">+T6-U6</f>
        <v>18307</v>
      </c>
      <c r="AB6">
        <v>5026</v>
      </c>
      <c r="AC6" s="10">
        <f t="shared" si="0"/>
        <v>27.453979352160374</v>
      </c>
      <c r="AE6" s="9">
        <f t="shared" si="1"/>
        <v>2851.5576323987539</v>
      </c>
      <c r="AF6" s="10"/>
      <c r="AH6" s="8">
        <f t="shared" ref="AH6:AH7" si="12">AA6</f>
        <v>18307</v>
      </c>
      <c r="AI6" s="8">
        <f t="shared" ref="AI6:AI15" si="13">+T6-AG6-AH6</f>
        <v>4750</v>
      </c>
      <c r="AJ6" s="8">
        <v>0</v>
      </c>
      <c r="AK6" s="9">
        <f t="shared" ref="AK6:AK15" si="14">AI6-AJ6</f>
        <v>4750</v>
      </c>
      <c r="AL6" s="9">
        <v>0</v>
      </c>
      <c r="AM6" s="11">
        <f>AK6-AL6</f>
        <v>4750</v>
      </c>
      <c r="AN6" s="9">
        <v>0</v>
      </c>
      <c r="AO6" s="11">
        <f t="shared" ref="AO6:AO15" si="15">+AM6-AN6</f>
        <v>4750</v>
      </c>
      <c r="AP6" s="8">
        <v>0</v>
      </c>
      <c r="AQ6" s="11">
        <f t="shared" ref="AQ6:AQ15" si="16">+AO6-AP6</f>
        <v>4750</v>
      </c>
      <c r="AR6" s="8">
        <v>0</v>
      </c>
      <c r="AS6" s="11">
        <f t="shared" si="2"/>
        <v>4750</v>
      </c>
      <c r="AT6" s="8">
        <v>0</v>
      </c>
      <c r="AU6" s="11">
        <f t="shared" si="3"/>
        <v>4750</v>
      </c>
      <c r="AV6" s="8">
        <v>0</v>
      </c>
      <c r="AW6" s="11">
        <f t="shared" si="4"/>
        <v>4750</v>
      </c>
      <c r="AX6" s="8">
        <v>0</v>
      </c>
      <c r="AY6" s="11">
        <f t="shared" ref="AY6:AY15" si="17">+AW6-AX6</f>
        <v>4750</v>
      </c>
      <c r="AZ6" s="11">
        <f t="shared" ref="AZ6:AZ15" si="18">+AY6-U6</f>
        <v>0</v>
      </c>
    </row>
    <row r="7" spans="1:53" x14ac:dyDescent="0.35">
      <c r="A7" s="1">
        <v>1</v>
      </c>
      <c r="B7" t="s">
        <v>69</v>
      </c>
      <c r="C7" s="21">
        <v>0.15329999999999999</v>
      </c>
      <c r="D7" s="1">
        <v>8</v>
      </c>
      <c r="E7" s="54">
        <v>38630</v>
      </c>
      <c r="F7" s="9">
        <v>4151291</v>
      </c>
      <c r="G7" s="9">
        <v>0</v>
      </c>
      <c r="H7" s="9">
        <v>0</v>
      </c>
      <c r="I7" s="9">
        <v>0</v>
      </c>
      <c r="J7" s="9">
        <f>ROUND((F7*C7)*178/365,0)</f>
        <v>310351</v>
      </c>
      <c r="K7" s="9">
        <f>ROUND((F7-J7)*C7,0)</f>
        <v>588816</v>
      </c>
      <c r="L7" s="9">
        <f>ROUND((F7-J7-K7)*C7,0)</f>
        <v>498551</v>
      </c>
      <c r="M7" s="9">
        <f>ROUND((F7-J7-K7-L7)*C7,0)</f>
        <v>422123</v>
      </c>
      <c r="N7" s="9">
        <f>ROUND((F7-J7-K7-L7-M7)*C7,0)</f>
        <v>357411</v>
      </c>
      <c r="O7" s="9">
        <f>ROUND((F7-J7-K7-L7-M7-N7)*C7,0)</f>
        <v>302620</v>
      </c>
      <c r="P7" s="9">
        <f>ROUND((F7-J7-K7-L7-M7-N7-O7)*C7,0)</f>
        <v>256229</v>
      </c>
      <c r="Q7" s="9">
        <f>ROUND((F7-J7-K7-L7-M7-N7-O7-P7)*C7,0)</f>
        <v>216949</v>
      </c>
      <c r="R7" s="9">
        <f>ROUND((F7-J7-K7-L7-M7-N7-O7-P7-Q7)*C7,0)</f>
        <v>183690</v>
      </c>
      <c r="S7" s="11">
        <f t="shared" ref="S7" si="19">SUM(G7:R7)</f>
        <v>3136740</v>
      </c>
      <c r="T7" s="11">
        <f t="shared" si="7"/>
        <v>1014551</v>
      </c>
      <c r="U7" s="9">
        <f t="shared" si="8"/>
        <v>207565</v>
      </c>
      <c r="V7" s="52">
        <v>41729</v>
      </c>
      <c r="W7" s="55">
        <f t="shared" si="9"/>
        <v>3099</v>
      </c>
      <c r="X7" s="53">
        <f t="shared" si="10"/>
        <v>0</v>
      </c>
      <c r="Y7" s="38" t="s">
        <v>137</v>
      </c>
      <c r="Z7" s="1">
        <v>6.51</v>
      </c>
      <c r="AA7" s="9">
        <f t="shared" si="11"/>
        <v>806986</v>
      </c>
      <c r="AB7">
        <v>498742</v>
      </c>
      <c r="AC7" s="10">
        <f t="shared" si="0"/>
        <v>61.803054823751594</v>
      </c>
      <c r="AE7" s="9">
        <f t="shared" si="1"/>
        <v>123960.98310291859</v>
      </c>
      <c r="AF7" s="10"/>
      <c r="AH7" s="8">
        <f t="shared" si="12"/>
        <v>806986</v>
      </c>
      <c r="AI7" s="8">
        <f t="shared" si="13"/>
        <v>207565</v>
      </c>
      <c r="AJ7" s="8">
        <v>0</v>
      </c>
      <c r="AK7" s="9">
        <f t="shared" si="14"/>
        <v>207565</v>
      </c>
      <c r="AL7" s="9">
        <v>0</v>
      </c>
      <c r="AM7" s="11">
        <f>AK7-AL7</f>
        <v>207565</v>
      </c>
      <c r="AN7" s="9">
        <v>0</v>
      </c>
      <c r="AO7" s="11">
        <f t="shared" si="15"/>
        <v>207565</v>
      </c>
      <c r="AP7" s="8">
        <v>0</v>
      </c>
      <c r="AQ7" s="11">
        <f t="shared" si="16"/>
        <v>207565</v>
      </c>
      <c r="AR7" s="8">
        <v>0</v>
      </c>
      <c r="AS7" s="11">
        <f t="shared" si="2"/>
        <v>207565</v>
      </c>
      <c r="AT7" s="8">
        <v>0</v>
      </c>
      <c r="AU7" s="11">
        <f t="shared" si="3"/>
        <v>207565</v>
      </c>
      <c r="AV7" s="8">
        <v>0</v>
      </c>
      <c r="AW7" s="11">
        <f t="shared" si="4"/>
        <v>207565</v>
      </c>
      <c r="AX7" s="8">
        <v>0</v>
      </c>
      <c r="AY7" s="11">
        <f t="shared" si="17"/>
        <v>207565</v>
      </c>
      <c r="AZ7" s="11">
        <f t="shared" si="18"/>
        <v>0</v>
      </c>
    </row>
    <row r="8" spans="1:53" x14ac:dyDescent="0.35">
      <c r="A8" s="1">
        <v>1</v>
      </c>
      <c r="B8" t="s">
        <v>69</v>
      </c>
      <c r="C8" s="21">
        <v>0.15329999999999999</v>
      </c>
      <c r="D8" s="1">
        <v>8</v>
      </c>
      <c r="E8" s="54">
        <v>39310</v>
      </c>
      <c r="F8" s="9">
        <v>408803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f>ROUND((F8*C8)*229/366,0)</f>
        <v>39211</v>
      </c>
      <c r="M8" s="9">
        <f>ROUND((F8-L8)*C8,0)</f>
        <v>56658</v>
      </c>
      <c r="N8" s="9">
        <f>ROUND((F8-L8-M8)*C8,0)</f>
        <v>47973</v>
      </c>
      <c r="O8" s="9">
        <f>ROUND((F8-L8-M8-N8)*C8,0)</f>
        <v>40619</v>
      </c>
      <c r="P8" s="9">
        <f>ROUND((F8-L8-M8-N8-O8)*C8,0)</f>
        <v>34392</v>
      </c>
      <c r="Q8" s="9">
        <f>ROUND((F8-L8-M8-N8-O8-P8)*C8,0)</f>
        <v>29119</v>
      </c>
      <c r="R8" s="9">
        <f>ROUND((F8-L8-M8-N8-O8-P8-Q8)*C8,0)</f>
        <v>24655</v>
      </c>
      <c r="S8" s="11">
        <f t="shared" si="6"/>
        <v>272627</v>
      </c>
      <c r="T8" s="11">
        <f t="shared" si="7"/>
        <v>136176</v>
      </c>
      <c r="U8" s="9">
        <f t="shared" si="8"/>
        <v>20440</v>
      </c>
      <c r="V8" s="52">
        <v>41729</v>
      </c>
      <c r="W8" s="55">
        <f t="shared" si="9"/>
        <v>2419</v>
      </c>
      <c r="X8" s="53">
        <f t="shared" si="10"/>
        <v>1.3726027397260274</v>
      </c>
      <c r="Y8" s="38" t="s">
        <v>148</v>
      </c>
      <c r="Z8" s="1">
        <v>8.3699999999999992</v>
      </c>
      <c r="AA8" s="9">
        <f t="shared" si="11"/>
        <v>115736</v>
      </c>
      <c r="AB8">
        <v>27644</v>
      </c>
      <c r="AC8" s="10">
        <f t="shared" si="0"/>
        <v>23.885394345752403</v>
      </c>
      <c r="AE8" s="9">
        <f t="shared" si="1"/>
        <v>13827.479091995223</v>
      </c>
      <c r="AF8" s="10">
        <f t="shared" ref="AF8:AF15" si="20">1-POWER((0.05*F8)/T8,1/X8)</f>
        <v>0.74883446864803727</v>
      </c>
      <c r="AG8" s="8">
        <f>ROUND(T8*AF8,0)</f>
        <v>101973</v>
      </c>
      <c r="AI8" s="8">
        <f t="shared" si="13"/>
        <v>34203</v>
      </c>
      <c r="AJ8" s="8">
        <f>AI8-U8</f>
        <v>13763</v>
      </c>
      <c r="AK8" s="9">
        <f t="shared" si="14"/>
        <v>20440</v>
      </c>
      <c r="AL8" s="9">
        <v>0</v>
      </c>
      <c r="AM8" s="11">
        <f>AK8-AL8</f>
        <v>20440</v>
      </c>
      <c r="AN8" s="9">
        <v>0</v>
      </c>
      <c r="AO8" s="11">
        <f t="shared" si="15"/>
        <v>20440</v>
      </c>
      <c r="AP8" s="8">
        <v>0</v>
      </c>
      <c r="AQ8" s="11">
        <f t="shared" si="16"/>
        <v>20440</v>
      </c>
      <c r="AR8" s="8">
        <v>0</v>
      </c>
      <c r="AS8" s="11">
        <f t="shared" si="2"/>
        <v>20440</v>
      </c>
      <c r="AT8" s="8">
        <v>0</v>
      </c>
      <c r="AU8" s="11">
        <f t="shared" si="3"/>
        <v>20440</v>
      </c>
      <c r="AV8" s="8">
        <v>0</v>
      </c>
      <c r="AW8" s="11">
        <f t="shared" si="4"/>
        <v>20440</v>
      </c>
      <c r="AX8" s="8">
        <v>0</v>
      </c>
      <c r="AY8" s="11">
        <f t="shared" si="17"/>
        <v>20440</v>
      </c>
      <c r="AZ8" s="11">
        <f t="shared" si="18"/>
        <v>0</v>
      </c>
    </row>
    <row r="9" spans="1:53" x14ac:dyDescent="0.35">
      <c r="A9" s="1">
        <v>1</v>
      </c>
      <c r="B9" t="s">
        <v>69</v>
      </c>
      <c r="C9" s="21">
        <v>0.15329999999999999</v>
      </c>
      <c r="D9" s="1">
        <v>8</v>
      </c>
      <c r="E9" s="54">
        <v>39326</v>
      </c>
      <c r="F9" s="9">
        <v>408803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f>ROUND((F9*C9)*213/366,0)</f>
        <v>36472</v>
      </c>
      <c r="M9" s="9">
        <f t="shared" ref="M9:M11" si="21">ROUND((F9-L9)*C9,0)</f>
        <v>57078</v>
      </c>
      <c r="N9" s="9">
        <f t="shared" ref="N9:N11" si="22">ROUND((F9-L9-M9)*C9,0)</f>
        <v>48328</v>
      </c>
      <c r="O9" s="9">
        <f t="shared" ref="O9:O11" si="23">ROUND((F9-L9-M9-N9)*C9,0)</f>
        <v>40920</v>
      </c>
      <c r="P9" s="9">
        <f t="shared" ref="P9:P11" si="24">ROUND((F9-L9-M9-N9-O9)*C9,0)</f>
        <v>34647</v>
      </c>
      <c r="Q9" s="9">
        <f t="shared" ref="Q9:Q11" si="25">ROUND((F9-L9-M9-N9-O9-P9)*C9,0)</f>
        <v>29335</v>
      </c>
      <c r="R9" s="9">
        <f t="shared" ref="R9:R11" si="26">ROUND((F9-L9-M9-N9-O9-P9-Q9)*C9,0)</f>
        <v>24838</v>
      </c>
      <c r="S9" s="11">
        <f t="shared" ref="S9:S11" si="27">SUM(G9:R9)</f>
        <v>271618</v>
      </c>
      <c r="T9" s="11">
        <f t="shared" ref="T9:T11" si="28">+F9-S9</f>
        <v>137185</v>
      </c>
      <c r="U9" s="9">
        <f t="shared" si="8"/>
        <v>20440</v>
      </c>
      <c r="V9" s="52">
        <v>41729</v>
      </c>
      <c r="W9" s="55">
        <f t="shared" si="9"/>
        <v>2403</v>
      </c>
      <c r="X9" s="53">
        <f t="shared" si="10"/>
        <v>1.4164383561643836</v>
      </c>
      <c r="Y9" s="38" t="s">
        <v>149</v>
      </c>
      <c r="Z9" s="1">
        <v>8.42</v>
      </c>
      <c r="AA9" s="9">
        <f t="shared" si="11"/>
        <v>116745</v>
      </c>
      <c r="AB9">
        <v>27711</v>
      </c>
      <c r="AC9" s="10">
        <f t="shared" si="0"/>
        <v>23.736348451753823</v>
      </c>
      <c r="AE9" s="9">
        <f t="shared" si="1"/>
        <v>13865.201900237529</v>
      </c>
      <c r="AF9" s="10">
        <f t="shared" si="20"/>
        <v>0.73922468486147797</v>
      </c>
      <c r="AG9" s="8">
        <f t="shared" ref="AG9:AG15" si="29">ROUND(T9*AF9,0)</f>
        <v>101411</v>
      </c>
      <c r="AI9" s="8">
        <f t="shared" si="13"/>
        <v>35774</v>
      </c>
      <c r="AJ9" s="8">
        <f t="shared" ref="AJ9:AJ11" si="30">AI9-U9</f>
        <v>15334</v>
      </c>
      <c r="AK9" s="9">
        <f t="shared" si="14"/>
        <v>20440</v>
      </c>
      <c r="AL9" s="9">
        <v>0</v>
      </c>
      <c r="AM9" s="11">
        <f t="shared" ref="AM9:AM15" si="31">AK9-AL9</f>
        <v>20440</v>
      </c>
      <c r="AN9" s="9">
        <v>0</v>
      </c>
      <c r="AO9" s="11">
        <f t="shared" si="15"/>
        <v>20440</v>
      </c>
      <c r="AP9" s="8">
        <v>0</v>
      </c>
      <c r="AQ9" s="11">
        <f t="shared" si="16"/>
        <v>20440</v>
      </c>
      <c r="AR9" s="8">
        <v>0</v>
      </c>
      <c r="AS9" s="11">
        <f t="shared" si="2"/>
        <v>20440</v>
      </c>
      <c r="AT9" s="8">
        <v>0</v>
      </c>
      <c r="AU9" s="11">
        <f t="shared" si="3"/>
        <v>20440</v>
      </c>
      <c r="AV9" s="8">
        <v>0</v>
      </c>
      <c r="AW9" s="11">
        <f t="shared" si="4"/>
        <v>20440</v>
      </c>
      <c r="AX9" s="8">
        <v>0</v>
      </c>
      <c r="AY9" s="11">
        <f t="shared" si="17"/>
        <v>20440</v>
      </c>
      <c r="AZ9" s="11">
        <f t="shared" si="18"/>
        <v>0</v>
      </c>
    </row>
    <row r="10" spans="1:53" x14ac:dyDescent="0.35">
      <c r="A10" s="1">
        <v>1</v>
      </c>
      <c r="B10" t="s">
        <v>69</v>
      </c>
      <c r="C10" s="21">
        <v>0.15329999999999999</v>
      </c>
      <c r="D10" s="1">
        <v>8</v>
      </c>
      <c r="E10" s="54">
        <v>39479</v>
      </c>
      <c r="F10" s="9">
        <v>370162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f>ROUND((F10*C10)*60/366,0)</f>
        <v>9303</v>
      </c>
      <c r="M10" s="9">
        <f t="shared" si="21"/>
        <v>55320</v>
      </c>
      <c r="N10" s="9">
        <f t="shared" si="22"/>
        <v>46839</v>
      </c>
      <c r="O10" s="9">
        <f t="shared" si="23"/>
        <v>39659</v>
      </c>
      <c r="P10" s="9">
        <f t="shared" si="24"/>
        <v>33579</v>
      </c>
      <c r="Q10" s="9">
        <f t="shared" si="25"/>
        <v>28431</v>
      </c>
      <c r="R10" s="9">
        <f t="shared" si="26"/>
        <v>24073</v>
      </c>
      <c r="S10" s="11">
        <f t="shared" si="27"/>
        <v>237204</v>
      </c>
      <c r="T10" s="11">
        <f t="shared" si="28"/>
        <v>132958</v>
      </c>
      <c r="U10" s="9">
        <f t="shared" si="8"/>
        <v>18508</v>
      </c>
      <c r="V10" s="52">
        <v>41729</v>
      </c>
      <c r="W10" s="55">
        <f t="shared" si="9"/>
        <v>2250</v>
      </c>
      <c r="X10" s="53">
        <f t="shared" si="10"/>
        <v>1.8356164383561644</v>
      </c>
      <c r="Y10" s="38" t="s">
        <v>150</v>
      </c>
      <c r="Z10" s="1">
        <v>8.84</v>
      </c>
      <c r="AA10" s="9">
        <f t="shared" si="11"/>
        <v>114450</v>
      </c>
      <c r="AB10">
        <v>26592</v>
      </c>
      <c r="AC10" s="10">
        <f t="shared" si="0"/>
        <v>23.234600262123198</v>
      </c>
      <c r="AE10" s="9">
        <f t="shared" si="1"/>
        <v>12946.83257918552</v>
      </c>
      <c r="AF10" s="10">
        <f t="shared" si="20"/>
        <v>0.65843014612305362</v>
      </c>
      <c r="AG10" s="8">
        <f t="shared" si="29"/>
        <v>87544</v>
      </c>
      <c r="AI10" s="8">
        <f t="shared" si="13"/>
        <v>45414</v>
      </c>
      <c r="AJ10" s="8">
        <f t="shared" si="30"/>
        <v>26906</v>
      </c>
      <c r="AK10" s="9">
        <f t="shared" si="14"/>
        <v>18508</v>
      </c>
      <c r="AL10" s="9">
        <v>0</v>
      </c>
      <c r="AM10" s="11">
        <f t="shared" si="31"/>
        <v>18508</v>
      </c>
      <c r="AN10" s="9">
        <v>0</v>
      </c>
      <c r="AO10" s="11">
        <f t="shared" si="15"/>
        <v>18508</v>
      </c>
      <c r="AP10" s="8">
        <v>0</v>
      </c>
      <c r="AQ10" s="11">
        <f t="shared" si="16"/>
        <v>18508</v>
      </c>
      <c r="AR10" s="8">
        <v>0</v>
      </c>
      <c r="AS10" s="11">
        <f t="shared" si="2"/>
        <v>18508</v>
      </c>
      <c r="AT10" s="8">
        <v>0</v>
      </c>
      <c r="AU10" s="11">
        <f t="shared" si="3"/>
        <v>18508</v>
      </c>
      <c r="AV10" s="8">
        <v>0</v>
      </c>
      <c r="AW10" s="11">
        <f t="shared" si="4"/>
        <v>18508</v>
      </c>
      <c r="AX10" s="8">
        <v>0</v>
      </c>
      <c r="AY10" s="11">
        <f t="shared" si="17"/>
        <v>18508</v>
      </c>
      <c r="AZ10" s="11">
        <f t="shared" si="18"/>
        <v>0</v>
      </c>
    </row>
    <row r="11" spans="1:53" x14ac:dyDescent="0.35">
      <c r="A11" s="1">
        <v>1</v>
      </c>
      <c r="B11" t="s">
        <v>69</v>
      </c>
      <c r="C11" s="21">
        <v>0.15329999999999999</v>
      </c>
      <c r="D11" s="1">
        <v>8</v>
      </c>
      <c r="E11" s="54">
        <v>39479</v>
      </c>
      <c r="F11" s="9">
        <v>238037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f>ROUND((F11*C11)*60/366,0)</f>
        <v>5982</v>
      </c>
      <c r="M11" s="9">
        <f t="shared" si="21"/>
        <v>35574</v>
      </c>
      <c r="N11" s="9">
        <f t="shared" si="22"/>
        <v>30121</v>
      </c>
      <c r="O11" s="9">
        <f t="shared" si="23"/>
        <v>25503</v>
      </c>
      <c r="P11" s="9">
        <f t="shared" si="24"/>
        <v>21593</v>
      </c>
      <c r="Q11" s="9">
        <f t="shared" si="25"/>
        <v>18283</v>
      </c>
      <c r="R11" s="9">
        <f t="shared" si="26"/>
        <v>15480</v>
      </c>
      <c r="S11" s="11">
        <f t="shared" si="27"/>
        <v>152536</v>
      </c>
      <c r="T11" s="11">
        <f t="shared" si="28"/>
        <v>85501</v>
      </c>
      <c r="U11" s="9">
        <f t="shared" si="8"/>
        <v>11902</v>
      </c>
      <c r="V11" s="52">
        <v>41729</v>
      </c>
      <c r="W11" s="55">
        <f t="shared" si="9"/>
        <v>2250</v>
      </c>
      <c r="X11" s="53">
        <f t="shared" si="10"/>
        <v>1.8356164383561644</v>
      </c>
      <c r="Y11" s="38" t="s">
        <v>150</v>
      </c>
      <c r="Z11" s="1">
        <v>8.84</v>
      </c>
      <c r="AA11" s="9">
        <f t="shared" si="11"/>
        <v>73599</v>
      </c>
      <c r="AB11">
        <v>17100</v>
      </c>
      <c r="AC11" s="10">
        <f t="shared" si="0"/>
        <v>23.234011331675703</v>
      </c>
      <c r="AE11" s="9">
        <f t="shared" si="1"/>
        <v>8325.6787330316747</v>
      </c>
      <c r="AF11" s="10">
        <f t="shared" si="20"/>
        <v>0.65843189652454115</v>
      </c>
      <c r="AG11" s="8">
        <f t="shared" si="29"/>
        <v>56297</v>
      </c>
      <c r="AI11" s="8">
        <f t="shared" si="13"/>
        <v>29204</v>
      </c>
      <c r="AJ11" s="8">
        <f t="shared" si="30"/>
        <v>17302</v>
      </c>
      <c r="AK11" s="9">
        <f t="shared" si="14"/>
        <v>11902</v>
      </c>
      <c r="AL11" s="9">
        <v>0</v>
      </c>
      <c r="AM11" s="11">
        <f t="shared" si="31"/>
        <v>11902</v>
      </c>
      <c r="AN11" s="9">
        <v>0</v>
      </c>
      <c r="AO11" s="11">
        <f t="shared" si="15"/>
        <v>11902</v>
      </c>
      <c r="AP11" s="8">
        <v>0</v>
      </c>
      <c r="AQ11" s="11">
        <f t="shared" si="16"/>
        <v>11902</v>
      </c>
      <c r="AR11" s="8">
        <v>0</v>
      </c>
      <c r="AS11" s="11">
        <f t="shared" si="2"/>
        <v>11902</v>
      </c>
      <c r="AT11" s="8">
        <v>0</v>
      </c>
      <c r="AU11" s="11">
        <f t="shared" si="3"/>
        <v>11902</v>
      </c>
      <c r="AV11" s="8">
        <v>0</v>
      </c>
      <c r="AW11" s="11">
        <f t="shared" si="4"/>
        <v>11902</v>
      </c>
      <c r="AX11" s="8">
        <v>0</v>
      </c>
      <c r="AY11" s="11">
        <f t="shared" si="17"/>
        <v>11902</v>
      </c>
      <c r="AZ11" s="11">
        <f t="shared" si="18"/>
        <v>0</v>
      </c>
    </row>
    <row r="12" spans="1:53" x14ac:dyDescent="0.35">
      <c r="A12" s="1">
        <v>1</v>
      </c>
      <c r="B12" t="s">
        <v>69</v>
      </c>
      <c r="C12" s="21">
        <v>0.15329999999999999</v>
      </c>
      <c r="D12" s="1">
        <v>8</v>
      </c>
      <c r="E12" s="54">
        <v>39600</v>
      </c>
      <c r="F12" s="9">
        <v>2210314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f>ROUND((F12*C12)*304/365,0)</f>
        <v>282213</v>
      </c>
      <c r="N12" s="9">
        <f>ROUND((F12-M12)*C12,0)</f>
        <v>295578</v>
      </c>
      <c r="O12" s="9">
        <f>ROUND((F12-M12-N12)*C12,0)</f>
        <v>250266</v>
      </c>
      <c r="P12" s="9">
        <f>ROUND((F12-M12-N12-O12)*C12,0)</f>
        <v>211900</v>
      </c>
      <c r="Q12" s="9">
        <f>ROUND((F12-M12-N12-O12-P12)*C12,0)</f>
        <v>179416</v>
      </c>
      <c r="R12" s="9">
        <f>ROUND((F12-M12-N12-O12-P12-Q12)*C12,0)</f>
        <v>151911</v>
      </c>
      <c r="S12" s="11">
        <f t="shared" si="6"/>
        <v>1371284</v>
      </c>
      <c r="T12" s="11">
        <f t="shared" si="7"/>
        <v>839030</v>
      </c>
      <c r="U12" s="9">
        <f t="shared" ref="U12:U15" si="32">ROUND(F12*5%,0)</f>
        <v>110516</v>
      </c>
      <c r="V12" s="52">
        <v>41729</v>
      </c>
      <c r="W12" s="55">
        <f t="shared" si="9"/>
        <v>2129</v>
      </c>
      <c r="X12" s="53">
        <f t="shared" si="10"/>
        <v>2.1671232876712327</v>
      </c>
      <c r="Y12" s="38" t="s">
        <v>155</v>
      </c>
      <c r="Z12" s="1">
        <v>9.17</v>
      </c>
      <c r="AA12" s="9">
        <f t="shared" si="11"/>
        <v>728514</v>
      </c>
      <c r="AB12">
        <v>166128</v>
      </c>
      <c r="AC12" s="10">
        <f t="shared" si="0"/>
        <v>22.803679819468123</v>
      </c>
      <c r="AE12" s="9">
        <f t="shared" si="1"/>
        <v>79445.365321701203</v>
      </c>
      <c r="AF12" s="10">
        <f t="shared" si="20"/>
        <v>0.60756421040317088</v>
      </c>
      <c r="AG12" s="8">
        <f t="shared" si="29"/>
        <v>509765</v>
      </c>
      <c r="AI12" s="8">
        <f t="shared" si="13"/>
        <v>329265</v>
      </c>
      <c r="AJ12" s="8">
        <f>ROUND(AI12*AF12,0)</f>
        <v>200050</v>
      </c>
      <c r="AK12" s="9">
        <f t="shared" si="14"/>
        <v>129215</v>
      </c>
      <c r="AL12" s="9">
        <f>AK12-U12</f>
        <v>18699</v>
      </c>
      <c r="AM12" s="11">
        <f t="shared" si="31"/>
        <v>110516</v>
      </c>
      <c r="AN12" s="9">
        <v>0</v>
      </c>
      <c r="AO12" s="11">
        <f t="shared" si="15"/>
        <v>110516</v>
      </c>
      <c r="AP12" s="8">
        <v>0</v>
      </c>
      <c r="AQ12" s="11">
        <f t="shared" si="16"/>
        <v>110516</v>
      </c>
      <c r="AR12" s="8">
        <v>0</v>
      </c>
      <c r="AS12" s="11">
        <f t="shared" si="2"/>
        <v>110516</v>
      </c>
      <c r="AT12" s="8">
        <v>0</v>
      </c>
      <c r="AU12" s="11">
        <f t="shared" si="3"/>
        <v>110516</v>
      </c>
      <c r="AV12" s="8">
        <v>0</v>
      </c>
      <c r="AW12" s="11">
        <f t="shared" si="4"/>
        <v>110516</v>
      </c>
      <c r="AX12" s="8">
        <v>0</v>
      </c>
      <c r="AY12" s="11">
        <f t="shared" si="17"/>
        <v>110516</v>
      </c>
      <c r="AZ12" s="11">
        <f t="shared" si="18"/>
        <v>0</v>
      </c>
    </row>
    <row r="13" spans="1:53" x14ac:dyDescent="0.35">
      <c r="A13" s="1">
        <v>1</v>
      </c>
      <c r="B13" t="s">
        <v>69</v>
      </c>
      <c r="C13" s="21">
        <v>0.15329999999999999</v>
      </c>
      <c r="D13" s="1">
        <v>8</v>
      </c>
      <c r="E13" s="54">
        <v>39600</v>
      </c>
      <c r="F13" s="9">
        <v>619323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f t="shared" ref="M13" si="33">ROUND((F13*C13)*304/365,0)</f>
        <v>79075</v>
      </c>
      <c r="N13" s="9">
        <f t="shared" ref="N13:N14" si="34">ROUND((F13-M13)*C13,0)</f>
        <v>82820</v>
      </c>
      <c r="O13" s="9">
        <f t="shared" ref="O13:O14" si="35">ROUND((F13-M13-N13)*C13,0)</f>
        <v>70124</v>
      </c>
      <c r="P13" s="9">
        <f t="shared" ref="P13:P14" si="36">ROUND((F13-M13-N13-O13)*C13,0)</f>
        <v>59374</v>
      </c>
      <c r="Q13" s="9">
        <f t="shared" ref="Q13:Q14" si="37">ROUND((F13-M13-N13-O13-P13)*C13,0)</f>
        <v>50272</v>
      </c>
      <c r="R13" s="9">
        <f t="shared" ref="R13:R14" si="38">ROUND((F13-M13-N13-O13-P13-Q13)*C13,0)</f>
        <v>42565</v>
      </c>
      <c r="S13" s="11">
        <f t="shared" ref="S13:S15" si="39">SUM(G13:R13)</f>
        <v>384230</v>
      </c>
      <c r="T13" s="11">
        <f t="shared" ref="T13:T15" si="40">+F13-S13</f>
        <v>235093</v>
      </c>
      <c r="U13" s="9">
        <f t="shared" si="32"/>
        <v>30966</v>
      </c>
      <c r="V13" s="52">
        <v>41729</v>
      </c>
      <c r="W13" s="55">
        <f t="shared" si="9"/>
        <v>2129</v>
      </c>
      <c r="X13" s="53">
        <f t="shared" si="10"/>
        <v>2.1671232876712327</v>
      </c>
      <c r="Y13" s="38" t="s">
        <v>155</v>
      </c>
      <c r="Z13" s="1">
        <v>9.17</v>
      </c>
      <c r="AA13" s="9">
        <f t="shared" si="11"/>
        <v>204127</v>
      </c>
      <c r="AB13">
        <v>46548</v>
      </c>
      <c r="AC13" s="10">
        <f t="shared" si="0"/>
        <v>22.803450792888739</v>
      </c>
      <c r="AE13" s="9">
        <f t="shared" si="1"/>
        <v>22260.305343511449</v>
      </c>
      <c r="AF13" s="10">
        <f t="shared" si="20"/>
        <v>0.60756378263516919</v>
      </c>
      <c r="AG13" s="8">
        <f t="shared" si="29"/>
        <v>142834</v>
      </c>
      <c r="AI13" s="8">
        <f t="shared" si="13"/>
        <v>92259</v>
      </c>
      <c r="AJ13" s="8">
        <f t="shared" ref="AJ13:AJ15" si="41">ROUND(AI13*AF13,0)</f>
        <v>56053</v>
      </c>
      <c r="AK13" s="9">
        <f t="shared" si="14"/>
        <v>36206</v>
      </c>
      <c r="AL13" s="9">
        <f t="shared" ref="AL13" si="42">ROUND(AK13*AH13,0)</f>
        <v>0</v>
      </c>
      <c r="AM13" s="11">
        <f t="shared" si="31"/>
        <v>36206</v>
      </c>
      <c r="AN13" s="9">
        <f>+AM13-U13</f>
        <v>5240</v>
      </c>
      <c r="AO13" s="11">
        <f t="shared" si="15"/>
        <v>30966</v>
      </c>
      <c r="AP13" s="8">
        <v>0</v>
      </c>
      <c r="AQ13" s="11">
        <f t="shared" si="16"/>
        <v>30966</v>
      </c>
      <c r="AR13" s="8">
        <v>0</v>
      </c>
      <c r="AS13" s="11">
        <f t="shared" si="2"/>
        <v>30966</v>
      </c>
      <c r="AT13" s="8">
        <v>0</v>
      </c>
      <c r="AU13" s="11">
        <f t="shared" si="3"/>
        <v>30966</v>
      </c>
      <c r="AV13" s="8">
        <v>0</v>
      </c>
      <c r="AW13" s="11">
        <f t="shared" si="4"/>
        <v>30966</v>
      </c>
      <c r="AX13" s="8">
        <v>0</v>
      </c>
      <c r="AY13" s="11">
        <f t="shared" si="17"/>
        <v>30966</v>
      </c>
      <c r="AZ13" s="11">
        <f t="shared" si="18"/>
        <v>0</v>
      </c>
    </row>
    <row r="14" spans="1:53" x14ac:dyDescent="0.35">
      <c r="A14" s="1">
        <v>1</v>
      </c>
      <c r="B14" t="s">
        <v>69</v>
      </c>
      <c r="C14" s="21">
        <v>0.15329999999999999</v>
      </c>
      <c r="D14" s="1">
        <v>8</v>
      </c>
      <c r="E14" s="54">
        <v>39814</v>
      </c>
      <c r="F14" s="9">
        <v>1509975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f>ROUND((F14*C14)*90/365,0)</f>
        <v>57077</v>
      </c>
      <c r="N14" s="9">
        <f t="shared" si="34"/>
        <v>222729</v>
      </c>
      <c r="O14" s="9">
        <f t="shared" si="35"/>
        <v>188585</v>
      </c>
      <c r="P14" s="9">
        <f t="shared" si="36"/>
        <v>159675</v>
      </c>
      <c r="Q14" s="9">
        <f t="shared" si="37"/>
        <v>135197</v>
      </c>
      <c r="R14" s="9">
        <f t="shared" si="38"/>
        <v>114471</v>
      </c>
      <c r="S14" s="11">
        <f t="shared" si="39"/>
        <v>877734</v>
      </c>
      <c r="T14" s="11">
        <f t="shared" si="40"/>
        <v>632241</v>
      </c>
      <c r="U14" s="9">
        <f t="shared" si="32"/>
        <v>75499</v>
      </c>
      <c r="V14" s="52">
        <v>41729</v>
      </c>
      <c r="W14" s="55">
        <f t="shared" si="9"/>
        <v>1915</v>
      </c>
      <c r="X14" s="53">
        <f t="shared" si="10"/>
        <v>2.7534246575342465</v>
      </c>
      <c r="Y14" s="38" t="s">
        <v>156</v>
      </c>
      <c r="Z14" s="1">
        <v>9.75</v>
      </c>
      <c r="AA14" s="9">
        <f t="shared" si="11"/>
        <v>556742</v>
      </c>
      <c r="AB14">
        <v>123919</v>
      </c>
      <c r="AC14" s="10">
        <f t="shared" si="0"/>
        <v>22.257886058533398</v>
      </c>
      <c r="AE14" s="9">
        <f t="shared" si="1"/>
        <v>57101.743589743586</v>
      </c>
      <c r="AF14" s="10">
        <f t="shared" si="20"/>
        <v>0.53782991186873153</v>
      </c>
      <c r="AG14" s="8">
        <f t="shared" si="29"/>
        <v>340038</v>
      </c>
      <c r="AI14" s="8">
        <f t="shared" si="13"/>
        <v>292203</v>
      </c>
      <c r="AJ14" s="8">
        <f t="shared" si="41"/>
        <v>157156</v>
      </c>
      <c r="AK14" s="9">
        <f t="shared" si="14"/>
        <v>135047</v>
      </c>
      <c r="AL14" s="9">
        <f>AK14-U14</f>
        <v>59548</v>
      </c>
      <c r="AM14" s="11">
        <f t="shared" si="31"/>
        <v>75499</v>
      </c>
      <c r="AN14" s="9">
        <v>0</v>
      </c>
      <c r="AO14" s="11">
        <f t="shared" si="15"/>
        <v>75499</v>
      </c>
      <c r="AP14" s="8">
        <v>0</v>
      </c>
      <c r="AQ14" s="11">
        <f t="shared" si="16"/>
        <v>75499</v>
      </c>
      <c r="AR14" s="8">
        <v>0</v>
      </c>
      <c r="AS14" s="11">
        <f t="shared" si="2"/>
        <v>75499</v>
      </c>
      <c r="AT14" s="8">
        <v>0</v>
      </c>
      <c r="AU14" s="11">
        <f t="shared" si="3"/>
        <v>75499</v>
      </c>
      <c r="AV14" s="8">
        <v>0</v>
      </c>
      <c r="AW14" s="11">
        <f t="shared" si="4"/>
        <v>75499</v>
      </c>
      <c r="AX14" s="8">
        <v>0</v>
      </c>
      <c r="AY14" s="11">
        <f t="shared" si="17"/>
        <v>75499</v>
      </c>
      <c r="AZ14" s="11">
        <f t="shared" si="18"/>
        <v>0</v>
      </c>
    </row>
    <row r="15" spans="1:53" x14ac:dyDescent="0.35">
      <c r="A15" s="1">
        <v>1</v>
      </c>
      <c r="B15" t="s">
        <v>69</v>
      </c>
      <c r="C15" s="21">
        <v>0.15329999999999999</v>
      </c>
      <c r="D15" s="1">
        <v>8</v>
      </c>
      <c r="E15" s="54">
        <v>40118</v>
      </c>
      <c r="F15" s="9">
        <v>897573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f>ROUND((F15*C15)*151/365,0)</f>
        <v>56924</v>
      </c>
      <c r="O15" s="9">
        <f>ROUND((F15-N15)*C15,0)</f>
        <v>128871</v>
      </c>
      <c r="P15" s="9">
        <f>ROUND((F15-N15-O15)*C15,0)</f>
        <v>109116</v>
      </c>
      <c r="Q15" s="9">
        <f>ROUND((F15-N15-O15-P15)*C15,0)</f>
        <v>92388</v>
      </c>
      <c r="R15" s="9">
        <f>ROUND((F15-N15-O15-P15-Q15)*C15,0)</f>
        <v>78225</v>
      </c>
      <c r="S15" s="11">
        <f t="shared" si="39"/>
        <v>465524</v>
      </c>
      <c r="T15" s="11">
        <f t="shared" si="40"/>
        <v>432049</v>
      </c>
      <c r="U15" s="9">
        <f t="shared" si="32"/>
        <v>44879</v>
      </c>
      <c r="V15" s="52">
        <v>41729</v>
      </c>
      <c r="W15" s="55">
        <f t="shared" si="9"/>
        <v>1611</v>
      </c>
      <c r="X15" s="53">
        <f t="shared" si="10"/>
        <v>3.5863013698630137</v>
      </c>
      <c r="Y15" s="38" t="s">
        <v>160</v>
      </c>
      <c r="Z15" s="1">
        <v>10.59</v>
      </c>
      <c r="AA15" s="9">
        <f t="shared" si="11"/>
        <v>387170</v>
      </c>
      <c r="AB15">
        <v>83385</v>
      </c>
      <c r="AC15" s="10">
        <f t="shared" si="0"/>
        <v>21.537050907869929</v>
      </c>
      <c r="AE15" s="9">
        <f t="shared" si="1"/>
        <v>36559.96222851747</v>
      </c>
      <c r="AF15" s="10">
        <f t="shared" si="20"/>
        <v>0.4681809099051657</v>
      </c>
      <c r="AG15" s="8">
        <f t="shared" si="29"/>
        <v>202277</v>
      </c>
      <c r="AI15" s="8">
        <f t="shared" si="13"/>
        <v>229772</v>
      </c>
      <c r="AJ15" s="8">
        <f t="shared" si="41"/>
        <v>107575</v>
      </c>
      <c r="AK15" s="9">
        <f t="shared" si="14"/>
        <v>122197</v>
      </c>
      <c r="AL15" s="9">
        <f>ROUND(AF15*AK15,0)</f>
        <v>57210</v>
      </c>
      <c r="AM15" s="11">
        <f t="shared" si="31"/>
        <v>64987</v>
      </c>
      <c r="AN15" s="9">
        <f>+AM15-U15</f>
        <v>20108</v>
      </c>
      <c r="AO15" s="11">
        <f t="shared" si="15"/>
        <v>44879</v>
      </c>
      <c r="AP15" s="8">
        <v>0</v>
      </c>
      <c r="AQ15" s="11">
        <f t="shared" si="16"/>
        <v>44879</v>
      </c>
      <c r="AR15" s="8">
        <v>0</v>
      </c>
      <c r="AS15" s="11">
        <f t="shared" si="2"/>
        <v>44879</v>
      </c>
      <c r="AT15" s="8">
        <v>0</v>
      </c>
      <c r="AU15" s="11">
        <f t="shared" si="3"/>
        <v>44879</v>
      </c>
      <c r="AV15" s="8">
        <v>0</v>
      </c>
      <c r="AW15" s="11">
        <f t="shared" si="4"/>
        <v>44879</v>
      </c>
      <c r="AX15" s="8">
        <v>0</v>
      </c>
      <c r="AY15" s="11">
        <f t="shared" si="17"/>
        <v>44879</v>
      </c>
      <c r="AZ15" s="11">
        <f t="shared" si="18"/>
        <v>0</v>
      </c>
      <c r="BA15" s="10"/>
    </row>
    <row r="16" spans="1:53" x14ac:dyDescent="0.35">
      <c r="C16" s="24"/>
      <c r="D16" s="1"/>
      <c r="E16" s="3" t="s">
        <v>38</v>
      </c>
      <c r="F16" s="13">
        <f>SUM(F5:F15)</f>
        <v>55426185</v>
      </c>
      <c r="G16" s="13">
        <f t="shared" ref="G16:U16" si="43">SUM(G5:G15)</f>
        <v>4692972</v>
      </c>
      <c r="H16" s="13">
        <f t="shared" si="43"/>
        <v>6105009</v>
      </c>
      <c r="I16" s="13">
        <f t="shared" si="43"/>
        <v>5169111</v>
      </c>
      <c r="J16" s="13">
        <f t="shared" si="43"/>
        <v>4694748</v>
      </c>
      <c r="K16" s="13">
        <f t="shared" si="43"/>
        <v>4307937</v>
      </c>
      <c r="L16" s="13">
        <f t="shared" si="43"/>
        <v>3738499</v>
      </c>
      <c r="M16" s="13">
        <f t="shared" si="43"/>
        <v>3711360</v>
      </c>
      <c r="N16" s="13">
        <f t="shared" si="43"/>
        <v>3446230</v>
      </c>
      <c r="O16" s="13">
        <f t="shared" si="43"/>
        <v>2998598</v>
      </c>
      <c r="P16" s="13">
        <f t="shared" si="43"/>
        <v>2538914</v>
      </c>
      <c r="Q16" s="13">
        <f t="shared" si="43"/>
        <v>2149696</v>
      </c>
      <c r="R16" s="13">
        <f t="shared" si="43"/>
        <v>1820147</v>
      </c>
      <c r="S16" s="13">
        <f t="shared" si="43"/>
        <v>45373221</v>
      </c>
      <c r="T16" s="28">
        <f t="shared" si="43"/>
        <v>10052964</v>
      </c>
      <c r="U16" s="13">
        <f t="shared" si="43"/>
        <v>2771310</v>
      </c>
      <c r="V16" s="45"/>
      <c r="W16" s="45"/>
      <c r="X16" s="45"/>
      <c r="Y16" s="39"/>
      <c r="Z16" s="12"/>
      <c r="AA16" s="13">
        <f>SUM(AA5:AA15)</f>
        <v>7281654</v>
      </c>
      <c r="AB16" s="13">
        <f>SUM(AB5:AB15)</f>
        <v>2765934</v>
      </c>
      <c r="AC16" s="13">
        <f t="shared" ref="AC16:AK16" si="44">SUM(AC5:AC15)</f>
        <v>314.65910969642522</v>
      </c>
      <c r="AD16" s="13">
        <f t="shared" si="44"/>
        <v>0</v>
      </c>
      <c r="AE16" s="13">
        <f t="shared" si="44"/>
        <v>1627724.5657165945</v>
      </c>
      <c r="AF16" s="13"/>
      <c r="AG16" s="57">
        <f t="shared" si="44"/>
        <v>1542139</v>
      </c>
      <c r="AH16" s="57">
        <f t="shared" si="44"/>
        <v>4984571</v>
      </c>
      <c r="AI16" s="57">
        <f t="shared" si="44"/>
        <v>3526254</v>
      </c>
      <c r="AJ16" s="57">
        <f t="shared" si="44"/>
        <v>594139</v>
      </c>
      <c r="AK16" s="13">
        <f t="shared" si="44"/>
        <v>2932115</v>
      </c>
      <c r="AL16" s="13">
        <f t="shared" ref="AL16:AM16" si="45">SUM(AL5:AL15)</f>
        <v>135457</v>
      </c>
      <c r="AM16" s="13">
        <f t="shared" si="45"/>
        <v>2796658</v>
      </c>
      <c r="AN16" s="20">
        <f>SUM(AN5:AN15)</f>
        <v>25348</v>
      </c>
      <c r="AO16" s="20">
        <f>SUM(AO5:AO15)</f>
        <v>2771310</v>
      </c>
      <c r="AP16" s="20">
        <f t="shared" ref="AP16:AQ16" si="46">SUM(AP5:AP15)</f>
        <v>0</v>
      </c>
      <c r="AQ16" s="20">
        <f t="shared" si="46"/>
        <v>2771310</v>
      </c>
      <c r="AR16" s="20">
        <f t="shared" ref="AR16:AY16" si="47">SUM(AR5:AR15)</f>
        <v>0</v>
      </c>
      <c r="AS16" s="20">
        <f t="shared" si="47"/>
        <v>2771310</v>
      </c>
      <c r="AT16" s="20">
        <f t="shared" si="47"/>
        <v>0</v>
      </c>
      <c r="AU16" s="20">
        <f t="shared" si="47"/>
        <v>2771310</v>
      </c>
      <c r="AV16" s="20">
        <f t="shared" si="47"/>
        <v>0</v>
      </c>
      <c r="AW16" s="20">
        <f t="shared" si="47"/>
        <v>2771310</v>
      </c>
      <c r="AX16" s="20">
        <f t="shared" si="47"/>
        <v>0</v>
      </c>
      <c r="AY16" s="20">
        <f t="shared" si="47"/>
        <v>2771310</v>
      </c>
    </row>
    <row r="17" spans="1:53" x14ac:dyDescent="0.35">
      <c r="C17" s="25"/>
      <c r="D17" s="1"/>
      <c r="F17" s="9"/>
      <c r="U17" s="11"/>
      <c r="Y17" s="33"/>
      <c r="AD17" s="38"/>
      <c r="AF17" s="11"/>
      <c r="AJ17" s="8"/>
      <c r="AK17" s="9"/>
      <c r="AL17" s="9"/>
      <c r="AM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3" x14ac:dyDescent="0.35">
      <c r="A18" s="1">
        <v>2</v>
      </c>
      <c r="B18" t="s">
        <v>71</v>
      </c>
      <c r="C18" s="21">
        <v>0.15329999999999999</v>
      </c>
      <c r="D18" s="1">
        <v>8</v>
      </c>
      <c r="E18" s="56">
        <v>37690</v>
      </c>
      <c r="F18" s="9">
        <v>31648852</v>
      </c>
      <c r="G18" s="9">
        <f>ROUND((F18*C18)*22/365,0)</f>
        <v>292435</v>
      </c>
      <c r="H18" s="9">
        <f>ROUND((F18-G18)*C18,0)</f>
        <v>4806939</v>
      </c>
      <c r="I18" s="27">
        <f>ROUND((F18-G18-H18)*C18,0)</f>
        <v>4070035</v>
      </c>
      <c r="J18" s="9">
        <f>ROUND((F18-G18-H18-I18)*C18,0)</f>
        <v>3446099</v>
      </c>
      <c r="K18" s="9">
        <f>ROUND((F18-G18-H18-I18-J18)*C18,0)</f>
        <v>2917812</v>
      </c>
      <c r="L18" s="9">
        <f>ROUND((F18-G18-H18-I18-J18-K18)*C18,0)</f>
        <v>2470511</v>
      </c>
      <c r="M18" s="9">
        <f>ROUND((F18-G18-H18-I18-J18-K18-L18)*C18,0)</f>
        <v>2091782</v>
      </c>
      <c r="N18" s="9">
        <f>ROUND((F18-G18-H18-I18-J18-K18-L18-M18)*C18,0)</f>
        <v>1771112</v>
      </c>
      <c r="O18" s="9">
        <f>ROUND((F18-G18-H18-I18-J18-K18-L18-M18-N18)*C18,0)</f>
        <v>1499600</v>
      </c>
      <c r="P18" s="9">
        <f>ROUND((F18-G18-H18-I18-J18-K18-L18-M18-N18-O18)*C18,0)</f>
        <v>1269711</v>
      </c>
      <c r="Q18" s="9">
        <f>ROUND((F18-G18-H18-I18-J18-K18-L18-M18-N18-O18-P18)*C18,0)</f>
        <v>1075065</v>
      </c>
      <c r="R18" s="9">
        <f>ROUND((F18-G18-H18-I18-J18-K18-L18-M18-N18-O18-P18-Q18)*C18,0)</f>
        <v>910257</v>
      </c>
      <c r="S18" s="11">
        <f t="shared" ref="S18:S19" si="48">SUM(G18:R18)</f>
        <v>26621358</v>
      </c>
      <c r="T18" s="11">
        <f t="shared" ref="T18" si="49">+F18-S18</f>
        <v>5027494</v>
      </c>
      <c r="U18" s="9">
        <f t="shared" ref="U18" si="50">ROUND(F18*5%,0)</f>
        <v>1582443</v>
      </c>
      <c r="V18" s="52">
        <v>41729</v>
      </c>
      <c r="W18" s="55">
        <f t="shared" ref="W18:W29" si="51">V18-E18</f>
        <v>4039</v>
      </c>
      <c r="X18" s="53">
        <f t="shared" ref="X18:X29" si="52">IF(D18*365-W18&lt;1,0,(D18*365-W18)/365)</f>
        <v>0</v>
      </c>
      <c r="Y18" s="38" t="s">
        <v>106</v>
      </c>
      <c r="Z18" s="1">
        <v>3.94</v>
      </c>
      <c r="AA18" s="9">
        <f t="shared" ref="AA18:AA29" si="53">+T18-U18</f>
        <v>3445051</v>
      </c>
      <c r="AB18">
        <v>1276983</v>
      </c>
      <c r="AC18" s="10">
        <f t="shared" ref="AC18:AC29" si="54">AB18/(T18-U18)*100</f>
        <v>37.067172590478343</v>
      </c>
      <c r="AE18" s="9">
        <f t="shared" ref="AE18:AE29" si="55">(T18-U18)/Z18</f>
        <v>874378.42639593908</v>
      </c>
      <c r="AF18" s="10"/>
      <c r="AH18" s="8">
        <f>AA18</f>
        <v>3445051</v>
      </c>
      <c r="AI18" s="8">
        <f t="shared" ref="AI18:AI29" si="56">+T18-AG18-AH18</f>
        <v>1582443</v>
      </c>
      <c r="AJ18" s="8">
        <v>0</v>
      </c>
      <c r="AK18" s="9">
        <f t="shared" ref="AK18:AK29" si="57">AI18-AJ18</f>
        <v>1582443</v>
      </c>
      <c r="AL18" s="9">
        <v>0</v>
      </c>
      <c r="AM18" s="11">
        <f t="shared" ref="AM18:AM29" si="58">AK18-AL18</f>
        <v>1582443</v>
      </c>
      <c r="AN18" s="9">
        <v>0</v>
      </c>
      <c r="AO18" s="9">
        <f>+AM18-AN18</f>
        <v>1582443</v>
      </c>
      <c r="AP18" s="8">
        <v>0</v>
      </c>
      <c r="AQ18" s="11">
        <f t="shared" ref="AQ18:AQ29" si="59">+AO18-AP18</f>
        <v>1582443</v>
      </c>
      <c r="AR18" s="8">
        <v>0</v>
      </c>
      <c r="AS18" s="11">
        <f>+AQ18-AR18</f>
        <v>1582443</v>
      </c>
      <c r="AT18" s="8">
        <v>0</v>
      </c>
      <c r="AU18" s="11">
        <f>+AS18-AT18</f>
        <v>1582443</v>
      </c>
      <c r="AV18" s="8">
        <v>0</v>
      </c>
      <c r="AW18" s="11">
        <f>+AU18-AV18</f>
        <v>1582443</v>
      </c>
      <c r="AX18" s="8">
        <v>0</v>
      </c>
      <c r="AY18" s="11">
        <f t="shared" ref="AY18:AY29" si="60">+AW18-AX18</f>
        <v>1582443</v>
      </c>
      <c r="AZ18" s="11">
        <f t="shared" ref="AZ18:AZ29" si="61">+AY18-U18</f>
        <v>0</v>
      </c>
    </row>
    <row r="19" spans="1:53" x14ac:dyDescent="0.35">
      <c r="A19" s="1">
        <v>2</v>
      </c>
      <c r="B19" t="s">
        <v>71</v>
      </c>
      <c r="C19" s="21">
        <v>0.15329999999999999</v>
      </c>
      <c r="D19" s="1">
        <v>8</v>
      </c>
      <c r="E19" s="56">
        <v>37725</v>
      </c>
      <c r="F19" s="9">
        <v>6812</v>
      </c>
      <c r="G19" s="9">
        <v>0</v>
      </c>
      <c r="H19" s="9">
        <f>ROUND((F19*C19)*353/366,0)</f>
        <v>1007</v>
      </c>
      <c r="I19" s="9">
        <f>ROUND((F19-H19)*C19,0)</f>
        <v>890</v>
      </c>
      <c r="J19" s="27">
        <f>ROUND((F19-H19-I19)*C19,0)</f>
        <v>753</v>
      </c>
      <c r="K19" s="9">
        <f>ROUND((F19-H19-I19-J19)*C19,0)</f>
        <v>638</v>
      </c>
      <c r="L19" s="9">
        <f>ROUND((F19-H19-I19-J19-K19)*C19,0)</f>
        <v>540</v>
      </c>
      <c r="M19" s="9">
        <f>ROUND((F19-H19-I19-J19-K19-L19)*C19,0)</f>
        <v>457</v>
      </c>
      <c r="N19" s="9">
        <f>ROUND((F19-H19-I19-J19-K19-L19-M19)*C19,0)</f>
        <v>387</v>
      </c>
      <c r="O19" s="9">
        <f>ROUND((F19-H19-I19-J19-K19-L19-M19-N19)*C19,0)</f>
        <v>328</v>
      </c>
      <c r="P19" s="9">
        <f>ROUND((F19-H19-I19-J19-K19-L19-M19-N19-O19)*C19,0)</f>
        <v>278</v>
      </c>
      <c r="Q19" s="9">
        <f>ROUND((F19-H19-I19-J19-K19-L19-M19-N19-O19-P19)*C19,0)</f>
        <v>235</v>
      </c>
      <c r="R19" s="9">
        <f>ROUND((F19-H19-I19-J19-K19-L19-M19-N19-O19-P19-Q19)*C19,0)</f>
        <v>199</v>
      </c>
      <c r="S19" s="11">
        <f t="shared" si="48"/>
        <v>5712</v>
      </c>
      <c r="T19" s="11">
        <f t="shared" ref="T19:T26" si="62">+F19-S19</f>
        <v>1100</v>
      </c>
      <c r="U19" s="9">
        <f t="shared" ref="U19:U26" si="63">ROUND(F19*5%,0)</f>
        <v>341</v>
      </c>
      <c r="V19" s="52">
        <v>41729</v>
      </c>
      <c r="W19" s="55">
        <f t="shared" si="51"/>
        <v>4004</v>
      </c>
      <c r="X19" s="53">
        <f t="shared" si="52"/>
        <v>0</v>
      </c>
      <c r="Y19" s="38" t="s">
        <v>108</v>
      </c>
      <c r="Z19" s="1">
        <v>4.03</v>
      </c>
      <c r="AA19" s="9">
        <f t="shared" si="53"/>
        <v>759</v>
      </c>
      <c r="AB19">
        <v>277</v>
      </c>
      <c r="AC19" s="10">
        <f t="shared" si="54"/>
        <v>36.495388669301718</v>
      </c>
      <c r="AE19" s="9">
        <f t="shared" si="55"/>
        <v>188.33746898263027</v>
      </c>
      <c r="AF19" s="10"/>
      <c r="AH19" s="8">
        <f t="shared" ref="AH19:AH28" si="64">AA19</f>
        <v>759</v>
      </c>
      <c r="AI19" s="8">
        <f t="shared" si="56"/>
        <v>341</v>
      </c>
      <c r="AJ19" s="8">
        <v>0</v>
      </c>
      <c r="AK19" s="9">
        <f t="shared" si="57"/>
        <v>341</v>
      </c>
      <c r="AL19" s="9">
        <v>0</v>
      </c>
      <c r="AM19" s="11">
        <f t="shared" si="58"/>
        <v>341</v>
      </c>
      <c r="AN19" s="9">
        <v>0</v>
      </c>
      <c r="AO19" s="9">
        <f t="shared" ref="AO19:AO29" si="65">+AM19-AN19</f>
        <v>341</v>
      </c>
      <c r="AP19" s="8">
        <v>0</v>
      </c>
      <c r="AQ19" s="11">
        <f t="shared" si="59"/>
        <v>341</v>
      </c>
      <c r="AR19" s="8">
        <v>0</v>
      </c>
      <c r="AS19" s="11">
        <f t="shared" ref="AS19:AS29" si="66">+AQ19-AR19</f>
        <v>341</v>
      </c>
      <c r="AT19" s="8">
        <v>0</v>
      </c>
      <c r="AU19" s="11">
        <f t="shared" ref="AU19:AU29" si="67">+AS19-AT19</f>
        <v>341</v>
      </c>
      <c r="AV19" s="8">
        <v>0</v>
      </c>
      <c r="AW19" s="11">
        <f t="shared" ref="AW19:AW29" si="68">+AU19-AV19</f>
        <v>341</v>
      </c>
      <c r="AX19" s="8">
        <v>0</v>
      </c>
      <c r="AY19" s="11">
        <f t="shared" si="60"/>
        <v>341</v>
      </c>
      <c r="AZ19" s="11">
        <f t="shared" si="61"/>
        <v>0</v>
      </c>
    </row>
    <row r="20" spans="1:53" x14ac:dyDescent="0.35">
      <c r="A20" s="1">
        <v>2</v>
      </c>
      <c r="B20" t="s">
        <v>71</v>
      </c>
      <c r="C20" s="21">
        <v>0.15329999999999999</v>
      </c>
      <c r="D20" s="1">
        <v>8</v>
      </c>
      <c r="E20" s="56">
        <v>37833</v>
      </c>
      <c r="F20" s="9">
        <v>200112</v>
      </c>
      <c r="G20" s="9">
        <v>0</v>
      </c>
      <c r="H20" s="9">
        <f>ROUND((F20*C20)*245/366,0)</f>
        <v>20535</v>
      </c>
      <c r="I20" s="9">
        <f t="shared" ref="I20:I26" si="69">ROUND((F20-H20)*C20,0)</f>
        <v>27529</v>
      </c>
      <c r="J20" s="27">
        <f t="shared" ref="J20:J26" si="70">ROUND((F20-H20-I20)*C20,0)</f>
        <v>23309</v>
      </c>
      <c r="K20" s="9">
        <f t="shared" ref="K20:K26" si="71">ROUND((F20-H20-I20-J20)*C20,0)</f>
        <v>19736</v>
      </c>
      <c r="L20" s="9">
        <f t="shared" ref="L20:L26" si="72">ROUND((F20-H20-I20-J20-K20)*C20,0)</f>
        <v>16710</v>
      </c>
      <c r="M20" s="9">
        <f t="shared" ref="M20:M26" si="73">ROUND((F20-H20-I20-J20-K20-L20)*C20,0)</f>
        <v>14149</v>
      </c>
      <c r="N20" s="9">
        <f t="shared" ref="N20:N26" si="74">ROUND((F20-H20-I20-J20-K20-L20-M20)*C20,0)</f>
        <v>11979</v>
      </c>
      <c r="O20" s="9">
        <f t="shared" ref="O20:O26" si="75">ROUND((F20-H20-I20-J20-K20-L20-M20-N20)*C20,0)</f>
        <v>10143</v>
      </c>
      <c r="P20" s="9">
        <f t="shared" ref="P20:P26" si="76">ROUND((F20-H20-I20-J20-K20-L20-M20-N20-O20)*C20,0)</f>
        <v>8588</v>
      </c>
      <c r="Q20" s="9">
        <f t="shared" ref="Q20:Q26" si="77">ROUND((F20-H20-I20-J20-K20-L20-M20-N20-O20-P20)*C20,0)</f>
        <v>7272</v>
      </c>
      <c r="R20" s="9">
        <f t="shared" ref="R20:R26" si="78">ROUND((F20-H20-I20-J20-K20-L20-M20-N20-O20-P20-Q20)*C20,0)</f>
        <v>6157</v>
      </c>
      <c r="S20" s="11">
        <f t="shared" ref="S20:S26" si="79">SUM(G20:R20)</f>
        <v>166107</v>
      </c>
      <c r="T20" s="11">
        <f t="shared" si="62"/>
        <v>34005</v>
      </c>
      <c r="U20" s="9">
        <f t="shared" si="63"/>
        <v>10006</v>
      </c>
      <c r="V20" s="52">
        <v>41729</v>
      </c>
      <c r="W20" s="55">
        <f t="shared" si="51"/>
        <v>3896</v>
      </c>
      <c r="X20" s="53">
        <f t="shared" si="52"/>
        <v>0</v>
      </c>
      <c r="Y20" s="38" t="s">
        <v>109</v>
      </c>
      <c r="Z20" s="1">
        <v>4.33</v>
      </c>
      <c r="AA20" s="9">
        <f t="shared" si="53"/>
        <v>23999</v>
      </c>
      <c r="AB20">
        <v>8365</v>
      </c>
      <c r="AC20" s="10">
        <f t="shared" si="54"/>
        <v>34.855618984124334</v>
      </c>
      <c r="AE20" s="9">
        <f t="shared" si="55"/>
        <v>5542.4942263279445</v>
      </c>
      <c r="AF20" s="10"/>
      <c r="AH20" s="8">
        <f t="shared" si="64"/>
        <v>23999</v>
      </c>
      <c r="AI20" s="8">
        <f t="shared" si="56"/>
        <v>10006</v>
      </c>
      <c r="AJ20" s="8">
        <v>0</v>
      </c>
      <c r="AK20" s="9">
        <f t="shared" si="57"/>
        <v>10006</v>
      </c>
      <c r="AL20" s="9">
        <v>0</v>
      </c>
      <c r="AM20" s="11">
        <f t="shared" si="58"/>
        <v>10006</v>
      </c>
      <c r="AN20" s="9">
        <v>0</v>
      </c>
      <c r="AO20" s="9">
        <f t="shared" si="65"/>
        <v>10006</v>
      </c>
      <c r="AP20" s="8">
        <v>0</v>
      </c>
      <c r="AQ20" s="11">
        <f t="shared" si="59"/>
        <v>10006</v>
      </c>
      <c r="AR20" s="8">
        <v>0</v>
      </c>
      <c r="AS20" s="11">
        <f t="shared" si="66"/>
        <v>10006</v>
      </c>
      <c r="AT20" s="8">
        <v>0</v>
      </c>
      <c r="AU20" s="11">
        <f t="shared" si="67"/>
        <v>10006</v>
      </c>
      <c r="AV20" s="8">
        <v>0</v>
      </c>
      <c r="AW20" s="11">
        <f t="shared" si="68"/>
        <v>10006</v>
      </c>
      <c r="AX20" s="8">
        <v>0</v>
      </c>
      <c r="AY20" s="11">
        <f t="shared" si="60"/>
        <v>10006</v>
      </c>
      <c r="AZ20" s="11">
        <f t="shared" si="61"/>
        <v>0</v>
      </c>
    </row>
    <row r="21" spans="1:53" x14ac:dyDescent="0.35">
      <c r="A21" s="1">
        <v>2</v>
      </c>
      <c r="B21" t="s">
        <v>71</v>
      </c>
      <c r="C21" s="21">
        <v>0.15329999999999999</v>
      </c>
      <c r="D21" s="1">
        <v>8</v>
      </c>
      <c r="E21" s="56">
        <v>37849</v>
      </c>
      <c r="F21" s="9">
        <v>202486</v>
      </c>
      <c r="G21" s="9">
        <v>0</v>
      </c>
      <c r="H21" s="9">
        <f>ROUND((F21*C21)*229/366,0)</f>
        <v>19422</v>
      </c>
      <c r="I21" s="9">
        <f t="shared" si="69"/>
        <v>28064</v>
      </c>
      <c r="J21" s="27">
        <f t="shared" si="70"/>
        <v>23762</v>
      </c>
      <c r="K21" s="9">
        <f t="shared" si="71"/>
        <v>20119</v>
      </c>
      <c r="L21" s="9">
        <f t="shared" si="72"/>
        <v>17035</v>
      </c>
      <c r="M21" s="9">
        <f t="shared" si="73"/>
        <v>14423</v>
      </c>
      <c r="N21" s="9">
        <f t="shared" si="74"/>
        <v>12212</v>
      </c>
      <c r="O21" s="9">
        <f t="shared" si="75"/>
        <v>10340</v>
      </c>
      <c r="P21" s="9">
        <f t="shared" si="76"/>
        <v>8755</v>
      </c>
      <c r="Q21" s="9">
        <f t="shared" si="77"/>
        <v>7413</v>
      </c>
      <c r="R21" s="9">
        <f t="shared" si="78"/>
        <v>6276</v>
      </c>
      <c r="S21" s="11">
        <f t="shared" si="79"/>
        <v>167821</v>
      </c>
      <c r="T21" s="11">
        <f t="shared" si="62"/>
        <v>34665</v>
      </c>
      <c r="U21" s="9">
        <f t="shared" si="63"/>
        <v>10124</v>
      </c>
      <c r="V21" s="52">
        <v>41729</v>
      </c>
      <c r="W21" s="55">
        <f t="shared" si="51"/>
        <v>3880</v>
      </c>
      <c r="X21" s="53">
        <f t="shared" si="52"/>
        <v>0</v>
      </c>
      <c r="Y21" s="38" t="s">
        <v>110</v>
      </c>
      <c r="Z21" s="1">
        <v>4.37</v>
      </c>
      <c r="AA21" s="9">
        <f t="shared" si="53"/>
        <v>24541</v>
      </c>
      <c r="AB21">
        <v>8493</v>
      </c>
      <c r="AC21" s="10">
        <f t="shared" si="54"/>
        <v>34.60739171182918</v>
      </c>
      <c r="AE21" s="9">
        <f t="shared" si="55"/>
        <v>5615.78947368421</v>
      </c>
      <c r="AF21" s="10"/>
      <c r="AH21" s="8">
        <f t="shared" si="64"/>
        <v>24541</v>
      </c>
      <c r="AI21" s="8">
        <f t="shared" si="56"/>
        <v>10124</v>
      </c>
      <c r="AJ21" s="8">
        <v>0</v>
      </c>
      <c r="AK21" s="9">
        <f t="shared" si="57"/>
        <v>10124</v>
      </c>
      <c r="AL21" s="9">
        <v>0</v>
      </c>
      <c r="AM21" s="11">
        <f t="shared" si="58"/>
        <v>10124</v>
      </c>
      <c r="AN21" s="9">
        <v>0</v>
      </c>
      <c r="AO21" s="9">
        <f t="shared" si="65"/>
        <v>10124</v>
      </c>
      <c r="AP21" s="8">
        <v>0</v>
      </c>
      <c r="AQ21" s="11">
        <f t="shared" si="59"/>
        <v>10124</v>
      </c>
      <c r="AR21" s="8">
        <v>0</v>
      </c>
      <c r="AS21" s="11">
        <f t="shared" si="66"/>
        <v>10124</v>
      </c>
      <c r="AT21" s="8">
        <v>0</v>
      </c>
      <c r="AU21" s="11">
        <f t="shared" si="67"/>
        <v>10124</v>
      </c>
      <c r="AV21" s="8">
        <v>0</v>
      </c>
      <c r="AW21" s="11">
        <f t="shared" si="68"/>
        <v>10124</v>
      </c>
      <c r="AX21" s="8">
        <v>0</v>
      </c>
      <c r="AY21" s="11">
        <f t="shared" si="60"/>
        <v>10124</v>
      </c>
      <c r="AZ21" s="11">
        <f t="shared" si="61"/>
        <v>0</v>
      </c>
    </row>
    <row r="22" spans="1:53" x14ac:dyDescent="0.35">
      <c r="A22" s="1">
        <v>2</v>
      </c>
      <c r="B22" t="s">
        <v>71</v>
      </c>
      <c r="C22" s="21">
        <v>0.15329999999999999</v>
      </c>
      <c r="D22" s="1">
        <v>8</v>
      </c>
      <c r="E22" s="56">
        <v>37886</v>
      </c>
      <c r="F22" s="9">
        <v>319171</v>
      </c>
      <c r="G22" s="9">
        <v>0</v>
      </c>
      <c r="H22" s="9">
        <f>ROUND((F22*C22)*192/366,0)</f>
        <v>25668</v>
      </c>
      <c r="I22" s="9">
        <f t="shared" si="69"/>
        <v>44994</v>
      </c>
      <c r="J22" s="27">
        <f t="shared" si="70"/>
        <v>38096</v>
      </c>
      <c r="K22" s="9">
        <f t="shared" si="71"/>
        <v>32256</v>
      </c>
      <c r="L22" s="9">
        <f t="shared" si="72"/>
        <v>27311</v>
      </c>
      <c r="M22" s="9">
        <f t="shared" si="73"/>
        <v>23125</v>
      </c>
      <c r="N22" s="9">
        <f t="shared" si="74"/>
        <v>19580</v>
      </c>
      <c r="O22" s="9">
        <f t="shared" si="75"/>
        <v>16578</v>
      </c>
      <c r="P22" s="9">
        <f t="shared" si="76"/>
        <v>14037</v>
      </c>
      <c r="Q22" s="9">
        <f t="shared" si="77"/>
        <v>11885</v>
      </c>
      <c r="R22" s="9">
        <f t="shared" si="78"/>
        <v>10063</v>
      </c>
      <c r="S22" s="11">
        <f t="shared" si="79"/>
        <v>263593</v>
      </c>
      <c r="T22" s="11">
        <f t="shared" si="62"/>
        <v>55578</v>
      </c>
      <c r="U22" s="9">
        <f t="shared" si="63"/>
        <v>15959</v>
      </c>
      <c r="V22" s="52">
        <v>41729</v>
      </c>
      <c r="W22" s="55">
        <f t="shared" si="51"/>
        <v>3843</v>
      </c>
      <c r="X22" s="53">
        <f t="shared" si="52"/>
        <v>0</v>
      </c>
      <c r="Y22" s="38" t="s">
        <v>111</v>
      </c>
      <c r="Z22" s="1">
        <v>4.47</v>
      </c>
      <c r="AA22" s="9">
        <f t="shared" si="53"/>
        <v>39619</v>
      </c>
      <c r="AB22">
        <v>13561</v>
      </c>
      <c r="AC22" s="10">
        <f t="shared" si="54"/>
        <v>34.228526716979232</v>
      </c>
      <c r="AE22" s="9">
        <f t="shared" si="55"/>
        <v>8863.3109619686802</v>
      </c>
      <c r="AF22" s="10"/>
      <c r="AH22" s="8">
        <f t="shared" si="64"/>
        <v>39619</v>
      </c>
      <c r="AI22" s="8">
        <f t="shared" si="56"/>
        <v>15959</v>
      </c>
      <c r="AJ22" s="8">
        <v>0</v>
      </c>
      <c r="AK22" s="9">
        <f t="shared" si="57"/>
        <v>15959</v>
      </c>
      <c r="AL22" s="9">
        <v>0</v>
      </c>
      <c r="AM22" s="11">
        <f t="shared" si="58"/>
        <v>15959</v>
      </c>
      <c r="AN22" s="9">
        <v>0</v>
      </c>
      <c r="AO22" s="9">
        <f t="shared" si="65"/>
        <v>15959</v>
      </c>
      <c r="AP22" s="8">
        <v>0</v>
      </c>
      <c r="AQ22" s="11">
        <f t="shared" si="59"/>
        <v>15959</v>
      </c>
      <c r="AR22" s="8">
        <v>0</v>
      </c>
      <c r="AS22" s="11">
        <f t="shared" si="66"/>
        <v>15959</v>
      </c>
      <c r="AT22" s="8">
        <v>0</v>
      </c>
      <c r="AU22" s="11">
        <f t="shared" si="67"/>
        <v>15959</v>
      </c>
      <c r="AV22" s="8">
        <v>0</v>
      </c>
      <c r="AW22" s="11">
        <f t="shared" si="68"/>
        <v>15959</v>
      </c>
      <c r="AX22" s="8">
        <v>0</v>
      </c>
      <c r="AY22" s="11">
        <f t="shared" si="60"/>
        <v>15959</v>
      </c>
      <c r="AZ22" s="11">
        <f t="shared" si="61"/>
        <v>0</v>
      </c>
    </row>
    <row r="23" spans="1:53" x14ac:dyDescent="0.35">
      <c r="A23" s="1">
        <v>2</v>
      </c>
      <c r="B23" t="s">
        <v>71</v>
      </c>
      <c r="C23" s="21">
        <v>0.15329999999999999</v>
      </c>
      <c r="D23" s="1">
        <v>8</v>
      </c>
      <c r="E23" s="56">
        <v>37917</v>
      </c>
      <c r="F23" s="9">
        <v>5706</v>
      </c>
      <c r="G23" s="9">
        <v>0</v>
      </c>
      <c r="H23" s="9">
        <f>ROUND((F23*C23)*161/366,0)</f>
        <v>385</v>
      </c>
      <c r="I23" s="9">
        <f t="shared" si="69"/>
        <v>816</v>
      </c>
      <c r="J23" s="27">
        <f t="shared" si="70"/>
        <v>691</v>
      </c>
      <c r="K23" s="9">
        <f t="shared" si="71"/>
        <v>585</v>
      </c>
      <c r="L23" s="9">
        <f t="shared" si="72"/>
        <v>495</v>
      </c>
      <c r="M23" s="9">
        <f t="shared" si="73"/>
        <v>419</v>
      </c>
      <c r="N23" s="9">
        <f t="shared" si="74"/>
        <v>355</v>
      </c>
      <c r="O23" s="9">
        <f t="shared" si="75"/>
        <v>300</v>
      </c>
      <c r="P23" s="9">
        <f t="shared" si="76"/>
        <v>254</v>
      </c>
      <c r="Q23" s="9">
        <f t="shared" si="77"/>
        <v>216</v>
      </c>
      <c r="R23" s="9">
        <f t="shared" si="78"/>
        <v>182</v>
      </c>
      <c r="S23" s="11">
        <f t="shared" si="79"/>
        <v>4698</v>
      </c>
      <c r="T23" s="11">
        <f t="shared" si="62"/>
        <v>1008</v>
      </c>
      <c r="U23" s="9">
        <f t="shared" si="63"/>
        <v>285</v>
      </c>
      <c r="V23" s="52">
        <v>41729</v>
      </c>
      <c r="W23" s="55">
        <f t="shared" si="51"/>
        <v>3812</v>
      </c>
      <c r="X23" s="53">
        <f t="shared" si="52"/>
        <v>0</v>
      </c>
      <c r="Y23" s="38" t="s">
        <v>112</v>
      </c>
      <c r="Z23" s="1">
        <v>4.5599999999999996</v>
      </c>
      <c r="AA23" s="9">
        <f t="shared" si="53"/>
        <v>723</v>
      </c>
      <c r="AB23">
        <v>244</v>
      </c>
      <c r="AC23" s="10">
        <f t="shared" si="54"/>
        <v>33.748271092669434</v>
      </c>
      <c r="AE23" s="9">
        <f t="shared" si="55"/>
        <v>158.55263157894737</v>
      </c>
      <c r="AF23" s="10"/>
      <c r="AH23" s="8">
        <f t="shared" si="64"/>
        <v>723</v>
      </c>
      <c r="AI23" s="8">
        <f t="shared" si="56"/>
        <v>285</v>
      </c>
      <c r="AJ23" s="8">
        <v>0</v>
      </c>
      <c r="AK23" s="9">
        <f t="shared" si="57"/>
        <v>285</v>
      </c>
      <c r="AL23" s="9">
        <v>0</v>
      </c>
      <c r="AM23" s="11">
        <f t="shared" si="58"/>
        <v>285</v>
      </c>
      <c r="AN23" s="9">
        <v>0</v>
      </c>
      <c r="AO23" s="9">
        <f t="shared" si="65"/>
        <v>285</v>
      </c>
      <c r="AP23" s="8">
        <v>0</v>
      </c>
      <c r="AQ23" s="11">
        <f t="shared" si="59"/>
        <v>285</v>
      </c>
      <c r="AR23" s="8">
        <v>0</v>
      </c>
      <c r="AS23" s="11">
        <f t="shared" si="66"/>
        <v>285</v>
      </c>
      <c r="AT23" s="8">
        <v>0</v>
      </c>
      <c r="AU23" s="11">
        <f t="shared" si="67"/>
        <v>285</v>
      </c>
      <c r="AV23" s="8">
        <v>0</v>
      </c>
      <c r="AW23" s="11">
        <f t="shared" si="68"/>
        <v>285</v>
      </c>
      <c r="AX23" s="8">
        <v>0</v>
      </c>
      <c r="AY23" s="11">
        <f t="shared" si="60"/>
        <v>285</v>
      </c>
      <c r="AZ23" s="11">
        <f t="shared" si="61"/>
        <v>0</v>
      </c>
    </row>
    <row r="24" spans="1:53" x14ac:dyDescent="0.35">
      <c r="A24" s="1">
        <v>2</v>
      </c>
      <c r="B24" t="s">
        <v>71</v>
      </c>
      <c r="C24" s="21">
        <v>0.15329999999999999</v>
      </c>
      <c r="D24" s="1">
        <v>8</v>
      </c>
      <c r="E24" s="56">
        <v>37955</v>
      </c>
      <c r="F24" s="9">
        <v>12561</v>
      </c>
      <c r="G24" s="9">
        <v>0</v>
      </c>
      <c r="H24" s="9">
        <f>ROUND((F24*C24)*123/366,0)</f>
        <v>647</v>
      </c>
      <c r="I24" s="9">
        <f t="shared" si="69"/>
        <v>1826</v>
      </c>
      <c r="J24" s="27">
        <f t="shared" si="70"/>
        <v>1546</v>
      </c>
      <c r="K24" s="9">
        <f t="shared" si="71"/>
        <v>1309</v>
      </c>
      <c r="L24" s="9">
        <f t="shared" si="72"/>
        <v>1109</v>
      </c>
      <c r="M24" s="9">
        <f t="shared" si="73"/>
        <v>939</v>
      </c>
      <c r="N24" s="9">
        <f t="shared" si="74"/>
        <v>795</v>
      </c>
      <c r="O24" s="9">
        <f t="shared" si="75"/>
        <v>673</v>
      </c>
      <c r="P24" s="9">
        <f t="shared" si="76"/>
        <v>570</v>
      </c>
      <c r="Q24" s="9">
        <f t="shared" si="77"/>
        <v>482</v>
      </c>
      <c r="R24" s="9">
        <f t="shared" si="78"/>
        <v>409</v>
      </c>
      <c r="S24" s="11">
        <f t="shared" si="79"/>
        <v>10305</v>
      </c>
      <c r="T24" s="11">
        <f t="shared" si="62"/>
        <v>2256</v>
      </c>
      <c r="U24" s="9">
        <f t="shared" si="63"/>
        <v>628</v>
      </c>
      <c r="V24" s="52">
        <v>41729</v>
      </c>
      <c r="W24" s="55">
        <f t="shared" si="51"/>
        <v>3774</v>
      </c>
      <c r="X24" s="53">
        <f t="shared" si="52"/>
        <v>0</v>
      </c>
      <c r="Y24" s="38" t="s">
        <v>113</v>
      </c>
      <c r="Z24" s="1">
        <v>4.66</v>
      </c>
      <c r="AA24" s="9">
        <f t="shared" si="53"/>
        <v>1628</v>
      </c>
      <c r="AB24">
        <v>541</v>
      </c>
      <c r="AC24" s="10">
        <f t="shared" si="54"/>
        <v>33.23095823095823</v>
      </c>
      <c r="AE24" s="9">
        <f t="shared" si="55"/>
        <v>349.35622317596568</v>
      </c>
      <c r="AF24" s="10"/>
      <c r="AH24" s="8">
        <f t="shared" si="64"/>
        <v>1628</v>
      </c>
      <c r="AI24" s="8">
        <f t="shared" si="56"/>
        <v>628</v>
      </c>
      <c r="AJ24" s="8">
        <v>0</v>
      </c>
      <c r="AK24" s="9">
        <f t="shared" si="57"/>
        <v>628</v>
      </c>
      <c r="AL24" s="9">
        <v>0</v>
      </c>
      <c r="AM24" s="11">
        <f t="shared" si="58"/>
        <v>628</v>
      </c>
      <c r="AN24" s="9">
        <v>0</v>
      </c>
      <c r="AO24" s="9">
        <f t="shared" si="65"/>
        <v>628</v>
      </c>
      <c r="AP24" s="8">
        <v>0</v>
      </c>
      <c r="AQ24" s="11">
        <f t="shared" si="59"/>
        <v>628</v>
      </c>
      <c r="AR24" s="8">
        <v>0</v>
      </c>
      <c r="AS24" s="11">
        <f t="shared" si="66"/>
        <v>628</v>
      </c>
      <c r="AT24" s="8">
        <v>0</v>
      </c>
      <c r="AU24" s="11">
        <f t="shared" si="67"/>
        <v>628</v>
      </c>
      <c r="AV24" s="8">
        <v>0</v>
      </c>
      <c r="AW24" s="11">
        <f t="shared" si="68"/>
        <v>628</v>
      </c>
      <c r="AX24" s="8">
        <v>0</v>
      </c>
      <c r="AY24" s="11">
        <f t="shared" si="60"/>
        <v>628</v>
      </c>
      <c r="AZ24" s="11">
        <f t="shared" si="61"/>
        <v>0</v>
      </c>
    </row>
    <row r="25" spans="1:53" x14ac:dyDescent="0.35">
      <c r="A25" s="1">
        <v>2</v>
      </c>
      <c r="B25" t="s">
        <v>71</v>
      </c>
      <c r="C25" s="21">
        <v>0.15329999999999999</v>
      </c>
      <c r="D25" s="1">
        <v>8</v>
      </c>
      <c r="E25" s="56">
        <v>37986</v>
      </c>
      <c r="F25" s="9">
        <v>448050</v>
      </c>
      <c r="G25" s="9">
        <v>0</v>
      </c>
      <c r="H25" s="9">
        <f>ROUND((F25*C25)*92/366,0)</f>
        <v>17265</v>
      </c>
      <c r="I25" s="9">
        <f t="shared" si="69"/>
        <v>66039</v>
      </c>
      <c r="J25" s="27">
        <f t="shared" si="70"/>
        <v>55916</v>
      </c>
      <c r="K25" s="9">
        <f t="shared" si="71"/>
        <v>47344</v>
      </c>
      <c r="L25" s="9">
        <f t="shared" si="72"/>
        <v>40086</v>
      </c>
      <c r="M25" s="9">
        <f t="shared" si="73"/>
        <v>33941</v>
      </c>
      <c r="N25" s="9">
        <f t="shared" si="74"/>
        <v>28737</v>
      </c>
      <c r="O25" s="9">
        <f t="shared" si="75"/>
        <v>24332</v>
      </c>
      <c r="P25" s="9">
        <f t="shared" si="76"/>
        <v>20602</v>
      </c>
      <c r="Q25" s="9">
        <f t="shared" si="77"/>
        <v>17444</v>
      </c>
      <c r="R25" s="9">
        <f t="shared" si="78"/>
        <v>14770</v>
      </c>
      <c r="S25" s="11">
        <f t="shared" si="79"/>
        <v>366476</v>
      </c>
      <c r="T25" s="11">
        <f t="shared" si="62"/>
        <v>81574</v>
      </c>
      <c r="U25" s="9">
        <f t="shared" si="63"/>
        <v>22403</v>
      </c>
      <c r="V25" s="52">
        <v>41729</v>
      </c>
      <c r="W25" s="55">
        <f t="shared" si="51"/>
        <v>3743</v>
      </c>
      <c r="X25" s="53">
        <f t="shared" si="52"/>
        <v>0</v>
      </c>
      <c r="Y25" s="38" t="s">
        <v>114</v>
      </c>
      <c r="Z25" s="1">
        <v>4.75</v>
      </c>
      <c r="AA25" s="9">
        <f t="shared" si="53"/>
        <v>59171</v>
      </c>
      <c r="AB25">
        <v>19415</v>
      </c>
      <c r="AC25" s="10">
        <f t="shared" si="54"/>
        <v>32.81168139798212</v>
      </c>
      <c r="AE25" s="9">
        <f t="shared" si="55"/>
        <v>12457.052631578947</v>
      </c>
      <c r="AF25" s="10"/>
      <c r="AH25" s="8">
        <f t="shared" si="64"/>
        <v>59171</v>
      </c>
      <c r="AI25" s="8">
        <f t="shared" si="56"/>
        <v>22403</v>
      </c>
      <c r="AJ25" s="8">
        <v>0</v>
      </c>
      <c r="AK25" s="9">
        <f t="shared" si="57"/>
        <v>22403</v>
      </c>
      <c r="AL25" s="9">
        <v>0</v>
      </c>
      <c r="AM25" s="11">
        <f t="shared" si="58"/>
        <v>22403</v>
      </c>
      <c r="AN25" s="9">
        <v>0</v>
      </c>
      <c r="AO25" s="9">
        <f t="shared" si="65"/>
        <v>22403</v>
      </c>
      <c r="AP25" s="8">
        <v>0</v>
      </c>
      <c r="AQ25" s="11">
        <f t="shared" si="59"/>
        <v>22403</v>
      </c>
      <c r="AR25" s="8">
        <v>0</v>
      </c>
      <c r="AS25" s="11">
        <f t="shared" si="66"/>
        <v>22403</v>
      </c>
      <c r="AT25" s="8">
        <v>0</v>
      </c>
      <c r="AU25" s="11">
        <f t="shared" si="67"/>
        <v>22403</v>
      </c>
      <c r="AV25" s="8">
        <v>0</v>
      </c>
      <c r="AW25" s="11">
        <f t="shared" si="68"/>
        <v>22403</v>
      </c>
      <c r="AX25" s="8">
        <v>0</v>
      </c>
      <c r="AY25" s="11">
        <f t="shared" si="60"/>
        <v>22403</v>
      </c>
      <c r="AZ25" s="11">
        <f t="shared" si="61"/>
        <v>0</v>
      </c>
    </row>
    <row r="26" spans="1:53" x14ac:dyDescent="0.35">
      <c r="A26" s="1">
        <v>2</v>
      </c>
      <c r="B26" t="s">
        <v>71</v>
      </c>
      <c r="C26" s="21">
        <v>0.15329999999999999</v>
      </c>
      <c r="D26" s="1">
        <v>8</v>
      </c>
      <c r="E26" s="56">
        <v>38036</v>
      </c>
      <c r="F26" s="9">
        <v>6150</v>
      </c>
      <c r="G26" s="9">
        <v>0</v>
      </c>
      <c r="H26" s="9">
        <f>ROUND((F26*C26)*42/366,0)</f>
        <v>108</v>
      </c>
      <c r="I26" s="9">
        <f t="shared" si="69"/>
        <v>926</v>
      </c>
      <c r="J26" s="27">
        <f t="shared" si="70"/>
        <v>784</v>
      </c>
      <c r="K26" s="9">
        <f t="shared" si="71"/>
        <v>664</v>
      </c>
      <c r="L26" s="9">
        <f t="shared" si="72"/>
        <v>562</v>
      </c>
      <c r="M26" s="9">
        <f t="shared" si="73"/>
        <v>476</v>
      </c>
      <c r="N26" s="9">
        <f t="shared" si="74"/>
        <v>403</v>
      </c>
      <c r="O26" s="9">
        <f t="shared" si="75"/>
        <v>341</v>
      </c>
      <c r="P26" s="9">
        <f t="shared" si="76"/>
        <v>289</v>
      </c>
      <c r="Q26" s="9">
        <f t="shared" si="77"/>
        <v>245</v>
      </c>
      <c r="R26" s="9">
        <f t="shared" si="78"/>
        <v>207</v>
      </c>
      <c r="S26" s="11">
        <f t="shared" si="79"/>
        <v>5005</v>
      </c>
      <c r="T26" s="11">
        <f t="shared" si="62"/>
        <v>1145</v>
      </c>
      <c r="U26" s="9">
        <f t="shared" si="63"/>
        <v>308</v>
      </c>
      <c r="V26" s="52">
        <v>41729</v>
      </c>
      <c r="W26" s="55">
        <f t="shared" si="51"/>
        <v>3693</v>
      </c>
      <c r="X26" s="53">
        <f t="shared" si="52"/>
        <v>0</v>
      </c>
      <c r="Y26" s="38" t="s">
        <v>115</v>
      </c>
      <c r="Z26" s="1">
        <v>4.88</v>
      </c>
      <c r="AA26" s="9">
        <f t="shared" si="53"/>
        <v>837</v>
      </c>
      <c r="AB26">
        <v>270</v>
      </c>
      <c r="AC26" s="10">
        <f t="shared" si="54"/>
        <v>32.258064516129032</v>
      </c>
      <c r="AE26" s="9">
        <f t="shared" si="55"/>
        <v>171.51639344262296</v>
      </c>
      <c r="AF26" s="10"/>
      <c r="AH26" s="8">
        <f t="shared" si="64"/>
        <v>837</v>
      </c>
      <c r="AI26" s="8">
        <f t="shared" si="56"/>
        <v>308</v>
      </c>
      <c r="AJ26" s="8">
        <v>0</v>
      </c>
      <c r="AK26" s="9">
        <f t="shared" si="57"/>
        <v>308</v>
      </c>
      <c r="AL26" s="9">
        <v>0</v>
      </c>
      <c r="AM26" s="11">
        <f t="shared" si="58"/>
        <v>308</v>
      </c>
      <c r="AN26" s="9">
        <v>0</v>
      </c>
      <c r="AO26" s="9">
        <f t="shared" si="65"/>
        <v>308</v>
      </c>
      <c r="AP26" s="8">
        <v>0</v>
      </c>
      <c r="AQ26" s="11">
        <f t="shared" si="59"/>
        <v>308</v>
      </c>
      <c r="AR26" s="8">
        <v>0</v>
      </c>
      <c r="AS26" s="11">
        <f t="shared" si="66"/>
        <v>308</v>
      </c>
      <c r="AT26" s="8">
        <v>0</v>
      </c>
      <c r="AU26" s="11">
        <f t="shared" si="67"/>
        <v>308</v>
      </c>
      <c r="AV26" s="8">
        <v>0</v>
      </c>
      <c r="AW26" s="11">
        <f t="shared" si="68"/>
        <v>308</v>
      </c>
      <c r="AX26" s="8">
        <v>0</v>
      </c>
      <c r="AY26" s="11">
        <f t="shared" si="60"/>
        <v>308</v>
      </c>
      <c r="AZ26" s="11">
        <f t="shared" si="61"/>
        <v>0</v>
      </c>
    </row>
    <row r="27" spans="1:53" x14ac:dyDescent="0.35">
      <c r="A27" s="1">
        <v>2</v>
      </c>
      <c r="B27" t="s">
        <v>71</v>
      </c>
      <c r="C27" s="21">
        <v>0.15329999999999999</v>
      </c>
      <c r="D27" s="1">
        <v>8</v>
      </c>
      <c r="E27" s="56">
        <v>38138</v>
      </c>
      <c r="F27" s="9">
        <v>32553</v>
      </c>
      <c r="G27" s="9">
        <v>0</v>
      </c>
      <c r="H27" s="9">
        <v>0</v>
      </c>
      <c r="I27" s="9">
        <f>ROUND((F27*C27)*304/365,0)</f>
        <v>4156</v>
      </c>
      <c r="J27" s="9">
        <f>ROUND((F27-I27)*C27,0)</f>
        <v>4353</v>
      </c>
      <c r="K27" s="9">
        <f>ROUND((F27-I27-J27)*C27,0)</f>
        <v>3686</v>
      </c>
      <c r="L27" s="9">
        <f>ROUND((F27-I27-J27-K27)*C27,0)</f>
        <v>3121</v>
      </c>
      <c r="M27" s="9">
        <f>ROUND((F27-I27-J27-K27-L27)*C27,0)</f>
        <v>2642</v>
      </c>
      <c r="N27" s="9">
        <f>ROUND((F27-I27-J27-K27-L27-M27)*C27,0)</f>
        <v>2237</v>
      </c>
      <c r="O27" s="9">
        <f>ROUND((F27-I27-J27-K27-L27-M27-N27)*C27,0)</f>
        <v>1894</v>
      </c>
      <c r="P27" s="9">
        <f>ROUND((F27-I27-J27-K27-L27-M27-N27-O27)*C27,0)</f>
        <v>1604</v>
      </c>
      <c r="Q27" s="9">
        <f>ROUND((F27-I27-J27-K27-L27-M27-N27-O27-P27)*C27,0)</f>
        <v>1358</v>
      </c>
      <c r="R27" s="9">
        <f>ROUND((F27-I27-J27-K27-L27-M27-N27-O27-P27-Q27)*C27,0)</f>
        <v>1150</v>
      </c>
      <c r="S27" s="11">
        <f t="shared" ref="S27:S29" si="80">SUM(G27:R27)</f>
        <v>26201</v>
      </c>
      <c r="T27" s="11">
        <f t="shared" ref="T27:T29" si="81">+F27-S27</f>
        <v>6352</v>
      </c>
      <c r="U27" s="9">
        <f t="shared" ref="U27:U29" si="82">ROUND(F27*5%,0)</f>
        <v>1628</v>
      </c>
      <c r="V27" s="52">
        <v>41729</v>
      </c>
      <c r="W27" s="55">
        <f t="shared" si="51"/>
        <v>3591</v>
      </c>
      <c r="X27" s="53">
        <f t="shared" si="52"/>
        <v>0</v>
      </c>
      <c r="Y27" s="38" t="s">
        <v>134</v>
      </c>
      <c r="Z27" s="1">
        <v>5.17</v>
      </c>
      <c r="AA27" s="9">
        <f t="shared" si="53"/>
        <v>4724</v>
      </c>
      <c r="AB27">
        <v>1474</v>
      </c>
      <c r="AC27" s="10">
        <f t="shared" si="54"/>
        <v>31.202370872142254</v>
      </c>
      <c r="AE27" s="9">
        <f t="shared" si="55"/>
        <v>913.73307543520309</v>
      </c>
      <c r="AF27" s="10"/>
      <c r="AH27" s="8">
        <f t="shared" si="64"/>
        <v>4724</v>
      </c>
      <c r="AI27" s="8">
        <f t="shared" si="56"/>
        <v>1628</v>
      </c>
      <c r="AJ27" s="8">
        <v>0</v>
      </c>
      <c r="AK27" s="9">
        <f t="shared" si="57"/>
        <v>1628</v>
      </c>
      <c r="AL27" s="9">
        <v>0</v>
      </c>
      <c r="AM27" s="11">
        <f t="shared" si="58"/>
        <v>1628</v>
      </c>
      <c r="AN27" s="9">
        <v>0</v>
      </c>
      <c r="AO27" s="9">
        <f t="shared" si="65"/>
        <v>1628</v>
      </c>
      <c r="AP27" s="8">
        <v>0</v>
      </c>
      <c r="AQ27" s="11">
        <f t="shared" si="59"/>
        <v>1628</v>
      </c>
      <c r="AR27" s="8">
        <v>0</v>
      </c>
      <c r="AS27" s="11">
        <f t="shared" si="66"/>
        <v>1628</v>
      </c>
      <c r="AT27" s="8">
        <v>0</v>
      </c>
      <c r="AU27" s="11">
        <f t="shared" si="67"/>
        <v>1628</v>
      </c>
      <c r="AV27" s="8">
        <v>0</v>
      </c>
      <c r="AW27" s="11">
        <f t="shared" si="68"/>
        <v>1628</v>
      </c>
      <c r="AX27" s="8">
        <v>0</v>
      </c>
      <c r="AY27" s="11">
        <f t="shared" si="60"/>
        <v>1628</v>
      </c>
      <c r="AZ27" s="11">
        <f t="shared" si="61"/>
        <v>0</v>
      </c>
    </row>
    <row r="28" spans="1:53" x14ac:dyDescent="0.35">
      <c r="A28" s="1">
        <v>2</v>
      </c>
      <c r="B28" t="s">
        <v>71</v>
      </c>
      <c r="C28" s="21">
        <v>0.15329999999999999</v>
      </c>
      <c r="D28" s="1">
        <v>8</v>
      </c>
      <c r="E28" s="56">
        <v>38178</v>
      </c>
      <c r="F28" s="9">
        <v>410745</v>
      </c>
      <c r="G28" s="9">
        <v>0</v>
      </c>
      <c r="H28" s="9">
        <v>0</v>
      </c>
      <c r="I28" s="9">
        <f>ROUND((F28*C28)*265/365,0)</f>
        <v>45716</v>
      </c>
      <c r="J28" s="9">
        <f>ROUND((F28-I28)*C28,0)</f>
        <v>55959</v>
      </c>
      <c r="K28" s="9">
        <f>ROUND((F28-I28-J28)*C28,0)</f>
        <v>47380</v>
      </c>
      <c r="L28" s="9">
        <f>ROUND((F28-I28-J28-K28)*C28,0)</f>
        <v>40117</v>
      </c>
      <c r="M28" s="9">
        <f>ROUND((F28-I28-J28-K28-L28)*C28,0)</f>
        <v>33967</v>
      </c>
      <c r="N28" s="9">
        <f>ROUND((F28-I28-J28-K28-L28-M28)*C28,0)</f>
        <v>28760</v>
      </c>
      <c r="O28" s="9">
        <f>ROUND((F28-I28-J28-K28-L28-M28-N28)*C28,0)</f>
        <v>24351</v>
      </c>
      <c r="P28" s="9">
        <f>ROUND((F28-I28-J28-K28-L28-M28-N28-O28)*C28,0)</f>
        <v>20618</v>
      </c>
      <c r="Q28" s="9">
        <f>ROUND((F28-I28-J28-K28-L28-M28-N28-O28-P28)*C28,0)</f>
        <v>17457</v>
      </c>
      <c r="R28" s="9">
        <f>ROUND((F28-I28-J28-K28-L28-M28-N28-O28-P28-Q28)*C28,0)</f>
        <v>14781</v>
      </c>
      <c r="S28" s="11">
        <f t="shared" si="80"/>
        <v>329106</v>
      </c>
      <c r="T28" s="11">
        <f t="shared" si="81"/>
        <v>81639</v>
      </c>
      <c r="U28" s="9">
        <f t="shared" si="82"/>
        <v>20537</v>
      </c>
      <c r="V28" s="52">
        <v>41729</v>
      </c>
      <c r="W28" s="55">
        <f t="shared" si="51"/>
        <v>3551</v>
      </c>
      <c r="X28" s="53">
        <f t="shared" si="52"/>
        <v>0</v>
      </c>
      <c r="Y28" s="38" t="s">
        <v>135</v>
      </c>
      <c r="Z28" s="1">
        <v>5.27</v>
      </c>
      <c r="AA28" s="9">
        <f t="shared" si="53"/>
        <v>61102</v>
      </c>
      <c r="AB28">
        <v>18777</v>
      </c>
      <c r="AC28" s="10">
        <f t="shared" si="54"/>
        <v>30.730581650355145</v>
      </c>
      <c r="AE28" s="9">
        <f t="shared" si="55"/>
        <v>11594.307400379508</v>
      </c>
      <c r="AF28" s="10"/>
      <c r="AH28" s="8">
        <f t="shared" si="64"/>
        <v>61102</v>
      </c>
      <c r="AI28" s="8">
        <f t="shared" si="56"/>
        <v>20537</v>
      </c>
      <c r="AJ28" s="8">
        <v>0</v>
      </c>
      <c r="AK28" s="9">
        <f t="shared" si="57"/>
        <v>20537</v>
      </c>
      <c r="AL28" s="9">
        <v>0</v>
      </c>
      <c r="AM28" s="11">
        <f t="shared" si="58"/>
        <v>20537</v>
      </c>
      <c r="AN28" s="9">
        <v>0</v>
      </c>
      <c r="AO28" s="9">
        <f t="shared" si="65"/>
        <v>20537</v>
      </c>
      <c r="AP28" s="8">
        <v>0</v>
      </c>
      <c r="AQ28" s="11">
        <f t="shared" si="59"/>
        <v>20537</v>
      </c>
      <c r="AR28" s="8">
        <v>0</v>
      </c>
      <c r="AS28" s="11">
        <f t="shared" si="66"/>
        <v>20537</v>
      </c>
      <c r="AT28" s="8">
        <v>0</v>
      </c>
      <c r="AU28" s="11">
        <f t="shared" si="67"/>
        <v>20537</v>
      </c>
      <c r="AV28" s="8">
        <v>0</v>
      </c>
      <c r="AW28" s="11">
        <f t="shared" si="68"/>
        <v>20537</v>
      </c>
      <c r="AX28" s="8">
        <v>0</v>
      </c>
      <c r="AY28" s="11">
        <f t="shared" si="60"/>
        <v>20537</v>
      </c>
      <c r="AZ28" s="11">
        <f t="shared" si="61"/>
        <v>0</v>
      </c>
    </row>
    <row r="29" spans="1:53" x14ac:dyDescent="0.35">
      <c r="A29" s="1">
        <v>2</v>
      </c>
      <c r="B29" t="s">
        <v>71</v>
      </c>
      <c r="C29" s="21">
        <v>0.15329999999999999</v>
      </c>
      <c r="D29" s="1">
        <v>8</v>
      </c>
      <c r="E29" s="56">
        <v>40025</v>
      </c>
      <c r="F29" s="9">
        <v>1930527</v>
      </c>
      <c r="G29" s="9">
        <v>0</v>
      </c>
      <c r="H29" s="9">
        <v>0</v>
      </c>
      <c r="I29" s="27">
        <v>0</v>
      </c>
      <c r="J29" s="9">
        <v>0</v>
      </c>
      <c r="K29" s="9">
        <v>0</v>
      </c>
      <c r="L29" s="9">
        <v>0</v>
      </c>
      <c r="M29" s="9">
        <v>0</v>
      </c>
      <c r="N29" s="9">
        <f>ROUND((F29*C29)*244/365,0)</f>
        <v>197840</v>
      </c>
      <c r="O29" s="9">
        <f>ROUND((F29-N29)*C29,0)</f>
        <v>265621</v>
      </c>
      <c r="P29" s="9">
        <f>ROUND((F29-N29-O29)*C29,0)</f>
        <v>224901</v>
      </c>
      <c r="Q29" s="9">
        <f>ROUND((F29-N29-O29-P29)*C29,0)</f>
        <v>190424</v>
      </c>
      <c r="R29" s="9">
        <f>ROUND((F29-N29-O29-P29-Q29)*C29,0)</f>
        <v>161232</v>
      </c>
      <c r="S29" s="11">
        <f t="shared" si="80"/>
        <v>1040018</v>
      </c>
      <c r="T29" s="11">
        <f t="shared" si="81"/>
        <v>890509</v>
      </c>
      <c r="U29" s="9">
        <f t="shared" si="82"/>
        <v>96526</v>
      </c>
      <c r="V29" s="52">
        <v>41729</v>
      </c>
      <c r="W29" s="55">
        <f t="shared" si="51"/>
        <v>1704</v>
      </c>
      <c r="X29" s="53">
        <f t="shared" si="52"/>
        <v>3.3315068493150686</v>
      </c>
      <c r="Y29" s="38" t="s">
        <v>161</v>
      </c>
      <c r="Z29" s="1">
        <v>10.33</v>
      </c>
      <c r="AA29" s="9">
        <f t="shared" si="53"/>
        <v>793983</v>
      </c>
      <c r="AB29">
        <v>172759</v>
      </c>
      <c r="AC29" s="10">
        <f t="shared" si="54"/>
        <v>21.758526316054628</v>
      </c>
      <c r="AE29" s="9">
        <f t="shared" si="55"/>
        <v>76861.858664085186</v>
      </c>
      <c r="AF29" s="10">
        <f t="shared" ref="AF29" si="83">1-POWER((0.05*F29)/T29,1/X29)</f>
        <v>0.48673274839125169</v>
      </c>
      <c r="AG29" s="8">
        <f t="shared" ref="AG29" si="84">ROUND(T29*AF29,0)</f>
        <v>433440</v>
      </c>
      <c r="AI29" s="8">
        <f t="shared" si="56"/>
        <v>457069</v>
      </c>
      <c r="AJ29" s="8">
        <f t="shared" ref="AJ29" si="85">ROUND(AI29*AF29,0)</f>
        <v>222470</v>
      </c>
      <c r="AK29" s="9">
        <f t="shared" si="57"/>
        <v>234599</v>
      </c>
      <c r="AL29" s="9">
        <f>ROUND(AF29*AK29,0)</f>
        <v>114187</v>
      </c>
      <c r="AM29" s="11">
        <f t="shared" si="58"/>
        <v>120412</v>
      </c>
      <c r="AN29" s="9">
        <f>+AM29-U29</f>
        <v>23886</v>
      </c>
      <c r="AO29" s="9">
        <f t="shared" si="65"/>
        <v>96526</v>
      </c>
      <c r="AP29" s="8">
        <v>0</v>
      </c>
      <c r="AQ29" s="11">
        <f t="shared" si="59"/>
        <v>96526</v>
      </c>
      <c r="AR29" s="8">
        <v>0</v>
      </c>
      <c r="AS29" s="11">
        <f t="shared" si="66"/>
        <v>96526</v>
      </c>
      <c r="AT29" s="8">
        <v>0</v>
      </c>
      <c r="AU29" s="11">
        <f t="shared" si="67"/>
        <v>96526</v>
      </c>
      <c r="AV29" s="8">
        <v>0</v>
      </c>
      <c r="AW29" s="11">
        <f t="shared" si="68"/>
        <v>96526</v>
      </c>
      <c r="AX29" s="8">
        <v>0</v>
      </c>
      <c r="AY29" s="11">
        <f t="shared" si="60"/>
        <v>96526</v>
      </c>
      <c r="AZ29" s="11">
        <f t="shared" si="61"/>
        <v>0</v>
      </c>
      <c r="BA29" s="10"/>
    </row>
    <row r="30" spans="1:53" x14ac:dyDescent="0.35">
      <c r="C30" s="24"/>
      <c r="E30" s="3" t="s">
        <v>38</v>
      </c>
      <c r="F30" s="13">
        <f t="shared" ref="F30:U30" si="86">SUM(F18:F29)</f>
        <v>35223725</v>
      </c>
      <c r="G30" s="13">
        <f t="shared" si="86"/>
        <v>292435</v>
      </c>
      <c r="H30" s="13">
        <f t="shared" si="86"/>
        <v>4891976</v>
      </c>
      <c r="I30" s="13">
        <f t="shared" si="86"/>
        <v>4290991</v>
      </c>
      <c r="J30" s="13">
        <f t="shared" si="86"/>
        <v>3651268</v>
      </c>
      <c r="K30" s="13">
        <f t="shared" si="86"/>
        <v>3091529</v>
      </c>
      <c r="L30" s="13">
        <f t="shared" si="86"/>
        <v>2617597</v>
      </c>
      <c r="M30" s="13">
        <f t="shared" si="86"/>
        <v>2216320</v>
      </c>
      <c r="N30" s="13">
        <f t="shared" si="86"/>
        <v>2074397</v>
      </c>
      <c r="O30" s="13">
        <f t="shared" si="86"/>
        <v>1854501</v>
      </c>
      <c r="P30" s="13">
        <f t="shared" si="86"/>
        <v>1570207</v>
      </c>
      <c r="Q30" s="13">
        <f t="shared" si="86"/>
        <v>1329496</v>
      </c>
      <c r="R30" s="13">
        <f t="shared" si="86"/>
        <v>1125683</v>
      </c>
      <c r="S30" s="13">
        <f t="shared" si="86"/>
        <v>29006400</v>
      </c>
      <c r="T30" s="28">
        <f t="shared" si="86"/>
        <v>6217325</v>
      </c>
      <c r="U30" s="13">
        <f t="shared" si="86"/>
        <v>1761188</v>
      </c>
      <c r="V30" s="45"/>
      <c r="W30" s="45"/>
      <c r="X30" s="45"/>
      <c r="Y30" s="39"/>
      <c r="Z30" s="12"/>
      <c r="AA30" s="13">
        <f>SUM(AA18:AA27)</f>
        <v>3601052</v>
      </c>
      <c r="AB30" s="13">
        <f>SUM(AB18:AB29)</f>
        <v>1521159</v>
      </c>
      <c r="AC30" s="13">
        <f t="shared" ref="AC30:AD30" si="87">SUM(AC18:AC27)</f>
        <v>340.50544478259388</v>
      </c>
      <c r="AD30" s="13">
        <f t="shared" si="87"/>
        <v>0</v>
      </c>
      <c r="AE30" s="13">
        <f>SUM(AE18:AE29)</f>
        <v>997094.73554657912</v>
      </c>
      <c r="AF30" s="13">
        <f t="shared" ref="AF30:AG30" si="88">SUM(AF18:AF29)</f>
        <v>0.48673274839125169</v>
      </c>
      <c r="AG30" s="57">
        <f t="shared" si="88"/>
        <v>433440</v>
      </c>
      <c r="AH30" s="57">
        <f>SUM(AH18:AH29)</f>
        <v>3662154</v>
      </c>
      <c r="AI30" s="57">
        <f>SUM(AI18:AI29)</f>
        <v>2121731</v>
      </c>
      <c r="AJ30" s="57">
        <f t="shared" ref="AJ30:AK30" si="89">SUM(AJ18:AJ29)</f>
        <v>222470</v>
      </c>
      <c r="AK30" s="13">
        <f t="shared" si="89"/>
        <v>1899261</v>
      </c>
      <c r="AL30" s="13">
        <f t="shared" ref="AL30:AM30" si="90">SUM(AL18:AL29)</f>
        <v>114187</v>
      </c>
      <c r="AM30" s="13">
        <f t="shared" si="90"/>
        <v>1785074</v>
      </c>
      <c r="AN30" s="20">
        <f>SUM(AN18:AN29)</f>
        <v>23886</v>
      </c>
      <c r="AO30" s="20">
        <f>SUM(AO18:AO29)</f>
        <v>1761188</v>
      </c>
      <c r="AP30" s="20">
        <f t="shared" ref="AP30:AS30" si="91">SUM(AP18:AP29)</f>
        <v>0</v>
      </c>
      <c r="AQ30" s="20">
        <f t="shared" si="91"/>
        <v>1761188</v>
      </c>
      <c r="AR30" s="20">
        <f t="shared" si="91"/>
        <v>0</v>
      </c>
      <c r="AS30" s="20">
        <f t="shared" si="91"/>
        <v>1761188</v>
      </c>
      <c r="AT30" s="20">
        <f t="shared" ref="AT30:AU30" si="92">SUM(AT18:AT29)</f>
        <v>0</v>
      </c>
      <c r="AU30" s="20">
        <f t="shared" si="92"/>
        <v>1761188</v>
      </c>
      <c r="AV30" s="20">
        <f t="shared" ref="AV30:AY30" si="93">SUM(AV18:AV29)</f>
        <v>0</v>
      </c>
      <c r="AW30" s="20">
        <f t="shared" si="93"/>
        <v>1761188</v>
      </c>
      <c r="AX30" s="20">
        <f t="shared" si="93"/>
        <v>0</v>
      </c>
      <c r="AY30" s="20">
        <f t="shared" si="93"/>
        <v>1761188</v>
      </c>
    </row>
    <row r="31" spans="1:53" x14ac:dyDescent="0.35">
      <c r="C31" s="24"/>
      <c r="E31" s="3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70"/>
      <c r="U31" s="22"/>
      <c r="V31" s="71"/>
      <c r="W31" s="71"/>
      <c r="X31" s="71"/>
      <c r="Y31" s="41"/>
      <c r="AA31" s="22"/>
      <c r="AB31" s="22"/>
      <c r="AC31" s="22"/>
      <c r="AD31" s="22"/>
      <c r="AE31" s="22"/>
      <c r="AF31" s="22"/>
      <c r="AG31" s="72"/>
      <c r="AH31" s="72"/>
      <c r="AI31" s="72"/>
      <c r="AJ31" s="72"/>
      <c r="AK31" s="22"/>
      <c r="AL31" s="22"/>
      <c r="AM31" s="22"/>
    </row>
    <row r="32" spans="1:53" s="150" customFormat="1" ht="16" thickBot="1" x14ac:dyDescent="0.4">
      <c r="A32" s="14">
        <v>3</v>
      </c>
      <c r="B32" s="139" t="s">
        <v>69</v>
      </c>
      <c r="C32" s="140"/>
      <c r="D32" s="141">
        <v>8</v>
      </c>
      <c r="E32" s="73">
        <v>42290</v>
      </c>
      <c r="F32" s="142">
        <v>1273449</v>
      </c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3">
        <f>F32</f>
        <v>1273449</v>
      </c>
      <c r="U32" s="142">
        <f t="shared" ref="U32" si="94">ROUND(F32*5%,0)</f>
        <v>63672</v>
      </c>
      <c r="V32" s="144">
        <v>42460</v>
      </c>
      <c r="W32" s="145">
        <f t="shared" ref="W32" si="95">V32-E32</f>
        <v>170</v>
      </c>
      <c r="X32" s="146">
        <f t="shared" ref="X32" si="96">IF(D32*365-W32&lt;1,0,(D32*365-W32)/365)</f>
        <v>7.5342465753424657</v>
      </c>
      <c r="Y32" s="147" t="s">
        <v>161</v>
      </c>
      <c r="Z32" s="141">
        <v>10.33</v>
      </c>
      <c r="AA32" s="142">
        <f t="shared" ref="AA32" si="97">+T32-U32</f>
        <v>1209777</v>
      </c>
      <c r="AB32" s="139">
        <v>172759</v>
      </c>
      <c r="AC32" s="148">
        <f t="shared" ref="AC32" si="98">AB32/(T32-U32)*100</f>
        <v>14.280235117711776</v>
      </c>
      <c r="AD32" s="139"/>
      <c r="AE32" s="142">
        <f t="shared" ref="AE32" si="99">(T32-U32)/Z32</f>
        <v>117112.97192642788</v>
      </c>
      <c r="AF32" s="148">
        <f>1-POWER((0.05*F32)/T32,1/X32)</f>
        <v>0.3280795842998514</v>
      </c>
      <c r="AG32" s="146"/>
      <c r="AH32" s="146"/>
      <c r="AI32" s="146">
        <f>F32</f>
        <v>1273449</v>
      </c>
      <c r="AJ32" s="146">
        <f>ROUND((AI32*AF32)/365*W32,0)-29401</f>
        <v>165187</v>
      </c>
      <c r="AK32" s="142">
        <f>AI32-AJ32</f>
        <v>1108262</v>
      </c>
      <c r="AL32" s="142">
        <f>ROUND(AF32*AK32,0)</f>
        <v>363598</v>
      </c>
      <c r="AM32" s="149">
        <f t="shared" ref="AM32" si="100">AK32-AL32</f>
        <v>744664</v>
      </c>
      <c r="AN32" s="142">
        <f>ROUND(AM32*AF32,0)</f>
        <v>244309</v>
      </c>
      <c r="AO32" s="149">
        <f>+AM32-AN32</f>
        <v>500355</v>
      </c>
      <c r="AP32" s="142">
        <f>ROUND(AO32*AF32,0)</f>
        <v>164156</v>
      </c>
      <c r="AQ32" s="149">
        <f>+AO32-AP32</f>
        <v>336199</v>
      </c>
      <c r="AR32" s="142">
        <f>ROUND(AQ32*AF32,0)</f>
        <v>110300</v>
      </c>
      <c r="AS32" s="149">
        <f>+AQ32-AR32</f>
        <v>225899</v>
      </c>
      <c r="AT32" s="142">
        <f>ROUND(AS32*AF32,0)</f>
        <v>74113</v>
      </c>
      <c r="AU32" s="149">
        <f>+AS32-AT32</f>
        <v>151786</v>
      </c>
      <c r="AV32" s="142">
        <f>ROUND(AU32*AF32,0)</f>
        <v>49798</v>
      </c>
      <c r="AW32" s="149">
        <f>+AU32-AV32</f>
        <v>101988</v>
      </c>
      <c r="AX32" s="142">
        <f>ROUND(AW32*AF32,0)</f>
        <v>33460</v>
      </c>
      <c r="AY32" s="149">
        <f>+AW32-AX32</f>
        <v>68528</v>
      </c>
      <c r="AZ32" s="11">
        <f>+AY32-U32</f>
        <v>4856</v>
      </c>
    </row>
    <row r="33" spans="2:53" x14ac:dyDescent="0.35">
      <c r="C33" s="26"/>
      <c r="E33" s="1"/>
      <c r="F33" s="9"/>
      <c r="U33" s="11"/>
      <c r="Y33" s="33"/>
      <c r="AJ33" s="8"/>
      <c r="AK33" s="9"/>
      <c r="AL33" s="9"/>
      <c r="AM33" s="11"/>
    </row>
    <row r="34" spans="2:53" ht="16" thickBot="1" x14ac:dyDescent="0.4">
      <c r="B34" s="6" t="s">
        <v>69</v>
      </c>
      <c r="C34" s="24"/>
      <c r="E34" s="3" t="s">
        <v>39</v>
      </c>
      <c r="F34" s="16">
        <f t="shared" ref="F34:U34" si="101">+F16+F30</f>
        <v>90649910</v>
      </c>
      <c r="G34" s="16">
        <f t="shared" si="101"/>
        <v>4985407</v>
      </c>
      <c r="H34" s="16">
        <f t="shared" si="101"/>
        <v>10996985</v>
      </c>
      <c r="I34" s="16">
        <f t="shared" si="101"/>
        <v>9460102</v>
      </c>
      <c r="J34" s="16">
        <f t="shared" si="101"/>
        <v>8346016</v>
      </c>
      <c r="K34" s="16">
        <f t="shared" si="101"/>
        <v>7399466</v>
      </c>
      <c r="L34" s="16">
        <f t="shared" si="101"/>
        <v>6356096</v>
      </c>
      <c r="M34" s="16">
        <f t="shared" si="101"/>
        <v>5927680</v>
      </c>
      <c r="N34" s="16">
        <f t="shared" si="101"/>
        <v>5520627</v>
      </c>
      <c r="O34" s="16">
        <f t="shared" si="101"/>
        <v>4853099</v>
      </c>
      <c r="P34" s="16">
        <f t="shared" si="101"/>
        <v>4109121</v>
      </c>
      <c r="Q34" s="16">
        <f t="shared" si="101"/>
        <v>3479192</v>
      </c>
      <c r="R34" s="16">
        <f t="shared" si="101"/>
        <v>2945830</v>
      </c>
      <c r="S34" s="16">
        <f t="shared" si="101"/>
        <v>74379621</v>
      </c>
      <c r="T34" s="29">
        <f t="shared" si="101"/>
        <v>16270289</v>
      </c>
      <c r="U34" s="16">
        <f t="shared" si="101"/>
        <v>4532498</v>
      </c>
      <c r="V34" s="47"/>
      <c r="W34" s="47"/>
      <c r="X34" s="47"/>
      <c r="Y34" s="35"/>
      <c r="Z34" s="15"/>
      <c r="AA34" s="19">
        <f>+AA16+AA30</f>
        <v>10882706</v>
      </c>
      <c r="AB34" s="19">
        <f>+AB16+AB30</f>
        <v>4287093</v>
      </c>
      <c r="AC34" s="19">
        <f t="shared" ref="AC34:AJ34" si="102">+AC16+AC30</f>
        <v>655.1645544790191</v>
      </c>
      <c r="AD34" s="19">
        <f t="shared" si="102"/>
        <v>0</v>
      </c>
      <c r="AE34" s="19">
        <f t="shared" si="102"/>
        <v>2624819.3012631736</v>
      </c>
      <c r="AF34" s="19">
        <f t="shared" si="102"/>
        <v>0.48673274839125169</v>
      </c>
      <c r="AG34" s="58">
        <f t="shared" si="102"/>
        <v>1975579</v>
      </c>
      <c r="AH34" s="58">
        <f t="shared" si="102"/>
        <v>8646725</v>
      </c>
      <c r="AI34" s="58">
        <f t="shared" si="102"/>
        <v>5647985</v>
      </c>
      <c r="AJ34" s="58">
        <f t="shared" si="102"/>
        <v>816609</v>
      </c>
      <c r="AK34" s="16">
        <f>+AK16+AK30+AK32</f>
        <v>5939638</v>
      </c>
      <c r="AL34" s="16">
        <f>+AL16+AL30+AL32</f>
        <v>613242</v>
      </c>
      <c r="AM34" s="16">
        <f>+AM16+AM30+AM32</f>
        <v>5326396</v>
      </c>
      <c r="AN34" s="16">
        <f t="shared" ref="AN34:AS34" si="103">+AN16+AN30+AN32</f>
        <v>293543</v>
      </c>
      <c r="AO34" s="16">
        <f t="shared" si="103"/>
        <v>5032853</v>
      </c>
      <c r="AP34" s="16">
        <f t="shared" si="103"/>
        <v>164156</v>
      </c>
      <c r="AQ34" s="16">
        <f t="shared" si="103"/>
        <v>4868697</v>
      </c>
      <c r="AR34" s="16">
        <f t="shared" si="103"/>
        <v>110300</v>
      </c>
      <c r="AS34" s="16">
        <f t="shared" si="103"/>
        <v>4758397</v>
      </c>
      <c r="AT34" s="16">
        <f t="shared" ref="AT34:AU34" si="104">+AT16+AT30+AT32</f>
        <v>74113</v>
      </c>
      <c r="AU34" s="16">
        <f t="shared" si="104"/>
        <v>4684284</v>
      </c>
      <c r="AV34" s="16">
        <f t="shared" ref="AV34:AY34" si="105">+AV16+AV30+AV32</f>
        <v>49798</v>
      </c>
      <c r="AW34" s="16">
        <f t="shared" si="105"/>
        <v>4634486</v>
      </c>
      <c r="AX34" s="16">
        <f t="shared" si="105"/>
        <v>33460</v>
      </c>
      <c r="AY34" s="16">
        <f t="shared" si="105"/>
        <v>4601026</v>
      </c>
      <c r="BA34" s="132"/>
    </row>
    <row r="35" spans="2:53" ht="16" thickTop="1" x14ac:dyDescent="0.35">
      <c r="F35" s="9"/>
      <c r="U35" s="11"/>
      <c r="Y35" s="11"/>
    </row>
    <row r="36" spans="2:53" x14ac:dyDescent="0.35">
      <c r="F36" s="9"/>
      <c r="U36" s="11"/>
      <c r="Y36" s="11"/>
    </row>
    <row r="37" spans="2:53" x14ac:dyDescent="0.35">
      <c r="F37" s="9"/>
      <c r="U37" s="11"/>
      <c r="Y37" s="11"/>
    </row>
    <row r="38" spans="2:53" x14ac:dyDescent="0.35">
      <c r="F38" s="9"/>
      <c r="U38" s="11"/>
      <c r="Y38" s="11"/>
    </row>
    <row r="39" spans="2:53" x14ac:dyDescent="0.35">
      <c r="F39" s="9"/>
      <c r="H39" s="11">
        <f>F19-G19-H19-I19</f>
        <v>4915</v>
      </c>
      <c r="S39" s="38" t="s">
        <v>179</v>
      </c>
      <c r="U39" s="11"/>
      <c r="Y39" s="10" t="e">
        <f>U39/T39</f>
        <v>#DIV/0!</v>
      </c>
    </row>
    <row r="40" spans="2:53" x14ac:dyDescent="0.35">
      <c r="F40" s="9"/>
      <c r="S40" s="38" t="s">
        <v>172</v>
      </c>
      <c r="U40" s="11"/>
      <c r="Y40" s="10" t="e">
        <f t="shared" ref="Y40:Y49" si="106">U40/T40</f>
        <v>#DIV/0!</v>
      </c>
    </row>
    <row r="41" spans="2:53" x14ac:dyDescent="0.35">
      <c r="F41" s="9"/>
      <c r="S41" s="38" t="s">
        <v>173</v>
      </c>
      <c r="U41" s="11"/>
      <c r="Y41" s="10" t="e">
        <f t="shared" si="106"/>
        <v>#DIV/0!</v>
      </c>
    </row>
    <row r="42" spans="2:53" x14ac:dyDescent="0.35">
      <c r="F42" s="9"/>
      <c r="S42" s="38" t="s">
        <v>174</v>
      </c>
      <c r="U42" s="11"/>
      <c r="Y42" s="10" t="e">
        <f t="shared" si="106"/>
        <v>#DIV/0!</v>
      </c>
    </row>
    <row r="43" spans="2:53" x14ac:dyDescent="0.35">
      <c r="S43" s="38" t="s">
        <v>172</v>
      </c>
      <c r="U43" s="11"/>
      <c r="Y43" s="10" t="e">
        <f t="shared" si="106"/>
        <v>#DIV/0!</v>
      </c>
    </row>
    <row r="44" spans="2:53" x14ac:dyDescent="0.35">
      <c r="S44" s="38" t="s">
        <v>175</v>
      </c>
      <c r="U44" s="11"/>
      <c r="Y44" s="10" t="e">
        <f t="shared" si="106"/>
        <v>#DIV/0!</v>
      </c>
    </row>
    <row r="45" spans="2:53" x14ac:dyDescent="0.35">
      <c r="S45" s="38" t="s">
        <v>175</v>
      </c>
      <c r="U45" s="11"/>
      <c r="Y45" s="10" t="e">
        <f t="shared" si="106"/>
        <v>#DIV/0!</v>
      </c>
    </row>
    <row r="46" spans="2:53" x14ac:dyDescent="0.35">
      <c r="S46" s="38" t="s">
        <v>176</v>
      </c>
      <c r="U46" s="11"/>
      <c r="Y46" s="10" t="e">
        <f t="shared" si="106"/>
        <v>#DIV/0!</v>
      </c>
    </row>
    <row r="47" spans="2:53" x14ac:dyDescent="0.35">
      <c r="S47" s="38"/>
      <c r="U47" s="11"/>
      <c r="Y47" s="10"/>
    </row>
    <row r="48" spans="2:53" x14ac:dyDescent="0.35">
      <c r="S48" s="38" t="s">
        <v>177</v>
      </c>
      <c r="U48" s="11"/>
      <c r="Y48" s="10" t="e">
        <f t="shared" si="106"/>
        <v>#DIV/0!</v>
      </c>
    </row>
    <row r="49" spans="19:25" x14ac:dyDescent="0.35">
      <c r="S49" s="38" t="s">
        <v>178</v>
      </c>
      <c r="U49" s="11"/>
      <c r="Y49" s="10" t="e">
        <f t="shared" si="106"/>
        <v>#DIV/0!</v>
      </c>
    </row>
  </sheetData>
  <sortState xmlns:xlrd2="http://schemas.microsoft.com/office/spreadsheetml/2017/richdata2" ref="C6:F7">
    <sortCondition ref="C6"/>
  </sortState>
  <mergeCells count="1">
    <mergeCell ref="G3:R3"/>
  </mergeCells>
  <pageMargins left="0.39" right="0.3" top="0.74803149606299213" bottom="0.74803149606299213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26"/>
  <sheetViews>
    <sheetView workbookViewId="0">
      <selection activeCell="AX14" sqref="AX14"/>
    </sheetView>
  </sheetViews>
  <sheetFormatPr defaultRowHeight="15.5" x14ac:dyDescent="0.35"/>
  <cols>
    <col min="1" max="1" width="3.33203125" customWidth="1"/>
    <col min="2" max="2" width="18.75" customWidth="1"/>
    <col min="3" max="3" width="7" hidden="1" customWidth="1"/>
    <col min="4" max="4" width="5.08203125" customWidth="1"/>
    <col min="5" max="5" width="10.08203125" customWidth="1"/>
    <col min="6" max="6" width="11.75" customWidth="1"/>
    <col min="7" max="7" width="8.58203125" hidden="1" customWidth="1"/>
    <col min="8" max="14" width="10.08203125" hidden="1" customWidth="1"/>
    <col min="15" max="18" width="8.58203125" hidden="1" customWidth="1"/>
    <col min="19" max="19" width="11.58203125" hidden="1" customWidth="1"/>
    <col min="20" max="20" width="10.33203125" hidden="1" customWidth="1"/>
    <col min="21" max="21" width="10.5" customWidth="1"/>
    <col min="22" max="22" width="9.58203125" hidden="1" customWidth="1"/>
    <col min="23" max="24" width="8.58203125" hidden="1" customWidth="1"/>
    <col min="25" max="25" width="6.5" hidden="1" customWidth="1"/>
    <col min="26" max="26" width="9.33203125" hidden="1" customWidth="1"/>
    <col min="27" max="27" width="9.83203125" hidden="1" customWidth="1"/>
    <col min="28" max="28" width="10.5" hidden="1" customWidth="1"/>
    <col min="29" max="29" width="0" hidden="1" customWidth="1"/>
    <col min="30" max="30" width="10.33203125" hidden="1" customWidth="1"/>
    <col min="31" max="31" width="11.08203125" hidden="1" customWidth="1"/>
    <col min="32" max="32" width="6.08203125" customWidth="1"/>
    <col min="33" max="33" width="12.75" style="8" hidden="1" customWidth="1"/>
    <col min="34" max="34" width="12.58203125" style="8" hidden="1" customWidth="1"/>
    <col min="35" max="35" width="11.58203125" hidden="1" customWidth="1"/>
    <col min="36" max="36" width="10.08203125" hidden="1" customWidth="1"/>
    <col min="37" max="37" width="11.08203125" hidden="1" customWidth="1"/>
    <col min="38" max="38" width="10.08203125" hidden="1" customWidth="1"/>
    <col min="39" max="39" width="10.5" hidden="1" customWidth="1"/>
    <col min="40" max="40" width="10.33203125" customWidth="1"/>
    <col min="41" max="41" width="10" hidden="1" customWidth="1"/>
    <col min="42" max="42" width="10.58203125" customWidth="1"/>
    <col min="43" max="43" width="10.58203125" hidden="1" customWidth="1"/>
    <col min="44" max="50" width="10.58203125" customWidth="1"/>
  </cols>
  <sheetData>
    <row r="1" spans="1:52" x14ac:dyDescent="0.35">
      <c r="A1" s="111" t="s">
        <v>77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3" spans="1:52" x14ac:dyDescent="0.35">
      <c r="A3" s="2" t="s">
        <v>14</v>
      </c>
      <c r="B3" s="2" t="s">
        <v>17</v>
      </c>
      <c r="C3" s="36" t="s">
        <v>34</v>
      </c>
      <c r="D3" s="36" t="s">
        <v>19</v>
      </c>
      <c r="E3" s="2" t="s">
        <v>20</v>
      </c>
      <c r="F3" s="2" t="s">
        <v>23</v>
      </c>
      <c r="G3" s="193" t="s">
        <v>22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2" t="s">
        <v>13</v>
      </c>
      <c r="T3" s="2" t="s">
        <v>36</v>
      </c>
      <c r="U3" s="2" t="s">
        <v>24</v>
      </c>
      <c r="V3" s="2"/>
      <c r="W3" s="2" t="s">
        <v>191</v>
      </c>
      <c r="X3" s="2" t="s">
        <v>104</v>
      </c>
      <c r="Y3" s="2" t="s">
        <v>52</v>
      </c>
      <c r="Z3" s="2" t="s">
        <v>52</v>
      </c>
      <c r="AA3" s="2" t="s">
        <v>54</v>
      </c>
      <c r="AB3" s="48" t="s">
        <v>22</v>
      </c>
      <c r="AC3" s="48" t="s">
        <v>170</v>
      </c>
      <c r="AD3" s="3" t="s">
        <v>180</v>
      </c>
      <c r="AE3" s="3" t="s">
        <v>184</v>
      </c>
      <c r="AF3" s="68" t="s">
        <v>35</v>
      </c>
      <c r="AG3" s="59" t="s">
        <v>22</v>
      </c>
      <c r="AH3" s="59" t="s">
        <v>36</v>
      </c>
      <c r="AI3" s="2" t="s">
        <v>196</v>
      </c>
      <c r="AJ3" s="60" t="s">
        <v>36</v>
      </c>
      <c r="AK3" s="2" t="s">
        <v>200</v>
      </c>
      <c r="AL3" s="60" t="s">
        <v>36</v>
      </c>
      <c r="AM3" s="2" t="s">
        <v>211</v>
      </c>
      <c r="AN3" s="60" t="s">
        <v>36</v>
      </c>
      <c r="AO3" s="2" t="s">
        <v>219</v>
      </c>
      <c r="AP3" s="60" t="s">
        <v>36</v>
      </c>
      <c r="AQ3" s="2" t="s">
        <v>226</v>
      </c>
      <c r="AR3" s="60" t="s">
        <v>36</v>
      </c>
      <c r="AS3" s="2" t="s">
        <v>230</v>
      </c>
      <c r="AT3" s="60" t="s">
        <v>36</v>
      </c>
      <c r="AU3" s="2" t="s">
        <v>235</v>
      </c>
      <c r="AV3" s="60" t="s">
        <v>36</v>
      </c>
      <c r="AW3" s="2" t="s">
        <v>240</v>
      </c>
      <c r="AX3" s="60" t="s">
        <v>36</v>
      </c>
    </row>
    <row r="4" spans="1:52" x14ac:dyDescent="0.35">
      <c r="A4" s="4" t="s">
        <v>16</v>
      </c>
      <c r="B4" s="4" t="s">
        <v>18</v>
      </c>
      <c r="C4" s="37" t="s">
        <v>35</v>
      </c>
      <c r="D4" s="37" t="s">
        <v>28</v>
      </c>
      <c r="E4" s="4" t="s">
        <v>21</v>
      </c>
      <c r="F4" s="4" t="s">
        <v>15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5" t="s">
        <v>10</v>
      </c>
      <c r="Q4" s="5" t="s">
        <v>11</v>
      </c>
      <c r="R4" s="5" t="s">
        <v>12</v>
      </c>
      <c r="S4" s="4" t="s">
        <v>22</v>
      </c>
      <c r="T4" s="4" t="s">
        <v>37</v>
      </c>
      <c r="U4" s="4" t="s">
        <v>25</v>
      </c>
      <c r="V4" s="4"/>
      <c r="W4" s="4" t="s">
        <v>192</v>
      </c>
      <c r="X4" s="4" t="s">
        <v>193</v>
      </c>
      <c r="Y4" s="4" t="s">
        <v>104</v>
      </c>
      <c r="Z4" s="4" t="s">
        <v>53</v>
      </c>
      <c r="AA4" s="4" t="s">
        <v>55</v>
      </c>
      <c r="AB4" s="48" t="s">
        <v>169</v>
      </c>
      <c r="AC4" s="48" t="s">
        <v>171</v>
      </c>
      <c r="AD4" s="3" t="s">
        <v>181</v>
      </c>
      <c r="AF4" s="69" t="s">
        <v>194</v>
      </c>
      <c r="AG4" s="60" t="s">
        <v>195</v>
      </c>
      <c r="AH4" s="61" t="s">
        <v>189</v>
      </c>
      <c r="AI4" s="4" t="s">
        <v>22</v>
      </c>
      <c r="AJ4" s="62" t="s">
        <v>197</v>
      </c>
      <c r="AK4" s="4" t="s">
        <v>22</v>
      </c>
      <c r="AL4" s="62" t="s">
        <v>199</v>
      </c>
      <c r="AM4" s="4" t="s">
        <v>22</v>
      </c>
      <c r="AN4" s="62" t="s">
        <v>212</v>
      </c>
      <c r="AO4" s="4" t="s">
        <v>22</v>
      </c>
      <c r="AP4" s="62" t="s">
        <v>220</v>
      </c>
      <c r="AQ4" s="4" t="s">
        <v>22</v>
      </c>
      <c r="AR4" s="62" t="s">
        <v>227</v>
      </c>
      <c r="AS4" s="4" t="s">
        <v>22</v>
      </c>
      <c r="AT4" s="62" t="s">
        <v>231</v>
      </c>
      <c r="AU4" s="4" t="s">
        <v>22</v>
      </c>
      <c r="AV4" s="62" t="s">
        <v>234</v>
      </c>
      <c r="AW4" s="4" t="s">
        <v>22</v>
      </c>
      <c r="AX4" s="62" t="s">
        <v>239</v>
      </c>
      <c r="AY4" s="48" t="s">
        <v>223</v>
      </c>
    </row>
    <row r="5" spans="1:52" x14ac:dyDescent="0.35">
      <c r="A5" s="1">
        <v>1</v>
      </c>
      <c r="B5" t="s">
        <v>78</v>
      </c>
      <c r="C5" s="21">
        <v>0.1391</v>
      </c>
      <c r="D5" s="1">
        <v>15</v>
      </c>
      <c r="E5" s="54">
        <v>37461</v>
      </c>
      <c r="F5" s="9">
        <f>8964374-F18</f>
        <v>8259214</v>
      </c>
      <c r="G5" s="9">
        <f>ROUND((F5*C5)*251/365,0)</f>
        <v>790036</v>
      </c>
      <c r="H5" s="9">
        <f>ROUND((F5-G5)*C5,0)</f>
        <v>1038963</v>
      </c>
      <c r="I5" s="9">
        <f>ROUND((F5-G5-H5)*C5,0)</f>
        <v>894443</v>
      </c>
      <c r="J5" s="9">
        <f>ROUND((F5-G5-H5-I5)*C5,0)+131487</f>
        <v>901513</v>
      </c>
      <c r="K5" s="9">
        <f>ROUND((F5-G5-H5-I5-J5)*C5,0)</f>
        <v>644625</v>
      </c>
      <c r="L5" s="9">
        <f>ROUND((F5-G5-H5-I5-J5-K5)*C5,0)</f>
        <v>554958</v>
      </c>
      <c r="M5" s="9">
        <f>ROUND((F5-G5-H5-I5-J5-K5-L5)*C5,0)</f>
        <v>477763</v>
      </c>
      <c r="N5" s="9">
        <f>ROUND((F5-G5-H5-I5-J5-K5-L5-M5)*C5,0)</f>
        <v>411307</v>
      </c>
      <c r="O5" s="9">
        <f>ROUND((F5-G5-H5-I5-J5-K5-L5-M5-N5)*C5,0)</f>
        <v>354094</v>
      </c>
      <c r="P5" s="9">
        <f>ROUND((F5-G5-H5-I5-J5-K5-L5-M5-N5-O5)*C5,0)</f>
        <v>304839</v>
      </c>
      <c r="Q5" s="9">
        <f>ROUND((F5-G5-H5-I5-J5-K5-L5-M5-N5-O5-P5)*C5,0)</f>
        <v>262436</v>
      </c>
      <c r="R5" s="9">
        <f>ROUND((F5-G5-H5-I5-J5-K5-L5-M5-N5-O5-P5-Q5)*C5,0)</f>
        <v>225931</v>
      </c>
      <c r="S5" s="11">
        <f>SUM(G5:R5)</f>
        <v>6860908</v>
      </c>
      <c r="T5" s="11">
        <f>+F5-S5</f>
        <v>1398306</v>
      </c>
      <c r="U5" s="9">
        <f>ROUND(F5*5%,0)</f>
        <v>412961</v>
      </c>
      <c r="V5" s="52">
        <v>41729</v>
      </c>
      <c r="W5" s="55">
        <f>V5-E5</f>
        <v>4268</v>
      </c>
      <c r="X5" s="53">
        <f t="shared" ref="X5:X8" si="0">IF(D5*365-W5&lt;1,0,(D5*365-W5)/365)</f>
        <v>3.3068493150684932</v>
      </c>
      <c r="Y5" s="38" t="s">
        <v>105</v>
      </c>
      <c r="Z5" s="1">
        <f>+D5-12</f>
        <v>3</v>
      </c>
      <c r="AA5" s="9">
        <f>+T5-U5</f>
        <v>985345</v>
      </c>
      <c r="AB5">
        <v>0</v>
      </c>
      <c r="AC5" s="10">
        <f>AB5/(T5-U5)*100</f>
        <v>0</v>
      </c>
      <c r="AD5" s="11">
        <f>+T5-U5</f>
        <v>985345</v>
      </c>
      <c r="AF5" s="10">
        <f t="shared" ref="AF5:AF6" si="1">1-POWER((0.05*F5)/T5,1/X5)</f>
        <v>0.308456853007406</v>
      </c>
      <c r="AG5" s="8">
        <f>ROUND(T5*AF5,0)</f>
        <v>431317</v>
      </c>
      <c r="AH5" s="8">
        <f>+T5-AG5</f>
        <v>966989</v>
      </c>
      <c r="AI5" s="8">
        <f>ROUND(AH5*AF5,0)</f>
        <v>298274</v>
      </c>
      <c r="AJ5" s="11">
        <f>AH5-AI5</f>
        <v>668715</v>
      </c>
      <c r="AK5" s="9">
        <f>ROUND(AJ5*AF5,0)</f>
        <v>206270</v>
      </c>
      <c r="AL5" s="11">
        <f>AJ5-AK5</f>
        <v>462445</v>
      </c>
      <c r="AM5" s="9">
        <f>+AL5-U5</f>
        <v>49484</v>
      </c>
      <c r="AN5" s="11">
        <f>AL5-AM5</f>
        <v>412961</v>
      </c>
      <c r="AO5" s="135">
        <v>0</v>
      </c>
      <c r="AP5" s="11">
        <f>+AN5-AO5</f>
        <v>412961</v>
      </c>
      <c r="AQ5" s="135">
        <v>0</v>
      </c>
      <c r="AR5" s="11">
        <f>+AP5-AQ5</f>
        <v>412961</v>
      </c>
      <c r="AS5" s="135">
        <v>0</v>
      </c>
      <c r="AT5" s="11">
        <f>+AR5-AS5</f>
        <v>412961</v>
      </c>
      <c r="AU5" s="135">
        <v>0</v>
      </c>
      <c r="AV5" s="11">
        <f>+AT5-AU5</f>
        <v>412961</v>
      </c>
      <c r="AW5" s="135">
        <v>0</v>
      </c>
      <c r="AX5" s="11">
        <f>+AV5-AW5</f>
        <v>412961</v>
      </c>
      <c r="AY5" s="11">
        <f>+AX5-U5</f>
        <v>0</v>
      </c>
    </row>
    <row r="6" spans="1:52" x14ac:dyDescent="0.35">
      <c r="A6" s="1">
        <v>1</v>
      </c>
      <c r="B6" t="s">
        <v>78</v>
      </c>
      <c r="C6" s="21">
        <v>0.1391</v>
      </c>
      <c r="D6" s="1">
        <v>15</v>
      </c>
      <c r="E6" s="54">
        <v>38224</v>
      </c>
      <c r="F6" s="9">
        <v>574927</v>
      </c>
      <c r="G6" s="9">
        <v>0</v>
      </c>
      <c r="H6" s="9">
        <v>0</v>
      </c>
      <c r="I6" s="9">
        <f>ROUND((F6*C6)*219/365,0)</f>
        <v>47983</v>
      </c>
      <c r="J6" s="9">
        <f>ROUND((F6-I6)*C6,0)</f>
        <v>73298</v>
      </c>
      <c r="K6" s="9">
        <f>ROUND((F6-I6-J6)*C6,0)</f>
        <v>63102</v>
      </c>
      <c r="L6" s="9">
        <f>ROUND((F6-I6-J6-K6)*C6,0)</f>
        <v>54325</v>
      </c>
      <c r="M6" s="9">
        <f>ROUND((F6-I6-J6-K6-L6)*C6,0)</f>
        <v>46768</v>
      </c>
      <c r="N6" s="9">
        <f>ROUND((F6-I6-J6-K6-L6-M6)*C6,0)</f>
        <v>40263</v>
      </c>
      <c r="O6" s="9">
        <f>ROUND((F6-I6-J6-K6-L6-M6-N6)*C6,0)</f>
        <v>34662</v>
      </c>
      <c r="P6" s="9">
        <f>ROUND((F6-I6-J6-K6-L6-M6-N6-O6)*C6,0)</f>
        <v>29841</v>
      </c>
      <c r="Q6" s="9">
        <f>ROUND((F6-I6-J6-K6-L6-M6-N6-O6-P6)*C6,0)</f>
        <v>25690</v>
      </c>
      <c r="R6" s="9">
        <f>ROUND((F6-I6-J6-K6-L6-M6-N6-O6-P6-Q6)*C6,0)</f>
        <v>22116</v>
      </c>
      <c r="S6" s="11">
        <f t="shared" ref="S6:S8" si="2">SUM(G6:R6)</f>
        <v>438048</v>
      </c>
      <c r="T6" s="11">
        <f t="shared" ref="T6:T8" si="3">+F6-S6</f>
        <v>136879</v>
      </c>
      <c r="U6" s="9">
        <f t="shared" ref="U6:U8" si="4">ROUND(F6*5%,0)</f>
        <v>28746</v>
      </c>
      <c r="V6" s="52">
        <v>41729</v>
      </c>
      <c r="W6" s="55">
        <f t="shared" ref="W6:W8" si="5">V6-E6</f>
        <v>3505</v>
      </c>
      <c r="X6" s="53">
        <f t="shared" si="0"/>
        <v>5.397260273972603</v>
      </c>
      <c r="Y6" s="38" t="s">
        <v>126</v>
      </c>
      <c r="Z6" s="1">
        <v>1</v>
      </c>
      <c r="AA6" s="9">
        <f t="shared" ref="AA6:AA8" si="6">T6-U6</f>
        <v>108133</v>
      </c>
      <c r="AB6" s="11">
        <f>AA6</f>
        <v>108133</v>
      </c>
      <c r="AC6" s="10">
        <f t="shared" ref="AC6:AC8" si="7">AB6/(T6-U6)*100</f>
        <v>100</v>
      </c>
      <c r="AE6">
        <f>(T6-U6)/Z6</f>
        <v>108133</v>
      </c>
      <c r="AF6" s="10">
        <f t="shared" si="1"/>
        <v>0.25109579674540283</v>
      </c>
      <c r="AG6" s="8">
        <f t="shared" ref="AG6:AG8" si="8">ROUND(T6*AF6,0)</f>
        <v>34370</v>
      </c>
      <c r="AH6" s="8">
        <f t="shared" ref="AH6:AH8" si="9">+T6-AG6</f>
        <v>102509</v>
      </c>
      <c r="AI6" s="8">
        <f t="shared" ref="AI6:AI8" si="10">ROUND(AH6*AF6,0)</f>
        <v>25740</v>
      </c>
      <c r="AJ6" s="11">
        <f t="shared" ref="AJ6:AJ8" si="11">AH6-AI6</f>
        <v>76769</v>
      </c>
      <c r="AK6" s="9">
        <f t="shared" ref="AK6:AK8" si="12">ROUND(AJ6*AF6,0)</f>
        <v>19276</v>
      </c>
      <c r="AL6" s="11">
        <f t="shared" ref="AL6:AL8" si="13">AJ6-AK6</f>
        <v>57493</v>
      </c>
      <c r="AM6" s="9">
        <f t="shared" ref="AM6:AM8" si="14">ROUND(AL6*AF6,0)</f>
        <v>14436</v>
      </c>
      <c r="AN6" s="11">
        <f t="shared" ref="AN6:AN8" si="15">AL6-AM6</f>
        <v>43057</v>
      </c>
      <c r="AO6" s="9">
        <f>ROUND(AN6*AF6,0)</f>
        <v>10811</v>
      </c>
      <c r="AP6" s="11">
        <f t="shared" ref="AP6" si="16">AN6-AO6</f>
        <v>32246</v>
      </c>
      <c r="AQ6" s="9">
        <f>+AP6-U6</f>
        <v>3500</v>
      </c>
      <c r="AR6" s="11">
        <f t="shared" ref="AR6" si="17">AP6-AQ6</f>
        <v>28746</v>
      </c>
      <c r="AS6" s="9">
        <v>0</v>
      </c>
      <c r="AT6" s="11">
        <f t="shared" ref="AT6:AT8" si="18">AR6-AS6</f>
        <v>28746</v>
      </c>
      <c r="AU6" s="9">
        <v>0</v>
      </c>
      <c r="AV6" s="11">
        <f t="shared" ref="AV6:AV8" si="19">AT6-AU6</f>
        <v>28746</v>
      </c>
      <c r="AW6" s="135">
        <v>0</v>
      </c>
      <c r="AX6" s="11">
        <f t="shared" ref="AX6:AX7" si="20">+AV6-AW6</f>
        <v>28746</v>
      </c>
      <c r="AY6" s="11">
        <f t="shared" ref="AY6:AY7" si="21">+AX6-U6</f>
        <v>0</v>
      </c>
    </row>
    <row r="7" spans="1:52" x14ac:dyDescent="0.35">
      <c r="A7" s="1">
        <v>1</v>
      </c>
      <c r="B7" t="s">
        <v>78</v>
      </c>
      <c r="C7" s="21">
        <v>0.1391</v>
      </c>
      <c r="D7" s="1">
        <v>15</v>
      </c>
      <c r="E7" s="54">
        <v>38748</v>
      </c>
      <c r="F7" s="9">
        <v>288788</v>
      </c>
      <c r="G7" s="9">
        <v>0</v>
      </c>
      <c r="H7" s="9">
        <v>0</v>
      </c>
      <c r="I7" s="9">
        <v>0</v>
      </c>
      <c r="J7" s="9">
        <f>ROUND((F7*C7)*60/365,0)</f>
        <v>6603</v>
      </c>
      <c r="K7" s="9">
        <f>ROUND((F7-J7)*C7,0)</f>
        <v>39252</v>
      </c>
      <c r="L7" s="9">
        <f>ROUND((F7-J7-K7)*C7,0)</f>
        <v>33792</v>
      </c>
      <c r="M7" s="9">
        <f>ROUND((F7-J7-K7-L7)*C7,0)</f>
        <v>29092</v>
      </c>
      <c r="N7" s="9">
        <f>ROUND((F7-J7-K7-L7-M7)*C7,0)</f>
        <v>25045</v>
      </c>
      <c r="O7" s="9">
        <f>ROUND((F7-J7-K7-L7-M7-N7)*C7,0)</f>
        <v>21561</v>
      </c>
      <c r="P7" s="9">
        <f>ROUND((F7-J7-K7-L7-M7-N7-O7)*C7,0)</f>
        <v>18562</v>
      </c>
      <c r="Q7" s="9">
        <f>ROUND((F7-J7-K7-L7-M7-N7-O7-P7)*C7,0)</f>
        <v>15980</v>
      </c>
      <c r="R7" s="9">
        <f>ROUND((F7-J7-K7-L7-M7-N7-O7-P7-Q7)*C7,0)</f>
        <v>13757</v>
      </c>
      <c r="S7" s="11">
        <f t="shared" ref="S7" si="22">SUM(G7:R7)</f>
        <v>203644</v>
      </c>
      <c r="T7" s="11">
        <f>+F7-S7</f>
        <v>85144</v>
      </c>
      <c r="U7" s="9">
        <f t="shared" si="4"/>
        <v>14439</v>
      </c>
      <c r="V7" s="52">
        <v>41729</v>
      </c>
      <c r="W7" s="55">
        <f t="shared" si="5"/>
        <v>2981</v>
      </c>
      <c r="X7" s="53">
        <f t="shared" si="0"/>
        <v>6.8328767123287673</v>
      </c>
      <c r="Y7" s="38" t="s">
        <v>138</v>
      </c>
      <c r="Z7" s="1">
        <v>1.84</v>
      </c>
      <c r="AA7" s="9">
        <f t="shared" si="6"/>
        <v>70705</v>
      </c>
      <c r="AB7">
        <v>52704</v>
      </c>
      <c r="AC7" s="10">
        <f t="shared" si="7"/>
        <v>74.540697263276996</v>
      </c>
      <c r="AE7" s="8">
        <f t="shared" ref="AE7:AE8" si="23">(T7-U7)/Z7</f>
        <v>38426.630434782608</v>
      </c>
      <c r="AF7" s="10">
        <f t="shared" ref="AF7:AF8" si="24">1-POWER((0.05*F7)/T7,1/X7)</f>
        <v>0.2287041142052556</v>
      </c>
      <c r="AG7" s="8">
        <f t="shared" si="8"/>
        <v>19473</v>
      </c>
      <c r="AH7" s="8">
        <f t="shared" si="9"/>
        <v>65671</v>
      </c>
      <c r="AI7" s="8">
        <f t="shared" si="10"/>
        <v>15019</v>
      </c>
      <c r="AJ7" s="11">
        <f t="shared" si="11"/>
        <v>50652</v>
      </c>
      <c r="AK7" s="9">
        <f t="shared" si="12"/>
        <v>11584</v>
      </c>
      <c r="AL7" s="11">
        <f t="shared" si="13"/>
        <v>39068</v>
      </c>
      <c r="AM7" s="9">
        <f t="shared" si="14"/>
        <v>8935</v>
      </c>
      <c r="AN7" s="11">
        <f t="shared" si="15"/>
        <v>30133</v>
      </c>
      <c r="AO7" s="9">
        <f t="shared" ref="AO7:AO8" si="25">ROUND(AN7*AF7,0)</f>
        <v>6892</v>
      </c>
      <c r="AP7" s="11">
        <f t="shared" ref="AP7:AP8" si="26">AN7-AO7</f>
        <v>23241</v>
      </c>
      <c r="AQ7" s="9">
        <f t="shared" ref="AQ7:AQ8" si="27">ROUND(AP7*AF7,0)</f>
        <v>5315</v>
      </c>
      <c r="AR7" s="11">
        <f t="shared" ref="AR7:AR8" si="28">AP7-AQ7</f>
        <v>17926</v>
      </c>
      <c r="AS7" s="9">
        <v>3487</v>
      </c>
      <c r="AT7" s="11">
        <f t="shared" si="18"/>
        <v>14439</v>
      </c>
      <c r="AU7" s="9">
        <v>0</v>
      </c>
      <c r="AV7" s="11">
        <f t="shared" si="19"/>
        <v>14439</v>
      </c>
      <c r="AW7" s="135">
        <v>0</v>
      </c>
      <c r="AX7" s="11">
        <f t="shared" si="20"/>
        <v>14439</v>
      </c>
      <c r="AY7" s="11">
        <f t="shared" si="21"/>
        <v>0</v>
      </c>
    </row>
    <row r="8" spans="1:52" x14ac:dyDescent="0.35">
      <c r="A8" s="1">
        <v>1</v>
      </c>
      <c r="B8" t="s">
        <v>78</v>
      </c>
      <c r="C8" s="21">
        <v>0.1391</v>
      </c>
      <c r="D8" s="1">
        <v>15</v>
      </c>
      <c r="E8" s="54">
        <v>39940</v>
      </c>
      <c r="F8" s="9">
        <v>146675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f>ROUND((F8*C8)*329/365,0)</f>
        <v>18390</v>
      </c>
      <c r="O8" s="9">
        <f>ROUND((F8-N8)*C8,0)</f>
        <v>17844</v>
      </c>
      <c r="P8" s="9">
        <f>ROUND((F8-N8-O8)*C8,0)</f>
        <v>15362</v>
      </c>
      <c r="Q8" s="9">
        <f>ROUND((F8-N8-O8-P8)*C8,0)</f>
        <v>13225</v>
      </c>
      <c r="R8" s="9">
        <f>ROUND((F8-N8-O8-P8-Q8)*C8,0)</f>
        <v>11386</v>
      </c>
      <c r="S8" s="11">
        <f t="shared" si="2"/>
        <v>76207</v>
      </c>
      <c r="T8" s="11">
        <f t="shared" si="3"/>
        <v>70468</v>
      </c>
      <c r="U8" s="9">
        <f t="shared" si="4"/>
        <v>7334</v>
      </c>
      <c r="V8" s="52">
        <v>41729</v>
      </c>
      <c r="W8" s="55">
        <f t="shared" si="5"/>
        <v>1789</v>
      </c>
      <c r="X8" s="53">
        <f t="shared" si="0"/>
        <v>10.098630136986301</v>
      </c>
      <c r="Y8" s="38" t="s">
        <v>162</v>
      </c>
      <c r="Z8" s="1">
        <v>5.0999999999999996</v>
      </c>
      <c r="AA8" s="9">
        <f t="shared" si="6"/>
        <v>63134</v>
      </c>
      <c r="AB8">
        <v>25228</v>
      </c>
      <c r="AC8" s="10">
        <f t="shared" si="7"/>
        <v>39.95945132575158</v>
      </c>
      <c r="AE8" s="8">
        <f t="shared" si="23"/>
        <v>12379.215686274511</v>
      </c>
      <c r="AF8" s="10">
        <f t="shared" si="24"/>
        <v>0.20073065895094444</v>
      </c>
      <c r="AG8" s="8">
        <f t="shared" si="8"/>
        <v>14145</v>
      </c>
      <c r="AH8" s="8">
        <f t="shared" si="9"/>
        <v>56323</v>
      </c>
      <c r="AI8" s="8">
        <f t="shared" si="10"/>
        <v>11306</v>
      </c>
      <c r="AJ8" s="11">
        <f t="shared" si="11"/>
        <v>45017</v>
      </c>
      <c r="AK8" s="9">
        <f t="shared" si="12"/>
        <v>9036</v>
      </c>
      <c r="AL8" s="11">
        <f t="shared" si="13"/>
        <v>35981</v>
      </c>
      <c r="AM8" s="9">
        <f t="shared" si="14"/>
        <v>7222</v>
      </c>
      <c r="AN8" s="11">
        <f t="shared" si="15"/>
        <v>28759</v>
      </c>
      <c r="AO8" s="9">
        <f t="shared" si="25"/>
        <v>5773</v>
      </c>
      <c r="AP8" s="11">
        <f t="shared" si="26"/>
        <v>22986</v>
      </c>
      <c r="AQ8" s="9">
        <f t="shared" si="27"/>
        <v>4614</v>
      </c>
      <c r="AR8" s="11">
        <f t="shared" si="28"/>
        <v>18372</v>
      </c>
      <c r="AS8" s="9">
        <f>ROUND(AR8*AF8,0)</f>
        <v>3688</v>
      </c>
      <c r="AT8" s="11">
        <f t="shared" si="18"/>
        <v>14684</v>
      </c>
      <c r="AU8" s="9">
        <f>ROUND(AT8*AF8,0)</f>
        <v>2948</v>
      </c>
      <c r="AV8" s="11">
        <f t="shared" si="19"/>
        <v>11736</v>
      </c>
      <c r="AW8" s="9">
        <f>ROUND(AV8*AF8,0)</f>
        <v>2356</v>
      </c>
      <c r="AX8" s="11">
        <f t="shared" ref="AX8" si="29">AV8-AW8</f>
        <v>9380</v>
      </c>
      <c r="AY8" s="11">
        <f>+AX8-U8</f>
        <v>2046</v>
      </c>
    </row>
    <row r="9" spans="1:52" x14ac:dyDescent="0.35">
      <c r="C9" s="24"/>
      <c r="E9" s="3" t="s">
        <v>38</v>
      </c>
      <c r="F9" s="13">
        <f t="shared" ref="F9:U9" si="30">SUM(F5:F8)</f>
        <v>9269604</v>
      </c>
      <c r="G9" s="13">
        <f t="shared" si="30"/>
        <v>790036</v>
      </c>
      <c r="H9" s="13">
        <f t="shared" si="30"/>
        <v>1038963</v>
      </c>
      <c r="I9" s="13">
        <f t="shared" si="30"/>
        <v>942426</v>
      </c>
      <c r="J9" s="30">
        <f t="shared" si="30"/>
        <v>981414</v>
      </c>
      <c r="K9" s="13">
        <f t="shared" si="30"/>
        <v>746979</v>
      </c>
      <c r="L9" s="13">
        <f t="shared" si="30"/>
        <v>643075</v>
      </c>
      <c r="M9" s="13">
        <f t="shared" si="30"/>
        <v>553623</v>
      </c>
      <c r="N9" s="13">
        <f t="shared" si="30"/>
        <v>495005</v>
      </c>
      <c r="O9" s="13">
        <f t="shared" si="30"/>
        <v>428161</v>
      </c>
      <c r="P9" s="13">
        <f t="shared" si="30"/>
        <v>368604</v>
      </c>
      <c r="Q9" s="13">
        <f t="shared" si="30"/>
        <v>317331</v>
      </c>
      <c r="R9" s="13">
        <f t="shared" si="30"/>
        <v>273190</v>
      </c>
      <c r="S9" s="13">
        <f t="shared" si="30"/>
        <v>7578807</v>
      </c>
      <c r="T9" s="28">
        <f t="shared" si="30"/>
        <v>1690797</v>
      </c>
      <c r="U9" s="13">
        <f t="shared" si="30"/>
        <v>463480</v>
      </c>
      <c r="V9" s="13"/>
      <c r="W9" s="13"/>
      <c r="X9" s="13"/>
      <c r="Y9" s="39"/>
      <c r="Z9" s="12"/>
      <c r="AA9" s="13">
        <f>SUM(AA5:AA8)</f>
        <v>1227317</v>
      </c>
      <c r="AB9" s="13">
        <f>SUM(AB5:AB8)</f>
        <v>186065</v>
      </c>
      <c r="AC9" s="13"/>
      <c r="AD9" s="13">
        <f t="shared" ref="AD9" si="31">SUM(AD5:AD8)</f>
        <v>985345</v>
      </c>
      <c r="AE9" s="13">
        <f>SUM(AE6:AE8)</f>
        <v>158938.84612105711</v>
      </c>
      <c r="AG9" s="57">
        <f t="shared" ref="AG9:AJ9" si="32">SUM(AG5:AG8)</f>
        <v>499305</v>
      </c>
      <c r="AH9" s="57">
        <f t="shared" si="32"/>
        <v>1191492</v>
      </c>
      <c r="AI9" s="57">
        <f t="shared" si="32"/>
        <v>350339</v>
      </c>
      <c r="AJ9" s="13">
        <f t="shared" si="32"/>
        <v>841153</v>
      </c>
      <c r="AK9" s="13">
        <f t="shared" ref="AK9:AR9" si="33">SUM(AK5:AK8)</f>
        <v>246166</v>
      </c>
      <c r="AL9" s="13">
        <f t="shared" si="33"/>
        <v>594987</v>
      </c>
      <c r="AM9" s="13">
        <f t="shared" si="33"/>
        <v>80077</v>
      </c>
      <c r="AN9" s="13">
        <f t="shared" si="33"/>
        <v>514910</v>
      </c>
      <c r="AO9" s="13">
        <f t="shared" si="33"/>
        <v>23476</v>
      </c>
      <c r="AP9" s="13">
        <f t="shared" si="33"/>
        <v>491434</v>
      </c>
      <c r="AQ9" s="13">
        <f t="shared" si="33"/>
        <v>13429</v>
      </c>
      <c r="AR9" s="13">
        <f t="shared" si="33"/>
        <v>478005</v>
      </c>
      <c r="AS9" s="13">
        <f t="shared" ref="AS9:AT9" si="34">SUM(AS5:AS8)</f>
        <v>7175</v>
      </c>
      <c r="AT9" s="13">
        <f t="shared" si="34"/>
        <v>470830</v>
      </c>
      <c r="AU9" s="13">
        <f t="shared" ref="AU9:AX9" si="35">SUM(AU5:AU8)</f>
        <v>2948</v>
      </c>
      <c r="AV9" s="13">
        <f t="shared" si="35"/>
        <v>467882</v>
      </c>
      <c r="AW9" s="13">
        <f t="shared" si="35"/>
        <v>2356</v>
      </c>
      <c r="AX9" s="28">
        <f t="shared" si="35"/>
        <v>465526</v>
      </c>
      <c r="AY9" s="11"/>
    </row>
    <row r="10" spans="1:52" x14ac:dyDescent="0.35">
      <c r="C10" s="25"/>
      <c r="F10" s="9"/>
      <c r="U10" s="11"/>
      <c r="V10" s="11"/>
      <c r="W10" s="11"/>
      <c r="X10" s="11"/>
      <c r="Y10" s="38"/>
      <c r="AI10" s="8"/>
      <c r="AJ10" s="11"/>
      <c r="AK10" s="9"/>
      <c r="AL10" s="11"/>
      <c r="AM10" s="11"/>
      <c r="AN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2" x14ac:dyDescent="0.35">
      <c r="A11" s="1">
        <v>2</v>
      </c>
      <c r="B11" t="s">
        <v>79</v>
      </c>
      <c r="C11" s="21">
        <v>0.1391</v>
      </c>
      <c r="D11" s="1">
        <v>15</v>
      </c>
      <c r="E11" s="56">
        <v>37690</v>
      </c>
      <c r="F11" s="9">
        <v>3545466</v>
      </c>
      <c r="G11" s="9">
        <f>ROUND((F11*C11)*22/365,0)</f>
        <v>29726</v>
      </c>
      <c r="H11" s="9">
        <f>ROUND((F11-G11)*C11,0)</f>
        <v>489039</v>
      </c>
      <c r="I11" s="27">
        <f>ROUND((F11-G11-H11)*C11,0)</f>
        <v>421014</v>
      </c>
      <c r="J11" s="9">
        <f>ROUND((F11-G11-H11-I11)*C11,0)</f>
        <v>362451</v>
      </c>
      <c r="K11" s="9">
        <f>ROUND((F11-G11-H11-I11-J11)*C11,0)</f>
        <v>312034</v>
      </c>
      <c r="L11" s="9">
        <f>ROUND((F11-G11-H11-I11-J11-K11)*C11,0)</f>
        <v>268630</v>
      </c>
      <c r="M11" s="9">
        <f>ROUND((F11-G11-H11-I11-J11-K11-L11)*C11,0)</f>
        <v>231264</v>
      </c>
      <c r="N11" s="9">
        <f>ROUND((F11-G11-H11-I11-J11-K11-L11-M11)*C11,0)</f>
        <v>199095</v>
      </c>
      <c r="O11" s="9">
        <f>ROUND((F11-G11-H11-I11-J11-K11-L11-M11-N11)*C11,0)</f>
        <v>171401</v>
      </c>
      <c r="P11" s="9">
        <f>ROUND((F11-G11-H11-I11-J11-K11-L11-M11-N11-O11)*C11,0)</f>
        <v>147559</v>
      </c>
      <c r="Q11" s="9">
        <f>ROUND((F11-G11-H11-I11-J11-K11-L11-M11-N11-O11-P11)*C11,0)</f>
        <v>127033</v>
      </c>
      <c r="R11" s="9">
        <f>ROUND((F11-G11-H11-I11-J11-K11-L11-M11-N11-O11-P11-Q11)*C11,0)</f>
        <v>109363</v>
      </c>
      <c r="S11" s="11">
        <f t="shared" ref="S11" si="36">SUM(G11:R11)</f>
        <v>2868609</v>
      </c>
      <c r="T11" s="11">
        <f t="shared" ref="T11:T12" si="37">+F11-S11</f>
        <v>676857</v>
      </c>
      <c r="U11" s="9">
        <f t="shared" ref="U11:U13" si="38">ROUND(F11*5%,0)</f>
        <v>177273</v>
      </c>
      <c r="V11" s="52">
        <v>41729</v>
      </c>
      <c r="W11" s="55">
        <f t="shared" ref="W11:W12" si="39">V11-E11</f>
        <v>4039</v>
      </c>
      <c r="X11" s="53">
        <f t="shared" ref="X11:X12" si="40">IF(D11*365-W11&lt;1,0,(D11*365-W11)/365)</f>
        <v>3.9342465753424656</v>
      </c>
      <c r="Y11" s="38" t="s">
        <v>106</v>
      </c>
      <c r="Z11" s="1">
        <f>+D11-12</f>
        <v>3</v>
      </c>
      <c r="AA11" s="9">
        <v>0</v>
      </c>
      <c r="AD11" s="11">
        <f>T11-U11</f>
        <v>499584</v>
      </c>
      <c r="AF11" s="10">
        <f t="shared" ref="AF11:AF12" si="41">1-POWER((0.05*F11)/T11,1/X11)</f>
        <v>0.28861376424242213</v>
      </c>
      <c r="AG11" s="8">
        <f>ROUND(T11*AF11,0)</f>
        <v>195350</v>
      </c>
      <c r="AH11" s="8">
        <f>+T11-AG11</f>
        <v>481507</v>
      </c>
      <c r="AI11" s="8">
        <f t="shared" ref="AI11:AI12" si="42">ROUND(AH11*AF11,0)</f>
        <v>138970</v>
      </c>
      <c r="AJ11" s="11">
        <f t="shared" ref="AJ11:AJ12" si="43">AH11-AI11</f>
        <v>342537</v>
      </c>
      <c r="AK11" s="9">
        <f t="shared" ref="AK11:AK12" si="44">ROUND(AJ11*AF11,0)</f>
        <v>98861</v>
      </c>
      <c r="AL11" s="11">
        <f t="shared" ref="AL11:AL12" si="45">AJ11-AK11</f>
        <v>243676</v>
      </c>
      <c r="AM11" s="9">
        <f>+AL11-U11</f>
        <v>66403</v>
      </c>
      <c r="AN11" s="11">
        <f t="shared" ref="AN11" si="46">AL11-AM11</f>
        <v>177273</v>
      </c>
      <c r="AO11" s="135">
        <v>0</v>
      </c>
      <c r="AP11" s="11">
        <f>+AN11-AO11</f>
        <v>177273</v>
      </c>
      <c r="AQ11" s="135">
        <v>0</v>
      </c>
      <c r="AR11" s="11">
        <f>+AP11-AQ11</f>
        <v>177273</v>
      </c>
      <c r="AS11" s="135">
        <v>0</v>
      </c>
      <c r="AT11" s="11">
        <f>+AR11-AS11</f>
        <v>177273</v>
      </c>
      <c r="AU11" s="135">
        <v>0</v>
      </c>
      <c r="AV11" s="11">
        <f>+AT11-AU11</f>
        <v>177273</v>
      </c>
      <c r="AW11" s="135">
        <v>0</v>
      </c>
      <c r="AX11" s="11">
        <f t="shared" ref="AX11:AX12" si="47">+AV11-AW11</f>
        <v>177273</v>
      </c>
      <c r="AY11" s="11">
        <f t="shared" ref="AY11:AY12" si="48">+AV11-U11</f>
        <v>0</v>
      </c>
    </row>
    <row r="12" spans="1:52" x14ac:dyDescent="0.35">
      <c r="A12" s="1">
        <v>2</v>
      </c>
      <c r="B12" t="s">
        <v>79</v>
      </c>
      <c r="C12" s="21">
        <v>0.1391</v>
      </c>
      <c r="D12" s="1">
        <v>15</v>
      </c>
      <c r="E12" s="56">
        <v>38313</v>
      </c>
      <c r="F12" s="9">
        <v>4627465</v>
      </c>
      <c r="G12" s="9">
        <v>0</v>
      </c>
      <c r="H12" s="9">
        <v>0</v>
      </c>
      <c r="I12" s="9">
        <f>ROUND((F12*C12)*130/365,0)</f>
        <v>229256</v>
      </c>
      <c r="J12" s="9">
        <f>ROUND((F12-I12)*C12,0)</f>
        <v>611791</v>
      </c>
      <c r="K12" s="9">
        <f>ROUND((F12-I12-J12)*C12,0)</f>
        <v>526691</v>
      </c>
      <c r="L12" s="9">
        <f>ROUND((F12-I12-J12-K12)*C12,0)</f>
        <v>453428</v>
      </c>
      <c r="M12" s="9">
        <f>ROUND((F12-I12-J12-K12-L12)*C12,0)</f>
        <v>390356</v>
      </c>
      <c r="N12" s="9">
        <f>ROUND((F12-I12-J12-K12-L12-M12)*C12,0)</f>
        <v>336058</v>
      </c>
      <c r="O12" s="9">
        <f>ROUND((F12-I12-J12-K12-L12-M12-N12)*C12,0)</f>
        <v>289312</v>
      </c>
      <c r="P12" s="9">
        <f>ROUND((F12-I12-J12-K12-L12-M12-N12-O12)*C12,0)</f>
        <v>249069</v>
      </c>
      <c r="Q12" s="9">
        <f>ROUND((F12-I12-J12-K12-L12-M12-N12-O12-P12)*C12,0)</f>
        <v>214423</v>
      </c>
      <c r="R12" s="9">
        <f>ROUND((F12-I12-J12-K12-L12-M12-N12-O12-P12-Q12)*C12,0)</f>
        <v>184597</v>
      </c>
      <c r="S12" s="11">
        <f>SUM(G12:R12)+1</f>
        <v>3484982</v>
      </c>
      <c r="T12" s="11">
        <f t="shared" si="37"/>
        <v>1142483</v>
      </c>
      <c r="U12" s="9">
        <f t="shared" si="38"/>
        <v>231373</v>
      </c>
      <c r="V12" s="52">
        <v>41729</v>
      </c>
      <c r="W12" s="55">
        <f t="shared" si="39"/>
        <v>3416</v>
      </c>
      <c r="X12" s="53">
        <f t="shared" si="40"/>
        <v>5.6410958904109592</v>
      </c>
      <c r="Y12" s="38" t="s">
        <v>127</v>
      </c>
      <c r="Z12" s="1">
        <v>1</v>
      </c>
      <c r="AA12" s="9">
        <f t="shared" ref="AA12" si="49">T12-U12</f>
        <v>911110</v>
      </c>
      <c r="AB12" s="11">
        <f>AA12</f>
        <v>911110</v>
      </c>
      <c r="AE12">
        <f>(T12-U12)/Z12</f>
        <v>911110</v>
      </c>
      <c r="AF12" s="10">
        <f t="shared" si="41"/>
        <v>0.24654658336878787</v>
      </c>
      <c r="AG12" s="8">
        <f>ROUND(T12*AF12,0)</f>
        <v>281675</v>
      </c>
      <c r="AH12" s="8">
        <f>+T12-AG12</f>
        <v>860808</v>
      </c>
      <c r="AI12" s="8">
        <f t="shared" si="42"/>
        <v>212229</v>
      </c>
      <c r="AJ12" s="11">
        <f t="shared" si="43"/>
        <v>648579</v>
      </c>
      <c r="AK12" s="9">
        <f t="shared" si="44"/>
        <v>159905</v>
      </c>
      <c r="AL12" s="11">
        <f t="shared" si="45"/>
        <v>488674</v>
      </c>
      <c r="AM12" s="9">
        <f t="shared" ref="AM12" si="50">ROUND(AL12*AF12,0)</f>
        <v>120481</v>
      </c>
      <c r="AN12" s="11">
        <f>AL12-AM12</f>
        <v>368193</v>
      </c>
      <c r="AO12" s="9">
        <f t="shared" ref="AO12:AO13" si="51">ROUND(AN12*AF12,0)</f>
        <v>90777</v>
      </c>
      <c r="AP12" s="11">
        <f t="shared" ref="AP12:AP13" si="52">AN12-AO12</f>
        <v>277416</v>
      </c>
      <c r="AQ12" s="9">
        <f>+AP12-U12</f>
        <v>46043</v>
      </c>
      <c r="AR12" s="11">
        <f t="shared" ref="AR12:AR13" si="53">AP12-AQ12</f>
        <v>231373</v>
      </c>
      <c r="AS12" s="9">
        <v>0</v>
      </c>
      <c r="AT12" s="11">
        <f t="shared" ref="AT12:AT13" si="54">AR12-AS12</f>
        <v>231373</v>
      </c>
      <c r="AU12" s="9">
        <v>0</v>
      </c>
      <c r="AV12" s="11">
        <f t="shared" ref="AV12:AV13" si="55">AT12-AU12</f>
        <v>231373</v>
      </c>
      <c r="AW12" s="135">
        <v>0</v>
      </c>
      <c r="AX12" s="11">
        <f t="shared" si="47"/>
        <v>231373</v>
      </c>
      <c r="AY12" s="11">
        <f t="shared" si="48"/>
        <v>0</v>
      </c>
    </row>
    <row r="13" spans="1:52" x14ac:dyDescent="0.35">
      <c r="A13" s="1">
        <v>2</v>
      </c>
      <c r="B13" t="s">
        <v>79</v>
      </c>
      <c r="C13" s="21">
        <v>0.1391</v>
      </c>
      <c r="D13" s="1">
        <v>15</v>
      </c>
      <c r="E13" s="56">
        <v>42998</v>
      </c>
      <c r="F13" s="9">
        <v>311965.26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1"/>
      <c r="T13" s="11"/>
      <c r="U13" s="9">
        <f t="shared" si="38"/>
        <v>15598</v>
      </c>
      <c r="V13" s="52"/>
      <c r="W13" s="55"/>
      <c r="X13" s="53"/>
      <c r="Y13" s="38"/>
      <c r="Z13" s="1"/>
      <c r="AA13" s="9"/>
      <c r="AB13" s="11"/>
      <c r="AF13" s="10">
        <f>1-POWER((0.05*F13)/F13,1/D13)</f>
        <v>0.18103627252208465</v>
      </c>
      <c r="AI13" s="8"/>
      <c r="AJ13" s="11">
        <v>0</v>
      </c>
      <c r="AK13" s="9">
        <v>0</v>
      </c>
      <c r="AL13" s="11">
        <v>0</v>
      </c>
      <c r="AM13" s="9">
        <f>ROUND((F13*AF13)/365*192,0)</f>
        <v>29708</v>
      </c>
      <c r="AN13" s="11">
        <f>+F13-AM13</f>
        <v>282257.26</v>
      </c>
      <c r="AO13" s="9">
        <f t="shared" si="51"/>
        <v>51099</v>
      </c>
      <c r="AP13" s="11">
        <f t="shared" si="52"/>
        <v>231158.26</v>
      </c>
      <c r="AQ13" s="9">
        <f t="shared" ref="AQ13" si="56">ROUND(AP13*AF13,0)</f>
        <v>41848</v>
      </c>
      <c r="AR13" s="11">
        <f t="shared" si="53"/>
        <v>189310.26</v>
      </c>
      <c r="AS13" s="9">
        <f>ROUND(AR13*AF13,0)</f>
        <v>34272</v>
      </c>
      <c r="AT13" s="11">
        <f t="shared" si="54"/>
        <v>155038.26</v>
      </c>
      <c r="AU13" s="9">
        <f>ROUND(AT13*AF13,0)</f>
        <v>28068</v>
      </c>
      <c r="AV13" s="11">
        <f t="shared" si="55"/>
        <v>126970.26000000001</v>
      </c>
      <c r="AW13" s="9">
        <f>ROUND(AV13*AF13,0)</f>
        <v>22986</v>
      </c>
      <c r="AX13" s="11">
        <f>AV13-AW13</f>
        <v>103984.26000000001</v>
      </c>
      <c r="AY13" s="11">
        <f>+AX13-U13</f>
        <v>88386.260000000009</v>
      </c>
    </row>
    <row r="14" spans="1:52" x14ac:dyDescent="0.35">
      <c r="C14" s="24"/>
      <c r="E14" s="3" t="s">
        <v>38</v>
      </c>
      <c r="F14" s="13">
        <f>SUM(F11:F13)</f>
        <v>8484896.2599999998</v>
      </c>
      <c r="G14" s="13">
        <f t="shared" ref="G14:T14" si="57">SUM(G11:G12)</f>
        <v>29726</v>
      </c>
      <c r="H14" s="13">
        <f t="shared" si="57"/>
        <v>489039</v>
      </c>
      <c r="I14" s="13">
        <f t="shared" si="57"/>
        <v>650270</v>
      </c>
      <c r="J14" s="13">
        <f t="shared" si="57"/>
        <v>974242</v>
      </c>
      <c r="K14" s="13">
        <f t="shared" si="57"/>
        <v>838725</v>
      </c>
      <c r="L14" s="13">
        <f t="shared" si="57"/>
        <v>722058</v>
      </c>
      <c r="M14" s="13">
        <f t="shared" si="57"/>
        <v>621620</v>
      </c>
      <c r="N14" s="13">
        <f t="shared" si="57"/>
        <v>535153</v>
      </c>
      <c r="O14" s="13">
        <f t="shared" si="57"/>
        <v>460713</v>
      </c>
      <c r="P14" s="13">
        <f t="shared" si="57"/>
        <v>396628</v>
      </c>
      <c r="Q14" s="13">
        <f t="shared" si="57"/>
        <v>341456</v>
      </c>
      <c r="R14" s="13">
        <f t="shared" si="57"/>
        <v>293960</v>
      </c>
      <c r="S14" s="13">
        <f t="shared" si="57"/>
        <v>6353591</v>
      </c>
      <c r="T14" s="28">
        <f t="shared" si="57"/>
        <v>1819340</v>
      </c>
      <c r="U14" s="13">
        <f>SUM(U11:U13)</f>
        <v>424244</v>
      </c>
      <c r="V14" s="13"/>
      <c r="W14" s="13"/>
      <c r="X14" s="13"/>
      <c r="Y14" s="39"/>
      <c r="Z14" s="12"/>
      <c r="AA14" s="13">
        <f>SUM(AA11:AA12)</f>
        <v>911110</v>
      </c>
      <c r="AB14" s="13">
        <f>SUM(AB11:AB12)</f>
        <v>911110</v>
      </c>
      <c r="AC14" s="13">
        <f t="shared" ref="AC14:AE14" si="58">SUM(AC11:AC12)</f>
        <v>0</v>
      </c>
      <c r="AD14" s="13">
        <f t="shared" si="58"/>
        <v>499584</v>
      </c>
      <c r="AE14" s="13">
        <f t="shared" si="58"/>
        <v>911110</v>
      </c>
      <c r="AG14" s="57">
        <f t="shared" ref="AG14:AJ14" si="59">SUM(AG11:AG12)</f>
        <v>477025</v>
      </c>
      <c r="AH14" s="57">
        <f t="shared" si="59"/>
        <v>1342315</v>
      </c>
      <c r="AI14" s="57">
        <f t="shared" si="59"/>
        <v>351199</v>
      </c>
      <c r="AJ14" s="13">
        <f t="shared" si="59"/>
        <v>991116</v>
      </c>
      <c r="AK14" s="13">
        <f t="shared" ref="AK14:AM14" si="60">SUM(AK11:AK13)</f>
        <v>258766</v>
      </c>
      <c r="AL14" s="13">
        <f t="shared" si="60"/>
        <v>732350</v>
      </c>
      <c r="AM14" s="13">
        <f t="shared" si="60"/>
        <v>216592</v>
      </c>
      <c r="AN14" s="13">
        <f>SUM(AN11:AN13)</f>
        <v>827723.26</v>
      </c>
      <c r="AO14" s="13">
        <f t="shared" ref="AO14:AR14" si="61">SUM(AO11:AO13)</f>
        <v>141876</v>
      </c>
      <c r="AP14" s="13">
        <f t="shared" si="61"/>
        <v>685847.26</v>
      </c>
      <c r="AQ14" s="13">
        <f t="shared" si="61"/>
        <v>87891</v>
      </c>
      <c r="AR14" s="13">
        <f t="shared" si="61"/>
        <v>597956.26</v>
      </c>
      <c r="AS14" s="13">
        <f t="shared" ref="AS14:AT14" si="62">SUM(AS11:AS13)</f>
        <v>34272</v>
      </c>
      <c r="AT14" s="13">
        <f t="shared" si="62"/>
        <v>563684.26</v>
      </c>
      <c r="AU14" s="13">
        <f t="shared" ref="AU14:AX14" si="63">SUM(AU11:AU13)</f>
        <v>28068</v>
      </c>
      <c r="AV14" s="13">
        <f t="shared" si="63"/>
        <v>535616.26</v>
      </c>
      <c r="AW14" s="13">
        <f t="shared" si="63"/>
        <v>22986</v>
      </c>
      <c r="AX14" s="28">
        <f t="shared" si="63"/>
        <v>512630.26</v>
      </c>
    </row>
    <row r="15" spans="1:52" x14ac:dyDescent="0.35">
      <c r="C15" s="26"/>
      <c r="E15" s="1"/>
      <c r="F15" s="9"/>
      <c r="U15" s="11"/>
      <c r="V15" s="11"/>
      <c r="W15" s="11"/>
      <c r="X15" s="11"/>
      <c r="Y15" s="38"/>
      <c r="AJ15" s="11"/>
      <c r="AK15" s="11"/>
      <c r="AL15" s="11"/>
      <c r="AM15" s="11"/>
      <c r="AN15" s="11"/>
    </row>
    <row r="16" spans="1:52" ht="16" thickBot="1" x14ac:dyDescent="0.4">
      <c r="B16" s="6" t="s">
        <v>78</v>
      </c>
      <c r="C16" s="24"/>
      <c r="E16" s="3" t="s">
        <v>39</v>
      </c>
      <c r="F16" s="16">
        <f t="shared" ref="F16:U16" si="64">+F9+F14</f>
        <v>17754500.259999998</v>
      </c>
      <c r="G16" s="16">
        <f t="shared" si="64"/>
        <v>819762</v>
      </c>
      <c r="H16" s="16">
        <f t="shared" si="64"/>
        <v>1528002</v>
      </c>
      <c r="I16" s="16">
        <f t="shared" si="64"/>
        <v>1592696</v>
      </c>
      <c r="J16" s="16">
        <f t="shared" si="64"/>
        <v>1955656</v>
      </c>
      <c r="K16" s="16">
        <f t="shared" si="64"/>
        <v>1585704</v>
      </c>
      <c r="L16" s="16">
        <f t="shared" si="64"/>
        <v>1365133</v>
      </c>
      <c r="M16" s="16">
        <f t="shared" si="64"/>
        <v>1175243</v>
      </c>
      <c r="N16" s="16">
        <f t="shared" si="64"/>
        <v>1030158</v>
      </c>
      <c r="O16" s="16">
        <f t="shared" si="64"/>
        <v>888874</v>
      </c>
      <c r="P16" s="16">
        <f t="shared" si="64"/>
        <v>765232</v>
      </c>
      <c r="Q16" s="16">
        <f t="shared" si="64"/>
        <v>658787</v>
      </c>
      <c r="R16" s="16">
        <f t="shared" si="64"/>
        <v>567150</v>
      </c>
      <c r="S16" s="16">
        <f t="shared" si="64"/>
        <v>13932398</v>
      </c>
      <c r="T16" s="29">
        <f t="shared" si="64"/>
        <v>3510137</v>
      </c>
      <c r="U16" s="16">
        <f t="shared" si="64"/>
        <v>887724</v>
      </c>
      <c r="V16" s="16"/>
      <c r="W16" s="16"/>
      <c r="X16" s="16"/>
      <c r="Y16" s="40"/>
      <c r="Z16" s="15"/>
      <c r="AA16" s="19">
        <f>+AA9+AA14</f>
        <v>2138427</v>
      </c>
      <c r="AB16" s="19">
        <f>+AB9+AB14</f>
        <v>1097175</v>
      </c>
      <c r="AC16" s="19">
        <f t="shared" ref="AC16:AE16" si="65">+AC9+AC14</f>
        <v>0</v>
      </c>
      <c r="AD16" s="19">
        <f t="shared" si="65"/>
        <v>1484929</v>
      </c>
      <c r="AE16" s="19">
        <f t="shared" si="65"/>
        <v>1070048.8461210572</v>
      </c>
      <c r="AG16" s="58">
        <f t="shared" ref="AG16:AJ16" si="66">+AG9+AG14</f>
        <v>976330</v>
      </c>
      <c r="AH16" s="58">
        <f t="shared" si="66"/>
        <v>2533807</v>
      </c>
      <c r="AI16" s="58">
        <f t="shared" si="66"/>
        <v>701538</v>
      </c>
      <c r="AJ16" s="16">
        <f t="shared" si="66"/>
        <v>1832269</v>
      </c>
      <c r="AK16" s="16">
        <f>+AK9+AK14</f>
        <v>504932</v>
      </c>
      <c r="AL16" s="16">
        <f>+AL9+AL14</f>
        <v>1327337</v>
      </c>
      <c r="AM16" s="16">
        <f t="shared" ref="AM16:AR16" si="67">+AM9+AM14</f>
        <v>296669</v>
      </c>
      <c r="AN16" s="16">
        <f t="shared" si="67"/>
        <v>1342633.26</v>
      </c>
      <c r="AO16" s="16">
        <f t="shared" si="67"/>
        <v>165352</v>
      </c>
      <c r="AP16" s="16">
        <f t="shared" si="67"/>
        <v>1177281.26</v>
      </c>
      <c r="AQ16" s="16">
        <f t="shared" si="67"/>
        <v>101320</v>
      </c>
      <c r="AR16" s="16">
        <f t="shared" si="67"/>
        <v>1075961.26</v>
      </c>
      <c r="AS16" s="16">
        <f t="shared" ref="AS16:AT16" si="68">+AS9+AS14</f>
        <v>41447</v>
      </c>
      <c r="AT16" s="16">
        <f t="shared" si="68"/>
        <v>1034514.26</v>
      </c>
      <c r="AU16" s="16">
        <f t="shared" ref="AU16:AX16" si="69">+AU9+AU14</f>
        <v>31016</v>
      </c>
      <c r="AV16" s="16">
        <f t="shared" si="69"/>
        <v>1003498.26</v>
      </c>
      <c r="AW16" s="16">
        <f t="shared" si="69"/>
        <v>25342</v>
      </c>
      <c r="AX16" s="16">
        <f t="shared" si="69"/>
        <v>978156.26</v>
      </c>
      <c r="AZ16" s="132"/>
    </row>
    <row r="17" spans="1:28" ht="16" thickTop="1" x14ac:dyDescent="0.35">
      <c r="F17" s="9"/>
      <c r="U17" s="11"/>
      <c r="V17" s="11"/>
      <c r="W17" s="11"/>
      <c r="X17" s="11"/>
      <c r="Y17" s="33"/>
    </row>
    <row r="18" spans="1:28" x14ac:dyDescent="0.35">
      <c r="A18" s="1">
        <v>1</v>
      </c>
      <c r="B18" t="s">
        <v>78</v>
      </c>
      <c r="C18" s="21">
        <v>0.1391</v>
      </c>
      <c r="D18" s="1">
        <v>15</v>
      </c>
      <c r="E18" s="1" t="s">
        <v>27</v>
      </c>
      <c r="F18" s="49">
        <v>705160</v>
      </c>
      <c r="G18" s="49">
        <f>ROUND((F18*C18)*251/365,0)</f>
        <v>67452</v>
      </c>
      <c r="H18" s="49">
        <f>ROUND((F18-G18)*C18,0)</f>
        <v>88705</v>
      </c>
      <c r="I18" s="49">
        <f>ROUND((F18-G18-H18)*C18,0)</f>
        <v>76366</v>
      </c>
      <c r="J18" s="49">
        <f>ROUND(((F18-G18-H18-I18)*C18)*40/365,0)</f>
        <v>7205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50">
        <f>SUM(G18:R18)</f>
        <v>239728</v>
      </c>
      <c r="T18" s="50">
        <f>+F18-S18</f>
        <v>465432</v>
      </c>
      <c r="U18" s="9">
        <v>0</v>
      </c>
      <c r="V18" s="9"/>
      <c r="W18" s="9"/>
      <c r="X18" s="53"/>
      <c r="Y18" s="38" t="s">
        <v>120</v>
      </c>
      <c r="Z18" s="1"/>
      <c r="AA18" s="9">
        <v>0</v>
      </c>
      <c r="AB18">
        <v>0</v>
      </c>
    </row>
    <row r="19" spans="1:28" x14ac:dyDescent="0.35">
      <c r="F19" s="9"/>
      <c r="U19" s="11"/>
      <c r="V19" s="11"/>
      <c r="W19" s="11"/>
      <c r="X19" s="11"/>
      <c r="Y19" s="11"/>
    </row>
    <row r="20" spans="1:28" x14ac:dyDescent="0.35">
      <c r="E20" s="117"/>
      <c r="F20" s="38"/>
      <c r="H20" s="11"/>
      <c r="I20" s="46"/>
      <c r="J20" s="10"/>
      <c r="T20" s="11"/>
      <c r="V20" s="46"/>
      <c r="W20" s="46"/>
      <c r="X20" s="46"/>
      <c r="Y20" s="10"/>
    </row>
    <row r="21" spans="1:28" x14ac:dyDescent="0.35">
      <c r="F21" s="38"/>
      <c r="G21">
        <v>365</v>
      </c>
      <c r="H21" s="11">
        <f t="shared" ref="H21:H22" si="70">G21-F21</f>
        <v>365</v>
      </c>
      <c r="I21" s="46"/>
      <c r="J21" s="10">
        <f t="shared" ref="J21:J22" si="71">H21/G21</f>
        <v>1</v>
      </c>
      <c r="U21" s="11"/>
      <c r="V21" s="11"/>
      <c r="W21" s="11"/>
      <c r="X21" s="11"/>
      <c r="Y21" s="11"/>
    </row>
    <row r="22" spans="1:28" x14ac:dyDescent="0.35">
      <c r="F22" s="38"/>
      <c r="G22">
        <v>365</v>
      </c>
      <c r="H22" s="11">
        <f t="shared" si="70"/>
        <v>365</v>
      </c>
      <c r="I22" s="46"/>
      <c r="J22" s="10">
        <f t="shared" si="71"/>
        <v>1</v>
      </c>
      <c r="U22" s="11"/>
      <c r="V22" s="11"/>
      <c r="W22" s="11"/>
      <c r="X22" s="11"/>
      <c r="Y22" s="11"/>
    </row>
    <row r="23" spans="1:28" x14ac:dyDescent="0.35">
      <c r="F23" s="9"/>
      <c r="I23" s="11"/>
      <c r="U23" s="11"/>
      <c r="V23" s="11"/>
      <c r="W23" s="11"/>
      <c r="X23" s="11"/>
      <c r="Y23" s="11"/>
    </row>
    <row r="24" spans="1:28" x14ac:dyDescent="0.35">
      <c r="F24" s="9"/>
      <c r="U24" s="11"/>
      <c r="V24" s="11"/>
      <c r="W24" s="11"/>
      <c r="X24" s="11"/>
      <c r="Y24" s="11"/>
    </row>
    <row r="25" spans="1:28" x14ac:dyDescent="0.35">
      <c r="F25" s="9"/>
      <c r="U25" s="11"/>
      <c r="V25" s="11"/>
      <c r="W25" s="11"/>
      <c r="X25" s="11"/>
      <c r="Y25" s="11"/>
    </row>
    <row r="26" spans="1:28" x14ac:dyDescent="0.35">
      <c r="U26" s="11"/>
      <c r="V26" s="11"/>
      <c r="W26" s="11"/>
      <c r="X26" s="11"/>
      <c r="Y26" s="11"/>
    </row>
  </sheetData>
  <mergeCells count="1">
    <mergeCell ref="G3:R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18"/>
  <sheetViews>
    <sheetView workbookViewId="0">
      <selection activeCell="AW9" sqref="AW9"/>
    </sheetView>
  </sheetViews>
  <sheetFormatPr defaultRowHeight="15.5" x14ac:dyDescent="0.35"/>
  <cols>
    <col min="1" max="1" width="3.33203125" customWidth="1"/>
    <col min="2" max="2" width="9.5" bestFit="1" customWidth="1"/>
    <col min="3" max="3" width="7" hidden="1" customWidth="1"/>
    <col min="4" max="4" width="9.5" customWidth="1"/>
    <col min="5" max="5" width="9.83203125" bestFit="1" customWidth="1"/>
    <col min="6" max="6" width="10.08203125" bestFit="1" customWidth="1"/>
    <col min="7" max="18" width="8.58203125" hidden="1" customWidth="1"/>
    <col min="19" max="19" width="11.33203125" hidden="1" customWidth="1"/>
    <col min="20" max="20" width="10.33203125" bestFit="1" customWidth="1"/>
    <col min="21" max="21" width="9" customWidth="1"/>
    <col min="22" max="22" width="10" hidden="1" customWidth="1"/>
    <col min="23" max="24" width="9" hidden="1" customWidth="1"/>
    <col min="25" max="25" width="6.5" hidden="1" customWidth="1"/>
    <col min="26" max="26" width="9.08203125" hidden="1" customWidth="1"/>
    <col min="27" max="27" width="13" hidden="1" customWidth="1"/>
    <col min="28" max="28" width="11.58203125" hidden="1" customWidth="1"/>
    <col min="29" max="30" width="0" hidden="1" customWidth="1"/>
    <col min="31" max="31" width="7.08203125" customWidth="1"/>
    <col min="32" max="32" width="11.75" style="8" hidden="1" customWidth="1"/>
    <col min="33" max="33" width="11.08203125" style="8" hidden="1" customWidth="1"/>
    <col min="34" max="34" width="11.58203125" hidden="1" customWidth="1"/>
    <col min="35" max="35" width="11.08203125" hidden="1" customWidth="1"/>
    <col min="36" max="36" width="11.58203125" hidden="1" customWidth="1"/>
    <col min="37" max="37" width="11.08203125" hidden="1" customWidth="1"/>
    <col min="38" max="38" width="11.33203125" hidden="1" customWidth="1"/>
    <col min="39" max="39" width="9.08203125" bestFit="1" customWidth="1"/>
    <col min="40" max="40" width="10.75" hidden="1" customWidth="1"/>
    <col min="41" max="41" width="10.75" bestFit="1" customWidth="1"/>
    <col min="42" max="42" width="10.58203125" customWidth="1"/>
    <col min="43" max="49" width="10.75" customWidth="1"/>
  </cols>
  <sheetData>
    <row r="1" spans="1:51" x14ac:dyDescent="0.35">
      <c r="A1" s="194" t="s">
        <v>75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</row>
    <row r="3" spans="1:51" x14ac:dyDescent="0.35">
      <c r="A3" s="2" t="s">
        <v>14</v>
      </c>
      <c r="B3" s="2" t="s">
        <v>17</v>
      </c>
      <c r="C3" s="36" t="s">
        <v>34</v>
      </c>
      <c r="D3" s="36" t="s">
        <v>19</v>
      </c>
      <c r="E3" s="2" t="s">
        <v>20</v>
      </c>
      <c r="F3" s="2" t="s">
        <v>23</v>
      </c>
      <c r="G3" s="193" t="s">
        <v>22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2" t="s">
        <v>13</v>
      </c>
      <c r="T3" s="2" t="s">
        <v>36</v>
      </c>
      <c r="U3" s="2" t="s">
        <v>24</v>
      </c>
      <c r="V3" s="2"/>
      <c r="W3" s="2" t="s">
        <v>191</v>
      </c>
      <c r="X3" s="2" t="s">
        <v>104</v>
      </c>
      <c r="Y3" s="2" t="s">
        <v>52</v>
      </c>
      <c r="Z3" s="2" t="s">
        <v>52</v>
      </c>
      <c r="AA3" s="2" t="s">
        <v>54</v>
      </c>
      <c r="AB3" s="48" t="s">
        <v>22</v>
      </c>
      <c r="AC3" s="48" t="s">
        <v>170</v>
      </c>
      <c r="AD3" s="51" t="s">
        <v>184</v>
      </c>
      <c r="AE3" s="74" t="s">
        <v>35</v>
      </c>
      <c r="AF3" s="60" t="s">
        <v>22</v>
      </c>
      <c r="AG3" s="59" t="s">
        <v>36</v>
      </c>
      <c r="AH3" s="2" t="s">
        <v>201</v>
      </c>
      <c r="AI3" s="60" t="s">
        <v>36</v>
      </c>
      <c r="AJ3" s="2" t="s">
        <v>200</v>
      </c>
      <c r="AK3" s="60" t="s">
        <v>36</v>
      </c>
      <c r="AL3" s="2" t="s">
        <v>211</v>
      </c>
      <c r="AM3" s="60" t="s">
        <v>36</v>
      </c>
      <c r="AN3" s="2" t="s">
        <v>219</v>
      </c>
      <c r="AO3" s="60" t="s">
        <v>36</v>
      </c>
      <c r="AP3" s="2" t="s">
        <v>226</v>
      </c>
      <c r="AQ3" s="60" t="s">
        <v>36</v>
      </c>
      <c r="AR3" s="2" t="s">
        <v>230</v>
      </c>
      <c r="AS3" s="60" t="s">
        <v>36</v>
      </c>
      <c r="AT3" s="2" t="s">
        <v>235</v>
      </c>
      <c r="AU3" s="60" t="s">
        <v>36</v>
      </c>
      <c r="AV3" s="2" t="s">
        <v>240</v>
      </c>
      <c r="AW3" s="60" t="s">
        <v>36</v>
      </c>
    </row>
    <row r="4" spans="1:51" x14ac:dyDescent="0.35">
      <c r="A4" s="4" t="s">
        <v>16</v>
      </c>
      <c r="B4" s="4" t="s">
        <v>18</v>
      </c>
      <c r="C4" s="37" t="s">
        <v>35</v>
      </c>
      <c r="D4" s="37" t="s">
        <v>28</v>
      </c>
      <c r="E4" s="4" t="s">
        <v>21</v>
      </c>
      <c r="F4" s="4" t="s">
        <v>15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5" t="s">
        <v>10</v>
      </c>
      <c r="Q4" s="5" t="s">
        <v>11</v>
      </c>
      <c r="R4" s="5" t="s">
        <v>12</v>
      </c>
      <c r="S4" s="4" t="s">
        <v>22</v>
      </c>
      <c r="T4" s="4" t="s">
        <v>37</v>
      </c>
      <c r="U4" s="4" t="s">
        <v>25</v>
      </c>
      <c r="V4" s="4"/>
      <c r="W4" s="4" t="s">
        <v>192</v>
      </c>
      <c r="X4" s="4" t="s">
        <v>193</v>
      </c>
      <c r="Y4" s="4" t="s">
        <v>104</v>
      </c>
      <c r="Z4" s="4" t="s">
        <v>53</v>
      </c>
      <c r="AA4" s="4" t="s">
        <v>55</v>
      </c>
      <c r="AB4" s="48" t="s">
        <v>169</v>
      </c>
      <c r="AC4" s="48" t="s">
        <v>171</v>
      </c>
      <c r="AE4" s="75" t="s">
        <v>194</v>
      </c>
      <c r="AF4" s="62" t="s">
        <v>195</v>
      </c>
      <c r="AG4" s="61" t="s">
        <v>189</v>
      </c>
      <c r="AH4" s="4" t="s">
        <v>22</v>
      </c>
      <c r="AI4" s="62" t="s">
        <v>197</v>
      </c>
      <c r="AJ4" s="4" t="s">
        <v>22</v>
      </c>
      <c r="AK4" s="62" t="s">
        <v>199</v>
      </c>
      <c r="AL4" s="4" t="s">
        <v>22</v>
      </c>
      <c r="AM4" s="62" t="s">
        <v>212</v>
      </c>
      <c r="AN4" s="4" t="s">
        <v>22</v>
      </c>
      <c r="AO4" s="62" t="s">
        <v>220</v>
      </c>
      <c r="AP4" s="4" t="s">
        <v>22</v>
      </c>
      <c r="AQ4" s="62" t="s">
        <v>227</v>
      </c>
      <c r="AR4" s="4" t="s">
        <v>22</v>
      </c>
      <c r="AS4" s="62" t="s">
        <v>231</v>
      </c>
      <c r="AT4" s="4" t="s">
        <v>22</v>
      </c>
      <c r="AU4" s="62" t="s">
        <v>234</v>
      </c>
      <c r="AV4" s="4" t="s">
        <v>22</v>
      </c>
      <c r="AW4" s="62" t="s">
        <v>239</v>
      </c>
      <c r="AX4" s="48" t="s">
        <v>223</v>
      </c>
    </row>
    <row r="5" spans="1:51" x14ac:dyDescent="0.35">
      <c r="A5" s="1">
        <v>1</v>
      </c>
      <c r="B5" t="s">
        <v>76</v>
      </c>
      <c r="C5" s="21">
        <v>0.1391</v>
      </c>
      <c r="D5" s="1">
        <v>15</v>
      </c>
      <c r="E5" s="54">
        <v>37461</v>
      </c>
      <c r="F5" s="9">
        <v>2558574</v>
      </c>
      <c r="G5" s="9">
        <f>ROUND((F5*C5)*251/365,0)</f>
        <v>244741</v>
      </c>
      <c r="H5" s="9">
        <f>ROUND((F5-G5)*C5,0)</f>
        <v>321854</v>
      </c>
      <c r="I5" s="9">
        <f>ROUND((F5-G5-H5)*C5,0)</f>
        <v>277084</v>
      </c>
      <c r="J5" s="9">
        <f>ROUND((F5-G5-H5-I5)*C5,0)</f>
        <v>238542</v>
      </c>
      <c r="K5" s="9">
        <f>ROUND((F5-G5-H5-I5-J5)*C5,0)</f>
        <v>205361</v>
      </c>
      <c r="L5" s="9">
        <f>ROUND((F5-G5-H5-I5-J5-K5)*C5,0)</f>
        <v>176795</v>
      </c>
      <c r="M5" s="9">
        <f>ROUND((F5-G5-H5-I5-J5-K5-L5)*C5,0)</f>
        <v>152203</v>
      </c>
      <c r="N5" s="9">
        <f>ROUND((F5-G5-H5-I5-J5-K5-L5-M5)*C5,0)</f>
        <v>131031</v>
      </c>
      <c r="O5" s="9">
        <f>ROUND((F5-G5-H5-I5-J5-K5-L5-M5-N5)*C5,0)</f>
        <v>112805</v>
      </c>
      <c r="P5" s="9">
        <f>ROUND((F5-G5-H5-I5-J5-K5-L5-M5-N5-O5)*C5,0)</f>
        <v>97114</v>
      </c>
      <c r="Q5" s="9">
        <f>ROUND((F5-G5-H5-I5-J5-K5-L5-M5-N5-O5-P5)*C5,0)</f>
        <v>83605</v>
      </c>
      <c r="R5" s="9">
        <f>ROUND((F5-G5-H5-I5-J5-K5-L5-M5-N5-O5-P5-Q5)*C5,0)</f>
        <v>71976</v>
      </c>
      <c r="S5" s="11">
        <f>SUM(G5:R5)-1</f>
        <v>2113110</v>
      </c>
      <c r="T5" s="11">
        <f>+F5-S5</f>
        <v>445464</v>
      </c>
      <c r="U5" s="9">
        <f>ROUND(F5*5%,0)</f>
        <v>127929</v>
      </c>
      <c r="V5" s="52">
        <v>41729</v>
      </c>
      <c r="W5" s="55">
        <f>V5-E5</f>
        <v>4268</v>
      </c>
      <c r="X5" s="53">
        <f t="shared" ref="X5:X6" si="0">IF(D5*365-W5&lt;1,0,(D5*365-W5)/365)</f>
        <v>3.3068493150684932</v>
      </c>
      <c r="Y5" s="38" t="s">
        <v>105</v>
      </c>
      <c r="Z5" s="1">
        <v>3.31</v>
      </c>
      <c r="AA5" s="9">
        <f>T5-U5</f>
        <v>317535</v>
      </c>
      <c r="AB5">
        <v>139876</v>
      </c>
      <c r="AC5" s="10">
        <f>AB5/(T5-U5)*100</f>
        <v>44.050577101736813</v>
      </c>
      <c r="AD5" s="11">
        <f>(T5-U5)/Z5</f>
        <v>95932.024169184282</v>
      </c>
      <c r="AE5" s="10">
        <f>1-POWER((0.05*F5)/T5,1/X5)</f>
        <v>0.31428326497857495</v>
      </c>
      <c r="AF5" s="8">
        <f>ROUND(AE5*T5,0)</f>
        <v>140002</v>
      </c>
      <c r="AG5" s="8">
        <f>+T5-AF5</f>
        <v>305462</v>
      </c>
      <c r="AH5" s="8">
        <f>ROUND(AG5*AE5,0)</f>
        <v>96002</v>
      </c>
      <c r="AI5" s="10">
        <f>AG5-AH5</f>
        <v>209460</v>
      </c>
      <c r="AJ5" s="8">
        <f>ROUND(AI5*AE5,0)</f>
        <v>65830</v>
      </c>
      <c r="AK5" s="10">
        <f>AI5-AJ5</f>
        <v>143630</v>
      </c>
      <c r="AL5" s="9">
        <f>+AK5-U5</f>
        <v>15701</v>
      </c>
      <c r="AM5" s="11">
        <f>AK5-AL5</f>
        <v>127929</v>
      </c>
      <c r="AN5" s="8">
        <v>0</v>
      </c>
      <c r="AO5" s="11">
        <f>+AM5-AN5</f>
        <v>127929</v>
      </c>
      <c r="AP5" s="8">
        <v>0</v>
      </c>
      <c r="AQ5" s="11">
        <f t="shared" ref="AQ5:AQ6" si="1">+AO5-AP5</f>
        <v>127929</v>
      </c>
      <c r="AR5" s="8">
        <v>0</v>
      </c>
      <c r="AS5" s="11">
        <f t="shared" ref="AS5:AS6" si="2">+AQ5-AR5</f>
        <v>127929</v>
      </c>
      <c r="AT5" s="8">
        <v>0</v>
      </c>
      <c r="AU5" s="11">
        <f t="shared" ref="AU5:AU6" si="3">+AS5-AT5</f>
        <v>127929</v>
      </c>
      <c r="AV5" s="8">
        <v>0</v>
      </c>
      <c r="AW5" s="11">
        <f>+AU5-AV5</f>
        <v>127929</v>
      </c>
      <c r="AX5" s="11">
        <f>+AU5-U5</f>
        <v>0</v>
      </c>
    </row>
    <row r="6" spans="1:51" x14ac:dyDescent="0.35">
      <c r="A6" s="1">
        <v>1</v>
      </c>
      <c r="B6" t="s">
        <v>76</v>
      </c>
      <c r="C6" s="21">
        <v>0.1391</v>
      </c>
      <c r="D6" s="1">
        <v>15</v>
      </c>
      <c r="E6" s="54">
        <v>37772</v>
      </c>
      <c r="F6" s="9">
        <v>1375000</v>
      </c>
      <c r="G6" s="9">
        <v>0</v>
      </c>
      <c r="H6" s="9">
        <f>ROUND((F6*C6)*306/366,0)</f>
        <v>159908</v>
      </c>
      <c r="I6" s="9">
        <f>ROUND((F6-H6)*C6,0)</f>
        <v>169019</v>
      </c>
      <c r="J6" s="27">
        <f>ROUND((F6-H6-I6)*C6,0)</f>
        <v>145509</v>
      </c>
      <c r="K6" s="9">
        <f>ROUND((F6-H6-I6-J6)*C6,0)</f>
        <v>125268</v>
      </c>
      <c r="L6" s="9">
        <f>ROUND((F6-H6-I6-J6-K6)*C6,0)</f>
        <v>107844</v>
      </c>
      <c r="M6" s="9">
        <f>ROUND((F6-H6-I6-J6-K6-L6)*C6,0)</f>
        <v>92843</v>
      </c>
      <c r="N6" s="9">
        <f>ROUND((F6-H6-I6-J6-K6-L6-M6)*C6,0)</f>
        <v>79928</v>
      </c>
      <c r="O6" s="9">
        <f>ROUND((F6-H6-I6-J6-K6-L6-M6-N6)*C6,0)</f>
        <v>68810</v>
      </c>
      <c r="P6" s="9">
        <f>ROUND((F6-H6-I6-J6-K6-L6-M6-N6-O6)*C6,0)</f>
        <v>59239</v>
      </c>
      <c r="Q6" s="9">
        <f>ROUND((F6-H6-I6-J6-K6-L6-M6-N6-O6-P6)*C6,0)</f>
        <v>50999</v>
      </c>
      <c r="R6" s="9">
        <f>ROUND((F6-H6-I6-J6-K6-L6-M6-N6-O6-P6-Q6)*C6,0)</f>
        <v>43905</v>
      </c>
      <c r="S6" s="11">
        <f>SUM(G6:R6)-1</f>
        <v>1103271</v>
      </c>
      <c r="T6" s="11">
        <f>+F6-S6</f>
        <v>271729</v>
      </c>
      <c r="U6" s="9">
        <f>ROUND(F6*5%,0)</f>
        <v>68750</v>
      </c>
      <c r="V6" s="52">
        <v>41729</v>
      </c>
      <c r="W6" s="55">
        <f>V6-E6</f>
        <v>3957</v>
      </c>
      <c r="X6" s="53">
        <f t="shared" si="0"/>
        <v>4.1589041095890407</v>
      </c>
      <c r="Y6" s="38" t="s">
        <v>125</v>
      </c>
      <c r="Z6" s="1">
        <v>4.16</v>
      </c>
      <c r="AA6" s="9">
        <f t="shared" ref="AA6:AA8" si="4">T6-U6</f>
        <v>202979</v>
      </c>
      <c r="AB6">
        <v>76356</v>
      </c>
      <c r="AC6" s="10">
        <f t="shared" ref="AC6:AC8" si="5">AB6/(T6-U6)*100</f>
        <v>37.617684588060833</v>
      </c>
      <c r="AD6" s="11">
        <f t="shared" ref="AD6:AD8" si="6">(T6-U6)/Z6</f>
        <v>48793.028846153844</v>
      </c>
      <c r="AE6" s="10">
        <f>1-POWER((0.05*F6)/T6,1/X6)</f>
        <v>0.28140293132236716</v>
      </c>
      <c r="AF6" s="8">
        <f t="shared" ref="AF6:AF8" si="7">ROUND(AE6*T6,0)</f>
        <v>76465</v>
      </c>
      <c r="AG6" s="8">
        <f t="shared" ref="AG6:AG8" si="8">+T6-AF6</f>
        <v>195264</v>
      </c>
      <c r="AH6" s="8">
        <f t="shared" ref="AH6:AH8" si="9">ROUND(AG6*AE6,0)</f>
        <v>54948</v>
      </c>
      <c r="AI6" s="10">
        <f t="shared" ref="AI6:AI8" si="10">AG6-AH6</f>
        <v>140316</v>
      </c>
      <c r="AJ6" s="8">
        <f>ROUND(AI6*AE6,0)</f>
        <v>39485</v>
      </c>
      <c r="AK6" s="10">
        <f t="shared" ref="AK6:AK8" si="11">AI6-AJ6</f>
        <v>100831</v>
      </c>
      <c r="AL6" s="9">
        <f t="shared" ref="AL6:AL7" si="12">ROUND(AK6*AE6,0)</f>
        <v>28374</v>
      </c>
      <c r="AM6" s="11">
        <f t="shared" ref="AM6:AM8" si="13">AK6-AL6</f>
        <v>72457</v>
      </c>
      <c r="AN6" s="9">
        <f>+AM6-U6</f>
        <v>3707</v>
      </c>
      <c r="AO6" s="11">
        <f t="shared" ref="AO6" si="14">AM6-AN6</f>
        <v>68750</v>
      </c>
      <c r="AP6" s="8">
        <v>0</v>
      </c>
      <c r="AQ6" s="11">
        <f t="shared" si="1"/>
        <v>68750</v>
      </c>
      <c r="AR6" s="8">
        <v>0</v>
      </c>
      <c r="AS6" s="11">
        <f t="shared" si="2"/>
        <v>68750</v>
      </c>
      <c r="AT6" s="8">
        <v>0</v>
      </c>
      <c r="AU6" s="11">
        <f t="shared" si="3"/>
        <v>68750</v>
      </c>
      <c r="AV6" s="8">
        <v>0</v>
      </c>
      <c r="AW6" s="11">
        <f>+AU6-AV6</f>
        <v>68750</v>
      </c>
      <c r="AX6" s="11">
        <f t="shared" ref="AX6:AX7" si="15">+AU6-U6</f>
        <v>0</v>
      </c>
    </row>
    <row r="7" spans="1:51" x14ac:dyDescent="0.35">
      <c r="A7" s="1">
        <v>1</v>
      </c>
      <c r="B7" t="s">
        <v>76</v>
      </c>
      <c r="C7" s="21">
        <v>0.1391</v>
      </c>
      <c r="D7" s="1">
        <v>15</v>
      </c>
      <c r="E7" s="54">
        <v>37926</v>
      </c>
      <c r="F7" s="9">
        <v>582230</v>
      </c>
      <c r="G7" s="9">
        <v>0</v>
      </c>
      <c r="H7" s="9">
        <f>ROUND((F7*C7)*152/366,0)</f>
        <v>33634</v>
      </c>
      <c r="I7" s="9">
        <f>ROUND((F7-H7)*C7,0)</f>
        <v>76310</v>
      </c>
      <c r="J7" s="27">
        <f>ROUND((F7-H7-I7)*C7,0)</f>
        <v>65695</v>
      </c>
      <c r="K7" s="9">
        <f>ROUND(((F7-H7-I7-J7)*C7)*176/365,0)</f>
        <v>27271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1">
        <f t="shared" ref="S7:S8" si="16">SUM(G7:R7)</f>
        <v>202910</v>
      </c>
      <c r="T7" s="11">
        <v>0</v>
      </c>
      <c r="U7" s="9">
        <v>0</v>
      </c>
      <c r="V7" s="9"/>
      <c r="W7" s="9"/>
      <c r="X7" s="9"/>
      <c r="Y7" s="38" t="s">
        <v>120</v>
      </c>
      <c r="Z7" s="1">
        <f>+D7-15</f>
        <v>0</v>
      </c>
      <c r="AA7" s="9">
        <f t="shared" si="4"/>
        <v>0</v>
      </c>
      <c r="AC7" s="10"/>
      <c r="AD7" s="11"/>
      <c r="AF7" s="8">
        <f t="shared" si="7"/>
        <v>0</v>
      </c>
      <c r="AG7" s="8">
        <f t="shared" si="8"/>
        <v>0</v>
      </c>
      <c r="AH7" s="8">
        <f t="shared" si="9"/>
        <v>0</v>
      </c>
      <c r="AI7" s="10">
        <f t="shared" si="10"/>
        <v>0</v>
      </c>
      <c r="AJ7" s="8">
        <f t="shared" ref="AJ7" si="17">ROUND(AI7*AG7,0)</f>
        <v>0</v>
      </c>
      <c r="AK7" s="10">
        <f t="shared" si="11"/>
        <v>0</v>
      </c>
      <c r="AL7" s="9">
        <f t="shared" si="12"/>
        <v>0</v>
      </c>
      <c r="AM7" s="11">
        <f t="shared" si="13"/>
        <v>0</v>
      </c>
      <c r="AN7" s="9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8">
        <v>0</v>
      </c>
      <c r="AW7" s="11">
        <f t="shared" ref="AW7" si="18">+AU7-AV7</f>
        <v>0</v>
      </c>
      <c r="AX7" s="11">
        <f t="shared" si="15"/>
        <v>0</v>
      </c>
    </row>
    <row r="8" spans="1:51" x14ac:dyDescent="0.35">
      <c r="A8" s="1">
        <v>1</v>
      </c>
      <c r="B8" t="s">
        <v>76</v>
      </c>
      <c r="C8" s="21">
        <v>0.1391</v>
      </c>
      <c r="D8" s="1">
        <v>15</v>
      </c>
      <c r="E8" s="54">
        <v>39569</v>
      </c>
      <c r="F8" s="9">
        <v>1237085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f>ROUND((F8*C8)*335/365,0)</f>
        <v>157935</v>
      </c>
      <c r="N8" s="9">
        <f>ROUND((F8-M8)*C8,0)</f>
        <v>150110</v>
      </c>
      <c r="O8" s="9">
        <f>ROUND((F8-M8-N8)*C8,0)</f>
        <v>129229</v>
      </c>
      <c r="P8" s="9">
        <f>ROUND((F8-M8-N8-O8)*C8,0)</f>
        <v>111254</v>
      </c>
      <c r="Q8" s="9">
        <f>ROUND((F8-M8-N8-O8-P8)*C8,0)</f>
        <v>95778</v>
      </c>
      <c r="R8" s="9">
        <f>ROUND((F8-M8-N8-O8-P8-Q8)*C8,0)</f>
        <v>82456</v>
      </c>
      <c r="S8" s="11">
        <f t="shared" si="16"/>
        <v>726762</v>
      </c>
      <c r="T8" s="11">
        <f t="shared" ref="T8" si="19">+F8-S8</f>
        <v>510323</v>
      </c>
      <c r="U8" s="9">
        <f t="shared" ref="U8" si="20">ROUND(F8*5%,0)</f>
        <v>61854</v>
      </c>
      <c r="V8" s="52">
        <v>41729</v>
      </c>
      <c r="W8" s="55">
        <f>V8-E8</f>
        <v>2160</v>
      </c>
      <c r="X8" s="53">
        <f t="shared" ref="X8" si="21">IF(D8*365-W8&lt;1,0,(D8*365-W8)/365)</f>
        <v>9.0821917808219172</v>
      </c>
      <c r="Y8" s="38" t="s">
        <v>157</v>
      </c>
      <c r="Z8" s="1">
        <v>9.08</v>
      </c>
      <c r="AA8" s="9">
        <f t="shared" si="4"/>
        <v>448469</v>
      </c>
      <c r="AB8">
        <v>105637</v>
      </c>
      <c r="AC8" s="10">
        <f t="shared" si="5"/>
        <v>23.555028329717327</v>
      </c>
      <c r="AD8" s="11">
        <f t="shared" si="6"/>
        <v>49390.859030837004</v>
      </c>
      <c r="AE8" s="10">
        <f>1-POWER((0.05*F8)/T8,1/X8)</f>
        <v>0.20733273713597888</v>
      </c>
      <c r="AF8" s="8">
        <f t="shared" si="7"/>
        <v>105807</v>
      </c>
      <c r="AG8" s="8">
        <f t="shared" si="8"/>
        <v>404516</v>
      </c>
      <c r="AH8" s="8">
        <f t="shared" si="9"/>
        <v>83869</v>
      </c>
      <c r="AI8" s="10">
        <f t="shared" si="10"/>
        <v>320647</v>
      </c>
      <c r="AJ8" s="8">
        <f>ROUND(AI8*AE8,0)</f>
        <v>66481</v>
      </c>
      <c r="AK8" s="10">
        <f t="shared" si="11"/>
        <v>254166</v>
      </c>
      <c r="AL8" s="9">
        <f>ROUND(AK8*AE8,0)</f>
        <v>52697</v>
      </c>
      <c r="AM8" s="11">
        <f t="shared" si="13"/>
        <v>201469</v>
      </c>
      <c r="AN8" s="9">
        <f>ROUND(AM8*AE8,0)</f>
        <v>41771</v>
      </c>
      <c r="AO8" s="11">
        <f>AM8-AN8</f>
        <v>159698</v>
      </c>
      <c r="AP8" s="9">
        <f>ROUND(AO8*AE8,0)</f>
        <v>33111</v>
      </c>
      <c r="AQ8" s="11">
        <f>AO8-AP8</f>
        <v>126587</v>
      </c>
      <c r="AR8" s="9">
        <f>ROUND(AQ8*AE8,0)</f>
        <v>26246</v>
      </c>
      <c r="AS8" s="11">
        <f>AQ8-AR8</f>
        <v>100341</v>
      </c>
      <c r="AT8" s="9">
        <f>ROUND(AS8*AE8,0)</f>
        <v>20804</v>
      </c>
      <c r="AU8" s="11">
        <f>AS8-AT8</f>
        <v>79537</v>
      </c>
      <c r="AV8" s="9">
        <f>ROUND(AU8*AE8,0)</f>
        <v>16491</v>
      </c>
      <c r="AW8" s="11">
        <f>AU8-AV8</f>
        <v>63046</v>
      </c>
      <c r="AX8" s="11">
        <f>+AW8-U8</f>
        <v>1192</v>
      </c>
    </row>
    <row r="9" spans="1:51" ht="16" thickBot="1" x14ac:dyDescent="0.4">
      <c r="B9" s="6" t="s">
        <v>76</v>
      </c>
      <c r="C9" s="24"/>
      <c r="E9" s="3" t="s">
        <v>39</v>
      </c>
      <c r="F9" s="16">
        <f t="shared" ref="F9:U9" si="22">SUM(F5:F8)</f>
        <v>5752889</v>
      </c>
      <c r="G9" s="16">
        <f t="shared" si="22"/>
        <v>244741</v>
      </c>
      <c r="H9" s="16">
        <f t="shared" si="22"/>
        <v>515396</v>
      </c>
      <c r="I9" s="16">
        <f t="shared" si="22"/>
        <v>522413</v>
      </c>
      <c r="J9" s="16">
        <f t="shared" si="22"/>
        <v>449746</v>
      </c>
      <c r="K9" s="16">
        <f t="shared" si="22"/>
        <v>357900</v>
      </c>
      <c r="L9" s="16">
        <f t="shared" si="22"/>
        <v>284639</v>
      </c>
      <c r="M9" s="16">
        <f t="shared" si="22"/>
        <v>402981</v>
      </c>
      <c r="N9" s="16">
        <f t="shared" si="22"/>
        <v>361069</v>
      </c>
      <c r="O9" s="16">
        <f t="shared" si="22"/>
        <v>310844</v>
      </c>
      <c r="P9" s="16">
        <f t="shared" si="22"/>
        <v>267607</v>
      </c>
      <c r="Q9" s="16">
        <f t="shared" si="22"/>
        <v>230382</v>
      </c>
      <c r="R9" s="16">
        <f t="shared" si="22"/>
        <v>198337</v>
      </c>
      <c r="S9" s="16">
        <f t="shared" si="22"/>
        <v>4146053</v>
      </c>
      <c r="T9" s="29">
        <f t="shared" si="22"/>
        <v>1227516</v>
      </c>
      <c r="U9" s="16">
        <f t="shared" si="22"/>
        <v>258533</v>
      </c>
      <c r="V9" s="16"/>
      <c r="W9" s="16"/>
      <c r="X9" s="16"/>
      <c r="Y9" s="16"/>
      <c r="Z9" s="15"/>
      <c r="AA9" s="16">
        <f>SUM(AA5:AA8)</f>
        <v>968983</v>
      </c>
      <c r="AB9" s="16">
        <f>SUM(AB5:AB8)</f>
        <v>321869</v>
      </c>
      <c r="AC9" s="16"/>
      <c r="AD9" s="16">
        <f t="shared" ref="AD9" si="23">SUM(AD5:AD8)</f>
        <v>194115.91204617516</v>
      </c>
      <c r="AF9" s="58">
        <f t="shared" ref="AF9:AI9" si="24">SUM(AF5:AF8)</f>
        <v>322274</v>
      </c>
      <c r="AG9" s="58">
        <f t="shared" si="24"/>
        <v>905242</v>
      </c>
      <c r="AH9" s="58">
        <f t="shared" si="24"/>
        <v>234819</v>
      </c>
      <c r="AI9" s="58">
        <f t="shared" si="24"/>
        <v>670423</v>
      </c>
      <c r="AJ9" s="58">
        <f t="shared" ref="AJ9:AK9" si="25">SUM(AJ5:AJ8)</f>
        <v>171796</v>
      </c>
      <c r="AK9" s="58">
        <f t="shared" si="25"/>
        <v>498627</v>
      </c>
      <c r="AL9" s="19">
        <f t="shared" ref="AL9:AQ9" si="26">SUM(AL5:AL8)</f>
        <v>96772</v>
      </c>
      <c r="AM9" s="19">
        <f t="shared" si="26"/>
        <v>401855</v>
      </c>
      <c r="AN9" s="19">
        <f t="shared" si="26"/>
        <v>45478</v>
      </c>
      <c r="AO9" s="19">
        <f t="shared" si="26"/>
        <v>356377</v>
      </c>
      <c r="AP9" s="19">
        <f t="shared" si="26"/>
        <v>33111</v>
      </c>
      <c r="AQ9" s="19">
        <f t="shared" si="26"/>
        <v>323266</v>
      </c>
      <c r="AR9" s="19">
        <f t="shared" ref="AR9:AS9" si="27">SUM(AR5:AR8)</f>
        <v>26246</v>
      </c>
      <c r="AS9" s="19">
        <f t="shared" si="27"/>
        <v>297020</v>
      </c>
      <c r="AT9" s="19">
        <f t="shared" ref="AT9:AW9" si="28">SUM(AT5:AT8)</f>
        <v>20804</v>
      </c>
      <c r="AU9" s="19">
        <f t="shared" si="28"/>
        <v>276216</v>
      </c>
      <c r="AV9" s="19">
        <f t="shared" si="28"/>
        <v>16491</v>
      </c>
      <c r="AW9" s="191">
        <f t="shared" si="28"/>
        <v>259725</v>
      </c>
      <c r="AX9" s="11"/>
      <c r="AY9" s="120"/>
    </row>
    <row r="10" spans="1:51" ht="16" thickTop="1" x14ac:dyDescent="0.35">
      <c r="F10" s="9"/>
      <c r="U10" s="11"/>
      <c r="V10" s="11"/>
      <c r="W10" s="11"/>
      <c r="X10" s="11"/>
      <c r="Y10" s="11"/>
    </row>
    <row r="11" spans="1:51" x14ac:dyDescent="0.35">
      <c r="F11" s="9"/>
      <c r="U11" s="11"/>
      <c r="V11" s="11"/>
      <c r="W11" s="11"/>
      <c r="X11" s="11"/>
      <c r="Y11" s="11"/>
    </row>
    <row r="12" spans="1:51" x14ac:dyDescent="0.35">
      <c r="F12" s="9"/>
      <c r="U12" s="11"/>
      <c r="V12" s="11"/>
      <c r="W12" s="11"/>
      <c r="X12" s="11"/>
      <c r="Y12" s="11"/>
    </row>
    <row r="13" spans="1:51" x14ac:dyDescent="0.35">
      <c r="F13" s="9"/>
      <c r="U13" s="11"/>
      <c r="V13" s="11"/>
      <c r="W13" s="11"/>
      <c r="X13" s="11"/>
      <c r="Y13" s="11"/>
    </row>
    <row r="14" spans="1:51" x14ac:dyDescent="0.35">
      <c r="F14" s="9"/>
      <c r="U14" s="11"/>
      <c r="V14" s="11"/>
      <c r="W14" s="11"/>
      <c r="X14" s="11"/>
      <c r="Y14" s="11"/>
    </row>
    <row r="15" spans="1:51" x14ac:dyDescent="0.35">
      <c r="F15" s="9"/>
      <c r="U15" s="11"/>
      <c r="V15" s="11"/>
      <c r="W15" s="11"/>
      <c r="X15" s="11"/>
      <c r="Y15" s="11"/>
    </row>
    <row r="16" spans="1:51" x14ac:dyDescent="0.35">
      <c r="F16" s="38" t="s">
        <v>186</v>
      </c>
      <c r="G16">
        <v>365</v>
      </c>
      <c r="H16" s="11">
        <f>G16-F16</f>
        <v>114</v>
      </c>
      <c r="I16" s="46"/>
      <c r="J16" s="10">
        <f>H16/G16</f>
        <v>0.31232876712328766</v>
      </c>
      <c r="S16">
        <v>365</v>
      </c>
      <c r="T16" s="11">
        <f>S16-F16</f>
        <v>114</v>
      </c>
      <c r="U16" s="46"/>
      <c r="V16" s="46"/>
      <c r="W16" s="46"/>
      <c r="X16" s="46"/>
      <c r="Y16" s="10">
        <f>T16/S16</f>
        <v>0.31232876712328766</v>
      </c>
    </row>
    <row r="17" spans="6:25" x14ac:dyDescent="0.35">
      <c r="F17" s="9"/>
      <c r="U17" s="11"/>
      <c r="V17" s="11"/>
      <c r="W17" s="11"/>
      <c r="X17" s="11"/>
      <c r="Y17" s="11"/>
    </row>
    <row r="18" spans="6:25" x14ac:dyDescent="0.35">
      <c r="U18" s="11"/>
      <c r="V18" s="11"/>
      <c r="W18" s="11"/>
      <c r="X18" s="11"/>
      <c r="Y18" s="11"/>
    </row>
  </sheetData>
  <mergeCells count="2">
    <mergeCell ref="A1:Y1"/>
    <mergeCell ref="G3:R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16"/>
  <sheetViews>
    <sheetView workbookViewId="0">
      <selection activeCell="AV7" sqref="AV7"/>
    </sheetView>
  </sheetViews>
  <sheetFormatPr defaultRowHeight="15.5" x14ac:dyDescent="0.35"/>
  <cols>
    <col min="1" max="1" width="3.33203125" customWidth="1"/>
    <col min="2" max="2" width="15.75" customWidth="1"/>
    <col min="3" max="3" width="7" hidden="1" customWidth="1"/>
    <col min="4" max="4" width="9" customWidth="1"/>
    <col min="5" max="5" width="10.08203125" customWidth="1"/>
    <col min="6" max="6" width="8.58203125" bestFit="1" customWidth="1"/>
    <col min="7" max="18" width="7.58203125" hidden="1" customWidth="1"/>
    <col min="19" max="19" width="11.58203125" hidden="1" customWidth="1"/>
    <col min="20" max="20" width="10.33203125" hidden="1" customWidth="1"/>
    <col min="21" max="21" width="7.58203125" bestFit="1" customWidth="1"/>
    <col min="22" max="22" width="9.58203125" hidden="1" customWidth="1"/>
    <col min="23" max="24" width="7.58203125" hidden="1" customWidth="1"/>
    <col min="25" max="25" width="6.5" hidden="1" customWidth="1"/>
    <col min="26" max="26" width="9.33203125" hidden="1" customWidth="1"/>
    <col min="27" max="27" width="7.08203125" hidden="1" customWidth="1"/>
    <col min="28" max="28" width="11.58203125" hidden="1" customWidth="1"/>
    <col min="29" max="29" width="0" hidden="1" customWidth="1"/>
    <col min="30" max="30" width="12.33203125" style="8" hidden="1" customWidth="1"/>
    <col min="31" max="31" width="0" style="8" hidden="1" customWidth="1"/>
    <col min="32" max="32" width="5.75" style="8" customWidth="1"/>
    <col min="33" max="33" width="12.08203125" style="8" hidden="1" customWidth="1"/>
    <col min="34" max="34" width="10.08203125" style="8" hidden="1" customWidth="1"/>
    <col min="35" max="35" width="11.58203125" hidden="1" customWidth="1"/>
    <col min="36" max="36" width="10.08203125" hidden="1" customWidth="1"/>
    <col min="37" max="37" width="10.83203125" hidden="1" customWidth="1"/>
    <col min="38" max="38" width="10.08203125" hidden="1" customWidth="1"/>
    <col min="39" max="39" width="11.08203125" customWidth="1"/>
    <col min="40" max="40" width="10.08203125" bestFit="1" customWidth="1"/>
    <col min="41" max="41" width="10.5" customWidth="1"/>
    <col min="42" max="50" width="10.25" customWidth="1"/>
    <col min="51" max="51" width="9.75" bestFit="1" customWidth="1"/>
  </cols>
  <sheetData>
    <row r="1" spans="1:52" x14ac:dyDescent="0.35">
      <c r="A1" s="111" t="s">
        <v>73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3" spans="1:52" x14ac:dyDescent="0.35">
      <c r="A3" s="2" t="s">
        <v>14</v>
      </c>
      <c r="B3" s="2" t="s">
        <v>17</v>
      </c>
      <c r="C3" s="36" t="s">
        <v>34</v>
      </c>
      <c r="D3" s="36" t="s">
        <v>19</v>
      </c>
      <c r="E3" s="2" t="s">
        <v>20</v>
      </c>
      <c r="F3" s="2" t="s">
        <v>23</v>
      </c>
      <c r="G3" s="193" t="s">
        <v>22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2" t="s">
        <v>13</v>
      </c>
      <c r="T3" s="2" t="s">
        <v>36</v>
      </c>
      <c r="U3" s="2" t="s">
        <v>24</v>
      </c>
      <c r="V3" s="2"/>
      <c r="W3" s="2" t="s">
        <v>191</v>
      </c>
      <c r="X3" s="2" t="s">
        <v>104</v>
      </c>
      <c r="Y3" s="2" t="s">
        <v>52</v>
      </c>
      <c r="Z3" s="2" t="s">
        <v>52</v>
      </c>
      <c r="AA3" s="2" t="s">
        <v>54</v>
      </c>
      <c r="AB3" s="48" t="s">
        <v>22</v>
      </c>
      <c r="AC3" s="48" t="s">
        <v>170</v>
      </c>
      <c r="AD3" s="60" t="s">
        <v>190</v>
      </c>
      <c r="AE3" s="63" t="s">
        <v>184</v>
      </c>
      <c r="AF3" s="74" t="s">
        <v>35</v>
      </c>
      <c r="AG3" s="60" t="s">
        <v>22</v>
      </c>
      <c r="AH3" s="59" t="s">
        <v>36</v>
      </c>
      <c r="AI3" s="2" t="s">
        <v>201</v>
      </c>
      <c r="AJ3" s="60" t="s">
        <v>36</v>
      </c>
      <c r="AK3" s="2" t="s">
        <v>200</v>
      </c>
      <c r="AL3" s="60" t="s">
        <v>36</v>
      </c>
      <c r="AM3" s="2" t="s">
        <v>211</v>
      </c>
      <c r="AN3" s="60" t="s">
        <v>36</v>
      </c>
      <c r="AO3" s="2" t="s">
        <v>219</v>
      </c>
      <c r="AP3" s="60" t="s">
        <v>36</v>
      </c>
      <c r="AQ3" s="2" t="s">
        <v>226</v>
      </c>
      <c r="AR3" s="60" t="s">
        <v>36</v>
      </c>
      <c r="AS3" s="2" t="s">
        <v>230</v>
      </c>
      <c r="AT3" s="60" t="s">
        <v>36</v>
      </c>
      <c r="AU3" s="2" t="s">
        <v>235</v>
      </c>
      <c r="AV3" s="60" t="s">
        <v>36</v>
      </c>
      <c r="AW3" s="2" t="s">
        <v>240</v>
      </c>
      <c r="AX3" s="60" t="s">
        <v>36</v>
      </c>
    </row>
    <row r="4" spans="1:52" x14ac:dyDescent="0.35">
      <c r="A4" s="4" t="s">
        <v>16</v>
      </c>
      <c r="B4" s="4" t="s">
        <v>18</v>
      </c>
      <c r="C4" s="37" t="s">
        <v>35</v>
      </c>
      <c r="D4" s="37" t="s">
        <v>28</v>
      </c>
      <c r="E4" s="4" t="s">
        <v>21</v>
      </c>
      <c r="F4" s="4" t="s">
        <v>15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5" t="s">
        <v>10</v>
      </c>
      <c r="Q4" s="5" t="s">
        <v>11</v>
      </c>
      <c r="R4" s="5" t="s">
        <v>12</v>
      </c>
      <c r="S4" s="4" t="s">
        <v>22</v>
      </c>
      <c r="T4" s="4" t="s">
        <v>37</v>
      </c>
      <c r="U4" s="4" t="s">
        <v>25</v>
      </c>
      <c r="V4" s="4"/>
      <c r="W4" s="4" t="s">
        <v>192</v>
      </c>
      <c r="X4" s="4" t="s">
        <v>193</v>
      </c>
      <c r="Y4" s="4" t="s">
        <v>104</v>
      </c>
      <c r="Z4" s="4" t="s">
        <v>53</v>
      </c>
      <c r="AA4" s="4" t="s">
        <v>55</v>
      </c>
      <c r="AB4" s="48" t="s">
        <v>169</v>
      </c>
      <c r="AC4" s="48" t="s">
        <v>171</v>
      </c>
      <c r="AD4" s="62" t="s">
        <v>22</v>
      </c>
      <c r="AE4" s="64"/>
      <c r="AF4" s="75" t="s">
        <v>194</v>
      </c>
      <c r="AG4" s="62" t="s">
        <v>195</v>
      </c>
      <c r="AH4" s="61" t="s">
        <v>189</v>
      </c>
      <c r="AI4" s="4" t="s">
        <v>22</v>
      </c>
      <c r="AJ4" s="62" t="s">
        <v>197</v>
      </c>
      <c r="AK4" s="4" t="s">
        <v>22</v>
      </c>
      <c r="AL4" s="62" t="s">
        <v>199</v>
      </c>
      <c r="AM4" s="4" t="s">
        <v>22</v>
      </c>
      <c r="AN4" s="62" t="s">
        <v>212</v>
      </c>
      <c r="AO4" s="4" t="s">
        <v>22</v>
      </c>
      <c r="AP4" s="62" t="s">
        <v>220</v>
      </c>
      <c r="AQ4" s="4" t="s">
        <v>22</v>
      </c>
      <c r="AR4" s="62" t="s">
        <v>227</v>
      </c>
      <c r="AS4" s="4" t="s">
        <v>22</v>
      </c>
      <c r="AT4" s="62" t="s">
        <v>231</v>
      </c>
      <c r="AU4" s="4" t="s">
        <v>22</v>
      </c>
      <c r="AV4" s="62" t="s">
        <v>234</v>
      </c>
      <c r="AW4" s="4" t="s">
        <v>22</v>
      </c>
      <c r="AX4" s="62" t="s">
        <v>239</v>
      </c>
      <c r="AY4" s="48" t="s">
        <v>223</v>
      </c>
    </row>
    <row r="5" spans="1:52" x14ac:dyDescent="0.35">
      <c r="A5" s="1">
        <v>1</v>
      </c>
      <c r="B5" t="s">
        <v>74</v>
      </c>
      <c r="C5" s="21">
        <v>0.1391</v>
      </c>
      <c r="D5" s="1">
        <v>10</v>
      </c>
      <c r="E5" s="54">
        <v>37461</v>
      </c>
      <c r="F5" s="9">
        <v>366451</v>
      </c>
      <c r="G5" s="9">
        <f>ROUND((F5*C5)*251/365,0)</f>
        <v>35053</v>
      </c>
      <c r="H5" s="9">
        <f>ROUND((F5-G5)*C5,0)</f>
        <v>46097</v>
      </c>
      <c r="I5" s="9">
        <f>ROUND((F5-G5-H5)*C5,0)</f>
        <v>39685</v>
      </c>
      <c r="J5" s="9">
        <f>ROUND((F5-G5-H5-I5)*C5,0)</f>
        <v>34165</v>
      </c>
      <c r="K5" s="9">
        <f>ROUND((F5-G5-H5-I5-J5)*C5,0)</f>
        <v>29413</v>
      </c>
      <c r="L5" s="9">
        <f>ROUND((F5-G5-H5-I5-J5-K5)*C5,0)</f>
        <v>25321</v>
      </c>
      <c r="M5" s="9">
        <f>ROUND((F5-G5-H5-I5-J5-K5-L5)*C5,0)</f>
        <v>21799</v>
      </c>
      <c r="N5" s="9">
        <f>ROUND((F5-G5-H5-I5-J5-K5-L5-M5)*C5,0)</f>
        <v>18767</v>
      </c>
      <c r="O5" s="9">
        <f>ROUND((F5-G5-H5-I5-J5-K5-L5-M5-N5)*C5,0)</f>
        <v>16157</v>
      </c>
      <c r="P5" s="9">
        <f>ROUND((F5-G5-H5-I5-J5-K5-L5-M5-N5-O5)*C5,0)</f>
        <v>13909</v>
      </c>
      <c r="Q5" s="9">
        <f>ROUND((F5-G5-H5-I5-J5-K5-L5-M5-N5-O5-P5)*C5,0)</f>
        <v>11974</v>
      </c>
      <c r="R5" s="9">
        <f>ROUND((F5-G5-H5-I5-J5-K5-L5-M5-N5-O5-P5-Q5)*C5,0)</f>
        <v>10309</v>
      </c>
      <c r="S5" s="11">
        <f>SUM(G5:R5)</f>
        <v>302649</v>
      </c>
      <c r="T5" s="11">
        <f>+F5-S5</f>
        <v>63802</v>
      </c>
      <c r="U5" s="9">
        <f>ROUND(F5*5%,0)</f>
        <v>18323</v>
      </c>
      <c r="V5" s="52">
        <v>41729</v>
      </c>
      <c r="W5" s="55">
        <f>V5-E5</f>
        <v>4268</v>
      </c>
      <c r="X5" s="53">
        <f t="shared" ref="X5:X6" si="0">IF(D5*365-W5&lt;1,0,(D5*365-W5)/365)</f>
        <v>0</v>
      </c>
      <c r="Y5" s="33" t="s">
        <v>105</v>
      </c>
      <c r="Z5" s="1">
        <f>+D5-12</f>
        <v>-2</v>
      </c>
      <c r="AA5" s="9"/>
      <c r="AB5">
        <v>0</v>
      </c>
      <c r="AC5" s="10">
        <f>AB5/(T5-U5)*100</f>
        <v>0</v>
      </c>
      <c r="AD5" s="8">
        <f>+T5-U5</f>
        <v>45479</v>
      </c>
      <c r="AH5" s="8">
        <f>+T5-AG5-AD5</f>
        <v>18323</v>
      </c>
      <c r="AI5" s="8">
        <v>0</v>
      </c>
      <c r="AJ5" s="10">
        <f>AH5-AI5</f>
        <v>18323</v>
      </c>
      <c r="AK5" s="8">
        <v>0</v>
      </c>
      <c r="AL5" s="10">
        <f>AJ5-AK5</f>
        <v>18323</v>
      </c>
      <c r="AM5" s="8">
        <v>0</v>
      </c>
      <c r="AN5" s="10">
        <f>+AL5-AM5</f>
        <v>18323</v>
      </c>
      <c r="AO5" s="9">
        <f>+U5-AN5</f>
        <v>0</v>
      </c>
      <c r="AP5" s="9">
        <f>+AN5-AO5</f>
        <v>18323</v>
      </c>
      <c r="AQ5" s="9">
        <v>0</v>
      </c>
      <c r="AR5" s="9">
        <f t="shared" ref="AR5:AR6" si="1">+AP5-AQ5</f>
        <v>18323</v>
      </c>
      <c r="AS5" s="9">
        <v>0</v>
      </c>
      <c r="AT5" s="9">
        <f t="shared" ref="AT5:AT6" si="2">+AR5-AS5</f>
        <v>18323</v>
      </c>
      <c r="AU5" s="9">
        <v>0</v>
      </c>
      <c r="AV5" s="9">
        <f t="shared" ref="AV5:AV6" si="3">+AT5-AU5</f>
        <v>18323</v>
      </c>
      <c r="AW5" s="9">
        <v>0</v>
      </c>
      <c r="AX5" s="9">
        <f>+AV5-AW5</f>
        <v>18323</v>
      </c>
      <c r="AY5" s="10">
        <f>+AV5-U5</f>
        <v>0</v>
      </c>
    </row>
    <row r="6" spans="1:52" x14ac:dyDescent="0.35">
      <c r="A6" s="1">
        <v>1</v>
      </c>
      <c r="B6" t="s">
        <v>74</v>
      </c>
      <c r="C6" s="21">
        <v>0.1391</v>
      </c>
      <c r="D6" s="1">
        <v>10</v>
      </c>
      <c r="E6" s="54">
        <v>39203</v>
      </c>
      <c r="F6" s="9">
        <v>25935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f>ROUND((F6*C6)*336/366,0)</f>
        <v>3312</v>
      </c>
      <c r="M6" s="9">
        <f>ROUND((F6-L6)*C6,0)</f>
        <v>3147</v>
      </c>
      <c r="N6" s="9">
        <f>ROUND((F6-L6-M6)*C6,0)</f>
        <v>2709</v>
      </c>
      <c r="O6" s="9">
        <f>ROUND((F6-L6-M6-N6)*C6,0)</f>
        <v>2332</v>
      </c>
      <c r="P6" s="9">
        <f>ROUND((F6-L6-M6-N6-O6)*C6,0)</f>
        <v>2008</v>
      </c>
      <c r="Q6" s="9">
        <f>ROUND((F6-L6-M6-N6-O6-P6)*C6,0)</f>
        <v>1729</v>
      </c>
      <c r="R6" s="9">
        <f>ROUND((F6-L6-M6-N6-O6-P6-Q6)*C6,0)</f>
        <v>1488</v>
      </c>
      <c r="S6" s="11">
        <f>SUM(G6:R6)</f>
        <v>16725</v>
      </c>
      <c r="T6" s="11">
        <f>+F6-S6</f>
        <v>9210</v>
      </c>
      <c r="U6" s="9">
        <f>ROUND(F6*5%,0)</f>
        <v>1297</v>
      </c>
      <c r="V6" s="52">
        <v>41729</v>
      </c>
      <c r="W6" s="55">
        <f>V6-E6</f>
        <v>2526</v>
      </c>
      <c r="X6" s="53">
        <f t="shared" si="0"/>
        <v>3.0794520547945203</v>
      </c>
      <c r="Y6" s="38" t="s">
        <v>151</v>
      </c>
      <c r="Z6" s="1">
        <v>3.08</v>
      </c>
      <c r="AA6" s="9">
        <f>T6-U6</f>
        <v>7913</v>
      </c>
      <c r="AB6">
        <v>4338</v>
      </c>
      <c r="AC6" s="10">
        <f>AB6/(T6-U6)*100</f>
        <v>54.821180336155692</v>
      </c>
      <c r="AE6" s="8">
        <f>(T6-U6)/Z6</f>
        <v>2569.1558441558441</v>
      </c>
      <c r="AF6" s="8">
        <f>1-POWER((0.05*F6)/T6,1/X6)</f>
        <v>0.47092024167465596</v>
      </c>
      <c r="AG6" s="8">
        <f>ROUND(AF6*T6,0)</f>
        <v>4337</v>
      </c>
      <c r="AH6" s="8">
        <f>+T6-AG6-AD6</f>
        <v>4873</v>
      </c>
      <c r="AI6" s="8">
        <f>ROUND(AH6*AF6,0)</f>
        <v>2295</v>
      </c>
      <c r="AJ6" s="10">
        <f>AH6-AI6</f>
        <v>2578</v>
      </c>
      <c r="AK6" s="8">
        <f>ROUND(AF6*AJ6,0)</f>
        <v>1214</v>
      </c>
      <c r="AL6" s="10">
        <f>AJ6-AK6</f>
        <v>1364</v>
      </c>
      <c r="AM6" s="8">
        <f>+AL6-U6</f>
        <v>67</v>
      </c>
      <c r="AN6" s="10">
        <f>+AL6-AM6</f>
        <v>1297</v>
      </c>
      <c r="AO6" s="9">
        <f>+U6-AN6</f>
        <v>0</v>
      </c>
      <c r="AP6" s="9">
        <f>+AN6-AO6</f>
        <v>1297</v>
      </c>
      <c r="AQ6" s="9">
        <v>0</v>
      </c>
      <c r="AR6" s="9">
        <f t="shared" si="1"/>
        <v>1297</v>
      </c>
      <c r="AS6" s="9">
        <v>0</v>
      </c>
      <c r="AT6" s="9">
        <f t="shared" si="2"/>
        <v>1297</v>
      </c>
      <c r="AU6" s="9">
        <v>0</v>
      </c>
      <c r="AV6" s="9">
        <f t="shared" si="3"/>
        <v>1297</v>
      </c>
      <c r="AW6" s="9">
        <v>0</v>
      </c>
      <c r="AX6" s="9">
        <f t="shared" ref="AX6" si="4">+AV6-AW6</f>
        <v>1297</v>
      </c>
      <c r="AY6" s="10">
        <f>+AV6-U6</f>
        <v>0</v>
      </c>
    </row>
    <row r="7" spans="1:52" ht="16" thickBot="1" x14ac:dyDescent="0.4">
      <c r="B7" s="6" t="s">
        <v>74</v>
      </c>
      <c r="C7" s="24"/>
      <c r="E7" s="3" t="s">
        <v>39</v>
      </c>
      <c r="F7" s="16">
        <f>SUM(F5:F6)</f>
        <v>392386</v>
      </c>
      <c r="G7" s="16">
        <f t="shared" ref="G7:AJ7" si="5">SUM(G5:G6)</f>
        <v>35053</v>
      </c>
      <c r="H7" s="16">
        <f t="shared" si="5"/>
        <v>46097</v>
      </c>
      <c r="I7" s="16">
        <f t="shared" si="5"/>
        <v>39685</v>
      </c>
      <c r="J7" s="16">
        <f t="shared" si="5"/>
        <v>34165</v>
      </c>
      <c r="K7" s="16">
        <f t="shared" si="5"/>
        <v>29413</v>
      </c>
      <c r="L7" s="16">
        <f t="shared" si="5"/>
        <v>28633</v>
      </c>
      <c r="M7" s="16">
        <f t="shared" si="5"/>
        <v>24946</v>
      </c>
      <c r="N7" s="16">
        <f t="shared" si="5"/>
        <v>21476</v>
      </c>
      <c r="O7" s="16">
        <f t="shared" si="5"/>
        <v>18489</v>
      </c>
      <c r="P7" s="16">
        <f t="shared" si="5"/>
        <v>15917</v>
      </c>
      <c r="Q7" s="16">
        <f t="shared" si="5"/>
        <v>13703</v>
      </c>
      <c r="R7" s="16">
        <f t="shared" si="5"/>
        <v>11797</v>
      </c>
      <c r="S7" s="16">
        <f t="shared" si="5"/>
        <v>319374</v>
      </c>
      <c r="T7" s="29">
        <f t="shared" si="5"/>
        <v>73012</v>
      </c>
      <c r="U7" s="16">
        <f t="shared" si="5"/>
        <v>19620</v>
      </c>
      <c r="V7" s="16"/>
      <c r="W7" s="16"/>
      <c r="X7" s="16"/>
      <c r="Y7" s="16"/>
      <c r="Z7" s="15"/>
      <c r="AA7" s="16">
        <f t="shared" si="5"/>
        <v>7913</v>
      </c>
      <c r="AB7" s="16">
        <f t="shared" si="5"/>
        <v>4338</v>
      </c>
      <c r="AC7" s="16"/>
      <c r="AD7" s="58">
        <f t="shared" si="5"/>
        <v>45479</v>
      </c>
      <c r="AE7" s="58">
        <f t="shared" si="5"/>
        <v>2569.1558441558441</v>
      </c>
      <c r="AF7" s="58">
        <f t="shared" si="5"/>
        <v>0.47092024167465596</v>
      </c>
      <c r="AG7" s="58">
        <f t="shared" si="5"/>
        <v>4337</v>
      </c>
      <c r="AH7" s="58">
        <f t="shared" si="5"/>
        <v>23196</v>
      </c>
      <c r="AI7" s="58">
        <f t="shared" si="5"/>
        <v>2295</v>
      </c>
      <c r="AJ7" s="58">
        <f t="shared" si="5"/>
        <v>20901</v>
      </c>
      <c r="AK7" s="58">
        <f t="shared" ref="AK7:AL7" si="6">SUM(AK5:AK6)</f>
        <v>1214</v>
      </c>
      <c r="AL7" s="58">
        <f t="shared" si="6"/>
        <v>19687</v>
      </c>
      <c r="AM7" s="118">
        <f t="shared" ref="AM7:AR7" si="7">SUM(AM5:AM6)</f>
        <v>67</v>
      </c>
      <c r="AN7" s="118">
        <f t="shared" si="7"/>
        <v>19620</v>
      </c>
      <c r="AO7" s="19">
        <f t="shared" si="7"/>
        <v>0</v>
      </c>
      <c r="AP7" s="19">
        <f t="shared" si="7"/>
        <v>19620</v>
      </c>
      <c r="AQ7" s="19">
        <f t="shared" si="7"/>
        <v>0</v>
      </c>
      <c r="AR7" s="19">
        <f t="shared" si="7"/>
        <v>19620</v>
      </c>
      <c r="AS7" s="19">
        <f t="shared" ref="AS7:AT7" si="8">SUM(AS5:AS6)</f>
        <v>0</v>
      </c>
      <c r="AT7" s="19">
        <f t="shared" si="8"/>
        <v>19620</v>
      </c>
      <c r="AU7" s="19">
        <f t="shared" ref="AU7:AX7" si="9">SUM(AU5:AU6)</f>
        <v>0</v>
      </c>
      <c r="AV7" s="19">
        <f t="shared" si="9"/>
        <v>19620</v>
      </c>
      <c r="AW7" s="19">
        <f t="shared" si="9"/>
        <v>0</v>
      </c>
      <c r="AX7" s="19">
        <f t="shared" si="9"/>
        <v>19620</v>
      </c>
      <c r="AZ7">
        <f>+AQ7/2</f>
        <v>0</v>
      </c>
    </row>
    <row r="8" spans="1:52" ht="16" thickTop="1" x14ac:dyDescent="0.35">
      <c r="F8" s="9"/>
      <c r="U8" s="11"/>
      <c r="V8" s="11"/>
      <c r="W8" s="11"/>
      <c r="X8" s="11"/>
      <c r="Y8" s="11"/>
    </row>
    <row r="9" spans="1:52" x14ac:dyDescent="0.35">
      <c r="F9" s="9"/>
      <c r="U9" s="11"/>
      <c r="V9" s="11"/>
      <c r="W9" s="11"/>
      <c r="X9" s="11"/>
      <c r="Y9" s="11"/>
    </row>
    <row r="10" spans="1:52" x14ac:dyDescent="0.35">
      <c r="F10" s="9"/>
      <c r="U10" s="11"/>
      <c r="V10" s="11"/>
      <c r="W10" s="11"/>
      <c r="X10" s="11"/>
      <c r="Y10" s="11"/>
    </row>
    <row r="11" spans="1:52" x14ac:dyDescent="0.35">
      <c r="F11" s="38"/>
      <c r="G11">
        <v>365</v>
      </c>
      <c r="H11" s="11">
        <f>G11-F11</f>
        <v>365</v>
      </c>
      <c r="I11" s="46"/>
      <c r="J11" s="10">
        <f>H11/G11</f>
        <v>1</v>
      </c>
      <c r="S11">
        <v>365</v>
      </c>
      <c r="T11" s="11">
        <f>S11-F11</f>
        <v>365</v>
      </c>
      <c r="U11" s="46"/>
      <c r="V11" s="46"/>
      <c r="W11" s="46"/>
      <c r="X11" s="46"/>
      <c r="Y11" s="10">
        <f>T11/S11</f>
        <v>1</v>
      </c>
    </row>
    <row r="12" spans="1:52" x14ac:dyDescent="0.35">
      <c r="F12" s="9"/>
      <c r="U12" s="11"/>
      <c r="V12" s="11"/>
      <c r="W12" s="11"/>
      <c r="X12" s="11"/>
      <c r="Y12" s="11"/>
    </row>
    <row r="13" spans="1:52" x14ac:dyDescent="0.35">
      <c r="F13" s="9"/>
      <c r="U13" s="11"/>
      <c r="V13" s="11"/>
      <c r="W13" s="11"/>
      <c r="X13" s="11"/>
      <c r="Y13" s="11"/>
    </row>
    <row r="14" spans="1:52" x14ac:dyDescent="0.35">
      <c r="F14" s="9"/>
      <c r="U14" s="11"/>
      <c r="V14" s="11"/>
      <c r="W14" s="11"/>
      <c r="X14" s="11"/>
      <c r="Y14" s="11"/>
    </row>
    <row r="15" spans="1:52" x14ac:dyDescent="0.35">
      <c r="F15" s="9"/>
      <c r="U15" s="11"/>
      <c r="V15" s="11"/>
      <c r="W15" s="11"/>
      <c r="X15" s="11"/>
      <c r="Y15" s="11"/>
    </row>
    <row r="16" spans="1:52" x14ac:dyDescent="0.35">
      <c r="U16" s="11"/>
      <c r="V16" s="11"/>
      <c r="W16" s="11"/>
      <c r="X16" s="11"/>
      <c r="Y16" s="11"/>
    </row>
  </sheetData>
  <mergeCells count="1">
    <mergeCell ref="G3:R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Y22"/>
  <sheetViews>
    <sheetView workbookViewId="0">
      <selection activeCell="E1" sqref="E1"/>
    </sheetView>
  </sheetViews>
  <sheetFormatPr defaultRowHeight="15.5" x14ac:dyDescent="0.35"/>
  <cols>
    <col min="1" max="1" width="3.33203125" customWidth="1"/>
    <col min="2" max="2" width="22.25" customWidth="1"/>
    <col min="3" max="3" width="7" customWidth="1"/>
    <col min="4" max="4" width="6.08203125" customWidth="1"/>
    <col min="5" max="5" width="10.08203125" customWidth="1"/>
    <col min="6" max="6" width="10.08203125" bestFit="1" customWidth="1"/>
    <col min="7" max="14" width="8.58203125" hidden="1" customWidth="1"/>
    <col min="15" max="18" width="7.58203125" hidden="1" customWidth="1"/>
    <col min="19" max="19" width="11.58203125" hidden="1" customWidth="1"/>
    <col min="20" max="20" width="10.33203125" hidden="1" customWidth="1"/>
    <col min="21" max="21" width="9.08203125" bestFit="1" customWidth="1"/>
    <col min="22" max="22" width="6.5" hidden="1" customWidth="1"/>
    <col min="23" max="24" width="9.33203125" hidden="1" customWidth="1"/>
    <col min="25" max="25" width="4.83203125" hidden="1" customWidth="1"/>
    <col min="26" max="26" width="5.58203125" hidden="1" customWidth="1"/>
    <col min="27" max="27" width="8.83203125" hidden="1" customWidth="1"/>
    <col min="28" max="30" width="9" hidden="1" customWidth="1"/>
    <col min="31" max="31" width="5.58203125" bestFit="1" customWidth="1"/>
    <col min="32" max="32" width="12.33203125" style="8" hidden="1" customWidth="1"/>
    <col min="33" max="33" width="11.08203125" style="8" hidden="1" customWidth="1"/>
    <col min="34" max="34" width="11.58203125" hidden="1" customWidth="1"/>
    <col min="35" max="35" width="9.5" hidden="1" customWidth="1"/>
    <col min="36" max="37" width="11.25" hidden="1" customWidth="1"/>
    <col min="38" max="38" width="11" hidden="1" customWidth="1"/>
    <col min="39" max="39" width="10.08203125" hidden="1" customWidth="1"/>
    <col min="40" max="40" width="11.08203125" hidden="1" customWidth="1"/>
    <col min="41" max="42" width="10.5" hidden="1" customWidth="1"/>
    <col min="43" max="49" width="10.5" customWidth="1"/>
    <col min="50" max="50" width="10.08203125" bestFit="1" customWidth="1"/>
  </cols>
  <sheetData>
    <row r="1" spans="1:51" x14ac:dyDescent="0.35">
      <c r="A1" s="111" t="s">
        <v>65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</row>
    <row r="3" spans="1:51" x14ac:dyDescent="0.35">
      <c r="A3" s="2" t="s">
        <v>14</v>
      </c>
      <c r="B3" s="2" t="s">
        <v>17</v>
      </c>
      <c r="C3" s="36" t="s">
        <v>34</v>
      </c>
      <c r="D3" s="36" t="s">
        <v>19</v>
      </c>
      <c r="E3" s="2" t="s">
        <v>20</v>
      </c>
      <c r="F3" s="2" t="s">
        <v>23</v>
      </c>
      <c r="G3" s="193" t="s">
        <v>22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2" t="s">
        <v>13</v>
      </c>
      <c r="T3" s="2" t="s">
        <v>36</v>
      </c>
      <c r="U3" s="2" t="s">
        <v>24</v>
      </c>
      <c r="V3" s="2" t="s">
        <v>52</v>
      </c>
      <c r="W3" s="2" t="s">
        <v>52</v>
      </c>
      <c r="X3" s="2"/>
      <c r="Y3" s="2" t="s">
        <v>191</v>
      </c>
      <c r="Z3" s="2" t="s">
        <v>104</v>
      </c>
      <c r="AA3" s="2" t="s">
        <v>54</v>
      </c>
      <c r="AB3" s="48" t="s">
        <v>22</v>
      </c>
      <c r="AC3" s="48" t="s">
        <v>170</v>
      </c>
      <c r="AE3" s="74" t="s">
        <v>35</v>
      </c>
      <c r="AF3" s="60" t="s">
        <v>22</v>
      </c>
      <c r="AG3" s="59" t="s">
        <v>36</v>
      </c>
      <c r="AH3" s="2" t="s">
        <v>201</v>
      </c>
      <c r="AI3" s="60" t="s">
        <v>36</v>
      </c>
      <c r="AJ3" s="2" t="s">
        <v>200</v>
      </c>
      <c r="AK3" s="60" t="s">
        <v>36</v>
      </c>
      <c r="AL3" s="2" t="s">
        <v>211</v>
      </c>
      <c r="AM3" s="60" t="s">
        <v>36</v>
      </c>
      <c r="AN3" s="2" t="s">
        <v>219</v>
      </c>
      <c r="AO3" s="60" t="s">
        <v>36</v>
      </c>
      <c r="AP3" s="2" t="s">
        <v>226</v>
      </c>
      <c r="AQ3" s="60" t="s">
        <v>36</v>
      </c>
      <c r="AR3" s="2" t="s">
        <v>230</v>
      </c>
      <c r="AS3" s="60" t="s">
        <v>36</v>
      </c>
      <c r="AT3" s="2" t="s">
        <v>235</v>
      </c>
      <c r="AU3" s="60" t="s">
        <v>36</v>
      </c>
      <c r="AV3" s="2" t="s">
        <v>240</v>
      </c>
      <c r="AW3" s="60" t="s">
        <v>36</v>
      </c>
    </row>
    <row r="4" spans="1:51" x14ac:dyDescent="0.35">
      <c r="A4" s="4" t="s">
        <v>16</v>
      </c>
      <c r="B4" s="4" t="s">
        <v>18</v>
      </c>
      <c r="C4" s="37" t="s">
        <v>35</v>
      </c>
      <c r="D4" s="37" t="s">
        <v>28</v>
      </c>
      <c r="E4" s="4" t="s">
        <v>21</v>
      </c>
      <c r="F4" s="4" t="s">
        <v>15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5" t="s">
        <v>10</v>
      </c>
      <c r="Q4" s="5" t="s">
        <v>11</v>
      </c>
      <c r="R4" s="5" t="s">
        <v>12</v>
      </c>
      <c r="S4" s="4" t="s">
        <v>22</v>
      </c>
      <c r="T4" s="4" t="s">
        <v>37</v>
      </c>
      <c r="U4" s="4" t="s">
        <v>25</v>
      </c>
      <c r="V4" s="4" t="s">
        <v>104</v>
      </c>
      <c r="W4" s="4" t="s">
        <v>53</v>
      </c>
      <c r="X4" s="4"/>
      <c r="Y4" s="4" t="s">
        <v>192</v>
      </c>
      <c r="Z4" s="4" t="s">
        <v>193</v>
      </c>
      <c r="AA4" s="4" t="s">
        <v>55</v>
      </c>
      <c r="AB4" s="48" t="s">
        <v>169</v>
      </c>
      <c r="AC4" s="48" t="s">
        <v>171</v>
      </c>
      <c r="AD4" s="51" t="s">
        <v>184</v>
      </c>
      <c r="AE4" s="75" t="s">
        <v>194</v>
      </c>
      <c r="AF4" s="62" t="s">
        <v>195</v>
      </c>
      <c r="AG4" s="61" t="s">
        <v>189</v>
      </c>
      <c r="AH4" s="4" t="s">
        <v>22</v>
      </c>
      <c r="AI4" s="62" t="s">
        <v>197</v>
      </c>
      <c r="AJ4" s="4" t="s">
        <v>22</v>
      </c>
      <c r="AK4" s="62" t="s">
        <v>199</v>
      </c>
      <c r="AL4" s="4" t="s">
        <v>22</v>
      </c>
      <c r="AM4" s="62" t="s">
        <v>212</v>
      </c>
      <c r="AN4" s="4" t="s">
        <v>22</v>
      </c>
      <c r="AO4" s="62" t="s">
        <v>220</v>
      </c>
      <c r="AP4" s="4" t="s">
        <v>22</v>
      </c>
      <c r="AQ4" s="62" t="s">
        <v>227</v>
      </c>
      <c r="AR4" s="4" t="s">
        <v>22</v>
      </c>
      <c r="AS4" s="62" t="s">
        <v>231</v>
      </c>
      <c r="AT4" s="4" t="s">
        <v>22</v>
      </c>
      <c r="AU4" s="62" t="s">
        <v>234</v>
      </c>
      <c r="AV4" s="4" t="s">
        <v>22</v>
      </c>
      <c r="AW4" s="62" t="s">
        <v>239</v>
      </c>
      <c r="AX4" s="48" t="s">
        <v>223</v>
      </c>
    </row>
    <row r="5" spans="1:51" x14ac:dyDescent="0.35">
      <c r="A5" s="1">
        <v>1</v>
      </c>
      <c r="B5" t="s">
        <v>67</v>
      </c>
      <c r="C5" s="21">
        <v>0.1391</v>
      </c>
      <c r="D5" s="1">
        <v>15</v>
      </c>
      <c r="E5" s="54">
        <v>37461</v>
      </c>
      <c r="F5" s="9">
        <v>1549576</v>
      </c>
      <c r="G5" s="9">
        <f>ROUND((F5*C5)*251/365,0)</f>
        <v>148225</v>
      </c>
      <c r="H5" s="9">
        <f>ROUND((F5-G5)*C5,0)</f>
        <v>194928</v>
      </c>
      <c r="I5" s="9">
        <f>ROUND((F5-G5-H5)*C5,0)</f>
        <v>167813</v>
      </c>
      <c r="J5" s="9">
        <f>ROUND((F5-G5-H5-I5)*C5,0)</f>
        <v>144471</v>
      </c>
      <c r="K5" s="9">
        <f>ROUND((F5-G5-H5-I5-J5)*C5,0)</f>
        <v>124375</v>
      </c>
      <c r="L5" s="9">
        <f>ROUND((F5-G5-H5-I5-J5-K5)*C5,0)</f>
        <v>107074</v>
      </c>
      <c r="M5" s="9">
        <f>ROUND((F5-G5-H5-I5-J5-K5-L5)*C5,0)</f>
        <v>92180</v>
      </c>
      <c r="N5" s="9">
        <f>ROUND((F5-G5-H5-I5-J5-K5-L5-M5)*C5,0)</f>
        <v>79358</v>
      </c>
      <c r="O5" s="9">
        <f>ROUND((F5-G5-H5-I5-J5-K5-L5-M5-N5)*C5,0)</f>
        <v>68319</v>
      </c>
      <c r="P5" s="9">
        <f>ROUND((F5-G5-H5-I5-J5-K5-L5-M5-N5-O5)*C5,0)</f>
        <v>58816</v>
      </c>
      <c r="Q5" s="9">
        <f>ROUND((F5-G5-H5-I5-J5-K5-L5-M5-N5-O5-P5)*C5,0)</f>
        <v>50635</v>
      </c>
      <c r="R5" s="9">
        <f>ROUND((F5-G5-H5-I5-J5-K5-L5-M5-N5-O5-P5-Q5)*C5,0)</f>
        <v>43591</v>
      </c>
      <c r="S5" s="11">
        <f>SUM(G5:R5)</f>
        <v>1279785</v>
      </c>
      <c r="T5" s="11">
        <f>+F5-S5</f>
        <v>269791</v>
      </c>
      <c r="U5" s="9">
        <f>ROUND(F5*5%,0)</f>
        <v>77479</v>
      </c>
      <c r="V5" s="38" t="s">
        <v>105</v>
      </c>
      <c r="W5" s="1">
        <v>3.31</v>
      </c>
      <c r="X5" s="52">
        <v>41729</v>
      </c>
      <c r="Y5" s="55">
        <f>X5-E5</f>
        <v>4268</v>
      </c>
      <c r="Z5" s="53">
        <f>IF(D5*365-Y5&lt;1,0,(D5*365-Y5)/365)</f>
        <v>3.3068493150684932</v>
      </c>
      <c r="AA5" s="9">
        <f>T5-U5</f>
        <v>192312</v>
      </c>
      <c r="AB5">
        <v>89840</v>
      </c>
      <c r="AC5" s="10">
        <f>AB5/(T5-U5)*100</f>
        <v>46.715753567120096</v>
      </c>
      <c r="AD5">
        <f>(T5-U5)/W5</f>
        <v>58100.302114803628</v>
      </c>
      <c r="AE5" s="10">
        <f>1-POWER((0.05*F5)/T5,1/Z5)</f>
        <v>0.31428323937519076</v>
      </c>
      <c r="AF5" s="8">
        <f>ROUND(T5*AE5,0)</f>
        <v>84791</v>
      </c>
      <c r="AG5" s="8">
        <f>+T5-AF5</f>
        <v>185000</v>
      </c>
      <c r="AH5" s="8">
        <f>ROUND(AG5*AE5,0)</f>
        <v>58142</v>
      </c>
      <c r="AI5" s="11">
        <f>AG5-AH5</f>
        <v>126858</v>
      </c>
      <c r="AJ5" s="9">
        <f>ROUND(AI5*AE5,0)</f>
        <v>39869</v>
      </c>
      <c r="AK5" s="11">
        <f>AI5-AJ5</f>
        <v>86989</v>
      </c>
      <c r="AL5" s="9">
        <f>+AK5-U5</f>
        <v>9510</v>
      </c>
      <c r="AM5" s="11">
        <f t="shared" ref="AM5" si="0">AK5-AL5</f>
        <v>77479</v>
      </c>
      <c r="AN5" s="11">
        <f>+U5-AM5</f>
        <v>0</v>
      </c>
      <c r="AO5" s="11">
        <f>+AM5-AN5</f>
        <v>77479</v>
      </c>
      <c r="AP5" s="11">
        <f>+U5-AO5</f>
        <v>0</v>
      </c>
      <c r="AQ5" s="11">
        <f>+AO5-AP5</f>
        <v>77479</v>
      </c>
      <c r="AR5" s="11">
        <v>0</v>
      </c>
      <c r="AS5" s="11">
        <f>+AQ5-AR5</f>
        <v>77479</v>
      </c>
      <c r="AT5" s="11">
        <v>0</v>
      </c>
      <c r="AU5" s="11">
        <f>+AS5-AT5</f>
        <v>77479</v>
      </c>
      <c r="AV5" s="11">
        <v>0</v>
      </c>
      <c r="AW5" s="11">
        <f>+AU5-AV5</f>
        <v>77479</v>
      </c>
      <c r="AX5" s="11">
        <f>+AW5-U5</f>
        <v>0</v>
      </c>
    </row>
    <row r="6" spans="1:51" x14ac:dyDescent="0.35">
      <c r="C6" s="24"/>
      <c r="E6" s="3" t="s">
        <v>38</v>
      </c>
      <c r="F6" s="13">
        <f t="shared" ref="F6:U6" si="1">SUM(F5:F5)</f>
        <v>1549576</v>
      </c>
      <c r="G6" s="13">
        <f t="shared" si="1"/>
        <v>148225</v>
      </c>
      <c r="H6" s="13">
        <f t="shared" si="1"/>
        <v>194928</v>
      </c>
      <c r="I6" s="13">
        <f t="shared" si="1"/>
        <v>167813</v>
      </c>
      <c r="J6" s="13">
        <f t="shared" si="1"/>
        <v>144471</v>
      </c>
      <c r="K6" s="13">
        <f t="shared" si="1"/>
        <v>124375</v>
      </c>
      <c r="L6" s="13">
        <f t="shared" si="1"/>
        <v>107074</v>
      </c>
      <c r="M6" s="13">
        <f t="shared" si="1"/>
        <v>92180</v>
      </c>
      <c r="N6" s="13">
        <f t="shared" si="1"/>
        <v>79358</v>
      </c>
      <c r="O6" s="13">
        <f t="shared" si="1"/>
        <v>68319</v>
      </c>
      <c r="P6" s="13">
        <f t="shared" si="1"/>
        <v>58816</v>
      </c>
      <c r="Q6" s="13">
        <f t="shared" si="1"/>
        <v>50635</v>
      </c>
      <c r="R6" s="13">
        <f t="shared" si="1"/>
        <v>43591</v>
      </c>
      <c r="S6" s="13">
        <f t="shared" si="1"/>
        <v>1279785</v>
      </c>
      <c r="T6" s="28">
        <f t="shared" si="1"/>
        <v>269791</v>
      </c>
      <c r="U6" s="13">
        <f t="shared" si="1"/>
        <v>77479</v>
      </c>
      <c r="V6" s="13"/>
      <c r="W6" s="12"/>
      <c r="X6" s="12"/>
      <c r="Y6" s="12"/>
      <c r="Z6" s="12"/>
      <c r="AA6" s="20">
        <f>SUM(AA5:AA5)</f>
        <v>192312</v>
      </c>
      <c r="AB6" s="20">
        <f t="shared" ref="AB6:AD6" si="2">SUM(AB5:AB5)</f>
        <v>89840</v>
      </c>
      <c r="AC6" s="20">
        <f t="shared" si="2"/>
        <v>46.715753567120096</v>
      </c>
      <c r="AD6" s="20">
        <f t="shared" si="2"/>
        <v>58100.302114803628</v>
      </c>
      <c r="AF6" s="57">
        <f t="shared" ref="AF6:AI6" si="3">SUM(AF5:AF5)</f>
        <v>84791</v>
      </c>
      <c r="AG6" s="57">
        <f t="shared" si="3"/>
        <v>185000</v>
      </c>
      <c r="AH6" s="57">
        <f t="shared" si="3"/>
        <v>58142</v>
      </c>
      <c r="AI6" s="13">
        <f t="shared" si="3"/>
        <v>126858</v>
      </c>
      <c r="AJ6" s="13">
        <f t="shared" ref="AJ6:AQ6" si="4">SUM(AJ5:AJ5)</f>
        <v>39869</v>
      </c>
      <c r="AK6" s="13">
        <f t="shared" si="4"/>
        <v>86989</v>
      </c>
      <c r="AL6" s="13">
        <f t="shared" si="4"/>
        <v>9510</v>
      </c>
      <c r="AM6" s="13">
        <f t="shared" si="4"/>
        <v>77479</v>
      </c>
      <c r="AN6" s="13">
        <f t="shared" si="4"/>
        <v>0</v>
      </c>
      <c r="AO6" s="13">
        <f t="shared" si="4"/>
        <v>77479</v>
      </c>
      <c r="AP6" s="13">
        <f t="shared" si="4"/>
        <v>0</v>
      </c>
      <c r="AQ6" s="13">
        <f t="shared" si="4"/>
        <v>77479</v>
      </c>
      <c r="AR6" s="13">
        <f t="shared" ref="AR6:AS6" si="5">SUM(AR5:AR5)</f>
        <v>0</v>
      </c>
      <c r="AS6" s="13">
        <f t="shared" si="5"/>
        <v>77479</v>
      </c>
      <c r="AT6" s="13">
        <f t="shared" ref="AT6:AW6" si="6">SUM(AT5:AT5)</f>
        <v>0</v>
      </c>
      <c r="AU6" s="13">
        <f t="shared" si="6"/>
        <v>77479</v>
      </c>
      <c r="AV6" s="13">
        <f t="shared" si="6"/>
        <v>0</v>
      </c>
      <c r="AW6" s="13">
        <f t="shared" si="6"/>
        <v>77479</v>
      </c>
    </row>
    <row r="7" spans="1:51" x14ac:dyDescent="0.35">
      <c r="C7" s="25"/>
      <c r="F7" s="9"/>
      <c r="U7" s="11"/>
      <c r="V7" s="11"/>
      <c r="AI7" s="11"/>
      <c r="AJ7" s="11"/>
      <c r="AK7" s="11"/>
      <c r="AL7" s="11"/>
      <c r="AM7" s="11"/>
    </row>
    <row r="8" spans="1:51" x14ac:dyDescent="0.35">
      <c r="A8" s="1">
        <v>2</v>
      </c>
      <c r="B8" t="s">
        <v>66</v>
      </c>
      <c r="C8" s="21">
        <v>0.1391</v>
      </c>
      <c r="D8" s="1">
        <v>15</v>
      </c>
      <c r="E8" s="56">
        <v>37690</v>
      </c>
      <c r="F8" s="9">
        <v>700000</v>
      </c>
      <c r="G8" s="9">
        <f>ROUND((F8*C8)*22/365,0)</f>
        <v>5869</v>
      </c>
      <c r="H8" s="9">
        <f>ROUND((F8-G8)*C8,0)</f>
        <v>96554</v>
      </c>
      <c r="I8" s="27">
        <f>ROUND((F8-G8-H8)*C8,0)+118747</f>
        <v>201870</v>
      </c>
      <c r="J8" s="9">
        <f>ROUND((F8-G8-H8-I8)*C8,0)</f>
        <v>55043</v>
      </c>
      <c r="K8" s="9">
        <f>ROUND((F8-G8-H8-I8-J8)*C8,0)</f>
        <v>47386</v>
      </c>
      <c r="L8" s="9">
        <f>ROUND((F8-G8-H8-I8-J8-K8)*C8,0)</f>
        <v>40795</v>
      </c>
      <c r="M8" s="9">
        <f>ROUND((F8-G8-H8-I8-J8-K8-L8)*C8,0)</f>
        <v>35120</v>
      </c>
      <c r="N8" s="9">
        <f>ROUND((F8-G8-H8-I8-J8-K8-L8-M8)*C8,0)</f>
        <v>30235</v>
      </c>
      <c r="O8" s="9">
        <f>ROUND((F8-G8-H8-I8-J8-K8-L8-M8-N8)*C8,0)</f>
        <v>26030</v>
      </c>
      <c r="P8" s="9">
        <f>ROUND((F8-G8-H8-I8-J8-K8-L8-M8-N8-O8)*C8,0)</f>
        <v>22409</v>
      </c>
      <c r="Q8" s="9">
        <f>ROUND((F8-G8-H8-I8-J8-K8-L8-M8-N8-O8-P8)*C8,0)</f>
        <v>19292</v>
      </c>
      <c r="R8" s="9">
        <f>ROUND((F8-G8-H8-I8-J8-K8-L8-M8-N8-O8-P8-Q8)*C8,0)</f>
        <v>16608</v>
      </c>
      <c r="S8" s="11">
        <f t="shared" ref="S8" si="7">SUM(G8:R8)</f>
        <v>597211</v>
      </c>
      <c r="T8" s="11">
        <f t="shared" ref="T8" si="8">+F8-S8</f>
        <v>102789</v>
      </c>
      <c r="U8" s="9">
        <f t="shared" ref="U8" si="9">ROUND(F8*5%,0)</f>
        <v>35000</v>
      </c>
      <c r="V8" s="38" t="s">
        <v>106</v>
      </c>
      <c r="W8" s="1">
        <v>8.94</v>
      </c>
      <c r="X8" s="52">
        <v>41729</v>
      </c>
      <c r="Y8" s="55">
        <f>X8-E8</f>
        <v>4039</v>
      </c>
      <c r="Z8" s="53">
        <f>IF(D8*365-Y8&lt;1,0,(D8*365-Y8)/365)</f>
        <v>3.9342465753424656</v>
      </c>
      <c r="AA8" s="9">
        <f>T8-U8</f>
        <v>67789</v>
      </c>
      <c r="AB8">
        <v>11718</v>
      </c>
      <c r="AC8" s="10">
        <f>AB8/(T8-U8)*100</f>
        <v>17.285990352417059</v>
      </c>
      <c r="AD8">
        <f>(T8-U8)/W8</f>
        <v>7582.6621923937364</v>
      </c>
      <c r="AE8" s="10">
        <f>1-POWER((0.05*F8)/T8,1/Z8)</f>
        <v>0.23954166148548106</v>
      </c>
      <c r="AF8" s="8">
        <f>ROUND(T8*AE8,0)</f>
        <v>24622</v>
      </c>
      <c r="AG8" s="8">
        <f>+T8-AF8</f>
        <v>78167</v>
      </c>
      <c r="AH8" s="8">
        <f>ROUND(AG8*AE8,0)</f>
        <v>18724</v>
      </c>
      <c r="AI8" s="11">
        <f>AG8-AH8</f>
        <v>59443</v>
      </c>
      <c r="AJ8" s="9">
        <f>ROUND(AI8*AE8,0)</f>
        <v>14239</v>
      </c>
      <c r="AK8" s="11">
        <f>AI8-AJ8</f>
        <v>45204</v>
      </c>
      <c r="AL8" s="9">
        <f>+AK8-U8</f>
        <v>10204</v>
      </c>
      <c r="AM8" s="11">
        <f t="shared" ref="AM8" si="10">AK8-AL8</f>
        <v>35000</v>
      </c>
      <c r="AN8" s="11">
        <f>+U8-AM8</f>
        <v>0</v>
      </c>
      <c r="AO8" s="11">
        <f>+AM8-AN8</f>
        <v>35000</v>
      </c>
      <c r="AP8" s="11">
        <f>+U8-AO8</f>
        <v>0</v>
      </c>
      <c r="AQ8" s="11">
        <f>+AO8-AP8</f>
        <v>35000</v>
      </c>
      <c r="AR8" s="11">
        <v>0</v>
      </c>
      <c r="AS8" s="11">
        <f>+AQ8-AR8</f>
        <v>35000</v>
      </c>
      <c r="AT8" s="11">
        <v>0</v>
      </c>
      <c r="AU8" s="11">
        <f>+AS8-AT8</f>
        <v>35000</v>
      </c>
      <c r="AV8" s="11">
        <v>0</v>
      </c>
      <c r="AW8" s="11">
        <f>+AU8-AV8</f>
        <v>35000</v>
      </c>
      <c r="AX8" s="11">
        <f t="shared" ref="AX8" si="11">+AU8-U8</f>
        <v>0</v>
      </c>
    </row>
    <row r="9" spans="1:51" x14ac:dyDescent="0.35">
      <c r="A9" s="1"/>
      <c r="C9" s="21"/>
      <c r="D9" s="1">
        <v>15</v>
      </c>
      <c r="E9" s="138">
        <v>43238</v>
      </c>
      <c r="F9" s="9">
        <v>1995195</v>
      </c>
      <c r="G9" s="9"/>
      <c r="H9" s="9"/>
      <c r="I9" s="27"/>
      <c r="J9" s="9"/>
      <c r="K9" s="9"/>
      <c r="L9" s="9"/>
      <c r="M9" s="9"/>
      <c r="N9" s="9"/>
      <c r="O9" s="9"/>
      <c r="P9" s="9"/>
      <c r="Q9" s="9"/>
      <c r="R9" s="9"/>
      <c r="S9" s="11"/>
      <c r="T9" s="11"/>
      <c r="U9" s="9">
        <f>ROUND(F9*5%,0)</f>
        <v>99760</v>
      </c>
      <c r="V9" s="38"/>
      <c r="W9" s="1"/>
      <c r="X9" s="52"/>
      <c r="Y9" s="55"/>
      <c r="Z9" s="53"/>
      <c r="AA9" s="9"/>
      <c r="AC9" s="10"/>
      <c r="AE9" s="10">
        <f>1-POWER((0.05*F9)/F9,1/D9)</f>
        <v>0.18103627252208465</v>
      </c>
      <c r="AH9" s="8"/>
      <c r="AI9" s="11">
        <v>0</v>
      </c>
      <c r="AJ9" s="9">
        <v>0</v>
      </c>
      <c r="AK9" s="11">
        <v>0</v>
      </c>
      <c r="AL9" s="9">
        <v>0</v>
      </c>
      <c r="AM9" s="11">
        <v>0</v>
      </c>
      <c r="AN9" s="9">
        <f>ROUND((F9*AE9)/365*318,0)</f>
        <v>314692</v>
      </c>
      <c r="AO9" s="11">
        <f>+F9-AN9</f>
        <v>1680503</v>
      </c>
      <c r="AP9" s="9">
        <f>ROUND(AO9*AE9,0)</f>
        <v>304232</v>
      </c>
      <c r="AQ9" s="11">
        <f>AO9-AP9</f>
        <v>1376271</v>
      </c>
      <c r="AR9" s="9">
        <f>ROUND(AQ9*AE9,0)</f>
        <v>249155</v>
      </c>
      <c r="AS9" s="11">
        <f>AQ9-AR9</f>
        <v>1127116</v>
      </c>
      <c r="AT9" s="9">
        <f>ROUND(AS9*AE9,0)</f>
        <v>204049</v>
      </c>
      <c r="AU9" s="11">
        <f>AS9-AT9</f>
        <v>923067</v>
      </c>
      <c r="AV9" s="9">
        <f>ROUND(AU9*AE9,0)</f>
        <v>167109</v>
      </c>
      <c r="AW9" s="11">
        <f>AU9-AV9</f>
        <v>755958</v>
      </c>
      <c r="AX9" s="11">
        <f>+AW9-U9</f>
        <v>656198</v>
      </c>
    </row>
    <row r="10" spans="1:51" x14ac:dyDescent="0.35">
      <c r="C10" s="24"/>
      <c r="E10" s="3" t="s">
        <v>38</v>
      </c>
      <c r="F10" s="13">
        <f>SUM(F8:F9)</f>
        <v>2695195</v>
      </c>
      <c r="G10" s="13">
        <f t="shared" ref="G10" si="12">SUM(G8:G8)</f>
        <v>5869</v>
      </c>
      <c r="H10" s="13">
        <f t="shared" ref="H10" si="13">SUM(H8:H8)</f>
        <v>96554</v>
      </c>
      <c r="I10" s="13">
        <f t="shared" ref="I10:S10" si="14">SUM(I8:I8)</f>
        <v>201870</v>
      </c>
      <c r="J10" s="13">
        <f t="shared" si="14"/>
        <v>55043</v>
      </c>
      <c r="K10" s="13">
        <f t="shared" si="14"/>
        <v>47386</v>
      </c>
      <c r="L10" s="13">
        <f t="shared" si="14"/>
        <v>40795</v>
      </c>
      <c r="M10" s="13">
        <f t="shared" si="14"/>
        <v>35120</v>
      </c>
      <c r="N10" s="13">
        <f t="shared" si="14"/>
        <v>30235</v>
      </c>
      <c r="O10" s="13">
        <f t="shared" si="14"/>
        <v>26030</v>
      </c>
      <c r="P10" s="13">
        <f t="shared" si="14"/>
        <v>22409</v>
      </c>
      <c r="Q10" s="13">
        <f t="shared" si="14"/>
        <v>19292</v>
      </c>
      <c r="R10" s="13">
        <f t="shared" si="14"/>
        <v>16608</v>
      </c>
      <c r="S10" s="13">
        <f t="shared" si="14"/>
        <v>597211</v>
      </c>
      <c r="T10" s="28">
        <f>SUM(T8:T8)</f>
        <v>102789</v>
      </c>
      <c r="U10" s="13">
        <f>SUM(U8:U9)</f>
        <v>134760</v>
      </c>
      <c r="V10" s="13"/>
      <c r="W10" s="12"/>
      <c r="X10" s="12"/>
      <c r="Y10" s="12"/>
      <c r="Z10" s="12"/>
      <c r="AA10" s="20">
        <f>SUM(AA8:AA8)</f>
        <v>67789</v>
      </c>
      <c r="AB10" s="20">
        <f t="shared" ref="AB10:AD10" si="15">SUM(AB8:AB8)</f>
        <v>11718</v>
      </c>
      <c r="AC10" s="20">
        <f t="shared" si="15"/>
        <v>17.285990352417059</v>
      </c>
      <c r="AD10" s="20">
        <f t="shared" si="15"/>
        <v>7582.6621923937364</v>
      </c>
      <c r="AF10" s="57">
        <f t="shared" ref="AF10:AH10" si="16">SUM(AF8:AF8)</f>
        <v>24622</v>
      </c>
      <c r="AG10" s="57">
        <f t="shared" si="16"/>
        <v>78167</v>
      </c>
      <c r="AH10" s="57">
        <f t="shared" si="16"/>
        <v>18724</v>
      </c>
      <c r="AI10" s="13">
        <f t="shared" ref="AI10:AM10" si="17">SUM(AI8:AI9)</f>
        <v>59443</v>
      </c>
      <c r="AJ10" s="13">
        <f t="shared" si="17"/>
        <v>14239</v>
      </c>
      <c r="AK10" s="13">
        <f t="shared" si="17"/>
        <v>45204</v>
      </c>
      <c r="AL10" s="13">
        <f t="shared" si="17"/>
        <v>10204</v>
      </c>
      <c r="AM10" s="13">
        <f t="shared" si="17"/>
        <v>35000</v>
      </c>
      <c r="AN10" s="13">
        <f t="shared" ref="AN10:AS10" si="18">SUM(AN8:AN9)</f>
        <v>314692</v>
      </c>
      <c r="AO10" s="13">
        <f t="shared" si="18"/>
        <v>1715503</v>
      </c>
      <c r="AP10" s="13">
        <f t="shared" si="18"/>
        <v>304232</v>
      </c>
      <c r="AQ10" s="13">
        <f t="shared" si="18"/>
        <v>1411271</v>
      </c>
      <c r="AR10" s="13">
        <f t="shared" si="18"/>
        <v>249155</v>
      </c>
      <c r="AS10" s="13">
        <f t="shared" si="18"/>
        <v>1162116</v>
      </c>
      <c r="AT10" s="13">
        <f t="shared" ref="AT10:AW10" si="19">SUM(AT8:AT9)</f>
        <v>204049</v>
      </c>
      <c r="AU10" s="13">
        <f t="shared" si="19"/>
        <v>958067</v>
      </c>
      <c r="AV10" s="13">
        <f t="shared" si="19"/>
        <v>167109</v>
      </c>
      <c r="AW10" s="13">
        <f t="shared" si="19"/>
        <v>790958</v>
      </c>
    </row>
    <row r="11" spans="1:51" x14ac:dyDescent="0.35">
      <c r="C11" s="26"/>
      <c r="E11" s="1"/>
      <c r="F11" s="9"/>
      <c r="U11" s="11"/>
      <c r="V11" s="11"/>
      <c r="AI11" s="11"/>
      <c r="AJ11" s="11"/>
      <c r="AK11" s="11"/>
      <c r="AL11" s="11"/>
      <c r="AM11" s="11"/>
    </row>
    <row r="12" spans="1:51" ht="16" thickBot="1" x14ac:dyDescent="0.4">
      <c r="B12" s="6" t="s">
        <v>68</v>
      </c>
      <c r="C12" s="24"/>
      <c r="E12" s="3" t="s">
        <v>39</v>
      </c>
      <c r="F12" s="16">
        <f t="shared" ref="F12:U12" si="20">+F6+F10</f>
        <v>4244771</v>
      </c>
      <c r="G12" s="16">
        <f t="shared" si="20"/>
        <v>154094</v>
      </c>
      <c r="H12" s="16">
        <f t="shared" si="20"/>
        <v>291482</v>
      </c>
      <c r="I12" s="16">
        <f t="shared" si="20"/>
        <v>369683</v>
      </c>
      <c r="J12" s="16">
        <f t="shared" si="20"/>
        <v>199514</v>
      </c>
      <c r="K12" s="16">
        <f t="shared" si="20"/>
        <v>171761</v>
      </c>
      <c r="L12" s="16">
        <f t="shared" si="20"/>
        <v>147869</v>
      </c>
      <c r="M12" s="16">
        <f t="shared" si="20"/>
        <v>127300</v>
      </c>
      <c r="N12" s="16">
        <f t="shared" si="20"/>
        <v>109593</v>
      </c>
      <c r="O12" s="16">
        <f t="shared" si="20"/>
        <v>94349</v>
      </c>
      <c r="P12" s="16">
        <f t="shared" si="20"/>
        <v>81225</v>
      </c>
      <c r="Q12" s="16">
        <f t="shared" si="20"/>
        <v>69927</v>
      </c>
      <c r="R12" s="16">
        <f t="shared" si="20"/>
        <v>60199</v>
      </c>
      <c r="S12" s="16">
        <f t="shared" si="20"/>
        <v>1876996</v>
      </c>
      <c r="T12" s="29">
        <f t="shared" si="20"/>
        <v>372580</v>
      </c>
      <c r="U12" s="16">
        <f t="shared" si="20"/>
        <v>212239</v>
      </c>
      <c r="V12" s="16"/>
      <c r="W12" s="15"/>
      <c r="X12" s="15"/>
      <c r="Y12" s="15"/>
      <c r="Z12" s="15"/>
      <c r="AA12" s="19">
        <f>+AA6+AA10</f>
        <v>260101</v>
      </c>
      <c r="AB12" s="19">
        <f>+AB6+AB10</f>
        <v>101558</v>
      </c>
      <c r="AC12" s="19">
        <f>+AC6+AC10</f>
        <v>64.001743919537148</v>
      </c>
      <c r="AD12" s="19">
        <f>+AD6+AD10</f>
        <v>65682.96430719737</v>
      </c>
      <c r="AF12" s="58">
        <f>+AF6+AF10</f>
        <v>109413</v>
      </c>
      <c r="AG12" s="58">
        <f>+AG6+AG10</f>
        <v>263167</v>
      </c>
      <c r="AH12" s="58">
        <f t="shared" ref="AH12:AI12" si="21">+AH6+AH10</f>
        <v>76866</v>
      </c>
      <c r="AI12" s="16">
        <f t="shared" si="21"/>
        <v>186301</v>
      </c>
      <c r="AJ12" s="16">
        <f t="shared" ref="AJ12" si="22">+AJ6+AJ10</f>
        <v>54108</v>
      </c>
      <c r="AK12" s="16">
        <f>+AK6+AK10</f>
        <v>132193</v>
      </c>
      <c r="AL12" s="16">
        <f t="shared" ref="AL12:AQ12" si="23">+AL6+AL10</f>
        <v>19714</v>
      </c>
      <c r="AM12" s="16">
        <f t="shared" si="23"/>
        <v>112479</v>
      </c>
      <c r="AN12" s="16">
        <f>+AN6+AN10</f>
        <v>314692</v>
      </c>
      <c r="AO12" s="16">
        <f t="shared" si="23"/>
        <v>1792982</v>
      </c>
      <c r="AP12" s="16">
        <f>+AP6+AP10</f>
        <v>304232</v>
      </c>
      <c r="AQ12" s="16">
        <f t="shared" si="23"/>
        <v>1488750</v>
      </c>
      <c r="AR12" s="16">
        <f>+AR6+AR10</f>
        <v>249155</v>
      </c>
      <c r="AS12" s="16">
        <f t="shared" ref="AS12:AU12" si="24">+AS6+AS10</f>
        <v>1239595</v>
      </c>
      <c r="AT12" s="16">
        <f>+AT6+AT10</f>
        <v>204049</v>
      </c>
      <c r="AU12" s="16">
        <f t="shared" si="24"/>
        <v>1035546</v>
      </c>
      <c r="AV12" s="22"/>
      <c r="AW12" s="22"/>
      <c r="AY12" s="132">
        <f>(+AP12/12)*9</f>
        <v>228174</v>
      </c>
    </row>
    <row r="13" spans="1:51" ht="16" thickTop="1" x14ac:dyDescent="0.35">
      <c r="F13" s="9"/>
      <c r="U13" s="11"/>
      <c r="V13" s="11"/>
    </row>
    <row r="14" spans="1:51" x14ac:dyDescent="0.35">
      <c r="F14" s="9"/>
      <c r="U14" s="11"/>
      <c r="V14" s="11"/>
    </row>
    <row r="15" spans="1:51" x14ac:dyDescent="0.35">
      <c r="A15" s="1"/>
      <c r="C15" s="21"/>
      <c r="D15" s="1"/>
      <c r="E15" s="56">
        <v>43555</v>
      </c>
      <c r="F15" s="9">
        <f>+E15-E9</f>
        <v>317</v>
      </c>
      <c r="G15" s="9"/>
      <c r="H15" s="9"/>
      <c r="I15" s="27"/>
      <c r="J15" s="9"/>
      <c r="K15" s="9"/>
      <c r="L15" s="9"/>
      <c r="M15" s="9"/>
      <c r="N15" s="9"/>
      <c r="O15" s="9"/>
      <c r="P15" s="9"/>
      <c r="Q15" s="9"/>
      <c r="R15" s="9"/>
      <c r="S15" s="11"/>
      <c r="T15" s="11"/>
      <c r="U15" s="9"/>
      <c r="V15" s="38">
        <v>0</v>
      </c>
      <c r="W15" s="1"/>
      <c r="X15" s="1"/>
      <c r="Y15" s="1"/>
      <c r="Z15" s="1"/>
      <c r="AA15" s="9"/>
    </row>
    <row r="16" spans="1:51" x14ac:dyDescent="0.35">
      <c r="F16" s="9"/>
      <c r="U16" s="11"/>
      <c r="V16" s="11"/>
    </row>
    <row r="17" spans="5:22" x14ac:dyDescent="0.35">
      <c r="F17" s="9"/>
      <c r="U17" s="11"/>
      <c r="V17" s="11"/>
    </row>
    <row r="18" spans="5:22" x14ac:dyDescent="0.35">
      <c r="F18" s="9"/>
      <c r="H18" s="11"/>
      <c r="U18" s="11"/>
      <c r="V18" s="11"/>
    </row>
    <row r="19" spans="5:22" x14ac:dyDescent="0.35">
      <c r="F19" s="9"/>
      <c r="U19" s="11"/>
      <c r="V19" s="11"/>
    </row>
    <row r="20" spans="5:22" x14ac:dyDescent="0.35">
      <c r="E20" s="1"/>
      <c r="G20" s="11"/>
      <c r="H20" s="46"/>
      <c r="I20" s="10"/>
      <c r="S20" s="11"/>
      <c r="T20" s="46"/>
      <c r="U20" s="10"/>
      <c r="V20" s="11"/>
    </row>
    <row r="21" spans="5:22" x14ac:dyDescent="0.35">
      <c r="F21" s="9"/>
      <c r="U21" s="11"/>
      <c r="V21" s="11"/>
    </row>
    <row r="22" spans="5:22" x14ac:dyDescent="0.35">
      <c r="U22" s="11"/>
      <c r="V22" s="11"/>
    </row>
  </sheetData>
  <mergeCells count="1">
    <mergeCell ref="G3:R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22"/>
  <sheetViews>
    <sheetView workbookViewId="0">
      <selection activeCell="AU7" sqref="AU7"/>
    </sheetView>
  </sheetViews>
  <sheetFormatPr defaultRowHeight="15.5" x14ac:dyDescent="0.35"/>
  <cols>
    <col min="1" max="1" width="3.33203125" customWidth="1"/>
    <col min="2" max="2" width="13" customWidth="1"/>
    <col min="3" max="3" width="7" hidden="1" customWidth="1"/>
    <col min="4" max="4" width="6" customWidth="1"/>
    <col min="5" max="5" width="10.08203125" customWidth="1"/>
    <col min="6" max="6" width="8.58203125" bestFit="1" customWidth="1"/>
    <col min="7" max="17" width="7.58203125" hidden="1" customWidth="1"/>
    <col min="18" max="18" width="9.33203125" hidden="1" customWidth="1"/>
    <col min="19" max="19" width="11.33203125" hidden="1" customWidth="1"/>
    <col min="20" max="20" width="10.33203125" hidden="1" customWidth="1"/>
    <col min="21" max="21" width="7.58203125" bestFit="1" customWidth="1"/>
    <col min="22" max="22" width="6.5" hidden="1" customWidth="1"/>
    <col min="23" max="23" width="9.08203125" hidden="1" customWidth="1"/>
    <col min="24" max="24" width="10" hidden="1" customWidth="1"/>
    <col min="25" max="25" width="7.58203125" hidden="1" customWidth="1"/>
    <col min="26" max="26" width="6.75" hidden="1" customWidth="1"/>
    <col min="27" max="27" width="9.08203125" hidden="1" customWidth="1"/>
    <col min="28" max="28" width="9" hidden="1" customWidth="1"/>
    <col min="29" max="30" width="0" hidden="1" customWidth="1"/>
    <col min="31" max="31" width="6.5" customWidth="1"/>
    <col min="32" max="32" width="12.83203125" style="8" hidden="1" customWidth="1"/>
    <col min="33" max="33" width="11.08203125" style="8" hidden="1" customWidth="1"/>
    <col min="34" max="34" width="11.58203125" hidden="1" customWidth="1"/>
    <col min="35" max="35" width="11.08203125" bestFit="1" customWidth="1"/>
    <col min="36" max="36" width="11.58203125" hidden="1" customWidth="1"/>
    <col min="37" max="37" width="10.08203125" hidden="1" customWidth="1"/>
    <col min="38" max="38" width="10.58203125" hidden="1" customWidth="1"/>
    <col min="39" max="39" width="10.5" customWidth="1"/>
    <col min="40" max="40" width="10.25" hidden="1" customWidth="1"/>
    <col min="41" max="41" width="9.08203125" bestFit="1" customWidth="1"/>
    <col min="42" max="42" width="9.08203125" hidden="1" customWidth="1"/>
    <col min="43" max="49" width="9.08203125" customWidth="1"/>
  </cols>
  <sheetData>
    <row r="1" spans="1:51" x14ac:dyDescent="0.35">
      <c r="A1" s="194" t="s">
        <v>61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</row>
    <row r="3" spans="1:51" x14ac:dyDescent="0.35">
      <c r="A3" s="2" t="s">
        <v>14</v>
      </c>
      <c r="B3" s="2" t="s">
        <v>17</v>
      </c>
      <c r="C3" s="36" t="s">
        <v>34</v>
      </c>
      <c r="D3" s="36" t="s">
        <v>19</v>
      </c>
      <c r="E3" s="2" t="s">
        <v>20</v>
      </c>
      <c r="F3" s="2" t="s">
        <v>23</v>
      </c>
      <c r="G3" s="193" t="s">
        <v>22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2" t="s">
        <v>13</v>
      </c>
      <c r="T3" s="2" t="s">
        <v>36</v>
      </c>
      <c r="U3" s="2" t="s">
        <v>24</v>
      </c>
      <c r="V3" s="2" t="s">
        <v>52</v>
      </c>
      <c r="W3" s="2" t="s">
        <v>52</v>
      </c>
      <c r="X3" s="2"/>
      <c r="Y3" s="2" t="s">
        <v>191</v>
      </c>
      <c r="Z3" s="2" t="s">
        <v>104</v>
      </c>
      <c r="AA3" s="2" t="s">
        <v>54</v>
      </c>
      <c r="AB3" s="48" t="s">
        <v>22</v>
      </c>
      <c r="AC3" s="48" t="s">
        <v>170</v>
      </c>
      <c r="AE3" s="74" t="s">
        <v>35</v>
      </c>
      <c r="AF3" s="60" t="s">
        <v>22</v>
      </c>
      <c r="AG3" s="59" t="s">
        <v>36</v>
      </c>
      <c r="AH3" s="2" t="s">
        <v>201</v>
      </c>
      <c r="AI3" s="60" t="s">
        <v>36</v>
      </c>
      <c r="AJ3" s="2" t="s">
        <v>200</v>
      </c>
      <c r="AK3" s="60" t="s">
        <v>36</v>
      </c>
      <c r="AL3" s="2" t="s">
        <v>211</v>
      </c>
      <c r="AM3" s="60" t="s">
        <v>36</v>
      </c>
      <c r="AN3" s="2" t="s">
        <v>219</v>
      </c>
      <c r="AO3" s="60" t="s">
        <v>36</v>
      </c>
      <c r="AP3" s="2" t="s">
        <v>226</v>
      </c>
      <c r="AQ3" s="60" t="s">
        <v>36</v>
      </c>
      <c r="AR3" s="2" t="s">
        <v>230</v>
      </c>
      <c r="AS3" s="60" t="s">
        <v>36</v>
      </c>
      <c r="AT3" s="2" t="s">
        <v>235</v>
      </c>
      <c r="AU3" s="60" t="s">
        <v>36</v>
      </c>
      <c r="AV3" s="2" t="s">
        <v>240</v>
      </c>
      <c r="AW3" s="60" t="s">
        <v>36</v>
      </c>
    </row>
    <row r="4" spans="1:51" x14ac:dyDescent="0.35">
      <c r="A4" s="4" t="s">
        <v>16</v>
      </c>
      <c r="B4" s="4" t="s">
        <v>18</v>
      </c>
      <c r="C4" s="37" t="s">
        <v>35</v>
      </c>
      <c r="D4" s="37" t="s">
        <v>28</v>
      </c>
      <c r="E4" s="4" t="s">
        <v>21</v>
      </c>
      <c r="F4" s="4" t="s">
        <v>15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5" t="s">
        <v>10</v>
      </c>
      <c r="Q4" s="5" t="s">
        <v>11</v>
      </c>
      <c r="R4" s="5" t="s">
        <v>12</v>
      </c>
      <c r="S4" s="4" t="s">
        <v>22</v>
      </c>
      <c r="T4" s="4" t="s">
        <v>37</v>
      </c>
      <c r="U4" s="4" t="s">
        <v>25</v>
      </c>
      <c r="V4" s="4" t="s">
        <v>104</v>
      </c>
      <c r="W4" s="4" t="s">
        <v>53</v>
      </c>
      <c r="X4" s="4"/>
      <c r="Y4" s="4" t="s">
        <v>192</v>
      </c>
      <c r="Z4" s="4" t="s">
        <v>193</v>
      </c>
      <c r="AA4" s="4" t="s">
        <v>55</v>
      </c>
      <c r="AB4" s="48" t="s">
        <v>169</v>
      </c>
      <c r="AC4" s="48" t="s">
        <v>171</v>
      </c>
      <c r="AD4" s="51" t="s">
        <v>184</v>
      </c>
      <c r="AE4" s="75" t="s">
        <v>194</v>
      </c>
      <c r="AF4" s="62" t="s">
        <v>195</v>
      </c>
      <c r="AG4" s="61" t="s">
        <v>189</v>
      </c>
      <c r="AH4" s="4" t="s">
        <v>22</v>
      </c>
      <c r="AI4" s="62" t="s">
        <v>197</v>
      </c>
      <c r="AJ4" s="4" t="s">
        <v>22</v>
      </c>
      <c r="AK4" s="62" t="s">
        <v>199</v>
      </c>
      <c r="AL4" s="4" t="s">
        <v>22</v>
      </c>
      <c r="AM4" s="62" t="s">
        <v>212</v>
      </c>
      <c r="AN4" s="4" t="s">
        <v>22</v>
      </c>
      <c r="AO4" s="62" t="s">
        <v>220</v>
      </c>
      <c r="AP4" s="4" t="s">
        <v>22</v>
      </c>
      <c r="AQ4" s="62" t="s">
        <v>227</v>
      </c>
      <c r="AR4" s="4" t="s">
        <v>22</v>
      </c>
      <c r="AS4" s="62" t="s">
        <v>231</v>
      </c>
      <c r="AT4" s="4" t="s">
        <v>22</v>
      </c>
      <c r="AU4" s="62" t="s">
        <v>234</v>
      </c>
      <c r="AV4" s="4" t="s">
        <v>22</v>
      </c>
      <c r="AW4" s="62" t="s">
        <v>239</v>
      </c>
      <c r="AX4" s="48" t="s">
        <v>223</v>
      </c>
    </row>
    <row r="5" spans="1:51" x14ac:dyDescent="0.35">
      <c r="A5" s="1">
        <v>1</v>
      </c>
      <c r="B5" t="s">
        <v>62</v>
      </c>
      <c r="C5" s="21">
        <v>0.1391</v>
      </c>
      <c r="D5" s="1">
        <v>15</v>
      </c>
      <c r="E5" s="54">
        <v>37461</v>
      </c>
      <c r="F5" s="9">
        <v>340143</v>
      </c>
      <c r="G5" s="9">
        <f>ROUND((F5*C5)*251/365,0)</f>
        <v>32536</v>
      </c>
      <c r="H5" s="9">
        <f>ROUND((F5-G5)*C5,0)</f>
        <v>42788</v>
      </c>
      <c r="I5" s="9">
        <f>ROUND((F5-G5-H5)*C5,0)</f>
        <v>36836</v>
      </c>
      <c r="J5" s="9">
        <f>ROUND((F5-G5-H5-I5)*C5,0)</f>
        <v>31712</v>
      </c>
      <c r="K5" s="9">
        <f>ROUND((F5-G5-H5-I5-J5)*C5,0)</f>
        <v>27301</v>
      </c>
      <c r="L5" s="9">
        <f>ROUND((F5-G5-H5-I5-J5-K5)*C5,0)</f>
        <v>23504</v>
      </c>
      <c r="M5" s="9">
        <f>ROUND((F5-G5-H5-I5-J5-K5-L5)*C5,0)</f>
        <v>20234</v>
      </c>
      <c r="N5" s="9">
        <f>ROUND((F5-G5-H5-I5-J5-K5-L5-M5)*C5,0)</f>
        <v>17420</v>
      </c>
      <c r="O5" s="9">
        <f>ROUND((F5-G5-H5-I5-J5-K5-L5-M5-N5)*C5,0)</f>
        <v>14997</v>
      </c>
      <c r="P5" s="9">
        <f>ROUND((F5-G5-H5-I5-J5-K5-L5-M5-N5-O5)*C5,0)</f>
        <v>12911</v>
      </c>
      <c r="Q5" s="9">
        <f>ROUND((F5-G5-H5-I5-J5-K5-L5-M5-N5-O5-P5)*C5,0)</f>
        <v>11115</v>
      </c>
      <c r="R5" s="9">
        <f>ROUND((F5-G5-H5-I5-J5-K5-L5-M5-N5-O5-P5-Q5)*C5,0)</f>
        <v>9569</v>
      </c>
      <c r="S5" s="11">
        <f>SUM(G5:R5)</f>
        <v>280923</v>
      </c>
      <c r="T5" s="11">
        <f>+F5-S5</f>
        <v>59220</v>
      </c>
      <c r="U5" s="9">
        <f>ROUND(F5*5%,0)</f>
        <v>17007</v>
      </c>
      <c r="V5" s="38" t="s">
        <v>105</v>
      </c>
      <c r="W5" s="1">
        <v>3.31</v>
      </c>
      <c r="X5" s="52">
        <v>41729</v>
      </c>
      <c r="Y5" s="55">
        <f>X5-E5</f>
        <v>4268</v>
      </c>
      <c r="Z5" s="53">
        <f>IF(D5*365-Y5&lt;1,0,(D5*365-Y5)/365)</f>
        <v>3.3068493150684932</v>
      </c>
      <c r="AA5" s="9">
        <f>T5-U5</f>
        <v>42213</v>
      </c>
      <c r="AB5">
        <v>18595</v>
      </c>
      <c r="AC5" s="10">
        <f>AB5/(T5-U5)*100</f>
        <v>44.050411010826053</v>
      </c>
      <c r="AD5">
        <f>(T5-U5)/W5</f>
        <v>12753.172205438066</v>
      </c>
      <c r="AE5" s="10">
        <f>1-POWER((0.05*F5)/T5,1/Z5)</f>
        <v>0.31427955747313596</v>
      </c>
      <c r="AF5" s="8">
        <f>ROUND(T5*AE5,0)</f>
        <v>18612</v>
      </c>
      <c r="AG5" s="8">
        <f>+T5-AF5</f>
        <v>40608</v>
      </c>
      <c r="AH5" s="8">
        <f>ROUND(AG5*AE5,0)</f>
        <v>12762</v>
      </c>
      <c r="AI5" s="9">
        <f>AG5-AH5</f>
        <v>27846</v>
      </c>
      <c r="AJ5" s="9">
        <f>ROUND(AI5*AE5,0)</f>
        <v>8751</v>
      </c>
      <c r="AK5" s="9">
        <f>AI5-AJ5</f>
        <v>19095</v>
      </c>
      <c r="AL5" s="9">
        <f>+AK5-U5</f>
        <v>2088</v>
      </c>
      <c r="AM5" s="9">
        <f>+AK5-AL5</f>
        <v>17007</v>
      </c>
      <c r="AN5" s="11">
        <f>+AM5-U5</f>
        <v>0</v>
      </c>
      <c r="AO5" s="11">
        <f>+AM5-AN5</f>
        <v>17007</v>
      </c>
      <c r="AP5" s="11">
        <f>+AO5-U5</f>
        <v>0</v>
      </c>
      <c r="AQ5" s="11">
        <f>+AO5-AP5</f>
        <v>17007</v>
      </c>
      <c r="AR5" s="11">
        <v>0</v>
      </c>
      <c r="AS5" s="11">
        <f>+AQ5-AR5</f>
        <v>17007</v>
      </c>
      <c r="AT5" s="11">
        <v>0</v>
      </c>
      <c r="AU5" s="11">
        <f>+AS5-AT5</f>
        <v>17007</v>
      </c>
      <c r="AV5" s="11">
        <v>0</v>
      </c>
      <c r="AW5" s="11">
        <f>+AU5-AV5</f>
        <v>17007</v>
      </c>
      <c r="AX5" s="11">
        <f>+AW5-U5</f>
        <v>0</v>
      </c>
    </row>
    <row r="6" spans="1:51" x14ac:dyDescent="0.35">
      <c r="A6" s="1">
        <v>1</v>
      </c>
      <c r="B6" t="s">
        <v>62</v>
      </c>
      <c r="C6" s="21">
        <v>0.1391</v>
      </c>
      <c r="D6" s="1">
        <v>15</v>
      </c>
      <c r="E6" s="54">
        <v>38442</v>
      </c>
      <c r="F6" s="9">
        <v>206960</v>
      </c>
      <c r="G6" s="9">
        <v>0</v>
      </c>
      <c r="H6" s="9">
        <v>0</v>
      </c>
      <c r="I6" s="9">
        <f>ROUND((F6*C6)*1/365,0)</f>
        <v>79</v>
      </c>
      <c r="J6" s="9">
        <f>ROUND((F6-I6)*C6,0)</f>
        <v>28777</v>
      </c>
      <c r="K6" s="9">
        <f>ROUND((F6-I6-J6)*C6,0)</f>
        <v>24774</v>
      </c>
      <c r="L6" s="9">
        <f>ROUND((F6-I6-J6-K6)*C6,0)</f>
        <v>21328</v>
      </c>
      <c r="M6" s="9">
        <f>ROUND((F6-I6-J6-K6-L6)*C6,0)</f>
        <v>18361</v>
      </c>
      <c r="N6" s="9">
        <f>ROUND((F6-I6-J6-K6-L6-M6)*C6,0)</f>
        <v>15807</v>
      </c>
      <c r="O6" s="9">
        <f>ROUND((F6-I6-J6-K6-L6-M6-N6)*C6,0)</f>
        <v>13609</v>
      </c>
      <c r="P6" s="9">
        <f>ROUND((F6-I6-J6-K6-L6-M6-N6-O6)*C6,0)</f>
        <v>11716</v>
      </c>
      <c r="Q6" s="9">
        <f>ROUND((F6-I6-J6-K6-L6-M6-N6-O6-P6)*C6,0)</f>
        <v>10086</v>
      </c>
      <c r="R6" s="9">
        <f>ROUND((F6-I6-J6-K6-L6-M6-N6-O6-P6-Q6)*C6,0)</f>
        <v>8683</v>
      </c>
      <c r="S6" s="11">
        <f t="shared" ref="S6" si="0">SUM(G6:R6)</f>
        <v>153220</v>
      </c>
      <c r="T6" s="11">
        <f t="shared" ref="T6" si="1">+F6-S6</f>
        <v>53740</v>
      </c>
      <c r="U6" s="9">
        <f t="shared" ref="U6" si="2">ROUND(F6*5%,0)</f>
        <v>10348</v>
      </c>
      <c r="V6" s="38" t="s">
        <v>128</v>
      </c>
      <c r="W6" s="1">
        <v>6</v>
      </c>
      <c r="X6" s="52">
        <v>41729</v>
      </c>
      <c r="Y6" s="55">
        <f>X6-E6</f>
        <v>3287</v>
      </c>
      <c r="Z6" s="53">
        <f>IF(D6*365-Y6&lt;1,0,(D6*365-Y6)/365)</f>
        <v>5.9945205479452053</v>
      </c>
      <c r="AA6" s="9">
        <f>T6-U6</f>
        <v>43392</v>
      </c>
      <c r="AB6">
        <v>12898</v>
      </c>
      <c r="AC6" s="10">
        <f>AB6/(T6-U6)*100</f>
        <v>29.724373156342182</v>
      </c>
      <c r="AD6">
        <f>(T6-U6)/W6</f>
        <v>7232</v>
      </c>
      <c r="AE6" s="10">
        <f>1-POWER((0.05*F6)/T6,1/Z6)</f>
        <v>0.24028483035142956</v>
      </c>
      <c r="AF6" s="8">
        <f>ROUND(T6*AE6,0)</f>
        <v>12913</v>
      </c>
      <c r="AG6" s="8">
        <f>+T6-AF6</f>
        <v>40827</v>
      </c>
      <c r="AH6" s="8">
        <f>ROUND(AG6*AE6,0)</f>
        <v>9810</v>
      </c>
      <c r="AI6" s="9">
        <f>AG6-AH6</f>
        <v>31017</v>
      </c>
      <c r="AJ6" s="9">
        <f>ROUND(AI6*AE6,0)</f>
        <v>7453</v>
      </c>
      <c r="AK6" s="9">
        <f>AI6-AJ6</f>
        <v>23564</v>
      </c>
      <c r="AL6" s="9">
        <f t="shared" ref="AL6" si="3">ROUND(AK6*AE6,0)</f>
        <v>5662</v>
      </c>
      <c r="AM6" s="9">
        <f>+AK6-AL6</f>
        <v>17902</v>
      </c>
      <c r="AN6" s="9">
        <f>ROUND(AM6*AE6,0)</f>
        <v>4302</v>
      </c>
      <c r="AO6" s="9">
        <f>+AM6-AN6</f>
        <v>13600</v>
      </c>
      <c r="AP6" s="9">
        <f>+AO6-U6</f>
        <v>3252</v>
      </c>
      <c r="AQ6" s="9">
        <f>+AO6-AP6</f>
        <v>10348</v>
      </c>
      <c r="AR6" s="9">
        <v>0</v>
      </c>
      <c r="AS6" s="9">
        <f>+AQ6-AR6</f>
        <v>10348</v>
      </c>
      <c r="AT6" s="9">
        <v>0</v>
      </c>
      <c r="AU6" s="9">
        <f>+AS6-AT6</f>
        <v>10348</v>
      </c>
      <c r="AV6" s="9">
        <v>0</v>
      </c>
      <c r="AW6" s="9">
        <f>+AU6-AV6</f>
        <v>10348</v>
      </c>
      <c r="AX6" s="11">
        <f>+AW6-U6</f>
        <v>0</v>
      </c>
    </row>
    <row r="7" spans="1:51" x14ac:dyDescent="0.35">
      <c r="C7" s="24"/>
      <c r="E7" s="3" t="s">
        <v>38</v>
      </c>
      <c r="F7" s="13">
        <f t="shared" ref="F7:U7" si="4">SUM(F5:F6)</f>
        <v>547103</v>
      </c>
      <c r="G7" s="13">
        <f t="shared" si="4"/>
        <v>32536</v>
      </c>
      <c r="H7" s="13">
        <f t="shared" si="4"/>
        <v>42788</v>
      </c>
      <c r="I7" s="13">
        <f t="shared" si="4"/>
        <v>36915</v>
      </c>
      <c r="J7" s="13">
        <f t="shared" si="4"/>
        <v>60489</v>
      </c>
      <c r="K7" s="13">
        <f t="shared" si="4"/>
        <v>52075</v>
      </c>
      <c r="L7" s="13">
        <f t="shared" si="4"/>
        <v>44832</v>
      </c>
      <c r="M7" s="13">
        <f t="shared" si="4"/>
        <v>38595</v>
      </c>
      <c r="N7" s="13">
        <f t="shared" si="4"/>
        <v>33227</v>
      </c>
      <c r="O7" s="13">
        <f t="shared" si="4"/>
        <v>28606</v>
      </c>
      <c r="P7" s="13">
        <f t="shared" si="4"/>
        <v>24627</v>
      </c>
      <c r="Q7" s="13">
        <f t="shared" si="4"/>
        <v>21201</v>
      </c>
      <c r="R7" s="13">
        <f t="shared" si="4"/>
        <v>18252</v>
      </c>
      <c r="S7" s="13">
        <f t="shared" si="4"/>
        <v>434143</v>
      </c>
      <c r="T7" s="28">
        <f t="shared" si="4"/>
        <v>112960</v>
      </c>
      <c r="U7" s="13">
        <f t="shared" si="4"/>
        <v>27355</v>
      </c>
      <c r="V7" s="13"/>
      <c r="W7" s="12"/>
      <c r="X7" s="12"/>
      <c r="Y7" s="12"/>
      <c r="Z7" s="12"/>
      <c r="AA7" s="20">
        <f>SUM(AA5:AA6)</f>
        <v>85605</v>
      </c>
      <c r="AB7" s="20">
        <f>SUM(AB5:AB6)</f>
        <v>31493</v>
      </c>
      <c r="AC7" s="20">
        <f>SUM(AC5:AC6)</f>
        <v>73.774784167168235</v>
      </c>
      <c r="AD7" s="20">
        <f>SUM(AD5:AD6)</f>
        <v>19985.172205438066</v>
      </c>
      <c r="AF7" s="57">
        <f t="shared" ref="AF7:AI7" si="5">SUM(AF5:AF6)</f>
        <v>31525</v>
      </c>
      <c r="AG7" s="57">
        <f t="shared" si="5"/>
        <v>81435</v>
      </c>
      <c r="AH7" s="57">
        <f t="shared" si="5"/>
        <v>22572</v>
      </c>
      <c r="AI7" s="13">
        <f t="shared" si="5"/>
        <v>58863</v>
      </c>
      <c r="AJ7" s="13">
        <f t="shared" ref="AJ7:AK7" si="6">SUM(AJ5:AJ6)</f>
        <v>16204</v>
      </c>
      <c r="AK7" s="13">
        <f t="shared" si="6"/>
        <v>42659</v>
      </c>
      <c r="AL7" s="13">
        <f>SUM(AL5:AL6)</f>
        <v>7750</v>
      </c>
      <c r="AM7" s="13">
        <f>SUM(AM5:AM6)</f>
        <v>34909</v>
      </c>
      <c r="AN7" s="13">
        <f t="shared" ref="AN7:AQ7" si="7">SUM(AN5:AN6)</f>
        <v>4302</v>
      </c>
      <c r="AO7" s="13">
        <f t="shared" si="7"/>
        <v>30607</v>
      </c>
      <c r="AP7" s="13">
        <f t="shared" si="7"/>
        <v>3252</v>
      </c>
      <c r="AQ7" s="13">
        <f t="shared" si="7"/>
        <v>27355</v>
      </c>
      <c r="AR7" s="13">
        <f t="shared" ref="AR7:AS7" si="8">SUM(AR5:AR6)</f>
        <v>0</v>
      </c>
      <c r="AS7" s="13">
        <f t="shared" si="8"/>
        <v>27355</v>
      </c>
      <c r="AT7" s="13">
        <f t="shared" ref="AT7:AW7" si="9">SUM(AT5:AT6)</f>
        <v>0</v>
      </c>
      <c r="AU7" s="13">
        <f t="shared" si="9"/>
        <v>27355</v>
      </c>
      <c r="AV7" s="13">
        <f t="shared" si="9"/>
        <v>0</v>
      </c>
      <c r="AW7" s="13">
        <f t="shared" si="9"/>
        <v>27355</v>
      </c>
    </row>
    <row r="8" spans="1:51" x14ac:dyDescent="0.35">
      <c r="C8" s="25"/>
      <c r="F8" s="9"/>
      <c r="U8" s="11"/>
      <c r="V8" s="11"/>
      <c r="AI8" s="9"/>
      <c r="AJ8" s="9"/>
      <c r="AK8" s="9"/>
      <c r="AL8" s="9"/>
      <c r="AM8" s="9"/>
      <c r="AO8" s="10"/>
      <c r="AP8" s="10"/>
      <c r="AQ8" s="10"/>
      <c r="AR8" s="10"/>
      <c r="AS8" s="10"/>
      <c r="AT8" s="10"/>
      <c r="AU8" s="10"/>
      <c r="AV8" s="10"/>
      <c r="AW8" s="10"/>
    </row>
    <row r="9" spans="1:51" x14ac:dyDescent="0.35">
      <c r="A9" s="1">
        <v>2</v>
      </c>
      <c r="B9" t="s">
        <v>63</v>
      </c>
      <c r="C9" s="21">
        <v>0.1391</v>
      </c>
      <c r="D9" s="1">
        <v>15</v>
      </c>
      <c r="E9" s="56">
        <v>39387</v>
      </c>
      <c r="F9" s="9">
        <v>302517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f>ROUND((F9*C9)*152/366,0)</f>
        <v>17476</v>
      </c>
      <c r="M9" s="9">
        <f>ROUND((F9-L9)*C9,0)</f>
        <v>39649</v>
      </c>
      <c r="N9" s="9">
        <f>ROUND((F9-L9-M9)*C9,0)</f>
        <v>34134</v>
      </c>
      <c r="O9" s="9">
        <f>ROUND((F9-L9-M9-N9)*C9,0)</f>
        <v>29386</v>
      </c>
      <c r="P9" s="9">
        <f>ROUND((F9-L9-M9-N9-O9)*C9,0)</f>
        <v>25298</v>
      </c>
      <c r="Q9" s="9">
        <f>ROUND((F9-L9-M9-N9-O9-P9)*C9,0)</f>
        <v>21779</v>
      </c>
      <c r="R9" s="9">
        <f>ROUND((F9-L9-M9-N9-O9-P9-Q9)*C9,0)</f>
        <v>18750</v>
      </c>
      <c r="S9" s="11">
        <f t="shared" ref="S9" si="10">SUM(G9:R9)</f>
        <v>186472</v>
      </c>
      <c r="T9" s="11">
        <f t="shared" ref="T9" si="11">+F9-S9</f>
        <v>116045</v>
      </c>
      <c r="U9" s="9">
        <f t="shared" ref="U9" si="12">ROUND(F9*5%,0)</f>
        <v>15126</v>
      </c>
      <c r="V9" s="38" t="s">
        <v>152</v>
      </c>
      <c r="W9" s="1">
        <v>8.58</v>
      </c>
      <c r="X9" s="52">
        <v>41729</v>
      </c>
      <c r="Y9" s="55">
        <f>X9-E9</f>
        <v>2342</v>
      </c>
      <c r="Z9" s="53">
        <f>IF(D9*365-Y9&lt;1,0,(D9*365-Y9)/365)</f>
        <v>8.5835616438356173</v>
      </c>
      <c r="AA9" s="9">
        <f>T9-U9</f>
        <v>100919</v>
      </c>
      <c r="AB9">
        <v>24486</v>
      </c>
      <c r="AC9" s="10">
        <f>AB9/(T9-U9)*100</f>
        <v>24.263022820281613</v>
      </c>
      <c r="AD9">
        <f>(T9-U9)/W9</f>
        <v>11762.121212121212</v>
      </c>
      <c r="AE9" s="10">
        <f>1-POWER((0.05*F9)/T9,1/Z9)</f>
        <v>0.21130911335911096</v>
      </c>
      <c r="AF9" s="8">
        <f>ROUND(T9*AE9,0)</f>
        <v>24521</v>
      </c>
      <c r="AG9" s="8">
        <f>+T9-AF9</f>
        <v>91524</v>
      </c>
      <c r="AH9" s="8">
        <f>ROUND(AG9*AE9,0)</f>
        <v>19340</v>
      </c>
      <c r="AI9" s="9">
        <f>AG9-AH9</f>
        <v>72184</v>
      </c>
      <c r="AJ9" s="9">
        <f>ROUND(AI9*AE9,0)</f>
        <v>15253</v>
      </c>
      <c r="AK9" s="9">
        <f>AI9-AJ9</f>
        <v>56931</v>
      </c>
      <c r="AL9" s="9">
        <f>ROUND(AK9*AE9,0)</f>
        <v>12030</v>
      </c>
      <c r="AM9" s="9">
        <f t="shared" ref="AM9" si="13">AK9-AL9</f>
        <v>44901</v>
      </c>
      <c r="AN9" s="9">
        <f>ROUND(AM9*AE9,0)</f>
        <v>9488</v>
      </c>
      <c r="AO9" s="9">
        <f>+AM9-AN9</f>
        <v>35413</v>
      </c>
      <c r="AP9" s="9">
        <f>ROUND(AO9*AE9,0)</f>
        <v>7483</v>
      </c>
      <c r="AQ9" s="9">
        <f>+AO9-AP9</f>
        <v>27930</v>
      </c>
      <c r="AR9" s="9">
        <f>ROUND(AQ9*AE9,0)</f>
        <v>5902</v>
      </c>
      <c r="AS9" s="9">
        <f>+AQ9-AR9</f>
        <v>22028</v>
      </c>
      <c r="AT9" s="9">
        <f>ROUND(AS9*AE9,0)</f>
        <v>4655</v>
      </c>
      <c r="AU9" s="9">
        <f>+AS9-AT9</f>
        <v>17373</v>
      </c>
      <c r="AV9" s="9">
        <f>ROUND(AU9*AE9,0)-1424</f>
        <v>2247</v>
      </c>
      <c r="AW9" s="9">
        <f>+AU9-AV9</f>
        <v>15126</v>
      </c>
      <c r="AX9" s="11">
        <f>+AW9-U9</f>
        <v>0</v>
      </c>
    </row>
    <row r="10" spans="1:51" x14ac:dyDescent="0.35">
      <c r="C10" s="24"/>
      <c r="E10" s="3" t="s">
        <v>38</v>
      </c>
      <c r="F10" s="13">
        <f t="shared" ref="F10:U10" si="14">SUM(F9:F9)</f>
        <v>302517</v>
      </c>
      <c r="G10" s="13">
        <f t="shared" si="14"/>
        <v>0</v>
      </c>
      <c r="H10" s="13">
        <f t="shared" si="14"/>
        <v>0</v>
      </c>
      <c r="I10" s="13">
        <f t="shared" si="14"/>
        <v>0</v>
      </c>
      <c r="J10" s="13">
        <f t="shared" si="14"/>
        <v>0</v>
      </c>
      <c r="K10" s="13">
        <f t="shared" si="14"/>
        <v>0</v>
      </c>
      <c r="L10" s="13">
        <f t="shared" si="14"/>
        <v>17476</v>
      </c>
      <c r="M10" s="13">
        <f t="shared" si="14"/>
        <v>39649</v>
      </c>
      <c r="N10" s="13">
        <f t="shared" si="14"/>
        <v>34134</v>
      </c>
      <c r="O10" s="13">
        <f t="shared" si="14"/>
        <v>29386</v>
      </c>
      <c r="P10" s="13">
        <f t="shared" si="14"/>
        <v>25298</v>
      </c>
      <c r="Q10" s="13">
        <f t="shared" si="14"/>
        <v>21779</v>
      </c>
      <c r="R10" s="13">
        <f t="shared" si="14"/>
        <v>18750</v>
      </c>
      <c r="S10" s="13">
        <f t="shared" si="14"/>
        <v>186472</v>
      </c>
      <c r="T10" s="28">
        <f t="shared" si="14"/>
        <v>116045</v>
      </c>
      <c r="U10" s="13">
        <f t="shared" si="14"/>
        <v>15126</v>
      </c>
      <c r="V10" s="13"/>
      <c r="W10" s="12"/>
      <c r="X10" s="12"/>
      <c r="Y10" s="12"/>
      <c r="Z10" s="12"/>
      <c r="AA10" s="20">
        <f>SUM(AA9:AA9)</f>
        <v>100919</v>
      </c>
      <c r="AB10" s="20">
        <f>SUM(AB9:AB9)</f>
        <v>24486</v>
      </c>
      <c r="AC10" s="20">
        <f t="shared" ref="AC10:AD10" si="15">SUM(AC9:AC9)</f>
        <v>24.263022820281613</v>
      </c>
      <c r="AD10" s="20">
        <f t="shared" si="15"/>
        <v>11762.121212121212</v>
      </c>
      <c r="AF10" s="57">
        <f t="shared" ref="AF10:AI10" si="16">SUM(AF9:AF9)</f>
        <v>24521</v>
      </c>
      <c r="AG10" s="57">
        <f t="shared" si="16"/>
        <v>91524</v>
      </c>
      <c r="AH10" s="57">
        <f t="shared" si="16"/>
        <v>19340</v>
      </c>
      <c r="AI10" s="13">
        <f t="shared" si="16"/>
        <v>72184</v>
      </c>
      <c r="AJ10" s="13">
        <f t="shared" ref="AJ10:AQ10" si="17">SUM(AJ9:AJ9)</f>
        <v>15253</v>
      </c>
      <c r="AK10" s="13">
        <f t="shared" si="17"/>
        <v>56931</v>
      </c>
      <c r="AL10" s="13">
        <f t="shared" si="17"/>
        <v>12030</v>
      </c>
      <c r="AM10" s="13">
        <f t="shared" si="17"/>
        <v>44901</v>
      </c>
      <c r="AN10" s="13">
        <f t="shared" si="17"/>
        <v>9488</v>
      </c>
      <c r="AO10" s="13">
        <f t="shared" si="17"/>
        <v>35413</v>
      </c>
      <c r="AP10" s="13">
        <f t="shared" si="17"/>
        <v>7483</v>
      </c>
      <c r="AQ10" s="13">
        <f t="shared" si="17"/>
        <v>27930</v>
      </c>
      <c r="AR10" s="13">
        <f t="shared" ref="AR10:AS10" si="18">SUM(AR9:AR9)</f>
        <v>5902</v>
      </c>
      <c r="AS10" s="13">
        <f t="shared" si="18"/>
        <v>22028</v>
      </c>
      <c r="AT10" s="13">
        <f t="shared" ref="AT10:AW10" si="19">SUM(AT9:AT9)</f>
        <v>4655</v>
      </c>
      <c r="AU10" s="13">
        <f t="shared" si="19"/>
        <v>17373</v>
      </c>
      <c r="AV10" s="13">
        <f t="shared" si="19"/>
        <v>2247</v>
      </c>
      <c r="AW10" s="13">
        <f t="shared" si="19"/>
        <v>15126</v>
      </c>
    </row>
    <row r="11" spans="1:51" x14ac:dyDescent="0.35">
      <c r="C11" s="26"/>
      <c r="E11" s="1"/>
      <c r="F11" s="9"/>
      <c r="U11" s="11"/>
      <c r="V11" s="11"/>
      <c r="AI11" s="9"/>
      <c r="AJ11" s="9"/>
      <c r="AK11" s="9"/>
      <c r="AL11" s="9"/>
      <c r="AM11" s="9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51" ht="16" thickBot="1" x14ac:dyDescent="0.4">
      <c r="B12" s="6" t="s">
        <v>62</v>
      </c>
      <c r="C12" s="24"/>
      <c r="E12" s="3" t="s">
        <v>39</v>
      </c>
      <c r="F12" s="16">
        <f t="shared" ref="F12:U12" si="20">+F7+F10</f>
        <v>849620</v>
      </c>
      <c r="G12" s="16">
        <f t="shared" si="20"/>
        <v>32536</v>
      </c>
      <c r="H12" s="16">
        <f t="shared" si="20"/>
        <v>42788</v>
      </c>
      <c r="I12" s="16">
        <f t="shared" si="20"/>
        <v>36915</v>
      </c>
      <c r="J12" s="16">
        <f t="shared" si="20"/>
        <v>60489</v>
      </c>
      <c r="K12" s="16">
        <f t="shared" si="20"/>
        <v>52075</v>
      </c>
      <c r="L12" s="16">
        <f t="shared" si="20"/>
        <v>62308</v>
      </c>
      <c r="M12" s="16">
        <f t="shared" si="20"/>
        <v>78244</v>
      </c>
      <c r="N12" s="16">
        <f t="shared" si="20"/>
        <v>67361</v>
      </c>
      <c r="O12" s="16">
        <f t="shared" si="20"/>
        <v>57992</v>
      </c>
      <c r="P12" s="16">
        <f t="shared" si="20"/>
        <v>49925</v>
      </c>
      <c r="Q12" s="16">
        <f t="shared" si="20"/>
        <v>42980</v>
      </c>
      <c r="R12" s="16">
        <f t="shared" si="20"/>
        <v>37002</v>
      </c>
      <c r="S12" s="16">
        <f t="shared" si="20"/>
        <v>620615</v>
      </c>
      <c r="T12" s="29">
        <f t="shared" si="20"/>
        <v>229005</v>
      </c>
      <c r="U12" s="16">
        <f t="shared" si="20"/>
        <v>42481</v>
      </c>
      <c r="V12" s="16"/>
      <c r="W12" s="15"/>
      <c r="X12" s="15"/>
      <c r="Y12" s="15"/>
      <c r="Z12" s="15"/>
      <c r="AA12" s="19">
        <f>+AA7+AA10</f>
        <v>186524</v>
      </c>
      <c r="AB12" s="19">
        <f>+AB7+AB10</f>
        <v>55979</v>
      </c>
      <c r="AC12" s="19">
        <f t="shared" ref="AC12:AD12" si="21">+AC7+AC10</f>
        <v>98.037806987449841</v>
      </c>
      <c r="AD12" s="19">
        <f t="shared" si="21"/>
        <v>31747.293417559278</v>
      </c>
      <c r="AF12" s="58">
        <f t="shared" ref="AF12:AI12" si="22">+AF7+AF10</f>
        <v>56046</v>
      </c>
      <c r="AG12" s="58">
        <f t="shared" si="22"/>
        <v>172959</v>
      </c>
      <c r="AH12" s="58">
        <f t="shared" si="22"/>
        <v>41912</v>
      </c>
      <c r="AI12" s="16">
        <f t="shared" si="22"/>
        <v>131047</v>
      </c>
      <c r="AJ12" s="16">
        <f t="shared" ref="AJ12" si="23">+AJ7+AJ10</f>
        <v>31457</v>
      </c>
      <c r="AK12" s="16">
        <f>+AK7+AK10</f>
        <v>99590</v>
      </c>
      <c r="AL12" s="16">
        <f t="shared" ref="AL12:AQ12" si="24">+AL7+AL10</f>
        <v>19780</v>
      </c>
      <c r="AM12" s="16">
        <f t="shared" si="24"/>
        <v>79810</v>
      </c>
      <c r="AN12" s="16">
        <f t="shared" si="24"/>
        <v>13790</v>
      </c>
      <c r="AO12" s="16">
        <f t="shared" si="24"/>
        <v>66020</v>
      </c>
      <c r="AP12" s="16">
        <f t="shared" si="24"/>
        <v>10735</v>
      </c>
      <c r="AQ12" s="16">
        <f t="shared" si="24"/>
        <v>55285</v>
      </c>
      <c r="AR12" s="16">
        <f t="shared" ref="AR12:AS12" si="25">+AR7+AR10</f>
        <v>5902</v>
      </c>
      <c r="AS12" s="16">
        <f t="shared" si="25"/>
        <v>49383</v>
      </c>
      <c r="AT12" s="16">
        <f t="shared" ref="AT12:AW12" si="26">+AT7+AT10</f>
        <v>4655</v>
      </c>
      <c r="AU12" s="16">
        <f t="shared" si="26"/>
        <v>44728</v>
      </c>
      <c r="AV12" s="16">
        <f t="shared" si="26"/>
        <v>2247</v>
      </c>
      <c r="AW12" s="16">
        <f t="shared" si="26"/>
        <v>42481</v>
      </c>
      <c r="AY12" s="132"/>
    </row>
    <row r="13" spans="1:51" ht="16" thickTop="1" x14ac:dyDescent="0.35">
      <c r="F13" s="9"/>
      <c r="U13" s="11"/>
      <c r="V13" s="11"/>
    </row>
    <row r="14" spans="1:51" x14ac:dyDescent="0.35">
      <c r="F14" s="9"/>
      <c r="U14" s="11"/>
      <c r="V14" s="11"/>
    </row>
    <row r="15" spans="1:51" x14ac:dyDescent="0.35">
      <c r="F15" s="9"/>
      <c r="U15" s="11"/>
      <c r="V15" s="11"/>
    </row>
    <row r="16" spans="1:51" x14ac:dyDescent="0.35">
      <c r="A16" s="1"/>
      <c r="C16" s="21"/>
      <c r="D16" s="1"/>
      <c r="E16" s="54"/>
      <c r="F16" s="9"/>
      <c r="G16" s="9">
        <v>0</v>
      </c>
      <c r="H16" s="9">
        <v>0</v>
      </c>
      <c r="I16" s="9">
        <f>ROUND((F16*C16)*142/365,0)</f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1">
        <v>0</v>
      </c>
      <c r="T16" s="11">
        <v>0</v>
      </c>
      <c r="U16" s="9">
        <v>0</v>
      </c>
      <c r="V16" s="38">
        <v>0</v>
      </c>
      <c r="W16" s="1">
        <v>0</v>
      </c>
      <c r="X16" t="s">
        <v>64</v>
      </c>
      <c r="Y16" s="1"/>
      <c r="Z16" s="1"/>
      <c r="AA16" s="9">
        <v>0</v>
      </c>
    </row>
    <row r="17" spans="6:22" x14ac:dyDescent="0.35">
      <c r="F17" s="38"/>
      <c r="G17">
        <v>365</v>
      </c>
      <c r="H17" s="11">
        <f>G17-F17</f>
        <v>365</v>
      </c>
      <c r="I17" s="46"/>
      <c r="J17" s="10">
        <f>H17/G17</f>
        <v>1</v>
      </c>
      <c r="S17">
        <v>365</v>
      </c>
      <c r="T17" s="11">
        <f>S17-F17</f>
        <v>365</v>
      </c>
      <c r="U17" s="46"/>
      <c r="V17" s="10">
        <f>T17/S17</f>
        <v>1</v>
      </c>
    </row>
    <row r="18" spans="6:22" x14ac:dyDescent="0.35">
      <c r="F18" s="9"/>
      <c r="U18" s="11"/>
      <c r="V18" s="11"/>
    </row>
    <row r="19" spans="6:22" x14ac:dyDescent="0.35">
      <c r="F19" s="9"/>
      <c r="U19" s="11"/>
      <c r="V19" s="11"/>
    </row>
    <row r="20" spans="6:22" x14ac:dyDescent="0.35">
      <c r="F20" s="9"/>
      <c r="U20" s="11"/>
      <c r="V20" s="11"/>
    </row>
    <row r="21" spans="6:22" x14ac:dyDescent="0.35">
      <c r="F21" s="9"/>
      <c r="U21" s="11"/>
      <c r="V21" s="11"/>
    </row>
    <row r="22" spans="6:22" x14ac:dyDescent="0.35">
      <c r="U22" s="11"/>
      <c r="V22" s="11"/>
    </row>
  </sheetData>
  <mergeCells count="2">
    <mergeCell ref="G3:R3"/>
    <mergeCell ref="A1:AG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L&amp;SD</vt:lpstr>
      <vt:lpstr>NFB</vt:lpstr>
      <vt:lpstr>FB</vt:lpstr>
      <vt:lpstr>P&amp;M</vt:lpstr>
      <vt:lpstr>E.I</vt:lpstr>
      <vt:lpstr>GENERATOR</vt:lpstr>
      <vt:lpstr>LAB</vt:lpstr>
      <vt:lpstr>MHE</vt:lpstr>
      <vt:lpstr>WB</vt:lpstr>
      <vt:lpstr>PCU</vt:lpstr>
      <vt:lpstr>VEH</vt:lpstr>
      <vt:lpstr>F&amp;F</vt:lpstr>
      <vt:lpstr>O.E</vt:lpstr>
      <vt:lpstr>Comp</vt:lpstr>
      <vt:lpstr>Sheet1</vt:lpstr>
      <vt:lpstr>Comp!Print_Area</vt:lpstr>
      <vt:lpstr>E.I!Print_Area</vt:lpstr>
      <vt:lpstr>'F&amp;F'!Print_Area</vt:lpstr>
      <vt:lpstr>FB!Print_Area</vt:lpstr>
      <vt:lpstr>GENERATOR!Print_Area</vt:lpstr>
      <vt:lpstr>LAB!Print_Area</vt:lpstr>
      <vt:lpstr>MHE!Print_Area</vt:lpstr>
      <vt:lpstr>NFB!Print_Area</vt:lpstr>
      <vt:lpstr>O.E!Print_Area</vt:lpstr>
      <vt:lpstr>'P&amp;M'!Print_Area</vt:lpstr>
      <vt:lpstr>PCU!Print_Area</vt:lpstr>
      <vt:lpstr>VEH!Print_Area</vt:lpstr>
      <vt:lpstr>WB!Print_Area</vt:lpstr>
    </vt:vector>
  </TitlesOfParts>
  <Company>MSPL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Suvajit Sarkar</dc:creator>
  <cp:lastModifiedBy>Maithan Steel</cp:lastModifiedBy>
  <cp:lastPrinted>2023-08-14T14:30:34Z</cp:lastPrinted>
  <dcterms:created xsi:type="dcterms:W3CDTF">2015-03-16T07:10:43Z</dcterms:created>
  <dcterms:modified xsi:type="dcterms:W3CDTF">2024-01-24T06:47:46Z</dcterms:modified>
</cp:coreProperties>
</file>