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Y:\Amit Jaiswal\in progress\VIS(2023-24)-PL762-661-1018_Beardsell_Bonthapally\"/>
    </mc:Choice>
  </mc:AlternateContent>
  <bookViews>
    <workbookView showVerticalScroll="0" xWindow="0" yWindow="0" windowWidth="21600" windowHeight="9735"/>
  </bookViews>
  <sheets>
    <sheet name="Building" sheetId="1" r:id="rId1"/>
    <sheet name="Land Details" sheetId="4" r:id="rId2"/>
  </sheets>
  <definedNames>
    <definedName name="_xlnm.Print_Area" localSheetId="0">Building!$B$1:$S$20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T23" i="1" l="1"/>
  <c r="K26" i="1"/>
  <c r="Q32" i="1"/>
  <c r="S32" i="1" s="1"/>
  <c r="P4" i="1"/>
  <c r="P32" i="1"/>
  <c r="Q30" i="1" l="1"/>
  <c r="P30" i="1"/>
  <c r="Q29" i="1"/>
  <c r="O25" i="1"/>
  <c r="N29" i="1"/>
  <c r="K24" i="1"/>
  <c r="N26" i="1"/>
  <c r="F16" i="1"/>
  <c r="J4" i="1" l="1"/>
  <c r="O16" i="1"/>
  <c r="O15" i="1"/>
  <c r="M15" i="1"/>
  <c r="J15" i="1"/>
  <c r="O14" i="1"/>
  <c r="M14" i="1"/>
  <c r="J14" i="1"/>
  <c r="O13" i="1"/>
  <c r="M13" i="1"/>
  <c r="J13" i="1"/>
  <c r="O12" i="1"/>
  <c r="P12" i="1" s="1"/>
  <c r="Q12" i="1" s="1"/>
  <c r="S12" i="1" s="1"/>
  <c r="M12" i="1"/>
  <c r="J12" i="1"/>
  <c r="O11" i="1"/>
  <c r="M11" i="1"/>
  <c r="J11" i="1"/>
  <c r="O10" i="1"/>
  <c r="P10" i="1" s="1"/>
  <c r="Q10" i="1" s="1"/>
  <c r="S10" i="1" s="1"/>
  <c r="M10" i="1"/>
  <c r="J10" i="1"/>
  <c r="F10" i="1"/>
  <c r="F11" i="1"/>
  <c r="F12" i="1"/>
  <c r="F13" i="1"/>
  <c r="F14" i="1"/>
  <c r="F15" i="1"/>
  <c r="F9" i="1"/>
  <c r="F8" i="1"/>
  <c r="F7" i="1"/>
  <c r="F6" i="1"/>
  <c r="F5" i="1"/>
  <c r="P14" i="1" l="1"/>
  <c r="Q14" i="1" s="1"/>
  <c r="S14" i="1" s="1"/>
  <c r="Q15" i="1"/>
  <c r="S15" i="1" s="1"/>
  <c r="P11" i="1"/>
  <c r="Q11" i="1" s="1"/>
  <c r="S11" i="1" s="1"/>
  <c r="P13" i="1"/>
  <c r="Q13" i="1" s="1"/>
  <c r="S13" i="1" s="1"/>
  <c r="P15" i="1"/>
  <c r="F6" i="4"/>
  <c r="F7" i="4"/>
  <c r="E8" i="4"/>
  <c r="E9" i="4"/>
  <c r="E11" i="4"/>
  <c r="E12" i="4"/>
  <c r="E13" i="4"/>
  <c r="E14" i="4" s="1"/>
  <c r="M22" i="4"/>
  <c r="G12" i="4" l="1"/>
  <c r="O9" i="1" l="1"/>
  <c r="O8" i="1"/>
  <c r="M9" i="1"/>
  <c r="J9" i="1"/>
  <c r="M8" i="1"/>
  <c r="J8" i="1"/>
  <c r="M7" i="1"/>
  <c r="J7" i="1"/>
  <c r="O7" i="1"/>
  <c r="P7" i="1" l="1"/>
  <c r="Q7" i="1" s="1"/>
  <c r="S7" i="1" s="1"/>
  <c r="P8" i="1"/>
  <c r="Q8" i="1" s="1"/>
  <c r="S8" i="1" s="1"/>
  <c r="P9" i="1"/>
  <c r="Q9" i="1" s="1"/>
  <c r="S9" i="1" s="1"/>
  <c r="R23" i="1"/>
  <c r="O6" i="1"/>
  <c r="M6" i="1"/>
  <c r="J6" i="1"/>
  <c r="O4" i="1"/>
  <c r="O5" i="1"/>
  <c r="P6" i="1" l="1"/>
  <c r="J5" i="1"/>
  <c r="Q6" i="1" l="1"/>
  <c r="R25" i="1"/>
  <c r="M5" i="1"/>
  <c r="S6" i="1" l="1"/>
  <c r="P5" i="1"/>
  <c r="Q5" i="1" s="1"/>
  <c r="S5" i="1" s="1"/>
  <c r="M4" i="1" l="1"/>
  <c r="P16" i="1" l="1"/>
  <c r="Q4" i="1" l="1"/>
  <c r="Q16" i="1" s="1"/>
  <c r="S4" i="1" l="1"/>
  <c r="S16" i="1" s="1"/>
  <c r="K25" i="1" l="1"/>
  <c r="K27" i="1" l="1"/>
  <c r="K29" i="1" l="1"/>
  <c r="K28" i="1"/>
</calcChain>
</file>

<file path=xl/sharedStrings.xml><?xml version="1.0" encoding="utf-8"?>
<sst xmlns="http://schemas.openxmlformats.org/spreadsheetml/2006/main" count="73" uniqueCount="56">
  <si>
    <t>SR. No.</t>
  </si>
  <si>
    <t>Floor</t>
  </si>
  <si>
    <t>Year of Construction</t>
  </si>
  <si>
    <t xml:space="preserve">Year of Valuation </t>
  </si>
  <si>
    <t>Type of Structure</t>
  </si>
  <si>
    <t>Salvage value</t>
  </si>
  <si>
    <t>TOTAL</t>
  </si>
  <si>
    <t>Depreciation Rate</t>
  </si>
  <si>
    <t xml:space="preserve">Depreciation
(INR) </t>
  </si>
  <si>
    <t>Depreciated Value
(INR)</t>
  </si>
  <si>
    <t>Depreciated Replacement Market Value
(INR)</t>
  </si>
  <si>
    <t>Gross Replacement Value
(INR)</t>
  </si>
  <si>
    <t>Discounting Factor</t>
  </si>
  <si>
    <r>
      <t xml:space="preserve">Height </t>
    </r>
    <r>
      <rPr>
        <b/>
        <i/>
        <sz val="10"/>
        <rFont val="Calibri"/>
        <family val="2"/>
        <scheme val="minor"/>
      </rPr>
      <t>(in ft.)</t>
    </r>
  </si>
  <si>
    <r>
      <t xml:space="preserve">Total Life Consumed 
</t>
    </r>
    <r>
      <rPr>
        <b/>
        <i/>
        <sz val="10"/>
        <rFont val="Calibri"/>
        <family val="2"/>
        <scheme val="minor"/>
      </rPr>
      <t>(in years)</t>
    </r>
  </si>
  <si>
    <r>
      <t xml:space="preserve">Total Economical Life
</t>
    </r>
    <r>
      <rPr>
        <b/>
        <i/>
        <sz val="10"/>
        <rFont val="Calibri"/>
        <family val="2"/>
        <scheme val="minor"/>
      </rPr>
      <t>(in years)</t>
    </r>
  </si>
  <si>
    <r>
      <t xml:space="preserve">Plinth Area  Rate 
</t>
    </r>
    <r>
      <rPr>
        <b/>
        <i/>
        <sz val="10"/>
        <rFont val="Calibri"/>
        <family val="2"/>
        <scheme val="minor"/>
      </rPr>
      <t>(in per sq.ft)</t>
    </r>
  </si>
  <si>
    <r>
      <t xml:space="preserve">Area 
</t>
    </r>
    <r>
      <rPr>
        <b/>
        <i/>
        <sz val="10"/>
        <rFont val="Calibri"/>
        <family val="2"/>
        <scheme val="minor"/>
      </rPr>
      <t>(in sq.ft)</t>
    </r>
  </si>
  <si>
    <t>Remarks:</t>
  </si>
  <si>
    <r>
      <t>3.</t>
    </r>
    <r>
      <rPr>
        <i/>
        <sz val="10"/>
        <color theme="1"/>
        <rFont val="Calibri"/>
        <family val="2"/>
        <scheme val="minor"/>
      </rPr>
      <t xml:space="preserve"> The valuation is done by considering the depreciated replacement cost approach.</t>
    </r>
  </si>
  <si>
    <t>RV</t>
  </si>
  <si>
    <t>DV</t>
  </si>
  <si>
    <t>TOTAL FMV</t>
  </si>
  <si>
    <t>Unit</t>
  </si>
  <si>
    <t>ROUND OFF</t>
  </si>
  <si>
    <t>LAND</t>
  </si>
  <si>
    <t>BUILDING</t>
  </si>
  <si>
    <t>Land value</t>
  </si>
  <si>
    <t>Circle Rate</t>
  </si>
  <si>
    <t xml:space="preserve">Ground Floor </t>
  </si>
  <si>
    <t>Building value</t>
  </si>
  <si>
    <t>RCC Structure</t>
  </si>
  <si>
    <t>Boundary</t>
  </si>
  <si>
    <t>Area</t>
  </si>
  <si>
    <t>Deed no</t>
  </si>
  <si>
    <t>Date</t>
  </si>
  <si>
    <t>BUILDING VALUATION OF M/S. BEARDSELL LIMITED</t>
  </si>
  <si>
    <t>Security Block</t>
  </si>
  <si>
    <t>Machine Hall</t>
  </si>
  <si>
    <t>Main Storage area</t>
  </si>
  <si>
    <t>Scrap Area</t>
  </si>
  <si>
    <t>Storage Area</t>
  </si>
  <si>
    <t>Boiler Shed</t>
  </si>
  <si>
    <t>Puff section</t>
  </si>
  <si>
    <t>Quick Build Shed</t>
  </si>
  <si>
    <t>Old Admin Office</t>
  </si>
  <si>
    <t>Admin Office</t>
  </si>
  <si>
    <t>Generator Shed</t>
  </si>
  <si>
    <t>Electric Room</t>
  </si>
  <si>
    <t xml:space="preserve">GF+1 </t>
  </si>
  <si>
    <t>GF</t>
  </si>
  <si>
    <t>GI Shed mounted on RCC structure</t>
  </si>
  <si>
    <t>Asbestos Shed mounted on RCC structure</t>
  </si>
  <si>
    <t>Shed mounted on iron pillars</t>
  </si>
  <si>
    <r>
      <t xml:space="preserve">2. </t>
    </r>
    <r>
      <rPr>
        <i/>
        <sz val="10"/>
        <color theme="1"/>
        <rFont val="Calibri"/>
        <family val="2"/>
        <scheme val="minor"/>
      </rPr>
      <t>All the structure that has been taken in the area statemnet belonging to M/s. Beardsell Limited.</t>
    </r>
  </si>
  <si>
    <r>
      <t xml:space="preserve">1. </t>
    </r>
    <r>
      <rPr>
        <b/>
        <i/>
        <sz val="10"/>
        <color theme="1"/>
        <rFont val="Calibri"/>
        <family val="2"/>
        <scheme val="minor"/>
      </rPr>
      <t>All the details pertaing to the building area statement such as area, floor, etc has been taken form the map &amp; measurement taken during site survey.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</si>
</sst>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4" formatCode="_ &quot;₹&quot;\ * #,##0.00_ ;_ &quot;₹&quot;\ * \-#,##0.00_ ;_ &quot;₹&quot;\ * &quot;-&quot;??_ ;_ @_ "/>
    <numFmt numFmtId="43" formatCode="_ * #,##0.00_ ;_ * \-#,##0.00_ ;_ * &quot;-&quot;??_ ;_ @_ "/>
    <numFmt numFmtId="164" formatCode="_ * #,##0_ ;_ * \-#,##0_ ;_ * &quot;-&quot;??_ ;_ @_ "/>
    <numFmt numFmtId="165" formatCode="0.0000"/>
    <numFmt numFmtId="166" formatCode="_ &quot;₹&quot;\ * #,##0_ ;_ &quot;₹&quot;\ * \-#,##0_ ;_ &quot;₹&quot;\ * &quot;-&quot;??_ ;_ @_ "/>
    <numFmt numFmtId="167" formatCode="_ [$₹-4009]\ * #,##0_ ;_ [$₹-4009]\ * \-#,##0_ ;_ [$₹-4009]\ * &quot;-&quot;??_ ;_ @_ "/>
    <numFmt numFmtId="168" formatCode="&quot;₹&quot;\ #,##0.00"/>
    <numFmt numFmtId="169" formatCode="_ [$₹-4009]\ * #,##0.00_ ;_ [$₹-4009]\ * \-#,##0.00_ ;_ [$₹-4009]\ * &quot;-&quot;??_ ;_ @_ "/>
    <numFmt numFmtId="170" formatCode="0.000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0"/>
      <name val="Calibri"/>
      <family val="2"/>
      <scheme val="minor"/>
    </font>
    <font>
      <sz val="1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rgb="FF1E366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59">
    <xf numFmtId="0" fontId="0" fillId="0" borderId="0" xfId="0"/>
    <xf numFmtId="164" fontId="0" fillId="0" borderId="0" xfId="0" applyNumberFormat="1"/>
    <xf numFmtId="0" fontId="0" fillId="0" borderId="1" xfId="0" applyBorder="1" applyAlignment="1">
      <alignment horizontal="center" vertical="center"/>
    </xf>
    <xf numFmtId="9" fontId="0" fillId="0" borderId="1" xfId="0" applyNumberFormat="1" applyBorder="1" applyAlignment="1">
      <alignment horizontal="center" vertical="center"/>
    </xf>
    <xf numFmtId="44" fontId="0" fillId="0" borderId="0" xfId="0" applyNumberFormat="1"/>
    <xf numFmtId="165" fontId="0" fillId="0" borderId="1" xfId="0" applyNumberFormat="1" applyBorder="1" applyAlignment="1">
      <alignment horizontal="center" vertical="center"/>
    </xf>
    <xf numFmtId="166" fontId="0" fillId="0" borderId="1" xfId="1" applyNumberFormat="1" applyFont="1" applyBorder="1" applyAlignment="1">
      <alignment horizontal="center" vertical="center"/>
    </xf>
    <xf numFmtId="166" fontId="2" fillId="0" borderId="1" xfId="1" applyNumberFormat="1" applyFont="1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9" fontId="0" fillId="0" borderId="1" xfId="2" applyFont="1" applyBorder="1" applyAlignment="1">
      <alignment horizontal="center" vertical="center"/>
    </xf>
    <xf numFmtId="44" fontId="0" fillId="0" borderId="0" xfId="1" applyFont="1"/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7" fillId="0" borderId="0" xfId="0" applyFont="1"/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2" fillId="5" borderId="0" xfId="0" applyFont="1" applyFill="1"/>
    <xf numFmtId="0" fontId="2" fillId="5" borderId="0" xfId="0" applyFont="1" applyFill="1" applyAlignment="1">
      <alignment wrapText="1"/>
    </xf>
    <xf numFmtId="167" fontId="0" fillId="4" borderId="0" xfId="0" applyNumberFormat="1" applyFill="1"/>
    <xf numFmtId="167" fontId="2" fillId="4" borderId="0" xfId="0" applyNumberFormat="1" applyFont="1" applyFill="1"/>
    <xf numFmtId="166" fontId="2" fillId="4" borderId="0" xfId="1" applyNumberFormat="1" applyFont="1" applyFill="1"/>
    <xf numFmtId="164" fontId="0" fillId="0" borderId="1" xfId="3" applyNumberFormat="1" applyFont="1" applyBorder="1" applyAlignment="1">
      <alignment vertical="center"/>
    </xf>
    <xf numFmtId="164" fontId="2" fillId="0" borderId="1" xfId="3" applyNumberFormat="1" applyFont="1" applyBorder="1" applyAlignment="1">
      <alignment horizontal="left" vertical="center"/>
    </xf>
    <xf numFmtId="164" fontId="0" fillId="0" borderId="0" xfId="3" applyNumberFormat="1" applyFont="1" applyAlignment="1">
      <alignment horizontal="left"/>
    </xf>
    <xf numFmtId="0" fontId="11" fillId="5" borderId="0" xfId="0" applyFont="1" applyFill="1" applyAlignment="1">
      <alignment horizontal="center"/>
    </xf>
    <xf numFmtId="0" fontId="12" fillId="5" borderId="0" xfId="0" applyFont="1" applyFill="1"/>
    <xf numFmtId="168" fontId="0" fillId="4" borderId="0" xfId="0" applyNumberFormat="1" applyFill="1" applyAlignment="1">
      <alignment horizontal="center"/>
    </xf>
    <xf numFmtId="169" fontId="0" fillId="0" borderId="0" xfId="0" applyNumberFormat="1"/>
    <xf numFmtId="0" fontId="0" fillId="0" borderId="0" xfId="0" applyAlignment="1">
      <alignment horizontal="center" vertical="center"/>
    </xf>
    <xf numFmtId="0" fontId="2" fillId="0" borderId="0" xfId="0" applyFont="1" applyAlignment="1">
      <alignment wrapText="1"/>
    </xf>
    <xf numFmtId="2" fontId="0" fillId="0" borderId="0" xfId="0" applyNumberFormat="1"/>
    <xf numFmtId="2" fontId="0" fillId="0" borderId="0" xfId="1" applyNumberFormat="1" applyFont="1"/>
    <xf numFmtId="164" fontId="0" fillId="0" borderId="0" xfId="3" applyNumberFormat="1" applyFont="1"/>
    <xf numFmtId="0" fontId="0" fillId="0" borderId="1" xfId="0" applyBorder="1"/>
    <xf numFmtId="0" fontId="0" fillId="6" borderId="1" xfId="0" applyFill="1" applyBorder="1"/>
    <xf numFmtId="1" fontId="0" fillId="0" borderId="0" xfId="0" applyNumberFormat="1"/>
    <xf numFmtId="0" fontId="2" fillId="0" borderId="0" xfId="0" applyFont="1"/>
    <xf numFmtId="43" fontId="0" fillId="0" borderId="0" xfId="0" applyNumberFormat="1"/>
    <xf numFmtId="164" fontId="2" fillId="0" borderId="1" xfId="3" applyNumberFormat="1" applyFont="1" applyBorder="1"/>
    <xf numFmtId="14" fontId="0" fillId="6" borderId="1" xfId="0" applyNumberFormat="1" applyFill="1" applyBorder="1"/>
    <xf numFmtId="14" fontId="0" fillId="0" borderId="1" xfId="0" applyNumberFormat="1" applyBorder="1"/>
    <xf numFmtId="1" fontId="0" fillId="0" borderId="1" xfId="0" applyNumberFormat="1" applyBorder="1"/>
    <xf numFmtId="0" fontId="0" fillId="4" borderId="0" xfId="0" applyFill="1"/>
    <xf numFmtId="0" fontId="2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64" fontId="5" fillId="2" borderId="1" xfId="3" applyNumberFormat="1" applyFont="1" applyFill="1" applyBorder="1" applyAlignment="1">
      <alignment horizontal="center" vertical="center" wrapText="1"/>
    </xf>
    <xf numFmtId="170" fontId="0" fillId="0" borderId="0" xfId="0" applyNumberFormat="1"/>
    <xf numFmtId="0" fontId="8" fillId="0" borderId="1" xfId="0" applyFont="1" applyBorder="1" applyAlignment="1">
      <alignment horizontal="left" vertical="center"/>
    </xf>
    <xf numFmtId="0" fontId="3" fillId="3" borderId="2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8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/>
    </xf>
    <xf numFmtId="164" fontId="0" fillId="0" borderId="0" xfId="0" applyNumberFormat="1" applyAlignment="1">
      <alignment horizontal="center"/>
    </xf>
  </cellXfs>
  <cellStyles count="4">
    <cellStyle name="Comma" xfId="3" builtinId="3"/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colors>
    <mruColors>
      <color rgb="FF1E366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V41"/>
  <sheetViews>
    <sheetView tabSelected="1" topLeftCell="B10" zoomScale="85" zoomScaleNormal="85" zoomScaleSheetLayoutView="85" workbookViewId="0">
      <selection activeCell="T23" sqref="T23"/>
    </sheetView>
  </sheetViews>
  <sheetFormatPr defaultRowHeight="15" x14ac:dyDescent="0.25"/>
  <cols>
    <col min="2" max="2" width="6.42578125" customWidth="1"/>
    <col min="3" max="3" width="16.7109375" style="29" bestFit="1" customWidth="1"/>
    <col min="4" max="4" width="16.140625" style="15" customWidth="1"/>
    <col min="5" max="5" width="26.7109375" style="15" customWidth="1"/>
    <col min="6" max="6" width="9" style="24" customWidth="1"/>
    <col min="7" max="7" width="7" bestFit="1" customWidth="1"/>
    <col min="8" max="8" width="11.42578125" customWidth="1"/>
    <col min="9" max="9" width="9.5703125" bestFit="1" customWidth="1"/>
    <col min="10" max="10" width="9.42578125" customWidth="1"/>
    <col min="11" max="11" width="14.42578125" bestFit="1" customWidth="1"/>
    <col min="12" max="12" width="7.7109375" customWidth="1"/>
    <col min="13" max="13" width="7.85546875" customWidth="1"/>
    <col min="14" max="14" width="15.42578125" bestFit="1" customWidth="1"/>
    <col min="15" max="15" width="13.42578125" bestFit="1" customWidth="1"/>
    <col min="16" max="16" width="13.42578125" customWidth="1"/>
    <col min="17" max="17" width="12.28515625" customWidth="1"/>
    <col min="18" max="18" width="14.42578125" hidden="1" customWidth="1"/>
    <col min="19" max="19" width="15.140625" style="16" customWidth="1"/>
    <col min="20" max="20" width="17" bestFit="1" customWidth="1"/>
    <col min="21" max="22" width="14.28515625" bestFit="1" customWidth="1"/>
  </cols>
  <sheetData>
    <row r="2" spans="2:22" ht="15.75" customHeight="1" x14ac:dyDescent="0.25">
      <c r="B2" s="49" t="s">
        <v>36</v>
      </c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  <c r="Q2" s="50"/>
      <c r="R2" s="50"/>
      <c r="S2" s="51"/>
    </row>
    <row r="3" spans="2:22" s="13" customFormat="1" ht="64.5" customHeight="1" x14ac:dyDescent="0.25">
      <c r="B3" s="11" t="s">
        <v>0</v>
      </c>
      <c r="C3" s="11" t="s">
        <v>23</v>
      </c>
      <c r="D3" s="11" t="s">
        <v>1</v>
      </c>
      <c r="E3" s="12" t="s">
        <v>4</v>
      </c>
      <c r="F3" s="46" t="s">
        <v>17</v>
      </c>
      <c r="G3" s="12" t="s">
        <v>13</v>
      </c>
      <c r="H3" s="12" t="s">
        <v>2</v>
      </c>
      <c r="I3" s="12" t="s">
        <v>3</v>
      </c>
      <c r="J3" s="12" t="s">
        <v>14</v>
      </c>
      <c r="K3" s="12" t="s">
        <v>15</v>
      </c>
      <c r="L3" s="12" t="s">
        <v>5</v>
      </c>
      <c r="M3" s="12" t="s">
        <v>7</v>
      </c>
      <c r="N3" s="12" t="s">
        <v>16</v>
      </c>
      <c r="O3" s="12" t="s">
        <v>11</v>
      </c>
      <c r="P3" s="12" t="s">
        <v>8</v>
      </c>
      <c r="Q3" s="12" t="s">
        <v>9</v>
      </c>
      <c r="R3" s="12" t="s">
        <v>12</v>
      </c>
      <c r="S3" s="12" t="s">
        <v>10</v>
      </c>
    </row>
    <row r="4" spans="2:22" ht="30" x14ac:dyDescent="0.25">
      <c r="B4" s="2">
        <v>1</v>
      </c>
      <c r="C4" s="2" t="s">
        <v>37</v>
      </c>
      <c r="D4" s="14" t="s">
        <v>50</v>
      </c>
      <c r="E4" s="14" t="s">
        <v>52</v>
      </c>
      <c r="F4" s="22">
        <v>100</v>
      </c>
      <c r="G4" s="8">
        <v>10</v>
      </c>
      <c r="H4" s="2">
        <v>1989</v>
      </c>
      <c r="I4" s="2">
        <v>2024</v>
      </c>
      <c r="J4" s="2">
        <f>I4-H4</f>
        <v>35</v>
      </c>
      <c r="K4" s="2">
        <v>45</v>
      </c>
      <c r="L4" s="3">
        <v>0.1</v>
      </c>
      <c r="M4" s="5">
        <f>(1-L4)/K4</f>
        <v>0.02</v>
      </c>
      <c r="N4" s="6">
        <v>1000</v>
      </c>
      <c r="O4" s="6">
        <f>N4*F4</f>
        <v>100000</v>
      </c>
      <c r="P4" s="6">
        <f>O4*M4*J4</f>
        <v>70000</v>
      </c>
      <c r="Q4" s="6">
        <f t="shared" ref="Q4" si="0">MAX(O4-P4,0)</f>
        <v>30000</v>
      </c>
      <c r="R4" s="9">
        <v>0</v>
      </c>
      <c r="S4" s="6">
        <f t="shared" ref="S4:S6" si="1">IF(Q4&gt;L4*O4,Q4*(1-R4),O4*L4)</f>
        <v>30000</v>
      </c>
      <c r="T4" s="10"/>
      <c r="U4" s="1"/>
      <c r="V4" s="1"/>
    </row>
    <row r="5" spans="2:22" ht="30" x14ac:dyDescent="0.25">
      <c r="B5" s="2">
        <v>2</v>
      </c>
      <c r="C5" s="2" t="s">
        <v>38</v>
      </c>
      <c r="D5" s="14" t="s">
        <v>50</v>
      </c>
      <c r="E5" s="14" t="s">
        <v>51</v>
      </c>
      <c r="F5" s="22">
        <f>180*56</f>
        <v>10080</v>
      </c>
      <c r="G5" s="8">
        <v>25</v>
      </c>
      <c r="H5" s="2">
        <v>1989</v>
      </c>
      <c r="I5" s="2">
        <v>2024</v>
      </c>
      <c r="J5" s="2">
        <f t="shared" ref="J5:J6" si="2">I5-H5</f>
        <v>35</v>
      </c>
      <c r="K5" s="2">
        <v>45</v>
      </c>
      <c r="L5" s="3">
        <v>0.1</v>
      </c>
      <c r="M5" s="5">
        <f>(1-L5)/K5</f>
        <v>0.02</v>
      </c>
      <c r="N5" s="6">
        <v>1300</v>
      </c>
      <c r="O5" s="6">
        <f>N5*F5</f>
        <v>13104000</v>
      </c>
      <c r="P5" s="6">
        <f>O5*M5*J5</f>
        <v>9172800</v>
      </c>
      <c r="Q5" s="6">
        <f>MAX(O5-P5,0)</f>
        <v>3931200</v>
      </c>
      <c r="R5" s="9">
        <v>0</v>
      </c>
      <c r="S5" s="6">
        <f t="shared" si="1"/>
        <v>3931200</v>
      </c>
      <c r="T5" s="10"/>
      <c r="U5" s="1"/>
      <c r="V5" s="1"/>
    </row>
    <row r="6" spans="2:22" ht="30" x14ac:dyDescent="0.25">
      <c r="B6" s="2">
        <v>3</v>
      </c>
      <c r="C6" s="14" t="s">
        <v>39</v>
      </c>
      <c r="D6" s="14" t="s">
        <v>50</v>
      </c>
      <c r="E6" s="14" t="s">
        <v>51</v>
      </c>
      <c r="F6" s="22">
        <f>150*55</f>
        <v>8250</v>
      </c>
      <c r="G6" s="8">
        <v>25</v>
      </c>
      <c r="H6" s="2">
        <v>1989</v>
      </c>
      <c r="I6" s="2">
        <v>2024</v>
      </c>
      <c r="J6" s="2">
        <f t="shared" si="2"/>
        <v>35</v>
      </c>
      <c r="K6" s="2">
        <v>45</v>
      </c>
      <c r="L6" s="3">
        <v>0.1</v>
      </c>
      <c r="M6" s="5">
        <f>(1-L6)/K6</f>
        <v>0.02</v>
      </c>
      <c r="N6" s="6">
        <v>1300</v>
      </c>
      <c r="O6" s="6">
        <f>N6*F6</f>
        <v>10725000</v>
      </c>
      <c r="P6" s="6">
        <f>O6*M6*J6</f>
        <v>7507500</v>
      </c>
      <c r="Q6" s="6">
        <f>MAX(O6-P6,0)</f>
        <v>3217500</v>
      </c>
      <c r="R6" s="9">
        <v>0</v>
      </c>
      <c r="S6" s="6">
        <f t="shared" si="1"/>
        <v>3217500</v>
      </c>
      <c r="T6" s="10"/>
      <c r="U6" s="1"/>
      <c r="V6" s="1"/>
    </row>
    <row r="7" spans="2:22" ht="30" x14ac:dyDescent="0.25">
      <c r="B7" s="2">
        <v>4</v>
      </c>
      <c r="C7" s="2" t="s">
        <v>40</v>
      </c>
      <c r="D7" s="14" t="s">
        <v>50</v>
      </c>
      <c r="E7" s="14" t="s">
        <v>52</v>
      </c>
      <c r="F7" s="22">
        <f>50*20</f>
        <v>1000</v>
      </c>
      <c r="G7" s="8">
        <v>18</v>
      </c>
      <c r="H7" s="2">
        <v>1989</v>
      </c>
      <c r="I7" s="2">
        <v>2024</v>
      </c>
      <c r="J7" s="2">
        <f t="shared" ref="J7:J9" si="3">I7-H7</f>
        <v>35</v>
      </c>
      <c r="K7" s="2">
        <v>45</v>
      </c>
      <c r="L7" s="3">
        <v>0.1</v>
      </c>
      <c r="M7" s="5">
        <f t="shared" ref="M7:M9" si="4">(1-L7)/K7</f>
        <v>0.02</v>
      </c>
      <c r="N7" s="6">
        <v>1200</v>
      </c>
      <c r="O7" s="6">
        <f t="shared" ref="O7:O9" si="5">N7*F7</f>
        <v>1200000</v>
      </c>
      <c r="P7" s="6">
        <f t="shared" ref="P7:P9" si="6">O7*M7*J7</f>
        <v>840000</v>
      </c>
      <c r="Q7" s="6">
        <f t="shared" ref="Q7:Q9" si="7">MAX(O7-P7,0)</f>
        <v>360000</v>
      </c>
      <c r="R7" s="9">
        <v>0</v>
      </c>
      <c r="S7" s="6">
        <f t="shared" ref="S7:S9" si="8">IF(Q7&gt;L7*O7,Q7*(1-R7),O7*L7)</f>
        <v>360000</v>
      </c>
      <c r="T7" s="10"/>
      <c r="U7" s="1"/>
      <c r="V7" s="1"/>
    </row>
    <row r="8" spans="2:22" ht="30" x14ac:dyDescent="0.25">
      <c r="B8" s="2">
        <v>5</v>
      </c>
      <c r="C8" s="2" t="s">
        <v>41</v>
      </c>
      <c r="D8" s="14" t="s">
        <v>50</v>
      </c>
      <c r="E8" s="14" t="s">
        <v>52</v>
      </c>
      <c r="F8" s="22">
        <f>50*22</f>
        <v>1100</v>
      </c>
      <c r="G8" s="8">
        <v>18</v>
      </c>
      <c r="H8" s="2">
        <v>1989</v>
      </c>
      <c r="I8" s="2">
        <v>2024</v>
      </c>
      <c r="J8" s="2">
        <f t="shared" si="3"/>
        <v>35</v>
      </c>
      <c r="K8" s="2">
        <v>45</v>
      </c>
      <c r="L8" s="3">
        <v>0.1</v>
      </c>
      <c r="M8" s="5">
        <f t="shared" si="4"/>
        <v>0.02</v>
      </c>
      <c r="N8" s="6">
        <v>1200</v>
      </c>
      <c r="O8" s="6">
        <f t="shared" si="5"/>
        <v>1320000</v>
      </c>
      <c r="P8" s="6">
        <f t="shared" si="6"/>
        <v>924000</v>
      </c>
      <c r="Q8" s="6">
        <f t="shared" si="7"/>
        <v>396000</v>
      </c>
      <c r="R8" s="9">
        <v>0</v>
      </c>
      <c r="S8" s="6">
        <f t="shared" si="8"/>
        <v>396000</v>
      </c>
      <c r="T8" s="10"/>
      <c r="U8" s="1"/>
      <c r="V8" s="1"/>
    </row>
    <row r="9" spans="2:22" ht="30" x14ac:dyDescent="0.25">
      <c r="B9" s="2">
        <v>6</v>
      </c>
      <c r="C9" s="2" t="s">
        <v>42</v>
      </c>
      <c r="D9" s="14" t="s">
        <v>50</v>
      </c>
      <c r="E9" s="14" t="s">
        <v>52</v>
      </c>
      <c r="F9" s="22">
        <f>62*27</f>
        <v>1674</v>
      </c>
      <c r="G9" s="8">
        <v>26</v>
      </c>
      <c r="H9" s="2">
        <v>1989</v>
      </c>
      <c r="I9" s="2">
        <v>2024</v>
      </c>
      <c r="J9" s="2">
        <f t="shared" si="3"/>
        <v>35</v>
      </c>
      <c r="K9" s="2">
        <v>45</v>
      </c>
      <c r="L9" s="3">
        <v>0.1</v>
      </c>
      <c r="M9" s="5">
        <f t="shared" si="4"/>
        <v>0.02</v>
      </c>
      <c r="N9" s="6">
        <v>1100</v>
      </c>
      <c r="O9" s="6">
        <f t="shared" si="5"/>
        <v>1841400</v>
      </c>
      <c r="P9" s="6">
        <f t="shared" si="6"/>
        <v>1288980</v>
      </c>
      <c r="Q9" s="6">
        <f t="shared" si="7"/>
        <v>552420</v>
      </c>
      <c r="R9" s="9">
        <v>0</v>
      </c>
      <c r="S9" s="6">
        <f t="shared" si="8"/>
        <v>552420</v>
      </c>
      <c r="T9" s="10"/>
      <c r="U9" s="1"/>
      <c r="V9" s="1"/>
    </row>
    <row r="10" spans="2:22" x14ac:dyDescent="0.25">
      <c r="B10" s="2">
        <v>7</v>
      </c>
      <c r="C10" s="2" t="s">
        <v>43</v>
      </c>
      <c r="D10" s="14" t="s">
        <v>50</v>
      </c>
      <c r="E10" s="14" t="s">
        <v>31</v>
      </c>
      <c r="F10" s="22">
        <f>62*24</f>
        <v>1488</v>
      </c>
      <c r="G10" s="8">
        <v>9</v>
      </c>
      <c r="H10" s="2">
        <v>1989</v>
      </c>
      <c r="I10" s="2">
        <v>2024</v>
      </c>
      <c r="J10" s="2">
        <f t="shared" ref="J10:J15" si="9">I10-H10</f>
        <v>35</v>
      </c>
      <c r="K10" s="2">
        <v>60</v>
      </c>
      <c r="L10" s="3">
        <v>0.1</v>
      </c>
      <c r="M10" s="5">
        <f t="shared" ref="M10:M15" si="10">(1-L10)/K10</f>
        <v>1.5000000000000001E-2</v>
      </c>
      <c r="N10" s="6">
        <v>1600</v>
      </c>
      <c r="O10" s="6">
        <f t="shared" ref="O10:O15" si="11">N10*F10</f>
        <v>2380800</v>
      </c>
      <c r="P10" s="6">
        <f t="shared" ref="P10:P15" si="12">O10*M10*J10</f>
        <v>1249920</v>
      </c>
      <c r="Q10" s="6">
        <f t="shared" ref="Q10:Q15" si="13">MAX(O10-P10,0)</f>
        <v>1130880</v>
      </c>
      <c r="R10" s="9">
        <v>0</v>
      </c>
      <c r="S10" s="6">
        <f t="shared" ref="S10:S15" si="14">IF(Q10&gt;L10*O10,Q10*(1-R10),O10*L10)</f>
        <v>1130880</v>
      </c>
      <c r="T10" s="10"/>
      <c r="U10" s="1"/>
      <c r="V10" s="1"/>
    </row>
    <row r="11" spans="2:22" ht="30" x14ac:dyDescent="0.25">
      <c r="B11" s="2">
        <v>8</v>
      </c>
      <c r="C11" s="2" t="s">
        <v>44</v>
      </c>
      <c r="D11" s="14" t="s">
        <v>50</v>
      </c>
      <c r="E11" s="14" t="s">
        <v>51</v>
      </c>
      <c r="F11" s="22">
        <f>70*86</f>
        <v>6020</v>
      </c>
      <c r="G11" s="8">
        <v>20</v>
      </c>
      <c r="H11" s="2">
        <v>2023</v>
      </c>
      <c r="I11" s="2">
        <v>2024</v>
      </c>
      <c r="J11" s="2">
        <f t="shared" si="9"/>
        <v>1</v>
      </c>
      <c r="K11" s="2">
        <v>45</v>
      </c>
      <c r="L11" s="3">
        <v>0.1</v>
      </c>
      <c r="M11" s="5">
        <f t="shared" si="10"/>
        <v>0.02</v>
      </c>
      <c r="N11" s="6">
        <v>1600</v>
      </c>
      <c r="O11" s="6">
        <f t="shared" si="11"/>
        <v>9632000</v>
      </c>
      <c r="P11" s="6">
        <f t="shared" si="12"/>
        <v>192640</v>
      </c>
      <c r="Q11" s="6">
        <f t="shared" si="13"/>
        <v>9439360</v>
      </c>
      <c r="R11" s="9">
        <v>0</v>
      </c>
      <c r="S11" s="6">
        <f t="shared" si="14"/>
        <v>9439360</v>
      </c>
      <c r="T11" s="10"/>
      <c r="U11" s="1"/>
      <c r="V11" s="1"/>
    </row>
    <row r="12" spans="2:22" x14ac:dyDescent="0.25">
      <c r="B12" s="2">
        <v>9</v>
      </c>
      <c r="C12" s="2" t="s">
        <v>45</v>
      </c>
      <c r="D12" s="14" t="s">
        <v>49</v>
      </c>
      <c r="E12" s="14" t="s">
        <v>31</v>
      </c>
      <c r="F12" s="22">
        <f>53*38</f>
        <v>2014</v>
      </c>
      <c r="G12" s="8">
        <v>9</v>
      </c>
      <c r="H12" s="2">
        <v>1989</v>
      </c>
      <c r="I12" s="2">
        <v>2024</v>
      </c>
      <c r="J12" s="2">
        <f t="shared" si="9"/>
        <v>35</v>
      </c>
      <c r="K12" s="2">
        <v>60</v>
      </c>
      <c r="L12" s="3">
        <v>0.1</v>
      </c>
      <c r="M12" s="5">
        <f t="shared" si="10"/>
        <v>1.5000000000000001E-2</v>
      </c>
      <c r="N12" s="6">
        <v>1600</v>
      </c>
      <c r="O12" s="6">
        <f t="shared" si="11"/>
        <v>3222400</v>
      </c>
      <c r="P12" s="6">
        <f t="shared" si="12"/>
        <v>1691760.0000000002</v>
      </c>
      <c r="Q12" s="6">
        <f t="shared" si="13"/>
        <v>1530639.9999999998</v>
      </c>
      <c r="R12" s="9">
        <v>0</v>
      </c>
      <c r="S12" s="6">
        <f t="shared" si="14"/>
        <v>1530639.9999999998</v>
      </c>
      <c r="T12" s="10"/>
      <c r="U12" s="1"/>
      <c r="V12" s="1"/>
    </row>
    <row r="13" spans="2:22" x14ac:dyDescent="0.25">
      <c r="B13" s="2">
        <v>10</v>
      </c>
      <c r="C13" s="2" t="s">
        <v>46</v>
      </c>
      <c r="D13" s="14" t="s">
        <v>49</v>
      </c>
      <c r="E13" s="14" t="s">
        <v>31</v>
      </c>
      <c r="F13" s="22">
        <f>60*20</f>
        <v>1200</v>
      </c>
      <c r="G13" s="8">
        <v>9</v>
      </c>
      <c r="H13" s="2">
        <v>1989</v>
      </c>
      <c r="I13" s="2">
        <v>2024</v>
      </c>
      <c r="J13" s="2">
        <f t="shared" si="9"/>
        <v>35</v>
      </c>
      <c r="K13" s="2">
        <v>60</v>
      </c>
      <c r="L13" s="3">
        <v>0.1</v>
      </c>
      <c r="M13" s="5">
        <f t="shared" si="10"/>
        <v>1.5000000000000001E-2</v>
      </c>
      <c r="N13" s="6">
        <v>1600</v>
      </c>
      <c r="O13" s="6">
        <f t="shared" si="11"/>
        <v>1920000</v>
      </c>
      <c r="P13" s="6">
        <f t="shared" si="12"/>
        <v>1008000.0000000001</v>
      </c>
      <c r="Q13" s="6">
        <f t="shared" si="13"/>
        <v>911999.99999999988</v>
      </c>
      <c r="R13" s="9">
        <v>0</v>
      </c>
      <c r="S13" s="6">
        <f t="shared" si="14"/>
        <v>911999.99999999988</v>
      </c>
      <c r="T13" s="10"/>
      <c r="U13" s="1"/>
      <c r="V13" s="1"/>
    </row>
    <row r="14" spans="2:22" ht="30" x14ac:dyDescent="0.25">
      <c r="B14" s="2">
        <v>11</v>
      </c>
      <c r="C14" s="2" t="s">
        <v>47</v>
      </c>
      <c r="D14" s="14" t="s">
        <v>29</v>
      </c>
      <c r="E14" s="14" t="s">
        <v>53</v>
      </c>
      <c r="F14" s="22">
        <f>34*10</f>
        <v>340</v>
      </c>
      <c r="G14" s="8">
        <v>10</v>
      </c>
      <c r="H14" s="2">
        <v>1989</v>
      </c>
      <c r="I14" s="2">
        <v>2024</v>
      </c>
      <c r="J14" s="2">
        <f t="shared" si="9"/>
        <v>35</v>
      </c>
      <c r="K14" s="2">
        <v>40</v>
      </c>
      <c r="L14" s="3">
        <v>0.1</v>
      </c>
      <c r="M14" s="5">
        <f t="shared" si="10"/>
        <v>2.2499999999999999E-2</v>
      </c>
      <c r="N14" s="6">
        <v>9000</v>
      </c>
      <c r="O14" s="6">
        <f t="shared" si="11"/>
        <v>3060000</v>
      </c>
      <c r="P14" s="6">
        <f t="shared" si="12"/>
        <v>2409750</v>
      </c>
      <c r="Q14" s="6">
        <f t="shared" si="13"/>
        <v>650250</v>
      </c>
      <c r="R14" s="9">
        <v>0</v>
      </c>
      <c r="S14" s="6">
        <f t="shared" si="14"/>
        <v>650250</v>
      </c>
      <c r="T14" s="10"/>
      <c r="U14" s="1"/>
      <c r="V14" s="1"/>
    </row>
    <row r="15" spans="2:22" ht="30" x14ac:dyDescent="0.25">
      <c r="B15" s="2">
        <v>12</v>
      </c>
      <c r="C15" s="2" t="s">
        <v>48</v>
      </c>
      <c r="D15" s="14" t="s">
        <v>29</v>
      </c>
      <c r="E15" s="14" t="s">
        <v>52</v>
      </c>
      <c r="F15" s="22">
        <f>22*10</f>
        <v>220</v>
      </c>
      <c r="G15" s="8">
        <v>10</v>
      </c>
      <c r="H15" s="2">
        <v>1989</v>
      </c>
      <c r="I15" s="2">
        <v>2024</v>
      </c>
      <c r="J15" s="2">
        <f t="shared" si="9"/>
        <v>35</v>
      </c>
      <c r="K15" s="2">
        <v>45</v>
      </c>
      <c r="L15" s="3">
        <v>0.1</v>
      </c>
      <c r="M15" s="5">
        <f t="shared" si="10"/>
        <v>0.02</v>
      </c>
      <c r="N15" s="6">
        <v>1200</v>
      </c>
      <c r="O15" s="6">
        <f t="shared" si="11"/>
        <v>264000</v>
      </c>
      <c r="P15" s="6">
        <f t="shared" si="12"/>
        <v>184800</v>
      </c>
      <c r="Q15" s="6">
        <f t="shared" si="13"/>
        <v>79200</v>
      </c>
      <c r="R15" s="9">
        <v>0</v>
      </c>
      <c r="S15" s="6">
        <f t="shared" si="14"/>
        <v>79200</v>
      </c>
      <c r="T15" s="10"/>
      <c r="U15" s="1"/>
      <c r="V15" s="1"/>
    </row>
    <row r="16" spans="2:22" x14ac:dyDescent="0.25">
      <c r="B16" s="52" t="s">
        <v>6</v>
      </c>
      <c r="C16" s="52"/>
      <c r="D16" s="52"/>
      <c r="E16" s="52"/>
      <c r="F16" s="23">
        <f>SUM(F4:F15)</f>
        <v>33486</v>
      </c>
      <c r="G16" s="45"/>
      <c r="H16" s="53"/>
      <c r="I16" s="54"/>
      <c r="J16" s="54"/>
      <c r="K16" s="54"/>
      <c r="L16" s="54"/>
      <c r="M16" s="54"/>
      <c r="N16" s="55"/>
      <c r="O16" s="7">
        <f>SUM(O4:O15)</f>
        <v>48769600</v>
      </c>
      <c r="P16" s="7">
        <f>SUM(P4:P9)</f>
        <v>19803280</v>
      </c>
      <c r="Q16" s="7">
        <f>SUM(Q4:Q9)</f>
        <v>8487120</v>
      </c>
      <c r="R16" s="7"/>
      <c r="S16" s="7">
        <f>SUM(S4:S15)</f>
        <v>22229450</v>
      </c>
      <c r="T16" s="10"/>
    </row>
    <row r="17" spans="2:22" x14ac:dyDescent="0.25">
      <c r="B17" s="57" t="s">
        <v>18</v>
      </c>
      <c r="C17" s="57"/>
      <c r="D17" s="57"/>
      <c r="E17" s="57"/>
      <c r="F17" s="57"/>
      <c r="G17" s="57"/>
      <c r="H17" s="57"/>
      <c r="I17" s="57"/>
      <c r="J17" s="57"/>
      <c r="K17" s="57"/>
      <c r="L17" s="57"/>
      <c r="M17" s="57"/>
      <c r="N17" s="57"/>
      <c r="O17" s="57"/>
      <c r="P17" s="57"/>
      <c r="Q17" s="57"/>
      <c r="R17" s="57"/>
      <c r="S17" s="57"/>
      <c r="T17" s="10"/>
    </row>
    <row r="18" spans="2:22" ht="16.5" customHeight="1" x14ac:dyDescent="0.25">
      <c r="B18" s="56" t="s">
        <v>55</v>
      </c>
      <c r="C18" s="56"/>
      <c r="D18" s="56"/>
      <c r="E18" s="56"/>
      <c r="F18" s="56"/>
      <c r="G18" s="56"/>
      <c r="H18" s="56"/>
      <c r="I18" s="56"/>
      <c r="J18" s="56"/>
      <c r="K18" s="56"/>
      <c r="L18" s="56"/>
      <c r="M18" s="56"/>
      <c r="N18" s="56"/>
      <c r="O18" s="56"/>
      <c r="P18" s="56"/>
      <c r="Q18" s="56"/>
      <c r="R18" s="56"/>
      <c r="S18" s="56"/>
      <c r="T18" s="10"/>
    </row>
    <row r="19" spans="2:22" x14ac:dyDescent="0.25">
      <c r="B19" s="56" t="s">
        <v>54</v>
      </c>
      <c r="C19" s="48"/>
      <c r="D19" s="48"/>
      <c r="E19" s="48"/>
      <c r="F19" s="48"/>
      <c r="G19" s="48"/>
      <c r="H19" s="48"/>
      <c r="I19" s="48"/>
      <c r="J19" s="48"/>
      <c r="K19" s="48"/>
      <c r="L19" s="48"/>
      <c r="M19" s="48"/>
      <c r="N19" s="48"/>
      <c r="O19" s="48"/>
      <c r="P19" s="48"/>
      <c r="Q19" s="48"/>
      <c r="R19" s="48"/>
      <c r="S19" s="48"/>
      <c r="T19" s="10"/>
    </row>
    <row r="20" spans="2:22" x14ac:dyDescent="0.25">
      <c r="B20" s="48" t="s">
        <v>19</v>
      </c>
      <c r="C20" s="48"/>
      <c r="D20" s="48"/>
      <c r="E20" s="48"/>
      <c r="F20" s="48"/>
      <c r="G20" s="48"/>
      <c r="H20" s="48"/>
      <c r="I20" s="48"/>
      <c r="J20" s="48"/>
      <c r="K20" s="48"/>
      <c r="L20" s="48"/>
      <c r="M20" s="48"/>
      <c r="N20" s="48"/>
      <c r="O20" s="48"/>
      <c r="P20" s="48"/>
      <c r="Q20" s="48"/>
      <c r="R20" s="48"/>
      <c r="S20" s="48"/>
      <c r="T20" s="10"/>
    </row>
    <row r="21" spans="2:22" x14ac:dyDescent="0.25">
      <c r="T21" s="10"/>
    </row>
    <row r="22" spans="2:22" x14ac:dyDescent="0.25">
      <c r="T22" s="10"/>
    </row>
    <row r="23" spans="2:22" ht="15.75" x14ac:dyDescent="0.25">
      <c r="J23" s="17" t="s">
        <v>32</v>
      </c>
      <c r="K23" s="20">
        <v>1200000</v>
      </c>
      <c r="Q23" s="25" t="s">
        <v>27</v>
      </c>
      <c r="R23" s="19">
        <f>15000*111.52</f>
        <v>1672800</v>
      </c>
      <c r="T23" s="10">
        <f>O16*0.8</f>
        <v>39015680</v>
      </c>
    </row>
    <row r="24" spans="2:22" ht="15.75" x14ac:dyDescent="0.25">
      <c r="J24" s="17" t="s">
        <v>25</v>
      </c>
      <c r="K24" s="20">
        <f>N26*36000000</f>
        <v>108084065.3841877</v>
      </c>
      <c r="Q24" s="25" t="s">
        <v>28</v>
      </c>
      <c r="R24" s="19">
        <v>15000</v>
      </c>
      <c r="T24" s="10"/>
    </row>
    <row r="25" spans="2:22" ht="15.75" x14ac:dyDescent="0.25">
      <c r="J25" s="17" t="s">
        <v>26</v>
      </c>
      <c r="K25" s="20">
        <f>S16</f>
        <v>22229450</v>
      </c>
      <c r="N25">
        <v>12150</v>
      </c>
      <c r="O25">
        <f>N25*1.196</f>
        <v>14531.4</v>
      </c>
      <c r="Q25" s="26" t="s">
        <v>30</v>
      </c>
      <c r="R25" s="27">
        <f>S29+S30+S31</f>
        <v>0</v>
      </c>
      <c r="T25" s="10"/>
    </row>
    <row r="26" spans="2:22" ht="11.25" customHeight="1" x14ac:dyDescent="0.25">
      <c r="J26" s="18" t="s">
        <v>22</v>
      </c>
      <c r="K26" s="20">
        <f>SUM(K23:K25)</f>
        <v>131513515.3841877</v>
      </c>
      <c r="N26" s="47">
        <f>N25/4046.85</f>
        <v>3.0023351495607695</v>
      </c>
      <c r="T26" s="10"/>
    </row>
    <row r="27" spans="2:22" ht="18" customHeight="1" x14ac:dyDescent="0.25">
      <c r="J27" s="18" t="s">
        <v>24</v>
      </c>
      <c r="K27" s="20">
        <f>ROUND(K26,-5)</f>
        <v>131500000</v>
      </c>
      <c r="R27" s="28"/>
      <c r="T27" s="10"/>
    </row>
    <row r="28" spans="2:22" x14ac:dyDescent="0.25">
      <c r="J28" s="17" t="s">
        <v>20</v>
      </c>
      <c r="K28" s="21">
        <f>0.85*K27</f>
        <v>111775000</v>
      </c>
      <c r="N28" s="33">
        <v>36000000</v>
      </c>
      <c r="T28" s="10"/>
    </row>
    <row r="29" spans="2:22" x14ac:dyDescent="0.25">
      <c r="J29" s="17" t="s">
        <v>21</v>
      </c>
      <c r="K29" s="21">
        <f>0.75*K27</f>
        <v>98625000</v>
      </c>
      <c r="N29" s="38">
        <f>N26*N28</f>
        <v>108084065.3841877</v>
      </c>
      <c r="P29">
        <v>2100</v>
      </c>
      <c r="Q29">
        <f>P29*1.196</f>
        <v>2511.6</v>
      </c>
      <c r="T29" s="32"/>
    </row>
    <row r="30" spans="2:22" ht="15" customHeight="1" x14ac:dyDescent="0.25">
      <c r="E30" s="30"/>
      <c r="P30">
        <f>P29*O25</f>
        <v>30515940</v>
      </c>
      <c r="Q30" s="33">
        <f>Q29*N25</f>
        <v>30515940</v>
      </c>
      <c r="T30" s="32"/>
    </row>
    <row r="32" spans="2:22" x14ac:dyDescent="0.25">
      <c r="N32">
        <v>395</v>
      </c>
      <c r="O32">
        <v>4000</v>
      </c>
      <c r="P32" s="33">
        <f>O32*N32</f>
        <v>1580000</v>
      </c>
      <c r="Q32" s="36">
        <f>P32*M4*10</f>
        <v>316000</v>
      </c>
      <c r="S32" s="58">
        <f>P32-Q32</f>
        <v>1264000</v>
      </c>
      <c r="T32" s="31"/>
      <c r="U32" s="4"/>
      <c r="V32" s="4"/>
    </row>
    <row r="33" spans="8:20" x14ac:dyDescent="0.25">
      <c r="T33" s="31"/>
    </row>
    <row r="34" spans="8:20" x14ac:dyDescent="0.25">
      <c r="T34" s="31"/>
    </row>
    <row r="39" spans="8:20" x14ac:dyDescent="0.25">
      <c r="H39" s="33"/>
    </row>
    <row r="41" spans="8:20" ht="15" customHeight="1" x14ac:dyDescent="0.25"/>
  </sheetData>
  <mergeCells count="7">
    <mergeCell ref="B20:S20"/>
    <mergeCell ref="B2:S2"/>
    <mergeCell ref="B16:E16"/>
    <mergeCell ref="H16:N16"/>
    <mergeCell ref="B18:S18"/>
    <mergeCell ref="B19:S19"/>
    <mergeCell ref="B17:S17"/>
  </mergeCells>
  <pageMargins left="0.31496062992125984" right="0.31496062992125984" top="0.31496062992125984" bottom="0.31496062992125984" header="0.31496062992125984" footer="0.31496062992125984"/>
  <pageSetup paperSize="9" scale="5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5:S26"/>
  <sheetViews>
    <sheetView workbookViewId="0">
      <selection activeCell="N10" sqref="N10"/>
    </sheetView>
  </sheetViews>
  <sheetFormatPr defaultRowHeight="15" x14ac:dyDescent="0.25"/>
  <cols>
    <col min="3" max="3" width="10.42578125" bestFit="1" customWidth="1"/>
    <col min="5" max="5" width="10" bestFit="1" customWidth="1"/>
    <col min="13" max="13" width="10" bestFit="1" customWidth="1"/>
    <col min="18" max="18" width="10" bestFit="1" customWidth="1"/>
  </cols>
  <sheetData>
    <row r="5" spans="3:18" x14ac:dyDescent="0.25">
      <c r="C5" s="44" t="s">
        <v>35</v>
      </c>
      <c r="D5" s="44" t="s">
        <v>34</v>
      </c>
      <c r="E5" s="44" t="s">
        <v>33</v>
      </c>
    </row>
    <row r="6" spans="3:18" x14ac:dyDescent="0.25">
      <c r="C6" s="41">
        <v>32767</v>
      </c>
      <c r="D6" s="34">
        <v>2260</v>
      </c>
      <c r="E6" s="34">
        <v>353.06</v>
      </c>
      <c r="F6">
        <f>E6*1.196</f>
        <v>422.25975999999997</v>
      </c>
    </row>
    <row r="7" spans="3:18" x14ac:dyDescent="0.25">
      <c r="C7" s="41">
        <v>32862</v>
      </c>
      <c r="D7" s="34">
        <v>2936</v>
      </c>
      <c r="E7" s="34">
        <v>493</v>
      </c>
      <c r="F7">
        <f>E7*1.196</f>
        <v>589.62799999999993</v>
      </c>
    </row>
    <row r="8" spans="3:18" x14ac:dyDescent="0.25">
      <c r="C8" s="41">
        <v>32421</v>
      </c>
      <c r="D8" s="34">
        <v>3181</v>
      </c>
      <c r="E8" s="34">
        <f>11300/2</f>
        <v>5650</v>
      </c>
      <c r="F8" s="43">
        <v>2.3199999999999998</v>
      </c>
      <c r="R8" s="33"/>
    </row>
    <row r="9" spans="3:18" x14ac:dyDescent="0.25">
      <c r="C9" s="41">
        <v>32421</v>
      </c>
      <c r="D9" s="34">
        <v>3182</v>
      </c>
      <c r="E9" s="34">
        <f>11300/2</f>
        <v>5650</v>
      </c>
      <c r="F9" s="43">
        <v>2.3199999999999998</v>
      </c>
    </row>
    <row r="10" spans="3:18" x14ac:dyDescent="0.25">
      <c r="C10" s="41">
        <v>32421</v>
      </c>
      <c r="D10" s="34">
        <v>3183</v>
      </c>
      <c r="E10" s="42">
        <v>176</v>
      </c>
    </row>
    <row r="11" spans="3:18" x14ac:dyDescent="0.25">
      <c r="C11" s="41">
        <v>32421</v>
      </c>
      <c r="D11" s="34">
        <v>3184</v>
      </c>
      <c r="E11" s="34">
        <f>10*101.17</f>
        <v>1011.7</v>
      </c>
    </row>
    <row r="12" spans="3:18" x14ac:dyDescent="0.25">
      <c r="C12" s="40">
        <v>39630</v>
      </c>
      <c r="D12" s="35">
        <v>3596</v>
      </c>
      <c r="E12" s="35">
        <f>18*101.17</f>
        <v>1821.06</v>
      </c>
      <c r="G12" s="1">
        <f>E13-E12</f>
        <v>13333.76</v>
      </c>
    </row>
    <row r="13" spans="3:18" x14ac:dyDescent="0.25">
      <c r="C13" s="34"/>
      <c r="D13" s="34"/>
      <c r="E13" s="39">
        <f>SUM(E6:E12)</f>
        <v>15154.82</v>
      </c>
    </row>
    <row r="14" spans="3:18" x14ac:dyDescent="0.25">
      <c r="E14" s="38">
        <f>E13/4046.85</f>
        <v>3.744843520268851</v>
      </c>
    </row>
    <row r="18" spans="9:19" x14ac:dyDescent="0.25">
      <c r="S18" s="36"/>
    </row>
    <row r="21" spans="9:19" x14ac:dyDescent="0.25">
      <c r="L21" s="37"/>
    </row>
    <row r="22" spans="9:19" x14ac:dyDescent="0.25">
      <c r="M22" s="33">
        <f>L21*10.764</f>
        <v>0</v>
      </c>
    </row>
    <row r="26" spans="9:19" x14ac:dyDescent="0.25">
      <c r="I26" s="36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Building</vt:lpstr>
      <vt:lpstr>Land Details</vt:lpstr>
      <vt:lpstr>Building!Print_Area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trainee4</dc:creator>
  <cp:lastModifiedBy>Amit Jaiswal</cp:lastModifiedBy>
  <cp:lastPrinted>2022-01-07T08:12:53Z</cp:lastPrinted>
  <dcterms:created xsi:type="dcterms:W3CDTF">2021-09-16T11:33:35Z</dcterms:created>
  <dcterms:modified xsi:type="dcterms:W3CDTF">2024-03-22T09:05:24Z</dcterms:modified>
</cp:coreProperties>
</file>