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Rajani Gupta Ma'am\March Month 2024\Beardsell_Mahape\"/>
    </mc:Choice>
  </mc:AlternateContent>
  <bookViews>
    <workbookView showVerticalScroll="0" xWindow="0" yWindow="0" windowWidth="21600" windowHeight="9735"/>
  </bookViews>
  <sheets>
    <sheet name="Building" sheetId="1" r:id="rId1"/>
    <sheet name="FAR" sheetId="3" r:id="rId2"/>
    <sheet name="Land" sheetId="2" r:id="rId3"/>
    <sheet name="Sheet1" sheetId="4" r:id="rId4"/>
  </sheets>
  <definedNames>
    <definedName name="_xlnm.Print_Area" localSheetId="0">Building!$B$2:$T$26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30" i="1" l="1"/>
  <c r="H38" i="1" l="1"/>
  <c r="F5" i="1"/>
  <c r="F9" i="1"/>
  <c r="F10" i="1"/>
  <c r="F11" i="1"/>
  <c r="F21" i="1" l="1"/>
  <c r="L17" i="4"/>
  <c r="L18" i="4"/>
  <c r="I14" i="4" l="1"/>
  <c r="P15" i="1"/>
  <c r="P16" i="1"/>
  <c r="P17" i="1"/>
  <c r="P18" i="1"/>
  <c r="P19" i="1"/>
  <c r="P20" i="1"/>
  <c r="N15" i="1"/>
  <c r="N16" i="1"/>
  <c r="N17" i="1"/>
  <c r="N18" i="1"/>
  <c r="N19" i="1"/>
  <c r="N20" i="1"/>
  <c r="K15" i="1"/>
  <c r="K16" i="1"/>
  <c r="K17" i="1"/>
  <c r="K18" i="1"/>
  <c r="K19" i="1"/>
  <c r="K20" i="1"/>
  <c r="G8" i="1"/>
  <c r="G7" i="1"/>
  <c r="G6" i="1"/>
  <c r="G5" i="1"/>
  <c r="Q19" i="1" l="1"/>
  <c r="R19" i="1" s="1"/>
  <c r="T19" i="1" s="1"/>
  <c r="Q17" i="1"/>
  <c r="R17" i="1" s="1"/>
  <c r="T17" i="1" s="1"/>
  <c r="Q15" i="1"/>
  <c r="R15" i="1" s="1"/>
  <c r="T15" i="1" s="1"/>
  <c r="Q20" i="1"/>
  <c r="R20" i="1" s="1"/>
  <c r="T20" i="1" s="1"/>
  <c r="Q18" i="1"/>
  <c r="R18" i="1" s="1"/>
  <c r="T18" i="1" s="1"/>
  <c r="Q16" i="1"/>
  <c r="R16" i="1" s="1"/>
  <c r="T16" i="1" s="1"/>
  <c r="I32" i="1"/>
  <c r="E24" i="2"/>
  <c r="E23" i="2"/>
  <c r="D17" i="2" l="1"/>
  <c r="J17" i="2"/>
  <c r="E17" i="2"/>
  <c r="E18" i="2"/>
  <c r="E16" i="2"/>
  <c r="S21" i="1" l="1"/>
  <c r="N14" i="1"/>
  <c r="K14" i="1"/>
  <c r="N13" i="1"/>
  <c r="K13" i="1"/>
  <c r="N11" i="1"/>
  <c r="K11" i="1"/>
  <c r="N10" i="1"/>
  <c r="K10" i="1"/>
  <c r="N9" i="1"/>
  <c r="K9" i="1"/>
  <c r="N8" i="1"/>
  <c r="K8" i="1"/>
  <c r="N7" i="1"/>
  <c r="K7" i="1"/>
  <c r="P6" i="1"/>
  <c r="N6" i="1"/>
  <c r="K6" i="1"/>
  <c r="P5" i="1"/>
  <c r="N5" i="1"/>
  <c r="K5" i="1"/>
  <c r="P8" i="1"/>
  <c r="G9" i="1"/>
  <c r="P9" i="1" s="1"/>
  <c r="G10" i="1"/>
  <c r="P10" i="1" s="1"/>
  <c r="G11" i="1"/>
  <c r="P11" i="1" s="1"/>
  <c r="P13" i="1"/>
  <c r="P14" i="1"/>
  <c r="G21" i="1" l="1"/>
  <c r="P7" i="1"/>
  <c r="Q7" i="1" s="1"/>
  <c r="R7" i="1" s="1"/>
  <c r="Q9" i="1"/>
  <c r="R9" i="1" s="1"/>
  <c r="T9" i="1" s="1"/>
  <c r="Q11" i="1"/>
  <c r="R11" i="1" s="1"/>
  <c r="T11" i="1" s="1"/>
  <c r="Q14" i="1"/>
  <c r="R14" i="1" s="1"/>
  <c r="T14" i="1" s="1"/>
  <c r="Q6" i="1"/>
  <c r="R6" i="1" s="1"/>
  <c r="T6" i="1" s="1"/>
  <c r="Q8" i="1"/>
  <c r="R8" i="1" s="1"/>
  <c r="T8" i="1" s="1"/>
  <c r="Q10" i="1"/>
  <c r="R10" i="1" s="1"/>
  <c r="T10" i="1" s="1"/>
  <c r="Q13" i="1"/>
  <c r="R13" i="1" s="1"/>
  <c r="T13" i="1" s="1"/>
  <c r="Q5" i="1"/>
  <c r="R5" i="1" s="1"/>
  <c r="T5" i="1" s="1"/>
  <c r="T7" i="1" l="1"/>
  <c r="E8" i="3"/>
  <c r="D8" i="3"/>
  <c r="E35" i="1" l="1"/>
  <c r="N12" i="1" l="1"/>
  <c r="L40" i="1" l="1"/>
  <c r="K40" i="1"/>
  <c r="P12" i="1" l="1"/>
  <c r="P21" i="1" s="1"/>
  <c r="S30" i="1" l="1"/>
  <c r="S29" i="1"/>
  <c r="K12" i="1" l="1"/>
  <c r="Q12" i="1" l="1"/>
  <c r="R12" i="1" l="1"/>
  <c r="R21" i="1" s="1"/>
  <c r="Q21" i="1"/>
  <c r="T12" i="1" l="1"/>
  <c r="T21" i="1" s="1"/>
  <c r="L31" i="1"/>
  <c r="P30" i="1" l="1"/>
  <c r="L32" i="1"/>
  <c r="L33" i="1" s="1"/>
  <c r="O32" i="1"/>
  <c r="L34" i="1" l="1"/>
  <c r="L35" i="1"/>
  <c r="I34" i="1"/>
  <c r="I35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<sst xmlns="http://schemas.openxmlformats.org/spreadsheetml/2006/main" count="99" uniqueCount="68">
  <si>
    <t>SR. No.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</si>
  <si>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</si>
  <si>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</si>
  <si>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</si>
  <si>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</si>
  <si>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</si>
  <si>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</si>
  <si>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</si>
  <si>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</si>
  <si>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</si>
  <si>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</si>
  <si>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</si>
  <si>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</si>
  <si>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</si>
  <si>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</si>
  <si>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</si>
  <si>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</si>
  <si>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</si>
  <si>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TOTAL FMV</t>
  </si>
  <si>
    <t>ROUND OFF</t>
  </si>
  <si>
    <t>PREMIUM</t>
  </si>
  <si>
    <t>LAND</t>
  </si>
  <si>
    <t>BUILDING</t>
  </si>
  <si>
    <t>Land value</t>
  </si>
  <si>
    <t>Circle Rate</t>
  </si>
  <si>
    <t>CIRCLE RATE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</si>
  <si>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</si>
  <si>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 per floor (</t>
    </r>
    <r>
      <rPr>
        <b/>
        <i/>
        <sz val="10"/>
        <rFont val="Calibri"/>
        <family val="2"/>
        <scheme val="minor"/>
      </rPr>
      <t>in ft.)</t>
    </r>
  </si>
  <si>
    <r>
      <t>4.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</si>
  <si>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Boundary wall</t>
  </si>
  <si>
    <t>Sl. No.</t>
  </si>
  <si>
    <t xml:space="preserve">Land </t>
  </si>
  <si>
    <t xml:space="preserve">Building </t>
  </si>
  <si>
    <t>Area (sq. mtr.)</t>
  </si>
  <si>
    <t>Rate/ sq.mtr</t>
  </si>
  <si>
    <t>Value</t>
  </si>
  <si>
    <t>Vacant</t>
  </si>
  <si>
    <t>Land+Building</t>
  </si>
  <si>
    <t xml:space="preserve">Vacant </t>
  </si>
  <si>
    <t>Document check list required for Land Valuation</t>
  </si>
  <si>
    <t>Document Name</t>
  </si>
  <si>
    <t>3. Age of the building has been taken from the information received from client during site survey</t>
  </si>
  <si>
    <t xml:space="preserve">Structure Name </t>
  </si>
  <si>
    <t xml:space="preserve">Admin Building </t>
  </si>
  <si>
    <t>Floor</t>
  </si>
  <si>
    <t>Ground</t>
  </si>
  <si>
    <t>R.C.C</t>
  </si>
  <si>
    <t>EPS Pipe section area</t>
  </si>
  <si>
    <t>ISO Build pannel</t>
  </si>
  <si>
    <t>Shape molding area</t>
  </si>
  <si>
    <t>Production supervision room</t>
  </si>
  <si>
    <t>Shed</t>
  </si>
  <si>
    <t>Brickwork and shed</t>
  </si>
  <si>
    <t>*</t>
  </si>
  <si>
    <t>Transformer room</t>
  </si>
  <si>
    <t>Secuirty cabin</t>
  </si>
  <si>
    <t>Area (in sq. mtr.)</t>
  </si>
  <si>
    <t>Finish goods area</t>
  </si>
  <si>
    <t xml:space="preserve">Dryrer room </t>
  </si>
  <si>
    <t>Boiler house</t>
  </si>
  <si>
    <t>Working area</t>
  </si>
  <si>
    <t>Raw material store</t>
  </si>
  <si>
    <t>Scrap area</t>
  </si>
  <si>
    <t>Production stock room</t>
  </si>
  <si>
    <t>BUILDING VALUATION OF M/S BEARDSELL LIMITED|TTC MIDC THANE , MUMBAI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</si>
  <si>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taken from site survey measurement done during site visit.</t>
    </r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</si>
  <si>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structures that has been taken in the area statemnet belongs to M/s. Beardsell Limited</t>
    </r>
  </si>
  <si>
    <t>Coal storage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</si>
</sst>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wrapText="1"/>
    </xf>
    <xf numFmtId="167" fontId="0" fillId="5" borderId="0" xfId="0" applyNumberFormat="1" applyFill="1"/>
    <xf numFmtId="167" fontId="2" fillId="5" borderId="0" xfId="0" applyNumberFormat="1" applyFont="1" applyFill="1"/>
    <xf numFmtId="166" fontId="2" fillId="5" borderId="0" xfId="1" applyNumberFormat="1" applyFont="1" applyFill="1"/>
    <xf numFmtId="0" fontId="13" fillId="6" borderId="0" xfId="0" applyFont="1" applyFill="1" applyAlignment="1">
      <alignment horizontal="center"/>
    </xf>
    <xf numFmtId="167" fontId="0" fillId="0" borderId="0" xfId="0" applyNumberFormat="1"/>
    <xf numFmtId="164" fontId="4" fillId="2" borderId="1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left" vertical="center"/>
    </xf>
    <xf numFmtId="44" fontId="0" fillId="0" borderId="0" xfId="1" applyFont="1" applyAlignment="1">
      <alignment wrapText="1"/>
    </xf>
    <xf numFmtId="168" fontId="0" fillId="7" borderId="0" xfId="0" applyNumberFormat="1" applyFill="1" applyAlignment="1">
      <alignment horizontal="center" wrapText="1"/>
    </xf>
    <xf numFmtId="43" fontId="0" fillId="0" borderId="0" xfId="0" applyNumberFormat="1"/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0" fillId="0" borderId="0" xfId="2" applyNumberFormat="1" applyFont="1" applyAlignment="1">
      <alignment wrapText="1"/>
    </xf>
    <xf numFmtId="0" fontId="14" fillId="3" borderId="0" xfId="0" applyFont="1" applyFill="1" applyAlignment="1">
      <alignment horizontal="center" vertical="center" wrapText="1"/>
    </xf>
    <xf numFmtId="164" fontId="14" fillId="3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Border="1" applyAlignment="1">
      <alignment vertical="center"/>
    </xf>
    <xf numFmtId="43" fontId="0" fillId="0" borderId="0" xfId="2" applyFont="1" applyBorder="1" applyAlignment="1">
      <alignment vertical="center"/>
    </xf>
    <xf numFmtId="43" fontId="0" fillId="0" borderId="0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2" fillId="0" borderId="0" xfId="2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/>
    </xf>
    <xf numFmtId="2" fontId="0" fillId="0" borderId="0" xfId="0" applyNumberForma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2" applyNumberFormat="1" applyFont="1"/>
    <xf numFmtId="2" fontId="0" fillId="0" borderId="0" xfId="0" applyNumberFormat="1"/>
    <xf numFmtId="167" fontId="0" fillId="0" borderId="0" xfId="2" applyNumberFormat="1" applyFont="1"/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6"/>
  <sheetViews>
    <sheetView tabSelected="1" zoomScale="70" zoomScaleNormal="70" zoomScaleSheetLayoutView="85" workbookViewId="0">
      <selection activeCell="M6" sqref="M6"/>
    </sheetView>
  </sheetViews>
  <sheetFormatPr defaultRowHeight="15" x14ac:dyDescent="0.25"/>
  <cols>
    <col min="2" max="2" width="7.28515625" bestFit="1" customWidth="1"/>
    <col min="3" max="3" width="15.7109375" style="14" customWidth="1"/>
    <col min="4" max="4" width="13.42578125" style="14" customWidth="1"/>
    <col min="5" max="5" width="20.28515625" style="14" customWidth="1"/>
    <col min="6" max="6" width="13.5703125" style="14" hidden="1" customWidth="1"/>
    <col min="7" max="7" width="11.85546875" style="26" customWidth="1"/>
    <col min="8" max="8" width="14" customWidth="1"/>
    <col min="9" max="9" width="16.5703125" customWidth="1"/>
    <col min="10" max="10" width="14.42578125" customWidth="1"/>
    <col min="11" max="11" width="14.140625" customWidth="1"/>
    <col min="12" max="12" width="19.28515625" customWidth="1"/>
    <col min="13" max="13" width="12.140625" customWidth="1"/>
    <col min="14" max="14" width="16.42578125" customWidth="1"/>
    <col min="15" max="15" width="15.5703125" customWidth="1"/>
    <col min="16" max="16" width="17.28515625" customWidth="1"/>
    <col min="17" max="17" width="18.28515625" customWidth="1"/>
    <col min="18" max="19" width="17" customWidth="1"/>
    <col min="20" max="20" width="18.28515625" style="17" customWidth="1"/>
    <col min="21" max="21" width="17" bestFit="1" customWidth="1"/>
    <col min="22" max="23" width="14.28515625" bestFit="1" customWidth="1"/>
  </cols>
  <sheetData>
    <row r="3" spans="1:23" ht="26.25" customHeight="1" x14ac:dyDescent="0.25">
      <c r="B3" s="66" t="s">
        <v>64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/>
    </row>
    <row r="4" spans="1:23" s="12" customFormat="1" ht="75.75" customHeight="1" x14ac:dyDescent="0.25">
      <c r="B4" s="11" t="s">
        <v>0</v>
      </c>
      <c r="C4" s="11" t="s">
        <v>42</v>
      </c>
      <c r="D4" s="11" t="s">
        <v>44</v>
      </c>
      <c r="E4" s="11" t="s">
        <v>3</v>
      </c>
      <c r="F4" s="11" t="s">
        <v>56</v>
      </c>
      <c r="G4" s="25" t="s">
        <v>26</v>
      </c>
      <c r="H4" s="25" t="s">
        <v>27</v>
      </c>
      <c r="I4" s="11" t="s">
        <v>1</v>
      </c>
      <c r="J4" s="11" t="s">
        <v>2</v>
      </c>
      <c r="K4" s="11" t="s">
        <v>12</v>
      </c>
      <c r="L4" s="11" t="s">
        <v>13</v>
      </c>
      <c r="M4" s="11" t="s">
        <v>4</v>
      </c>
      <c r="N4" s="11" t="s">
        <v>6</v>
      </c>
      <c r="O4" s="11" t="s">
        <v>14</v>
      </c>
      <c r="P4" s="11" t="s">
        <v>10</v>
      </c>
      <c r="Q4" s="11" t="s">
        <v>7</v>
      </c>
      <c r="R4" s="11" t="s">
        <v>8</v>
      </c>
      <c r="S4" s="11" t="s">
        <v>11</v>
      </c>
      <c r="T4" s="11" t="s">
        <v>9</v>
      </c>
    </row>
    <row r="5" spans="1:23" ht="50.25" customHeight="1" x14ac:dyDescent="0.25">
      <c r="B5" s="2">
        <v>1</v>
      </c>
      <c r="C5" s="13" t="s">
        <v>43</v>
      </c>
      <c r="D5" s="13" t="s">
        <v>45</v>
      </c>
      <c r="E5" s="13" t="s">
        <v>46</v>
      </c>
      <c r="F5" s="27">
        <f>13*12.9</f>
        <v>167.70000000000002</v>
      </c>
      <c r="G5" s="27">
        <f>F5*10.7639</f>
        <v>1805.1060300000001</v>
      </c>
      <c r="H5" s="9">
        <v>10</v>
      </c>
      <c r="I5" s="69">
        <v>1984</v>
      </c>
      <c r="J5" s="2">
        <v>2024</v>
      </c>
      <c r="K5" s="2">
        <f t="shared" ref="K5:K11" si="0">J5-I5</f>
        <v>40</v>
      </c>
      <c r="L5" s="2">
        <v>65</v>
      </c>
      <c r="M5" s="3">
        <v>0.1</v>
      </c>
      <c r="N5" s="5">
        <f t="shared" ref="N5:N11" si="1">(1-M5)/L5</f>
        <v>1.3846153846153847E-2</v>
      </c>
      <c r="O5" s="71">
        <v>1600</v>
      </c>
      <c r="P5" s="72">
        <f t="shared" ref="P5:P11" si="2">O5*G5</f>
        <v>2888169.648</v>
      </c>
      <c r="Q5" s="72">
        <f t="shared" ref="Q5:Q11" si="3">P5*N5*K5</f>
        <v>1599601.6512000002</v>
      </c>
      <c r="R5" s="72">
        <f t="shared" ref="R5:R11" si="4">MAX(P5-Q5,0)</f>
        <v>1288567.9967999998</v>
      </c>
      <c r="S5" s="72">
        <v>0</v>
      </c>
      <c r="T5" s="72">
        <f t="shared" ref="T5:T11" si="5">IF(R5&gt;M5*P5,R5*(1-S5),P5*M5)</f>
        <v>1288567.9967999998</v>
      </c>
      <c r="U5" s="10"/>
      <c r="V5" s="1"/>
      <c r="W5" s="1"/>
    </row>
    <row r="6" spans="1:23" ht="50.25" customHeight="1" x14ac:dyDescent="0.25">
      <c r="B6" s="2">
        <v>2</v>
      </c>
      <c r="C6" s="13" t="s">
        <v>54</v>
      </c>
      <c r="D6" s="13" t="s">
        <v>45</v>
      </c>
      <c r="E6" s="13" t="s">
        <v>51</v>
      </c>
      <c r="F6" s="27"/>
      <c r="G6" s="27">
        <f>15.73*9.81</f>
        <v>154.31130000000002</v>
      </c>
      <c r="H6" s="9">
        <v>10</v>
      </c>
      <c r="I6" s="2">
        <v>1984</v>
      </c>
      <c r="J6" s="69">
        <v>2024</v>
      </c>
      <c r="K6" s="2">
        <f t="shared" si="0"/>
        <v>40</v>
      </c>
      <c r="L6" s="2">
        <v>45</v>
      </c>
      <c r="M6" s="3">
        <v>0.1</v>
      </c>
      <c r="N6" s="5">
        <f t="shared" si="1"/>
        <v>0.02</v>
      </c>
      <c r="O6" s="71">
        <v>1100</v>
      </c>
      <c r="P6" s="72">
        <f t="shared" si="2"/>
        <v>169742.43000000002</v>
      </c>
      <c r="Q6" s="72">
        <f t="shared" si="3"/>
        <v>135793.94400000002</v>
      </c>
      <c r="R6" s="72">
        <f t="shared" si="4"/>
        <v>33948.486000000004</v>
      </c>
      <c r="S6" s="72">
        <v>0</v>
      </c>
      <c r="T6" s="72">
        <f t="shared" si="5"/>
        <v>33948.486000000004</v>
      </c>
      <c r="U6" s="10"/>
      <c r="V6" s="1"/>
      <c r="W6" s="1"/>
    </row>
    <row r="7" spans="1:23" ht="50.25" customHeight="1" x14ac:dyDescent="0.25">
      <c r="B7" s="2">
        <v>3</v>
      </c>
      <c r="C7" s="13" t="s">
        <v>55</v>
      </c>
      <c r="D7" s="13" t="s">
        <v>45</v>
      </c>
      <c r="E7" s="13" t="s">
        <v>51</v>
      </c>
      <c r="F7" s="27"/>
      <c r="G7" s="27">
        <f>7.66*8.56</f>
        <v>65.569600000000008</v>
      </c>
      <c r="H7" s="9">
        <v>10</v>
      </c>
      <c r="I7" s="2">
        <v>1984</v>
      </c>
      <c r="J7" s="2">
        <v>2024</v>
      </c>
      <c r="K7" s="2">
        <f t="shared" si="0"/>
        <v>40</v>
      </c>
      <c r="L7" s="2">
        <v>45</v>
      </c>
      <c r="M7" s="3">
        <v>0.1</v>
      </c>
      <c r="N7" s="5">
        <f t="shared" si="1"/>
        <v>0.02</v>
      </c>
      <c r="O7" s="71">
        <v>700</v>
      </c>
      <c r="P7" s="72">
        <f t="shared" si="2"/>
        <v>45898.720000000008</v>
      </c>
      <c r="Q7" s="72">
        <f t="shared" si="3"/>
        <v>36718.97600000001</v>
      </c>
      <c r="R7" s="72">
        <f t="shared" si="4"/>
        <v>9179.7439999999988</v>
      </c>
      <c r="S7" s="72">
        <v>0</v>
      </c>
      <c r="T7" s="72">
        <f t="shared" si="5"/>
        <v>9179.7439999999988</v>
      </c>
      <c r="U7" s="10"/>
      <c r="V7" s="1"/>
      <c r="W7" s="1"/>
    </row>
    <row r="8" spans="1:23" ht="50.25" customHeight="1" x14ac:dyDescent="0.25">
      <c r="B8" s="2">
        <v>4</v>
      </c>
      <c r="C8" s="13" t="s">
        <v>61</v>
      </c>
      <c r="D8" s="13" t="s">
        <v>45</v>
      </c>
      <c r="E8" s="13" t="s">
        <v>52</v>
      </c>
      <c r="F8" s="27">
        <v>82</v>
      </c>
      <c r="G8" s="27">
        <f>F8*10.7639</f>
        <v>882.63979999999992</v>
      </c>
      <c r="H8" s="9">
        <v>15</v>
      </c>
      <c r="I8" s="2">
        <v>1984</v>
      </c>
      <c r="J8" s="2">
        <v>2024</v>
      </c>
      <c r="K8" s="2">
        <f t="shared" si="0"/>
        <v>40</v>
      </c>
      <c r="L8" s="2">
        <v>45</v>
      </c>
      <c r="M8" s="3">
        <v>0.1</v>
      </c>
      <c r="N8" s="5">
        <f t="shared" si="1"/>
        <v>0.02</v>
      </c>
      <c r="O8" s="71">
        <v>1100</v>
      </c>
      <c r="P8" s="72">
        <f t="shared" si="2"/>
        <v>970903.77999999991</v>
      </c>
      <c r="Q8" s="72">
        <f t="shared" si="3"/>
        <v>776723.02399999998</v>
      </c>
      <c r="R8" s="72">
        <f t="shared" si="4"/>
        <v>194180.75599999994</v>
      </c>
      <c r="S8" s="72">
        <v>0</v>
      </c>
      <c r="T8" s="72">
        <f t="shared" si="5"/>
        <v>194180.75599999994</v>
      </c>
      <c r="U8" s="10"/>
      <c r="V8" s="1"/>
      <c r="W8" s="1"/>
    </row>
    <row r="9" spans="1:23" ht="50.25" customHeight="1" x14ac:dyDescent="0.25">
      <c r="B9" s="2">
        <v>5</v>
      </c>
      <c r="C9" s="13" t="s">
        <v>62</v>
      </c>
      <c r="D9" s="13" t="s">
        <v>45</v>
      </c>
      <c r="E9" s="13" t="s">
        <v>51</v>
      </c>
      <c r="F9" s="27">
        <f>6.33*11.88</f>
        <v>75.200400000000002</v>
      </c>
      <c r="G9" s="27">
        <f>F9*10.764</f>
        <v>809.45710559999998</v>
      </c>
      <c r="H9" s="9">
        <v>15</v>
      </c>
      <c r="I9" s="2">
        <v>1984</v>
      </c>
      <c r="J9" s="2">
        <v>2024</v>
      </c>
      <c r="K9" s="2">
        <f t="shared" si="0"/>
        <v>40</v>
      </c>
      <c r="L9" s="2">
        <v>45</v>
      </c>
      <c r="M9" s="3">
        <v>0.1</v>
      </c>
      <c r="N9" s="5">
        <f t="shared" si="1"/>
        <v>0.02</v>
      </c>
      <c r="O9" s="71">
        <v>700</v>
      </c>
      <c r="P9" s="72">
        <f t="shared" si="2"/>
        <v>566619.97392000002</v>
      </c>
      <c r="Q9" s="72">
        <f t="shared" si="3"/>
        <v>453295.97913600004</v>
      </c>
      <c r="R9" s="72">
        <f t="shared" si="4"/>
        <v>113323.99478399998</v>
      </c>
      <c r="S9" s="72">
        <v>0</v>
      </c>
      <c r="T9" s="72">
        <f t="shared" si="5"/>
        <v>113323.99478399998</v>
      </c>
      <c r="U9" s="10"/>
      <c r="V9" s="1"/>
      <c r="W9" s="1"/>
    </row>
    <row r="10" spans="1:23" ht="50.25" customHeight="1" x14ac:dyDescent="0.25">
      <c r="A10" t="s">
        <v>53</v>
      </c>
      <c r="B10" s="2">
        <v>6</v>
      </c>
      <c r="C10" s="13" t="s">
        <v>47</v>
      </c>
      <c r="D10" s="13" t="s">
        <v>45</v>
      </c>
      <c r="E10" s="13" t="s">
        <v>52</v>
      </c>
      <c r="F10" s="27">
        <f>12.47*17.47</f>
        <v>217.8509</v>
      </c>
      <c r="G10" s="27">
        <f>F10*10.764</f>
        <v>2344.9470876</v>
      </c>
      <c r="H10" s="9">
        <v>24</v>
      </c>
      <c r="I10" s="2">
        <v>1984</v>
      </c>
      <c r="J10" s="2">
        <v>2024</v>
      </c>
      <c r="K10" s="2">
        <f t="shared" si="0"/>
        <v>40</v>
      </c>
      <c r="L10" s="2">
        <v>45</v>
      </c>
      <c r="M10" s="3">
        <v>0.1</v>
      </c>
      <c r="N10" s="5">
        <f t="shared" si="1"/>
        <v>0.02</v>
      </c>
      <c r="O10" s="71">
        <v>1100</v>
      </c>
      <c r="P10" s="72">
        <f t="shared" si="2"/>
        <v>2579441.79636</v>
      </c>
      <c r="Q10" s="72">
        <f t="shared" si="3"/>
        <v>2063553.4370880001</v>
      </c>
      <c r="R10" s="72">
        <f t="shared" si="4"/>
        <v>515888.35927199991</v>
      </c>
      <c r="S10" s="72">
        <v>0</v>
      </c>
      <c r="T10" s="72">
        <f t="shared" si="5"/>
        <v>515888.35927199991</v>
      </c>
      <c r="U10" s="10"/>
      <c r="V10" s="1"/>
      <c r="W10" s="1"/>
    </row>
    <row r="11" spans="1:23" ht="50.25" customHeight="1" x14ac:dyDescent="0.25">
      <c r="B11" s="2">
        <v>7</v>
      </c>
      <c r="C11" s="13" t="s">
        <v>57</v>
      </c>
      <c r="D11" s="13" t="s">
        <v>45</v>
      </c>
      <c r="E11" s="13" t="s">
        <v>52</v>
      </c>
      <c r="F11" s="27">
        <f>11.57*8.57</f>
        <v>99.154900000000012</v>
      </c>
      <c r="G11" s="27">
        <f>F11*10.764</f>
        <v>1067.3033436000001</v>
      </c>
      <c r="H11" s="9">
        <v>24</v>
      </c>
      <c r="I11" s="2">
        <v>1984</v>
      </c>
      <c r="J11" s="2">
        <v>2024</v>
      </c>
      <c r="K11" s="2">
        <f t="shared" si="0"/>
        <v>40</v>
      </c>
      <c r="L11" s="2">
        <v>45</v>
      </c>
      <c r="M11" s="3">
        <v>0.1</v>
      </c>
      <c r="N11" s="5">
        <f t="shared" si="1"/>
        <v>0.02</v>
      </c>
      <c r="O11" s="71">
        <v>1100</v>
      </c>
      <c r="P11" s="72">
        <f t="shared" si="2"/>
        <v>1174033.67796</v>
      </c>
      <c r="Q11" s="72">
        <f t="shared" si="3"/>
        <v>939226.94236800005</v>
      </c>
      <c r="R11" s="72">
        <f t="shared" si="4"/>
        <v>234806.73559199995</v>
      </c>
      <c r="S11" s="72">
        <v>0</v>
      </c>
      <c r="T11" s="72">
        <f t="shared" si="5"/>
        <v>234806.73559199995</v>
      </c>
      <c r="U11" s="10"/>
      <c r="V11" s="1"/>
      <c r="W11" s="1"/>
    </row>
    <row r="12" spans="1:23" ht="50.25" customHeight="1" x14ac:dyDescent="0.25">
      <c r="B12" s="2">
        <v>8</v>
      </c>
      <c r="C12" s="13" t="s">
        <v>58</v>
      </c>
      <c r="D12" s="13" t="s">
        <v>45</v>
      </c>
      <c r="E12" s="13" t="s">
        <v>52</v>
      </c>
      <c r="F12" s="27"/>
      <c r="G12" s="27">
        <v>1964.54</v>
      </c>
      <c r="H12" s="9">
        <v>24</v>
      </c>
      <c r="I12" s="2">
        <v>1984</v>
      </c>
      <c r="J12" s="2">
        <v>2024</v>
      </c>
      <c r="K12" s="2">
        <f>J12-I12</f>
        <v>40</v>
      </c>
      <c r="L12" s="2">
        <v>45</v>
      </c>
      <c r="M12" s="3">
        <v>0.1</v>
      </c>
      <c r="N12" s="5">
        <f>(1-M12)/L12</f>
        <v>0.02</v>
      </c>
      <c r="O12" s="71">
        <v>1100</v>
      </c>
      <c r="P12" s="72">
        <f>O12*G12</f>
        <v>2160994</v>
      </c>
      <c r="Q12" s="72">
        <f t="shared" ref="Q12" si="6">P12*N12*K12</f>
        <v>1728795.2</v>
      </c>
      <c r="R12" s="72">
        <f t="shared" ref="R12" si="7">MAX(P12-Q12,0)</f>
        <v>432198.80000000005</v>
      </c>
      <c r="S12" s="72">
        <v>0</v>
      </c>
      <c r="T12" s="72">
        <f t="shared" ref="T12" si="8">IF(R12&gt;M12*P12,R12*(1-S12),P12*M12)</f>
        <v>432198.80000000005</v>
      </c>
      <c r="U12" s="10"/>
      <c r="V12" s="1"/>
      <c r="W12" s="1"/>
    </row>
    <row r="13" spans="1:23" ht="50.25" customHeight="1" x14ac:dyDescent="0.25">
      <c r="B13" s="2">
        <v>9</v>
      </c>
      <c r="C13" s="50" t="s">
        <v>59</v>
      </c>
      <c r="D13" s="13" t="s">
        <v>45</v>
      </c>
      <c r="E13" s="13" t="s">
        <v>52</v>
      </c>
      <c r="F13" s="27"/>
      <c r="G13" s="27">
        <v>1868.55</v>
      </c>
      <c r="H13" s="9">
        <v>24</v>
      </c>
      <c r="I13" s="2">
        <v>1984</v>
      </c>
      <c r="J13" s="2">
        <v>2024</v>
      </c>
      <c r="K13" s="2">
        <f t="shared" ref="K13:K20" si="9">J13-I13</f>
        <v>40</v>
      </c>
      <c r="L13" s="2">
        <v>45</v>
      </c>
      <c r="M13" s="3">
        <v>0.1</v>
      </c>
      <c r="N13" s="5">
        <f t="shared" ref="N13:N20" si="10">(1-M13)/L13</f>
        <v>0.02</v>
      </c>
      <c r="O13" s="71">
        <v>1250</v>
      </c>
      <c r="P13" s="72">
        <f t="shared" ref="P13:P14" si="11">O13*G13</f>
        <v>2335687.5</v>
      </c>
      <c r="Q13" s="72">
        <f t="shared" ref="Q13:Q14" si="12">P13*N13*K13</f>
        <v>1868550</v>
      </c>
      <c r="R13" s="72">
        <f t="shared" ref="R13:R14" si="13">MAX(P13-Q13,0)</f>
        <v>467137.5</v>
      </c>
      <c r="S13" s="72">
        <v>0</v>
      </c>
      <c r="T13" s="72">
        <f t="shared" ref="T13:T14" si="14">IF(R13&gt;M13*P13,R13*(1-S13),P13*M13)</f>
        <v>467137.5</v>
      </c>
      <c r="U13" s="10"/>
      <c r="V13" s="1"/>
      <c r="W13" s="1"/>
    </row>
    <row r="14" spans="1:23" ht="50.25" customHeight="1" x14ac:dyDescent="0.25">
      <c r="B14" s="2">
        <v>10</v>
      </c>
      <c r="C14" s="50" t="s">
        <v>60</v>
      </c>
      <c r="D14" s="13" t="s">
        <v>45</v>
      </c>
      <c r="E14" s="13" t="s">
        <v>52</v>
      </c>
      <c r="F14" s="27"/>
      <c r="G14" s="27">
        <v>1361.46</v>
      </c>
      <c r="H14" s="9">
        <v>20</v>
      </c>
      <c r="I14" s="2">
        <v>1984</v>
      </c>
      <c r="J14" s="2">
        <v>2024</v>
      </c>
      <c r="K14" s="2">
        <f t="shared" si="9"/>
        <v>40</v>
      </c>
      <c r="L14" s="2">
        <v>45</v>
      </c>
      <c r="M14" s="3">
        <v>0.1</v>
      </c>
      <c r="N14" s="5">
        <f t="shared" si="10"/>
        <v>0.02</v>
      </c>
      <c r="O14" s="71">
        <v>1100</v>
      </c>
      <c r="P14" s="72">
        <f t="shared" si="11"/>
        <v>1497606</v>
      </c>
      <c r="Q14" s="72">
        <f t="shared" si="12"/>
        <v>1198084.8</v>
      </c>
      <c r="R14" s="72">
        <f t="shared" si="13"/>
        <v>299521.19999999995</v>
      </c>
      <c r="S14" s="72">
        <v>0</v>
      </c>
      <c r="T14" s="72">
        <f t="shared" si="14"/>
        <v>299521.19999999995</v>
      </c>
      <c r="U14" s="10"/>
      <c r="V14" s="1"/>
      <c r="W14" s="1"/>
    </row>
    <row r="15" spans="1:23" ht="50.25" customHeight="1" x14ac:dyDescent="0.25">
      <c r="B15" s="2">
        <v>11</v>
      </c>
      <c r="C15" s="50" t="s">
        <v>57</v>
      </c>
      <c r="D15" s="13" t="s">
        <v>45</v>
      </c>
      <c r="E15" s="13" t="s">
        <v>52</v>
      </c>
      <c r="F15" s="27"/>
      <c r="G15" s="27">
        <v>495</v>
      </c>
      <c r="H15" s="9">
        <v>20</v>
      </c>
      <c r="I15" s="2">
        <v>1984</v>
      </c>
      <c r="J15" s="2">
        <v>2024</v>
      </c>
      <c r="K15" s="2">
        <f t="shared" si="9"/>
        <v>40</v>
      </c>
      <c r="L15" s="2">
        <v>45</v>
      </c>
      <c r="M15" s="3">
        <v>0.1</v>
      </c>
      <c r="N15" s="5">
        <f t="shared" si="10"/>
        <v>0.02</v>
      </c>
      <c r="O15" s="71">
        <v>1100</v>
      </c>
      <c r="P15" s="72">
        <f t="shared" ref="P15:P20" si="15">O15*G15</f>
        <v>544500</v>
      </c>
      <c r="Q15" s="72">
        <f t="shared" ref="Q15:Q20" si="16">P15*N15*K15</f>
        <v>435600</v>
      </c>
      <c r="R15" s="72">
        <f t="shared" ref="R15:R20" si="17">MAX(P15-Q15,0)</f>
        <v>108900</v>
      </c>
      <c r="S15" s="72">
        <v>0</v>
      </c>
      <c r="T15" s="72">
        <f t="shared" ref="T15:T20" si="18">IF(R15&gt;M15*P15,R15*(1-S15),P15*M15)</f>
        <v>108900</v>
      </c>
      <c r="U15" s="10"/>
      <c r="V15" s="1"/>
      <c r="W15" s="1"/>
    </row>
    <row r="16" spans="1:23" ht="50.25" customHeight="1" x14ac:dyDescent="0.25">
      <c r="B16" s="2">
        <v>12</v>
      </c>
      <c r="C16" s="50" t="s">
        <v>48</v>
      </c>
      <c r="D16" s="13" t="s">
        <v>45</v>
      </c>
      <c r="E16" s="13" t="s">
        <v>52</v>
      </c>
      <c r="F16" s="27"/>
      <c r="G16" s="27">
        <v>4494</v>
      </c>
      <c r="H16" s="9">
        <v>24</v>
      </c>
      <c r="I16" s="2">
        <v>1984</v>
      </c>
      <c r="J16" s="2">
        <v>2024</v>
      </c>
      <c r="K16" s="2">
        <f t="shared" si="9"/>
        <v>40</v>
      </c>
      <c r="L16" s="2">
        <v>45</v>
      </c>
      <c r="M16" s="3">
        <v>0.1</v>
      </c>
      <c r="N16" s="5">
        <f t="shared" si="10"/>
        <v>0.02</v>
      </c>
      <c r="O16" s="71">
        <v>1100</v>
      </c>
      <c r="P16" s="72">
        <f t="shared" si="15"/>
        <v>4943400</v>
      </c>
      <c r="Q16" s="72">
        <f t="shared" si="16"/>
        <v>3954720</v>
      </c>
      <c r="R16" s="72">
        <f t="shared" si="17"/>
        <v>988680</v>
      </c>
      <c r="S16" s="72">
        <v>0</v>
      </c>
      <c r="T16" s="72">
        <f t="shared" si="18"/>
        <v>988680</v>
      </c>
      <c r="U16" s="10"/>
      <c r="V16" s="1"/>
      <c r="W16" s="1"/>
    </row>
    <row r="17" spans="2:23" ht="50.25" customHeight="1" x14ac:dyDescent="0.25">
      <c r="B17" s="2">
        <v>13</v>
      </c>
      <c r="C17" s="50" t="s">
        <v>67</v>
      </c>
      <c r="D17" s="13" t="s">
        <v>45</v>
      </c>
      <c r="E17" s="13" t="s">
        <v>52</v>
      </c>
      <c r="F17" s="27"/>
      <c r="G17" s="27">
        <v>2560</v>
      </c>
      <c r="H17" s="9">
        <v>24</v>
      </c>
      <c r="I17" s="2">
        <v>1984</v>
      </c>
      <c r="J17" s="2">
        <v>2024</v>
      </c>
      <c r="K17" s="2">
        <f t="shared" si="9"/>
        <v>40</v>
      </c>
      <c r="L17" s="2">
        <v>45</v>
      </c>
      <c r="M17" s="3">
        <v>0.1</v>
      </c>
      <c r="N17" s="5">
        <f t="shared" si="10"/>
        <v>0.02</v>
      </c>
      <c r="O17" s="71">
        <v>700</v>
      </c>
      <c r="P17" s="72">
        <f t="shared" si="15"/>
        <v>1792000</v>
      </c>
      <c r="Q17" s="72">
        <f t="shared" si="16"/>
        <v>1433600</v>
      </c>
      <c r="R17" s="72">
        <f t="shared" si="17"/>
        <v>358400</v>
      </c>
      <c r="S17" s="72">
        <v>0</v>
      </c>
      <c r="T17" s="72">
        <f t="shared" si="18"/>
        <v>358400</v>
      </c>
      <c r="U17" s="10"/>
      <c r="V17" s="1"/>
      <c r="W17" s="1"/>
    </row>
    <row r="18" spans="2:23" ht="50.25" customHeight="1" x14ac:dyDescent="0.25">
      <c r="B18" s="2">
        <v>14</v>
      </c>
      <c r="C18" s="50" t="s">
        <v>49</v>
      </c>
      <c r="D18" s="13" t="s">
        <v>45</v>
      </c>
      <c r="E18" s="13" t="s">
        <v>52</v>
      </c>
      <c r="F18" s="27"/>
      <c r="G18" s="27">
        <v>2110</v>
      </c>
      <c r="H18" s="9">
        <v>24</v>
      </c>
      <c r="I18" s="2">
        <v>1984</v>
      </c>
      <c r="J18" s="2">
        <v>2024</v>
      </c>
      <c r="K18" s="2">
        <f t="shared" si="9"/>
        <v>40</v>
      </c>
      <c r="L18" s="2">
        <v>45</v>
      </c>
      <c r="M18" s="3">
        <v>0.1</v>
      </c>
      <c r="N18" s="5">
        <f t="shared" si="10"/>
        <v>0.02</v>
      </c>
      <c r="O18" s="71">
        <v>1100</v>
      </c>
      <c r="P18" s="72">
        <f t="shared" si="15"/>
        <v>2321000</v>
      </c>
      <c r="Q18" s="72">
        <f t="shared" si="16"/>
        <v>1856800</v>
      </c>
      <c r="R18" s="72">
        <f t="shared" si="17"/>
        <v>464200</v>
      </c>
      <c r="S18" s="72">
        <v>0</v>
      </c>
      <c r="T18" s="72">
        <f t="shared" si="18"/>
        <v>464200</v>
      </c>
      <c r="U18" s="10"/>
      <c r="V18" s="1"/>
      <c r="W18" s="1"/>
    </row>
    <row r="19" spans="2:23" ht="50.25" customHeight="1" x14ac:dyDescent="0.25">
      <c r="B19" s="2">
        <v>15</v>
      </c>
      <c r="C19" s="50" t="s">
        <v>50</v>
      </c>
      <c r="D19" s="13" t="s">
        <v>45</v>
      </c>
      <c r="E19" s="13" t="s">
        <v>52</v>
      </c>
      <c r="F19" s="27"/>
      <c r="G19" s="27">
        <v>273.06</v>
      </c>
      <c r="H19" s="70">
        <v>24</v>
      </c>
      <c r="I19" s="2">
        <v>1984</v>
      </c>
      <c r="J19" s="2">
        <v>2024</v>
      </c>
      <c r="K19" s="2">
        <f t="shared" si="9"/>
        <v>40</v>
      </c>
      <c r="L19" s="2">
        <v>45</v>
      </c>
      <c r="M19" s="3">
        <v>0.1</v>
      </c>
      <c r="N19" s="5">
        <f t="shared" si="10"/>
        <v>0.02</v>
      </c>
      <c r="O19" s="71">
        <v>700</v>
      </c>
      <c r="P19" s="72">
        <f t="shared" si="15"/>
        <v>191142</v>
      </c>
      <c r="Q19" s="72">
        <f t="shared" si="16"/>
        <v>152913.60000000001</v>
      </c>
      <c r="R19" s="72">
        <f t="shared" si="17"/>
        <v>38228.399999999994</v>
      </c>
      <c r="S19" s="72">
        <v>0</v>
      </c>
      <c r="T19" s="72">
        <f t="shared" si="18"/>
        <v>38228.399999999994</v>
      </c>
      <c r="U19" s="10"/>
      <c r="V19" s="1"/>
      <c r="W19" s="1"/>
    </row>
    <row r="20" spans="2:23" ht="50.25" customHeight="1" x14ac:dyDescent="0.25">
      <c r="B20" s="2">
        <v>16</v>
      </c>
      <c r="C20" s="50" t="s">
        <v>63</v>
      </c>
      <c r="D20" s="13" t="s">
        <v>45</v>
      </c>
      <c r="E20" s="13" t="s">
        <v>52</v>
      </c>
      <c r="F20" s="27"/>
      <c r="G20" s="27">
        <v>391.71</v>
      </c>
      <c r="H20" s="9">
        <v>24</v>
      </c>
      <c r="I20" s="2">
        <v>1984</v>
      </c>
      <c r="J20" s="2">
        <v>2024</v>
      </c>
      <c r="K20" s="2">
        <f t="shared" si="9"/>
        <v>40</v>
      </c>
      <c r="L20" s="2">
        <v>45</v>
      </c>
      <c r="M20" s="3">
        <v>0.1</v>
      </c>
      <c r="N20" s="5">
        <f t="shared" si="10"/>
        <v>0.02</v>
      </c>
      <c r="O20" s="71">
        <v>1100</v>
      </c>
      <c r="P20" s="72">
        <f t="shared" si="15"/>
        <v>430881</v>
      </c>
      <c r="Q20" s="72">
        <f t="shared" si="16"/>
        <v>344704.80000000005</v>
      </c>
      <c r="R20" s="72">
        <f t="shared" si="17"/>
        <v>86176.199999999953</v>
      </c>
      <c r="S20" s="72">
        <v>0</v>
      </c>
      <c r="T20" s="72">
        <f t="shared" si="18"/>
        <v>86176.199999999953</v>
      </c>
      <c r="U20" s="10"/>
      <c r="V20" s="1"/>
      <c r="W20" s="1"/>
    </row>
    <row r="21" spans="2:23" x14ac:dyDescent="0.25">
      <c r="B21" s="57" t="s">
        <v>5</v>
      </c>
      <c r="C21" s="58"/>
      <c r="D21" s="58"/>
      <c r="E21" s="59"/>
      <c r="F21" s="51">
        <f>SUM(F5:F20)</f>
        <v>641.90620000000001</v>
      </c>
      <c r="G21" s="27">
        <f>SUM(G5:G20)</f>
        <v>22647.6542668</v>
      </c>
      <c r="H21" s="8"/>
      <c r="I21" s="60"/>
      <c r="J21" s="60"/>
      <c r="K21" s="60"/>
      <c r="L21" s="60"/>
      <c r="M21" s="60"/>
      <c r="N21" s="60"/>
      <c r="O21" s="60"/>
      <c r="P21" s="6">
        <f>SUM(P5:P20)</f>
        <v>24612020.526239999</v>
      </c>
      <c r="Q21" s="6">
        <f>SUM(Q5:Q20)</f>
        <v>18978682.353792004</v>
      </c>
      <c r="R21" s="6">
        <f>SUM(R5:R20)</f>
        <v>5633338.1724479999</v>
      </c>
      <c r="S21" s="6">
        <f>SUM(S5:S20)</f>
        <v>0</v>
      </c>
      <c r="T21" s="6">
        <f>SUM(T5:T20)</f>
        <v>5633338.1724479999</v>
      </c>
      <c r="U21" s="10"/>
    </row>
    <row r="22" spans="2:23" x14ac:dyDescent="0.25">
      <c r="B22" s="62" t="s">
        <v>15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10"/>
    </row>
    <row r="23" spans="2:23" ht="18.75" customHeight="1" x14ac:dyDescent="0.25">
      <c r="B23" s="61" t="s">
        <v>65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10"/>
    </row>
    <row r="24" spans="2:23" ht="15.75" customHeight="1" x14ac:dyDescent="0.25">
      <c r="B24" s="61" t="s">
        <v>66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10"/>
    </row>
    <row r="25" spans="2:23" x14ac:dyDescent="0.25">
      <c r="B25" s="63" t="s">
        <v>41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5"/>
      <c r="U25" s="10"/>
    </row>
    <row r="26" spans="2:23" x14ac:dyDescent="0.25">
      <c r="B26" s="56" t="s">
        <v>28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10"/>
    </row>
    <row r="27" spans="2:23" x14ac:dyDescent="0.25">
      <c r="U27" s="10"/>
    </row>
    <row r="28" spans="2:23" x14ac:dyDescent="0.25">
      <c r="U28" s="10"/>
    </row>
    <row r="29" spans="2:23" ht="15.75" x14ac:dyDescent="0.25">
      <c r="H29" t="s">
        <v>29</v>
      </c>
      <c r="K29" s="18" t="s">
        <v>20</v>
      </c>
      <c r="L29" s="20">
        <f>ROUND(450*5000*0.5,-5)</f>
        <v>1100000</v>
      </c>
      <c r="R29" s="23" t="s">
        <v>23</v>
      </c>
      <c r="S29" s="20">
        <f>L30</f>
        <v>312900000</v>
      </c>
      <c r="U29" s="10"/>
    </row>
    <row r="30" spans="2:23" ht="15.75" x14ac:dyDescent="0.25">
      <c r="H30" t="s">
        <v>31</v>
      </c>
      <c r="K30" s="18" t="s">
        <v>21</v>
      </c>
      <c r="L30" s="20">
        <f>7450*42000</f>
        <v>312900000</v>
      </c>
      <c r="P30" s="24">
        <f>L31+L29</f>
        <v>6733338.1724479999</v>
      </c>
      <c r="R30" s="23" t="s">
        <v>24</v>
      </c>
      <c r="S30" s="20">
        <f>5583.61*20000</f>
        <v>111672200</v>
      </c>
      <c r="U30" s="10"/>
    </row>
    <row r="31" spans="2:23" x14ac:dyDescent="0.25">
      <c r="H31" t="s">
        <v>32</v>
      </c>
      <c r="K31" s="18" t="s">
        <v>22</v>
      </c>
      <c r="L31" s="20">
        <f>T21</f>
        <v>5633338.1724479999</v>
      </c>
      <c r="U31" s="10"/>
    </row>
    <row r="32" spans="2:23" ht="24.75" customHeight="1" x14ac:dyDescent="0.25">
      <c r="H32" s="14" t="s">
        <v>25</v>
      </c>
      <c r="I32" s="54">
        <f>2100*57000</f>
        <v>119700000</v>
      </c>
      <c r="K32" s="19" t="s">
        <v>18</v>
      </c>
      <c r="L32" s="21">
        <f>SUM(L29:L31)</f>
        <v>319633338.17244798</v>
      </c>
      <c r="O32" s="24">
        <f>L30+L31</f>
        <v>318533338.17244798</v>
      </c>
      <c r="Q32" s="55"/>
      <c r="R32" s="14"/>
      <c r="S32" s="14"/>
      <c r="T32" s="29"/>
      <c r="U32" s="28"/>
    </row>
    <row r="33" spans="3:23" x14ac:dyDescent="0.25">
      <c r="K33" s="19" t="s">
        <v>19</v>
      </c>
      <c r="L33" s="21">
        <f>ROUND(L32,-5)</f>
        <v>319600000</v>
      </c>
      <c r="U33" s="10"/>
    </row>
    <row r="34" spans="3:23" x14ac:dyDescent="0.25">
      <c r="C34" s="14">
        <v>32000</v>
      </c>
      <c r="E34" s="14">
        <v>724.53</v>
      </c>
      <c r="H34" s="18" t="s">
        <v>16</v>
      </c>
      <c r="I34" s="22">
        <f>0.85*L33</f>
        <v>271660000</v>
      </c>
      <c r="L34" s="24">
        <f>L33*0.85</f>
        <v>271660000</v>
      </c>
      <c r="U34" s="10"/>
    </row>
    <row r="35" spans="3:23" x14ac:dyDescent="0.25">
      <c r="E35" s="38">
        <f>E34*C34</f>
        <v>23184960</v>
      </c>
      <c r="H35" s="18" t="s">
        <v>17</v>
      </c>
      <c r="I35" s="22">
        <f>0.75*L33</f>
        <v>239700000</v>
      </c>
      <c r="L35" s="24">
        <f>L33*0.75</f>
        <v>239700000</v>
      </c>
      <c r="U35" s="10"/>
    </row>
    <row r="36" spans="3:23" ht="15" customHeight="1" x14ac:dyDescent="0.25">
      <c r="U36" s="10"/>
    </row>
    <row r="38" spans="3:23" x14ac:dyDescent="0.25">
      <c r="C38" s="36"/>
      <c r="D38" s="36"/>
      <c r="E38" s="37"/>
      <c r="F38" s="31"/>
      <c r="H38">
        <f>450*5500*0.4</f>
        <v>990000</v>
      </c>
      <c r="U38" s="7"/>
      <c r="V38" s="4"/>
      <c r="W38" s="4"/>
    </row>
    <row r="39" spans="3:23" x14ac:dyDescent="0.25">
      <c r="C39" s="34"/>
      <c r="D39" s="34"/>
      <c r="E39"/>
      <c r="F39"/>
      <c r="H39" s="32"/>
      <c r="P39" s="30"/>
    </row>
    <row r="40" spans="3:23" x14ac:dyDescent="0.25">
      <c r="C40" s="34"/>
      <c r="D40" s="34"/>
      <c r="E40"/>
      <c r="F40"/>
      <c r="J40" s="1"/>
      <c r="K40" s="30">
        <f>J40/10.7642</f>
        <v>0</v>
      </c>
      <c r="L40">
        <f>3147/450*10.764</f>
        <v>75.276239999999987</v>
      </c>
    </row>
    <row r="41" spans="3:23" x14ac:dyDescent="0.25">
      <c r="C41" s="34"/>
      <c r="D41" s="34"/>
      <c r="E41"/>
      <c r="F41"/>
    </row>
    <row r="42" spans="3:23" x14ac:dyDescent="0.25">
      <c r="C42" s="34"/>
      <c r="D42" s="34"/>
      <c r="E42" s="32"/>
      <c r="F42" s="32"/>
    </row>
    <row r="43" spans="3:23" x14ac:dyDescent="0.25">
      <c r="C43" s="34"/>
      <c r="D43" s="34"/>
      <c r="E43" s="32"/>
      <c r="F43" s="32"/>
    </row>
    <row r="44" spans="3:23" ht="15" customHeight="1" x14ac:dyDescent="0.25">
      <c r="C44" s="35"/>
      <c r="D44" s="35"/>
      <c r="E44" s="32"/>
      <c r="F44" s="32"/>
    </row>
    <row r="45" spans="3:23" x14ac:dyDescent="0.25">
      <c r="E45" s="32"/>
      <c r="F45" s="32"/>
    </row>
    <row r="46" spans="3:23" x14ac:dyDescent="0.25">
      <c r="F46" s="33"/>
    </row>
  </sheetData>
  <mergeCells count="8">
    <mergeCell ref="B26:T26"/>
    <mergeCell ref="B3:T3"/>
    <mergeCell ref="B21:E21"/>
    <mergeCell ref="I21:O21"/>
    <mergeCell ref="B23:T23"/>
    <mergeCell ref="B24:T24"/>
    <mergeCell ref="B22:T22"/>
    <mergeCell ref="B25:T25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7"/>
  <sheetViews>
    <sheetView workbookViewId="0">
      <selection activeCell="F8" sqref="F8"/>
    </sheetView>
  </sheetViews>
  <sheetFormatPr defaultRowHeight="15" x14ac:dyDescent="0.25"/>
  <cols>
    <col min="3" max="3" width="8" customWidth="1"/>
    <col min="4" max="4" width="14" customWidth="1"/>
    <col min="5" max="5" width="19.85546875" customWidth="1"/>
    <col min="6" max="6" width="15.5703125" customWidth="1"/>
  </cols>
  <sheetData>
    <row r="6" spans="3:6" x14ac:dyDescent="0.25">
      <c r="C6" s="39"/>
      <c r="D6" s="39"/>
      <c r="E6" s="40"/>
      <c r="F6" s="31"/>
    </row>
    <row r="7" spans="3:6" x14ac:dyDescent="0.25">
      <c r="C7" t="s">
        <v>30</v>
      </c>
      <c r="D7" s="34" t="s">
        <v>29</v>
      </c>
      <c r="E7" s="41"/>
    </row>
    <row r="8" spans="3:6" x14ac:dyDescent="0.25">
      <c r="C8">
        <v>1</v>
      </c>
      <c r="D8" s="49">
        <f>180/10.764</f>
        <v>16.722408026755854</v>
      </c>
      <c r="E8" s="41">
        <f>D8*5000</f>
        <v>83612.040133779272</v>
      </c>
    </row>
    <row r="9" spans="3:6" x14ac:dyDescent="0.25">
      <c r="D9" s="34"/>
      <c r="E9" s="42"/>
    </row>
    <row r="10" spans="3:6" x14ac:dyDescent="0.25">
      <c r="D10" s="34"/>
      <c r="E10" s="43"/>
      <c r="F10" s="32"/>
    </row>
    <row r="11" spans="3:6" x14ac:dyDescent="0.25">
      <c r="D11" s="44"/>
      <c r="E11" s="45"/>
      <c r="F11" s="32"/>
    </row>
    <row r="12" spans="3:6" x14ac:dyDescent="0.25">
      <c r="D12" s="34"/>
      <c r="E12" s="43"/>
      <c r="F12" s="32"/>
    </row>
    <row r="13" spans="3:6" x14ac:dyDescent="0.25">
      <c r="D13" s="34"/>
      <c r="E13" s="43"/>
      <c r="F13" s="32"/>
    </row>
    <row r="14" spans="3:6" x14ac:dyDescent="0.25">
      <c r="D14" s="44"/>
      <c r="E14" s="46"/>
      <c r="F14" s="32"/>
    </row>
    <row r="15" spans="3:6" x14ac:dyDescent="0.25">
      <c r="D15" s="35"/>
      <c r="E15" s="43"/>
      <c r="F15" s="32"/>
    </row>
    <row r="16" spans="3:6" x14ac:dyDescent="0.25">
      <c r="D16" s="35"/>
      <c r="E16" s="47"/>
      <c r="F16" s="32"/>
    </row>
    <row r="17" spans="4:6" x14ac:dyDescent="0.25">
      <c r="D17" s="14"/>
      <c r="E17" s="48"/>
      <c r="F17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="85" zoomScaleNormal="85" workbookViewId="0">
      <selection activeCell="D17" sqref="D17"/>
    </sheetView>
  </sheetViews>
  <sheetFormatPr defaultRowHeight="15" x14ac:dyDescent="0.25"/>
  <cols>
    <col min="3" max="3" width="14.140625" customWidth="1"/>
    <col min="4" max="4" width="11.28515625" customWidth="1"/>
    <col min="5" max="5" width="12.42578125" customWidth="1"/>
    <col min="6" max="6" width="14.42578125" customWidth="1"/>
    <col min="10" max="10" width="10.28515625" bestFit="1" customWidth="1"/>
  </cols>
  <sheetData>
    <row r="5" spans="2:6" x14ac:dyDescent="0.25">
      <c r="B5" s="15"/>
      <c r="C5" s="15"/>
      <c r="D5" s="15"/>
      <c r="E5" s="16"/>
    </row>
    <row r="6" spans="2:6" x14ac:dyDescent="0.25">
      <c r="B6" s="2"/>
      <c r="C6" s="2"/>
      <c r="D6" s="2"/>
      <c r="E6" s="2"/>
    </row>
    <row r="7" spans="2:6" x14ac:dyDescent="0.25">
      <c r="B7" s="2"/>
      <c r="C7" s="2"/>
      <c r="D7" s="2"/>
      <c r="E7" s="2"/>
    </row>
    <row r="8" spans="2:6" x14ac:dyDescent="0.25">
      <c r="B8" s="2"/>
      <c r="C8" s="2"/>
      <c r="D8" s="2"/>
      <c r="E8" s="2"/>
    </row>
    <row r="9" spans="2:6" x14ac:dyDescent="0.25">
      <c r="B9" s="57"/>
      <c r="C9" s="58"/>
      <c r="D9" s="59"/>
      <c r="E9" s="8"/>
    </row>
    <row r="15" spans="2:6" x14ac:dyDescent="0.25">
      <c r="C15" t="s">
        <v>33</v>
      </c>
      <c r="D15" t="s">
        <v>35</v>
      </c>
      <c r="E15" t="s">
        <v>34</v>
      </c>
    </row>
    <row r="16" spans="2:6" x14ac:dyDescent="0.25">
      <c r="C16">
        <v>4047</v>
      </c>
      <c r="D16">
        <v>1000000000</v>
      </c>
      <c r="E16" s="52">
        <f>D16/C16</f>
        <v>247096.61477637757</v>
      </c>
      <c r="F16" t="s">
        <v>36</v>
      </c>
    </row>
    <row r="17" spans="3:18" x14ac:dyDescent="0.25">
      <c r="C17">
        <v>2300</v>
      </c>
      <c r="D17">
        <f>850000000-180000000</f>
        <v>670000000</v>
      </c>
      <c r="E17" s="52">
        <f t="shared" ref="E17:E18" si="0">D17/C17</f>
        <v>291304.34782608697</v>
      </c>
      <c r="F17" t="s">
        <v>37</v>
      </c>
      <c r="H17">
        <v>1800</v>
      </c>
      <c r="I17">
        <v>100000</v>
      </c>
      <c r="J17">
        <f>D17-180000000</f>
        <v>490000000</v>
      </c>
    </row>
    <row r="18" spans="3:18" x14ac:dyDescent="0.25">
      <c r="C18">
        <v>1000</v>
      </c>
      <c r="D18">
        <v>300000000</v>
      </c>
      <c r="E18" s="52">
        <f t="shared" si="0"/>
        <v>300000</v>
      </c>
      <c r="F18" t="s">
        <v>38</v>
      </c>
    </row>
    <row r="23" spans="3:18" x14ac:dyDescent="0.25">
      <c r="C23">
        <v>2870</v>
      </c>
      <c r="D23">
        <v>370174600</v>
      </c>
      <c r="E23" s="53">
        <f>D23/C23</f>
        <v>128980.69686411149</v>
      </c>
    </row>
    <row r="24" spans="3:18" x14ac:dyDescent="0.25">
      <c r="C24">
        <v>5770</v>
      </c>
      <c r="D24">
        <v>844707600</v>
      </c>
      <c r="E24" s="53">
        <f>D24/C24</f>
        <v>146396.4644714038</v>
      </c>
    </row>
    <row r="29" spans="3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18"/>
  <sheetViews>
    <sheetView workbookViewId="0">
      <selection activeCell="P8" sqref="P8"/>
    </sheetView>
  </sheetViews>
  <sheetFormatPr defaultRowHeight="15" x14ac:dyDescent="0.25"/>
  <cols>
    <col min="3" max="3" width="16" bestFit="1" customWidth="1"/>
    <col min="12" max="12" width="15.28515625" bestFit="1" customWidth="1"/>
  </cols>
  <sheetData>
    <row r="6" spans="2:9" x14ac:dyDescent="0.25">
      <c r="B6" t="s">
        <v>39</v>
      </c>
    </row>
    <row r="7" spans="2:9" x14ac:dyDescent="0.25">
      <c r="B7" t="s">
        <v>30</v>
      </c>
      <c r="C7" t="s">
        <v>40</v>
      </c>
    </row>
    <row r="14" spans="2:9" x14ac:dyDescent="0.25">
      <c r="G14">
        <v>75000</v>
      </c>
      <c r="H14">
        <v>84</v>
      </c>
      <c r="I14">
        <f>H14*G14</f>
        <v>6300000</v>
      </c>
    </row>
    <row r="17" spans="11:12" x14ac:dyDescent="0.25">
      <c r="K17">
        <v>70890.051999999996</v>
      </c>
      <c r="L17" s="52">
        <f>K17*10.764</f>
        <v>763060.51972799993</v>
      </c>
    </row>
    <row r="18" spans="11:12" x14ac:dyDescent="0.25">
      <c r="K18">
        <v>2000</v>
      </c>
      <c r="L18" s="52">
        <f>K17*K18*10.764</f>
        <v>1526121039.4559999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Building</vt:lpstr>
      <vt:lpstr>FAR</vt:lpstr>
      <vt:lpstr>Land</vt:lpstr>
      <vt:lpstr>Sheet1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Babul</cp:lastModifiedBy>
  <cp:lastPrinted>2022-01-07T08:12:53Z</cp:lastPrinted>
  <dcterms:created xsi:type="dcterms:W3CDTF">2021-09-16T11:33:35Z</dcterms:created>
  <dcterms:modified xsi:type="dcterms:W3CDTF">2024-03-26T13:18:58Z</dcterms:modified>
</cp:coreProperties>
</file>