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mit Jaiswal\VIS(2023-24)-PL771-669-1030_Beautiful Properties_Dahisar\"/>
    </mc:Choice>
  </mc:AlternateContent>
  <bookViews>
    <workbookView xWindow="0" yWindow="0" windowWidth="21600" windowHeight="9735" tabRatio="867" activeTab="2"/>
  </bookViews>
  <sheets>
    <sheet name="Cost of Construction" sheetId="20" r:id="rId1"/>
    <sheet name="ASSUMPTIONS" sheetId="18" r:id="rId2"/>
    <sheet name="scenario 1" sheetId="21" r:id="rId3"/>
    <sheet name="Consolidated Summary" sheetId="12" r:id="rId4"/>
    <sheet name="Sheet1" sheetId="19" r:id="rId5"/>
  </sheets>
  <calcPr calcId="152511"/>
</workbook>
</file>

<file path=xl/calcChain.xml><?xml version="1.0" encoding="utf-8"?>
<calcChain xmlns="http://schemas.openxmlformats.org/spreadsheetml/2006/main">
  <c r="E8" i="21" l="1"/>
  <c r="K37" i="21"/>
  <c r="J11" i="21" l="1"/>
  <c r="E8" i="18"/>
  <c r="K30" i="21" l="1"/>
  <c r="K31" i="21" s="1"/>
  <c r="K29" i="21"/>
  <c r="K27" i="21"/>
  <c r="N22" i="21"/>
  <c r="M22" i="21"/>
  <c r="H15" i="21"/>
  <c r="H14" i="21"/>
  <c r="G14" i="21"/>
  <c r="G15" i="21" s="1"/>
  <c r="D13" i="21"/>
  <c r="L8" i="21"/>
  <c r="L9" i="21" s="1"/>
  <c r="E9" i="21"/>
  <c r="E10" i="21" s="1"/>
  <c r="H6" i="21"/>
  <c r="G6" i="21"/>
  <c r="F6" i="21"/>
  <c r="E6" i="21"/>
  <c r="D6" i="21"/>
  <c r="J6" i="21" s="1"/>
  <c r="J5" i="21"/>
  <c r="K11" i="19"/>
  <c r="K9" i="19"/>
  <c r="D8" i="18"/>
  <c r="F8" i="21" l="1"/>
  <c r="D9" i="21"/>
  <c r="D3" i="20"/>
  <c r="D7" i="18"/>
  <c r="D6" i="18"/>
  <c r="F9" i="21" l="1"/>
  <c r="F10" i="21" s="1"/>
  <c r="G8" i="21"/>
  <c r="D10" i="21"/>
  <c r="E13" i="20"/>
  <c r="E9" i="20"/>
  <c r="E7" i="20"/>
  <c r="E6" i="20"/>
  <c r="E5" i="20"/>
  <c r="D10" i="20"/>
  <c r="D11" i="20" s="1"/>
  <c r="D12" i="20" s="1"/>
  <c r="D13" i="20"/>
  <c r="F9" i="18"/>
  <c r="F8" i="18"/>
  <c r="F7" i="18"/>
  <c r="I18" i="18"/>
  <c r="I17" i="18"/>
  <c r="I16" i="18"/>
  <c r="I15" i="18"/>
  <c r="I14" i="18"/>
  <c r="I13" i="18"/>
  <c r="I12" i="18"/>
  <c r="I11" i="18"/>
  <c r="G9" i="18"/>
  <c r="G8" i="18"/>
  <c r="G10" i="18" s="1"/>
  <c r="H8" i="21" l="1"/>
  <c r="H9" i="21" s="1"/>
  <c r="H10" i="21" s="1"/>
  <c r="H16" i="21" s="1"/>
  <c r="G9" i="21"/>
  <c r="E11" i="20"/>
  <c r="G10" i="21" l="1"/>
  <c r="J9" i="21"/>
  <c r="G16" i="21" l="1"/>
  <c r="J10" i="21"/>
  <c r="D14" i="20" l="1"/>
  <c r="D10" i="18" s="1"/>
  <c r="D12" i="21" l="1"/>
  <c r="K7" i="19"/>
  <c r="K12" i="19" s="1"/>
  <c r="E12" i="21" l="1"/>
  <c r="D14" i="21"/>
  <c r="D15" i="21" l="1"/>
  <c r="E14" i="21"/>
  <c r="E15" i="21" s="1"/>
  <c r="E16" i="21" s="1"/>
  <c r="F12" i="21"/>
  <c r="F14" i="21" s="1"/>
  <c r="F15" i="21" s="1"/>
  <c r="F16" i="21" s="1"/>
  <c r="F27" i="18"/>
  <c r="D26" i="18" s="1"/>
  <c r="D28" i="18" s="1"/>
  <c r="J15" i="21" l="1"/>
  <c r="D16" i="21"/>
  <c r="J14" i="21"/>
  <c r="D30" i="18"/>
  <c r="C18" i="21" l="1"/>
  <c r="J16" i="21"/>
  <c r="C20" i="21" l="1"/>
  <c r="C21" i="21" s="1"/>
  <c r="K18" i="21"/>
  <c r="E10" i="20"/>
  <c r="E8" i="20"/>
  <c r="E12" i="20"/>
  <c r="K21" i="21" l="1"/>
  <c r="K22" i="21" s="1"/>
  <c r="K23" i="21" s="1"/>
  <c r="L23" i="21" s="1"/>
  <c r="C28" i="21"/>
  <c r="C30" i="21" s="1"/>
  <c r="C32" i="21" s="1"/>
  <c r="E14" i="20"/>
</calcChain>
</file>

<file path=xl/sharedStrings.xml><?xml version="1.0" encoding="utf-8"?>
<sst xmlns="http://schemas.openxmlformats.org/spreadsheetml/2006/main" count="100" uniqueCount="92">
  <si>
    <t>Discount Rate</t>
  </si>
  <si>
    <t>Construction Cost</t>
  </si>
  <si>
    <t>Debt</t>
  </si>
  <si>
    <t>Equity</t>
  </si>
  <si>
    <t>WACC</t>
  </si>
  <si>
    <t>Acre</t>
  </si>
  <si>
    <t xml:space="preserve">sq mtr </t>
  </si>
  <si>
    <t>Sq. ft.</t>
  </si>
  <si>
    <t>INR/sq.ft</t>
  </si>
  <si>
    <t xml:space="preserve">Cost Escalation (YoY) </t>
  </si>
  <si>
    <t>%</t>
  </si>
  <si>
    <t>Admin Costs</t>
  </si>
  <si>
    <t>Sales &amp; Marketing Costs</t>
  </si>
  <si>
    <t>YoY</t>
  </si>
  <si>
    <t>Percentage absorption</t>
  </si>
  <si>
    <t>Statutory approvals &amp; NOCs</t>
  </si>
  <si>
    <t>Cost of DEBT</t>
  </si>
  <si>
    <t xml:space="preserve">Corporate tax rate </t>
  </si>
  <si>
    <t>Rf</t>
  </si>
  <si>
    <t>Rm</t>
  </si>
  <si>
    <t>Post tax Cost of debt</t>
  </si>
  <si>
    <t>Company Risk premium</t>
  </si>
  <si>
    <t xml:space="preserve">Cost of Equity </t>
  </si>
  <si>
    <t>Important Note:</t>
  </si>
  <si>
    <t xml:space="preserve">PROJECTIONS </t>
  </si>
  <si>
    <t>PROJECTIONS SUMMATION</t>
  </si>
  <si>
    <t>RESIDUAL VALUE OF LAND</t>
  </si>
  <si>
    <t>BASIC RESIDUAL LAND VALUE METHOD</t>
  </si>
  <si>
    <t>ASSUMPTIONS FOR BASIC RESIDUAL LAND VALUE METHOD</t>
  </si>
  <si>
    <t>-</t>
  </si>
  <si>
    <t>Area Absorption Rate
 (sq. ft.)</t>
  </si>
  <si>
    <t>DISCOUNT RATE</t>
  </si>
  <si>
    <t>NET CASH FLOW</t>
  </si>
  <si>
    <t>YEAR</t>
  </si>
  <si>
    <t>Residual Value of Land=Net Present Value-Estimated Profit</t>
  </si>
  <si>
    <t>NET PRESENT VALUE (NPV)</t>
  </si>
  <si>
    <t>% of NPV</t>
  </si>
  <si>
    <t>Percentage of Construction Cost</t>
  </si>
  <si>
    <t>Consultancy Cost</t>
  </si>
  <si>
    <r>
      <t xml:space="preserve">TOTAL INFLOW </t>
    </r>
    <r>
      <rPr>
        <b/>
        <i/>
        <sz val="11"/>
        <color theme="1"/>
        <rFont val="Calibri"/>
        <family val="2"/>
        <scheme val="minor"/>
      </rPr>
      <t xml:space="preserve">(in Crore) </t>
    </r>
    <r>
      <rPr>
        <b/>
        <sz val="11"/>
        <color theme="1"/>
        <rFont val="Calibri"/>
        <family val="2"/>
        <scheme val="minor"/>
      </rPr>
      <t>(A)</t>
    </r>
  </si>
  <si>
    <r>
      <t xml:space="preserve">TOTAL OUTFLOW </t>
    </r>
    <r>
      <rPr>
        <b/>
        <i/>
        <sz val="11"/>
        <color theme="1"/>
        <rFont val="Calibri"/>
        <family val="2"/>
        <scheme val="minor"/>
      </rPr>
      <t xml:space="preserve">(in Crore) </t>
    </r>
    <r>
      <rPr>
        <b/>
        <sz val="11"/>
        <color theme="1"/>
        <rFont val="Calibri"/>
        <family val="2"/>
        <scheme val="minor"/>
      </rPr>
      <t>(B)</t>
    </r>
  </si>
  <si>
    <t>B</t>
  </si>
  <si>
    <t>Ce</t>
  </si>
  <si>
    <t>Land Area</t>
  </si>
  <si>
    <t>Expected Built-up area as per maximum FAR</t>
  </si>
  <si>
    <t>Basic Cost of Construction for high rise building in Mumbai</t>
  </si>
  <si>
    <t>INR/ sq. ft</t>
  </si>
  <si>
    <t>Escalation in Sale Rate</t>
  </si>
  <si>
    <t>Expected Developers Profit</t>
  </si>
  <si>
    <t>FAR/ FSI</t>
  </si>
  <si>
    <t>Note:</t>
  </si>
  <si>
    <t>Phase 1</t>
  </si>
  <si>
    <t>sq. ft.</t>
  </si>
  <si>
    <t xml:space="preserve">Sr. No. </t>
  </si>
  <si>
    <t xml:space="preserve">Description </t>
  </si>
  <si>
    <r>
      <t xml:space="preserve">Average Cost for Residential 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</si>
  <si>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T1
= Average Cost
x FAR Area</t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</si>
  <si>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</si>
  <si>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</si>
  <si>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</si>
  <si>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</si>
  <si>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</si>
  <si>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</si>
  <si>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</si>
  <si>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r>
      <t xml:space="preserve">MEP Works </t>
    </r>
    <r>
      <rPr>
        <i/>
        <sz val="11"/>
        <color theme="1"/>
        <rFont val="Calibri"/>
        <family val="2"/>
        <scheme val="minor"/>
      </rPr>
      <t>(Mechanical, Electrical &amp; Plumbing)</t>
    </r>
  </si>
  <si>
    <t>v</t>
  </si>
  <si>
    <t>Internal &amp; External Development charges</t>
  </si>
  <si>
    <t>vi</t>
  </si>
  <si>
    <t xml:space="preserve">Other expenses (Firefighting, intercom &amp; etc.) @ 1.5% of total cost (i+ii+iii+iv+v)             </t>
  </si>
  <si>
    <t>vii</t>
  </si>
  <si>
    <t xml:space="preserve">Pre-operative &amp; Administrative expenses @ 7% of total cost  (i+ii+iii+iv+v+vi)           </t>
  </si>
  <si>
    <t>Professional &amp; Other Consultancy Charges @5% of total Cost</t>
  </si>
  <si>
    <t>viii</t>
  </si>
  <si>
    <t xml:space="preserve">Total </t>
  </si>
  <si>
    <t>Rate per sq. ft.</t>
  </si>
  <si>
    <t>Esclation in Rate</t>
  </si>
  <si>
    <t>Residential Space Sale Rate on Carpet Area</t>
  </si>
  <si>
    <t>1. As per Industry practice, we have considered 35% un-loading factor on builtup area to arrive at Carpet Area.</t>
  </si>
  <si>
    <t>Total Earnings Through booked Residential Units</t>
  </si>
  <si>
    <t>Constrcution cost escalation</t>
  </si>
  <si>
    <t xml:space="preserve">Unit </t>
  </si>
  <si>
    <t>Rs.</t>
  </si>
  <si>
    <t>Rs in Cr.</t>
  </si>
  <si>
    <t>Rs. In Cr.</t>
  </si>
  <si>
    <t>sq. mtr.</t>
  </si>
  <si>
    <t>sq, ft.</t>
  </si>
  <si>
    <t>INR/sq.ft On BUA</t>
  </si>
  <si>
    <r>
      <t>Expected Saleable carpet Area</t>
    </r>
    <r>
      <rPr>
        <b/>
        <i/>
        <sz val="11"/>
        <color theme="1"/>
        <rFont val="Calibri"/>
        <family val="2"/>
        <scheme val="minor"/>
      </rPr>
      <t xml:space="preserve"> (Carpet area as per maximum FAR 65%)</t>
    </r>
  </si>
  <si>
    <t>Marketing &amp; Selling charges @ 2% of Rs.15,000/-</t>
  </si>
  <si>
    <t>DEVELOPERS PROFIT @ 25% OF NPV</t>
  </si>
  <si>
    <t>Cost of Fungible FSI</t>
  </si>
  <si>
    <t>1. The above residual value of land is arrived based on the assumption taken during the course of the assessment.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</si>
</sst>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₹&quot;\ #,##0.00;[Red]&quot;₹&quot;\ \-#,##0.0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$&quot;#,##0.00_);[Red]\(&quot;$&quot;#,##0.00\)"/>
    <numFmt numFmtId="165" formatCode="_(* #,##0.00_);_(* \(#,##0.00\);_(* &quot;-&quot;??_);_(@_)"/>
    <numFmt numFmtId="166" formatCode="_ [$₹-4009]\ * #,##0.00_ ;_ [$₹-4009]\ * \-#,##0.00_ ;_ [$₹-4009]\ * &quot;-&quot;??_ ;_ @_ "/>
    <numFmt numFmtId="167" formatCode="_(* #,##0_);_(* \(#,##0\);_(* &quot;-&quot;??_);_(@_)"/>
    <numFmt numFmtId="168" formatCode="_ &quot;₹&quot;\ * #,##0_ ;_ &quot;₹&quot;\ * \-#,##0_ ;_ &quot;₹&quot;\ * &quot;-&quot;??_ ;_ @_ "/>
    <numFmt numFmtId="169" formatCode="_ * #,##0_ ;_ * \-#,##0_ ;_ * &quot;-&quot;??_ ;_ @_ "/>
    <numFmt numFmtId="170" formatCode="_ [$₹-4009]\ * #,##0_ ;_ [$₹-4009]\ * \-#,##0_ ;_ [$₹-4009]\ * &quot;-&quot;??_ ;_ @_ "/>
    <numFmt numFmtId="171" formatCode="_ [$₹-4009]\ * #,##0.00000_ ;_ [$₹-4009]\ * \-#,##0.00000_ ;_ [$₹-4009]\ * &quot;-&quot;??_ ;_ @_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/>
      <top style="double">
        <color theme="4" tint="0.79998168889431442"/>
      </top>
      <bottom/>
      <diagonal/>
    </border>
    <border>
      <left/>
      <right/>
      <top style="double">
        <color theme="4" tint="0.79998168889431442"/>
      </top>
      <bottom/>
      <diagonal/>
    </border>
    <border>
      <left/>
      <right style="double">
        <color theme="4" tint="0.79998168889431442"/>
      </right>
      <top style="double">
        <color theme="4" tint="0.79998168889431442"/>
      </top>
      <bottom/>
      <diagonal/>
    </border>
    <border>
      <left style="double">
        <color theme="4" tint="0.79998168889431442"/>
      </left>
      <right/>
      <top/>
      <bottom/>
      <diagonal/>
    </border>
    <border>
      <left/>
      <right style="double">
        <color theme="4" tint="0.79998168889431442"/>
      </right>
      <top/>
      <bottom/>
      <diagonal/>
    </border>
    <border>
      <left style="double">
        <color theme="4" tint="0.79998168889431442"/>
      </left>
      <right/>
      <top/>
      <bottom style="double">
        <color theme="4" tint="0.79998168889431442"/>
      </bottom>
      <diagonal/>
    </border>
    <border>
      <left/>
      <right/>
      <top/>
      <bottom style="double">
        <color theme="4" tint="0.79998168889431442"/>
      </bottom>
      <diagonal/>
    </border>
    <border>
      <left/>
      <right style="double">
        <color theme="4" tint="0.79998168889431442"/>
      </right>
      <top/>
      <bottom style="double">
        <color theme="4" tint="0.79998168889431442"/>
      </bottom>
      <diagonal/>
    </border>
    <border>
      <left style="double">
        <color theme="4" tint="0.79998168889431442"/>
      </left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/>
      <top style="double">
        <color theme="4" tint="0.79998168889431442"/>
      </top>
      <bottom style="double">
        <color theme="4" tint="0.79998168889431442"/>
      </bottom>
      <diagonal/>
    </border>
    <border>
      <left/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double">
        <color theme="4" tint="0.79998168889431442"/>
      </left>
      <right style="thin">
        <color indexed="64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/>
      <diagonal/>
    </border>
    <border>
      <left style="double">
        <color theme="4" tint="0.79998168889431442"/>
      </left>
      <right style="double">
        <color theme="4" tint="0.79998168889431442"/>
      </right>
      <top/>
      <bottom style="double">
        <color theme="4" tint="0.79998168889431442"/>
      </bottom>
      <diagonal/>
    </border>
    <border>
      <left style="double">
        <color theme="4" tint="0.79998168889431442"/>
      </left>
      <right style="double">
        <color theme="4" tint="0.79995117038483843"/>
      </right>
      <top style="double">
        <color theme="4" tint="0.79995117038483843"/>
      </top>
      <bottom style="double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theme="4" tint="0.79998168889431442"/>
      </left>
      <right style="double">
        <color theme="4" tint="0.79998168889431442"/>
      </right>
      <top/>
      <bottom/>
      <diagonal/>
    </border>
    <border>
      <left style="thin">
        <color indexed="64"/>
      </left>
      <right/>
      <top style="double">
        <color theme="4" tint="0.79998168889431442"/>
      </top>
      <bottom style="double">
        <color theme="4" tint="0.79998168889431442"/>
      </bottom>
      <diagonal/>
    </border>
  </borders>
  <cellStyleXfs count="118">
    <xf numFmtId="0" fontId="0" fillId="0" borderId="0"/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43" fontId="12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/>
    <xf numFmtId="9" fontId="0" fillId="0" borderId="1" xfId="0" applyNumberFormat="1" applyBorder="1"/>
    <xf numFmtId="10" fontId="0" fillId="0" borderId="1" xfId="3" applyNumberFormat="1" applyFont="1" applyBorder="1"/>
    <xf numFmtId="0" fontId="1" fillId="0" borderId="0" xfId="0" applyFont="1"/>
    <xf numFmtId="9" fontId="0" fillId="0" borderId="1" xfId="3" applyFont="1" applyBorder="1"/>
    <xf numFmtId="9" fontId="0" fillId="0" borderId="0" xfId="3" applyFont="1" applyBorder="1"/>
    <xf numFmtId="10" fontId="0" fillId="2" borderId="1" xfId="0" applyNumberFormat="1" applyFill="1" applyBorder="1"/>
    <xf numFmtId="0" fontId="1" fillId="2" borderId="4" xfId="0" applyFont="1" applyFill="1" applyBorder="1" applyAlignment="1">
      <alignment vertical="center"/>
    </xf>
    <xf numFmtId="2" fontId="9" fillId="2" borderId="4" xfId="1" applyNumberFormat="1" applyFont="1" applyFill="1" applyBorder="1" applyAlignment="1">
      <alignment vertical="center"/>
    </xf>
    <xf numFmtId="165" fontId="9" fillId="2" borderId="4" xfId="1" applyFont="1" applyFill="1" applyBorder="1" applyAlignment="1">
      <alignment vertical="center"/>
    </xf>
    <xf numFmtId="0" fontId="0" fillId="0" borderId="19" xfId="0" applyBorder="1"/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9" fontId="7" fillId="2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9" fontId="0" fillId="2" borderId="4" xfId="3" applyFont="1" applyFill="1" applyBorder="1" applyAlignment="1">
      <alignment horizontal="right" vertical="center"/>
    </xf>
    <xf numFmtId="0" fontId="0" fillId="2" borderId="0" xfId="0" applyFill="1"/>
    <xf numFmtId="0" fontId="1" fillId="2" borderId="0" xfId="0" applyFont="1" applyFill="1"/>
    <xf numFmtId="166" fontId="0" fillId="2" borderId="0" xfId="0" applyNumberFormat="1" applyFill="1"/>
    <xf numFmtId="165" fontId="0" fillId="2" borderId="0" xfId="1" applyFont="1" applyFill="1"/>
    <xf numFmtId="8" fontId="1" fillId="2" borderId="0" xfId="0" applyNumberFormat="1" applyFont="1" applyFill="1"/>
    <xf numFmtId="43" fontId="1" fillId="2" borderId="0" xfId="0" applyNumberFormat="1" applyFont="1" applyFill="1"/>
    <xf numFmtId="43" fontId="0" fillId="2" borderId="0" xfId="0" applyNumberFormat="1" applyFill="1"/>
    <xf numFmtId="167" fontId="0" fillId="2" borderId="0" xfId="1" applyNumberFormat="1" applyFont="1" applyFill="1"/>
    <xf numFmtId="0" fontId="1" fillId="2" borderId="4" xfId="0" applyFont="1" applyFill="1" applyBorder="1" applyAlignment="1">
      <alignment horizontal="left" vertical="center" wrapText="1"/>
    </xf>
    <xf numFmtId="165" fontId="0" fillId="0" borderId="4" xfId="1" applyFont="1" applyBorder="1" applyAlignment="1">
      <alignment horizontal="right" vertical="center"/>
    </xf>
    <xf numFmtId="10" fontId="0" fillId="2" borderId="4" xfId="1" applyNumberFormat="1" applyFont="1" applyFill="1" applyBorder="1" applyAlignment="1">
      <alignment horizontal="right" vertical="center"/>
    </xf>
    <xf numFmtId="17" fontId="4" fillId="6" borderId="4" xfId="2" applyNumberFormat="1" applyFont="1" applyFill="1" applyBorder="1" applyAlignment="1">
      <alignment horizontal="center" vertical="center"/>
    </xf>
    <xf numFmtId="165" fontId="7" fillId="3" borderId="4" xfId="1" applyFont="1" applyFill="1" applyBorder="1" applyAlignment="1">
      <alignment vertical="center"/>
    </xf>
    <xf numFmtId="2" fontId="7" fillId="3" borderId="4" xfId="1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166" fontId="10" fillId="6" borderId="4" xfId="0" applyNumberFormat="1" applyFont="1" applyFill="1" applyBorder="1" applyAlignment="1">
      <alignment vertical="center"/>
    </xf>
    <xf numFmtId="10" fontId="10" fillId="6" borderId="4" xfId="3" applyNumberFormat="1" applyFont="1" applyFill="1" applyBorder="1" applyAlignment="1">
      <alignment vertical="center" wrapText="1"/>
    </xf>
    <xf numFmtId="166" fontId="4" fillId="6" borderId="4" xfId="0" applyNumberFormat="1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0" fillId="0" borderId="0" xfId="0"/>
    <xf numFmtId="9" fontId="0" fillId="0" borderId="0" xfId="0" applyNumberFormat="1"/>
    <xf numFmtId="167" fontId="0" fillId="0" borderId="0" xfId="1" applyNumberFormat="1" applyFont="1"/>
    <xf numFmtId="9" fontId="1" fillId="2" borderId="4" xfId="0" applyNumberFormat="1" applyFont="1" applyFill="1" applyBorder="1" applyAlignment="1">
      <alignment vertical="center"/>
    </xf>
    <xf numFmtId="167" fontId="0" fillId="0" borderId="4" xfId="1" applyNumberFormat="1" applyFont="1" applyFill="1" applyBorder="1" applyAlignment="1">
      <alignment horizontal="right" vertical="center"/>
    </xf>
    <xf numFmtId="167" fontId="0" fillId="0" borderId="4" xfId="1" applyNumberFormat="1" applyFont="1" applyBorder="1" applyAlignment="1">
      <alignment horizontal="right" vertical="center"/>
    </xf>
    <xf numFmtId="167" fontId="0" fillId="0" borderId="0" xfId="1" applyNumberFormat="1" applyFont="1" applyFill="1" applyAlignment="1">
      <alignment horizontal="right" vertical="top"/>
    </xf>
    <xf numFmtId="167" fontId="0" fillId="2" borderId="4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165" fontId="2" fillId="0" borderId="0" xfId="1" applyFont="1" applyBorder="1"/>
    <xf numFmtId="9" fontId="2" fillId="0" borderId="0" xfId="3" applyFont="1" applyBorder="1"/>
    <xf numFmtId="0" fontId="0" fillId="0" borderId="0" xfId="0" applyNumberFormat="1" applyFill="1"/>
    <xf numFmtId="0" fontId="0" fillId="0" borderId="0" xfId="2" applyNumberFormat="1" applyFont="1" applyFill="1"/>
    <xf numFmtId="2" fontId="1" fillId="7" borderId="4" xfId="1" applyNumberFormat="1" applyFont="1" applyFill="1" applyBorder="1" applyAlignment="1">
      <alignment vertical="center"/>
    </xf>
    <xf numFmtId="165" fontId="1" fillId="7" borderId="4" xfId="1" applyFont="1" applyFill="1" applyBorder="1" applyAlignment="1">
      <alignment vertical="center"/>
    </xf>
    <xf numFmtId="9" fontId="1" fillId="7" borderId="4" xfId="3" applyFont="1" applyFill="1" applyBorder="1" applyAlignment="1">
      <alignment vertical="center"/>
    </xf>
    <xf numFmtId="0" fontId="14" fillId="2" borderId="0" xfId="0" applyFont="1" applyFill="1"/>
    <xf numFmtId="43" fontId="6" fillId="6" borderId="22" xfId="0" applyNumberFormat="1" applyFont="1" applyFill="1" applyBorder="1" applyAlignment="1">
      <alignment horizontal="center" vertical="center"/>
    </xf>
    <xf numFmtId="2" fontId="15" fillId="7" borderId="4" xfId="1" applyNumberFormat="1" applyFont="1" applyFill="1" applyBorder="1" applyAlignment="1">
      <alignment vertical="center"/>
    </xf>
    <xf numFmtId="165" fontId="14" fillId="2" borderId="0" xfId="1" applyFont="1" applyFill="1"/>
    <xf numFmtId="167" fontId="14" fillId="2" borderId="0" xfId="1" applyNumberFormat="1" applyFont="1" applyFill="1"/>
    <xf numFmtId="0" fontId="14" fillId="0" borderId="0" xfId="0" applyFont="1"/>
    <xf numFmtId="43" fontId="0" fillId="2" borderId="0" xfId="1" applyNumberFormat="1" applyFont="1" applyFill="1"/>
    <xf numFmtId="167" fontId="2" fillId="0" borderId="0" xfId="1" applyNumberFormat="1" applyFont="1" applyBorder="1"/>
    <xf numFmtId="167" fontId="2" fillId="0" borderId="0" xfId="0" applyNumberFormat="1" applyFont="1" applyBorder="1"/>
    <xf numFmtId="16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8" fontId="0" fillId="4" borderId="1" xfId="2" applyNumberFormat="1" applyFont="1" applyFill="1" applyBorder="1" applyAlignment="1">
      <alignment horizontal="right" vertical="center"/>
    </xf>
    <xf numFmtId="168" fontId="0" fillId="0" borderId="1" xfId="2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8" fontId="0" fillId="4" borderId="23" xfId="2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168" fontId="0" fillId="8" borderId="1" xfId="2" applyNumberFormat="1" applyFont="1" applyFill="1" applyBorder="1" applyAlignment="1">
      <alignment horizontal="right" vertical="center"/>
    </xf>
    <xf numFmtId="10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9" borderId="3" xfId="0" applyFill="1" applyBorder="1" applyAlignment="1">
      <alignment vertical="center" wrapText="1"/>
    </xf>
    <xf numFmtId="44" fontId="0" fillId="9" borderId="1" xfId="2" applyNumberFormat="1" applyFont="1" applyFill="1" applyBorder="1" applyAlignment="1">
      <alignment horizontal="right" vertical="center"/>
    </xf>
    <xf numFmtId="168" fontId="0" fillId="9" borderId="1" xfId="2" applyNumberFormat="1" applyFon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/>
    </xf>
    <xf numFmtId="168" fontId="0" fillId="5" borderId="1" xfId="2" applyNumberFormat="1" applyFont="1" applyFill="1" applyBorder="1" applyAlignment="1">
      <alignment horizontal="right" vertical="center"/>
    </xf>
    <xf numFmtId="168" fontId="15" fillId="0" borderId="19" xfId="2" applyNumberFormat="1" applyFont="1" applyBorder="1" applyAlignment="1">
      <alignment horizontal="right"/>
    </xf>
    <xf numFmtId="168" fontId="15" fillId="0" borderId="24" xfId="2" applyNumberFormat="1" applyFont="1" applyBorder="1" applyAlignment="1">
      <alignment horizontal="right"/>
    </xf>
    <xf numFmtId="9" fontId="0" fillId="0" borderId="1" xfId="117" applyNumberFormat="1" applyFont="1" applyFill="1" applyBorder="1" applyAlignment="1">
      <alignment horizontal="right" vertical="center"/>
    </xf>
    <xf numFmtId="43" fontId="0" fillId="0" borderId="0" xfId="4" applyFont="1"/>
    <xf numFmtId="169" fontId="0" fillId="0" borderId="0" xfId="4" applyNumberFormat="1" applyFont="1"/>
    <xf numFmtId="9" fontId="0" fillId="0" borderId="0" xfId="3" applyFont="1"/>
    <xf numFmtId="9" fontId="0" fillId="2" borderId="0" xfId="0" applyNumberFormat="1" applyFill="1"/>
    <xf numFmtId="9" fontId="0" fillId="2" borderId="0" xfId="3" applyFont="1" applyFill="1"/>
    <xf numFmtId="167" fontId="0" fillId="2" borderId="0" xfId="0" applyNumberFormat="1" applyFill="1"/>
    <xf numFmtId="167" fontId="1" fillId="2" borderId="4" xfId="1" applyNumberFormat="1" applyFont="1" applyFill="1" applyBorder="1" applyAlignment="1">
      <alignment vertical="center"/>
    </xf>
    <xf numFmtId="165" fontId="0" fillId="0" borderId="0" xfId="0" applyNumberFormat="1" applyFill="1"/>
    <xf numFmtId="0" fontId="1" fillId="10" borderId="4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vertical="center"/>
    </xf>
    <xf numFmtId="9" fontId="1" fillId="2" borderId="15" xfId="0" applyNumberFormat="1" applyFont="1" applyFill="1" applyBorder="1" applyAlignment="1">
      <alignment vertical="center"/>
    </xf>
    <xf numFmtId="43" fontId="6" fillId="6" borderId="10" xfId="0" applyNumberFormat="1" applyFont="1" applyFill="1" applyBorder="1" applyAlignment="1">
      <alignment horizontal="center" vertical="center"/>
    </xf>
    <xf numFmtId="165" fontId="10" fillId="6" borderId="4" xfId="1" applyFont="1" applyFill="1" applyBorder="1" applyAlignment="1">
      <alignment vertical="center"/>
    </xf>
    <xf numFmtId="164" fontId="0" fillId="2" borderId="0" xfId="0" applyNumberFormat="1" applyFill="1"/>
    <xf numFmtId="165" fontId="0" fillId="2" borderId="0" xfId="0" applyNumberFormat="1" applyFill="1"/>
    <xf numFmtId="0" fontId="1" fillId="2" borderId="2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167" fontId="0" fillId="0" borderId="0" xfId="0" applyNumberFormat="1"/>
    <xf numFmtId="43" fontId="1" fillId="2" borderId="4" xfId="1" applyNumberFormat="1" applyFont="1" applyFill="1" applyBorder="1" applyAlignment="1">
      <alignment vertical="center"/>
    </xf>
    <xf numFmtId="170" fontId="0" fillId="2" borderId="0" xfId="0" applyNumberFormat="1" applyFill="1"/>
    <xf numFmtId="171" fontId="0" fillId="2" borderId="0" xfId="0" applyNumberFormat="1" applyFill="1"/>
    <xf numFmtId="0" fontId="1" fillId="0" borderId="0" xfId="0" applyNumberFormat="1" applyFont="1" applyFill="1"/>
    <xf numFmtId="167" fontId="1" fillId="0" borderId="0" xfId="1" applyNumberFormat="1" applyFont="1" applyFill="1"/>
    <xf numFmtId="169" fontId="1" fillId="0" borderId="0" xfId="0" applyNumberFormat="1" applyFont="1" applyFill="1"/>
    <xf numFmtId="167" fontId="1" fillId="7" borderId="4" xfId="3" applyNumberFormat="1" applyFont="1" applyFill="1" applyBorder="1" applyAlignment="1">
      <alignment vertical="center"/>
    </xf>
    <xf numFmtId="2" fontId="7" fillId="3" borderId="4" xfId="1" applyNumberFormat="1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right" vertical="center"/>
    </xf>
    <xf numFmtId="167" fontId="1" fillId="2" borderId="4" xfId="1" applyNumberFormat="1" applyFont="1" applyFill="1" applyBorder="1" applyAlignment="1">
      <alignment horizontal="right" vertical="center"/>
    </xf>
    <xf numFmtId="165" fontId="1" fillId="2" borderId="4" xfId="1" applyNumberFormat="1" applyFont="1" applyFill="1" applyBorder="1" applyAlignment="1">
      <alignment horizontal="right" vertical="center"/>
    </xf>
    <xf numFmtId="2" fontId="9" fillId="2" borderId="4" xfId="1" applyNumberFormat="1" applyFont="1" applyFill="1" applyBorder="1" applyAlignment="1">
      <alignment horizontal="right" vertical="center"/>
    </xf>
    <xf numFmtId="43" fontId="0" fillId="0" borderId="0" xfId="1" applyNumberFormat="1" applyFont="1"/>
    <xf numFmtId="0" fontId="15" fillId="0" borderId="3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0" fontId="1" fillId="2" borderId="5" xfId="3" applyNumberFormat="1" applyFont="1" applyFill="1" applyBorder="1" applyAlignment="1">
      <alignment horizontal="left" vertical="center" wrapText="1"/>
    </xf>
    <xf numFmtId="10" fontId="1" fillId="2" borderId="6" xfId="3" applyNumberFormat="1" applyFont="1" applyFill="1" applyBorder="1" applyAlignment="1">
      <alignment horizontal="left" vertical="center" wrapText="1"/>
    </xf>
    <xf numFmtId="10" fontId="1" fillId="2" borderId="7" xfId="3" applyNumberFormat="1" applyFont="1" applyFill="1" applyBorder="1" applyAlignment="1">
      <alignment horizontal="left" vertical="center" wrapText="1"/>
    </xf>
    <xf numFmtId="10" fontId="1" fillId="2" borderId="8" xfId="3" applyNumberFormat="1" applyFont="1" applyFill="1" applyBorder="1" applyAlignment="1">
      <alignment horizontal="left" vertical="center" wrapText="1"/>
    </xf>
    <xf numFmtId="10" fontId="1" fillId="2" borderId="0" xfId="3" applyNumberFormat="1" applyFont="1" applyFill="1" applyBorder="1" applyAlignment="1">
      <alignment horizontal="left" vertical="center" wrapText="1"/>
    </xf>
    <xf numFmtId="10" fontId="1" fillId="2" borderId="9" xfId="3" applyNumberFormat="1" applyFont="1" applyFill="1" applyBorder="1" applyAlignment="1">
      <alignment horizontal="left" vertical="center" wrapText="1"/>
    </xf>
    <xf numFmtId="10" fontId="1" fillId="2" borderId="10" xfId="3" applyNumberFormat="1" applyFont="1" applyFill="1" applyBorder="1" applyAlignment="1">
      <alignment horizontal="left" vertical="center" wrapText="1"/>
    </xf>
    <xf numFmtId="10" fontId="1" fillId="2" borderId="11" xfId="3" applyNumberFormat="1" applyFont="1" applyFill="1" applyBorder="1" applyAlignment="1">
      <alignment horizontal="left" vertical="center" wrapText="1"/>
    </xf>
    <xf numFmtId="10" fontId="1" fillId="2" borderId="12" xfId="3" applyNumberFormat="1" applyFont="1" applyFill="1" applyBorder="1" applyAlignment="1">
      <alignment horizontal="left" vertical="center" wrapText="1"/>
    </xf>
    <xf numFmtId="166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17" fontId="4" fillId="6" borderId="20" xfId="2" applyNumberFormat="1" applyFont="1" applyFill="1" applyBorder="1" applyAlignment="1">
      <alignment horizontal="center" vertical="center"/>
    </xf>
    <xf numFmtId="17" fontId="4" fillId="6" borderId="21" xfId="2" applyNumberFormat="1" applyFont="1" applyFill="1" applyBorder="1" applyAlignment="1">
      <alignment horizontal="center" vertical="center"/>
    </xf>
    <xf numFmtId="44" fontId="6" fillId="6" borderId="4" xfId="2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17" fontId="4" fillId="6" borderId="4" xfId="2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</cellXfs>
  <cellStyles count="118">
    <cellStyle name="Comma" xfId="1" builtinId="3"/>
    <cellStyle name="Comma 2" xfId="4"/>
    <cellStyle name="Comma 2 2" xfId="12"/>
    <cellStyle name="Comma 2 2 2" xfId="13"/>
    <cellStyle name="Comma 2 2 2 2" xfId="14"/>
    <cellStyle name="Comma 2 3" xfId="10"/>
    <cellStyle name="Comma 2 4" xfId="117"/>
    <cellStyle name="Comma 3" xfId="15"/>
    <cellStyle name="Comma 4" xfId="11"/>
    <cellStyle name="Comma 4 2" xfId="16"/>
    <cellStyle name="Comma 4 2 10" xfId="17"/>
    <cellStyle name="Comma 4 2 11" xfId="18"/>
    <cellStyle name="Comma 4 2 2" xfId="19"/>
    <cellStyle name="Comma 4 2 2 2" xfId="20"/>
    <cellStyle name="Comma 4 2 2 3" xfId="21"/>
    <cellStyle name="Comma 4 2 2 4" xfId="22"/>
    <cellStyle name="Comma 4 2 2 5" xfId="23"/>
    <cellStyle name="Comma 4 2 2 6" xfId="24"/>
    <cellStyle name="Comma 4 2 2 7" xfId="25"/>
    <cellStyle name="Comma 4 2 3" xfId="26"/>
    <cellStyle name="Comma 4 2 3 2" xfId="27"/>
    <cellStyle name="Comma 4 2 3 3" xfId="28"/>
    <cellStyle name="Comma 4 2 3 4" xfId="29"/>
    <cellStyle name="Comma 4 2 3 5" xfId="30"/>
    <cellStyle name="Comma 4 2 3 6" xfId="31"/>
    <cellStyle name="Comma 4 2 3 7" xfId="32"/>
    <cellStyle name="Comma 4 2 4" xfId="33"/>
    <cellStyle name="Comma 4 2 4 2" xfId="34"/>
    <cellStyle name="Comma 4 2 4 3" xfId="35"/>
    <cellStyle name="Comma 4 2 4 4" xfId="36"/>
    <cellStyle name="Comma 4 2 4 5" xfId="37"/>
    <cellStyle name="Comma 4 2 4 6" xfId="38"/>
    <cellStyle name="Comma 4 2 4 7" xfId="39"/>
    <cellStyle name="Comma 4 2 5" xfId="40"/>
    <cellStyle name="Comma 4 2 6" xfId="41"/>
    <cellStyle name="Comma 4 2 7" xfId="42"/>
    <cellStyle name="Comma 4 2 8" xfId="43"/>
    <cellStyle name="Comma 4 2 9" xfId="44"/>
    <cellStyle name="Comma 5" xfId="7"/>
    <cellStyle name="Comma 5 10" xfId="45"/>
    <cellStyle name="Comma 5 11" xfId="46"/>
    <cellStyle name="Comma 5 12" xfId="47"/>
    <cellStyle name="Comma 5 13" xfId="48"/>
    <cellStyle name="Comma 5 2" xfId="49"/>
    <cellStyle name="Comma 5 2 2" xfId="50"/>
    <cellStyle name="Comma 5 2 3" xfId="51"/>
    <cellStyle name="Comma 5 2 4" xfId="52"/>
    <cellStyle name="Comma 5 2 5" xfId="53"/>
    <cellStyle name="Comma 5 2 6" xfId="54"/>
    <cellStyle name="Comma 5 2 7" xfId="55"/>
    <cellStyle name="Comma 5 3" xfId="56"/>
    <cellStyle name="Comma 5 3 2" xfId="57"/>
    <cellStyle name="Comma 5 3 3" xfId="58"/>
    <cellStyle name="Comma 5 3 4" xfId="59"/>
    <cellStyle name="Comma 5 3 5" xfId="60"/>
    <cellStyle name="Comma 5 3 6" xfId="61"/>
    <cellStyle name="Comma 5 3 7" xfId="62"/>
    <cellStyle name="Comma 5 4" xfId="9"/>
    <cellStyle name="Comma 5 4 2" xfId="63"/>
    <cellStyle name="Comma 5 4 3" xfId="64"/>
    <cellStyle name="Comma 5 4 4" xfId="65"/>
    <cellStyle name="Comma 5 4 5" xfId="66"/>
    <cellStyle name="Comma 5 5" xfId="67"/>
    <cellStyle name="Comma 5 5 2" xfId="68"/>
    <cellStyle name="Comma 5 5 3" xfId="69"/>
    <cellStyle name="Comma 5 5 4" xfId="70"/>
    <cellStyle name="Comma 5 5 5" xfId="71"/>
    <cellStyle name="Comma 5 6" xfId="72"/>
    <cellStyle name="Comma 5 6 2" xfId="73"/>
    <cellStyle name="Comma 5 6 3" xfId="74"/>
    <cellStyle name="Comma 5 6 4" xfId="75"/>
    <cellStyle name="Comma 5 6 5" xfId="76"/>
    <cellStyle name="Comma 5 7" xfId="77"/>
    <cellStyle name="Comma 5 7 2" xfId="78"/>
    <cellStyle name="Comma 5 7 3" xfId="79"/>
    <cellStyle name="Comma 5 7 4" xfId="80"/>
    <cellStyle name="Comma 5 7 5" xfId="81"/>
    <cellStyle name="Comma 5 8" xfId="82"/>
    <cellStyle name="Comma 5 8 2" xfId="83"/>
    <cellStyle name="Comma 5 8 3" xfId="84"/>
    <cellStyle name="Comma 5 8 4" xfId="85"/>
    <cellStyle name="Comma 5 8 5" xfId="86"/>
    <cellStyle name="Comma 5 9" xfId="87"/>
    <cellStyle name="Comma 6" xfId="88"/>
    <cellStyle name="Comma 6 2" xfId="89"/>
    <cellStyle name="Comma 6 3" xfId="90"/>
    <cellStyle name="Comma 6 4" xfId="91"/>
    <cellStyle name="Comma 6 5" xfId="92"/>
    <cellStyle name="Comma 6 6" xfId="93"/>
    <cellStyle name="Comma 6 7" xfId="94"/>
    <cellStyle name="Comma 7" xfId="95"/>
    <cellStyle name="Comma 8" xfId="114"/>
    <cellStyle name="Currency" xfId="2" builtinId="4"/>
    <cellStyle name="Currency 2" xfId="115"/>
    <cellStyle name="Currency 3" xfId="116"/>
    <cellStyle name="Excel Built-in Excel Built-in Excel Built-in Excel Built-in Excel Built-in Excel Built-in Excel Built-in Excel Built-in Excel" xfId="96"/>
    <cellStyle name="Normal" xfId="0" builtinId="0"/>
    <cellStyle name="Normal 10" xfId="97"/>
    <cellStyle name="Normal 2" xfId="5"/>
    <cellStyle name="Normal 2 2" xfId="6"/>
    <cellStyle name="Normal 3" xfId="8"/>
    <cellStyle name="Normal 4" xfId="98"/>
    <cellStyle name="Normal 4 2" xfId="99"/>
    <cellStyle name="Normal 4 3" xfId="100"/>
    <cellStyle name="Normal 4 4" xfId="101"/>
    <cellStyle name="Normal 4 5" xfId="102"/>
    <cellStyle name="Normal 4 6" xfId="103"/>
    <cellStyle name="Normal 4 7" xfId="104"/>
    <cellStyle name="Normal 4 8" xfId="105"/>
    <cellStyle name="Normal 5" xfId="106"/>
    <cellStyle name="Normal 5 2" xfId="107"/>
    <cellStyle name="Normal 5 3" xfId="108"/>
    <cellStyle name="Normal 5 4" xfId="109"/>
    <cellStyle name="Normal 5 5" xfId="110"/>
    <cellStyle name="Normal 5 6" xfId="111"/>
    <cellStyle name="Normal 5 7" xfId="112"/>
    <cellStyle name="Percent" xfId="3" builtinId="5"/>
    <cellStyle name="Percent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133350</xdr:rowOff>
    </xdr:from>
    <xdr:to>
      <xdr:col>15</xdr:col>
      <xdr:colOff>209180</xdr:colOff>
      <xdr:row>33</xdr:row>
      <xdr:rowOff>143232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AD40DD7-23F9-6116-A915-DE8680793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4085" y="323850"/>
          <a:ext cx="9074154" cy="665497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workbookViewId="0">
      <selection activeCell="D6" sqref="D6"/>
    </sheetView>
  </sheetViews>
  <sheetFormatPr defaultRowHeight="15" x14ac:dyDescent="0.25"/>
  <cols>
    <col min="1" max="1" width="9.140625" style="42"/>
    <col min="2" max="2" width="7.28515625" style="42" bestFit="1" customWidth="1"/>
    <col min="3" max="3" width="59.140625" style="42" bestFit="1" customWidth="1"/>
    <col min="4" max="4" width="15.7109375" style="42" bestFit="1" customWidth="1"/>
    <col min="5" max="5" width="19" style="42" bestFit="1" customWidth="1"/>
    <col min="6" max="6" width="19.5703125" style="42" bestFit="1" customWidth="1"/>
    <col min="7" max="7" width="9.140625" style="42"/>
    <col min="8" max="8" width="10" style="42" bestFit="1" customWidth="1"/>
    <col min="9" max="9" width="9.140625" style="42"/>
    <col min="10" max="11" width="14.28515625" style="42" bestFit="1" customWidth="1"/>
    <col min="12" max="16384" width="9.140625" style="42"/>
  </cols>
  <sheetData>
    <row r="3" spans="2:6" x14ac:dyDescent="0.25">
      <c r="C3" s="42" t="s">
        <v>51</v>
      </c>
      <c r="D3" s="72">
        <f>ASSUMPTIONS!D7</f>
        <v>134706.07799999998</v>
      </c>
      <c r="E3" s="42" t="s">
        <v>52</v>
      </c>
    </row>
    <row r="4" spans="2:6" ht="45" x14ac:dyDescent="0.25">
      <c r="B4" s="73" t="s">
        <v>53</v>
      </c>
      <c r="C4" s="73" t="s">
        <v>54</v>
      </c>
      <c r="D4" s="74" t="s">
        <v>55</v>
      </c>
      <c r="E4" s="74" t="s">
        <v>56</v>
      </c>
    </row>
    <row r="5" spans="2:6" x14ac:dyDescent="0.25">
      <c r="B5" s="1" t="s">
        <v>57</v>
      </c>
      <c r="C5" s="75" t="s">
        <v>58</v>
      </c>
      <c r="D5" s="76">
        <v>2000</v>
      </c>
      <c r="E5" s="77">
        <f>D5*$D$3</f>
        <v>269412155.99999994</v>
      </c>
    </row>
    <row r="6" spans="2:6" ht="30" x14ac:dyDescent="0.25">
      <c r="B6" s="1" t="s">
        <v>59</v>
      </c>
      <c r="C6" s="78" t="s">
        <v>60</v>
      </c>
      <c r="D6" s="76">
        <v>150</v>
      </c>
      <c r="E6" s="77">
        <f>D6*$D$3</f>
        <v>20205911.699999996</v>
      </c>
    </row>
    <row r="7" spans="2:6" ht="30" x14ac:dyDescent="0.25">
      <c r="B7" s="1" t="s">
        <v>61</v>
      </c>
      <c r="C7" s="79" t="s">
        <v>62</v>
      </c>
      <c r="D7" s="76">
        <v>500</v>
      </c>
      <c r="E7" s="77">
        <f>D7*$D$3</f>
        <v>67353038.999999985</v>
      </c>
    </row>
    <row r="8" spans="2:6" x14ac:dyDescent="0.25">
      <c r="B8" s="1" t="s">
        <v>63</v>
      </c>
      <c r="C8" s="79" t="s">
        <v>64</v>
      </c>
      <c r="D8" s="76">
        <v>300</v>
      </c>
      <c r="E8" s="77">
        <f t="shared" ref="E8:E12" si="0">D8*$D$3</f>
        <v>40411823.399999991</v>
      </c>
    </row>
    <row r="9" spans="2:6" ht="13.5" customHeight="1" x14ac:dyDescent="0.25">
      <c r="B9" s="1" t="s">
        <v>65</v>
      </c>
      <c r="C9" s="75" t="s">
        <v>66</v>
      </c>
      <c r="D9" s="80">
        <v>350</v>
      </c>
      <c r="E9" s="77">
        <f>D9*$D$3</f>
        <v>47147127.29999999</v>
      </c>
    </row>
    <row r="10" spans="2:6" ht="38.25" customHeight="1" x14ac:dyDescent="0.25">
      <c r="B10" s="1" t="s">
        <v>67</v>
      </c>
      <c r="C10" s="81" t="s">
        <v>68</v>
      </c>
      <c r="D10" s="82">
        <f>SUM(D5:D9)*F10</f>
        <v>49.5</v>
      </c>
      <c r="E10" s="77">
        <f t="shared" si="0"/>
        <v>6667950.8609999986</v>
      </c>
      <c r="F10" s="83">
        <v>1.4999999999999999E-2</v>
      </c>
    </row>
    <row r="11" spans="2:6" ht="30" x14ac:dyDescent="0.25">
      <c r="B11" s="1" t="s">
        <v>69</v>
      </c>
      <c r="C11" s="84" t="s">
        <v>70</v>
      </c>
      <c r="D11" s="82">
        <f>(D5+D6+D7+D8+D9+D10)*F11</f>
        <v>234.46500000000003</v>
      </c>
      <c r="E11" s="77">
        <f>D11*$D$3</f>
        <v>31583860.578269999</v>
      </c>
      <c r="F11" s="85">
        <v>7.0000000000000007E-2</v>
      </c>
    </row>
    <row r="12" spans="2:6" x14ac:dyDescent="0.25">
      <c r="B12" s="1"/>
      <c r="C12" s="86" t="s">
        <v>71</v>
      </c>
      <c r="D12" s="87">
        <f>SUM(D5:D11)*F12</f>
        <v>179.19825000000003</v>
      </c>
      <c r="E12" s="88">
        <f t="shared" si="0"/>
        <v>24139093.441963501</v>
      </c>
      <c r="F12" s="85">
        <v>0.05</v>
      </c>
    </row>
    <row r="13" spans="2:6" x14ac:dyDescent="0.25">
      <c r="B13" s="1" t="s">
        <v>72</v>
      </c>
      <c r="C13" s="89" t="s">
        <v>88</v>
      </c>
      <c r="D13" s="90">
        <f>15000*F13</f>
        <v>300</v>
      </c>
      <c r="E13" s="77">
        <f>D13*$D$3</f>
        <v>40411823.399999991</v>
      </c>
      <c r="F13" s="43">
        <v>0.02</v>
      </c>
    </row>
    <row r="14" spans="2:6" ht="15.75" x14ac:dyDescent="0.25">
      <c r="B14" s="125" t="s">
        <v>73</v>
      </c>
      <c r="C14" s="126"/>
      <c r="D14" s="91">
        <f>SUM(D5:D13)</f>
        <v>4063.1632500000001</v>
      </c>
      <c r="E14" s="92">
        <f>SUM(E5:E13)</f>
        <v>547332785.68123341</v>
      </c>
      <c r="F14" s="93">
        <v>0.15</v>
      </c>
    </row>
    <row r="19" spans="5:11" x14ac:dyDescent="0.25">
      <c r="F19" s="94"/>
    </row>
    <row r="21" spans="5:11" x14ac:dyDescent="0.25">
      <c r="E21" s="96"/>
      <c r="F21" s="43"/>
    </row>
    <row r="22" spans="5:11" x14ac:dyDescent="0.25">
      <c r="E22" s="96"/>
      <c r="F22" s="43"/>
    </row>
    <row r="23" spans="5:11" x14ac:dyDescent="0.25">
      <c r="E23" s="96"/>
      <c r="F23" s="43"/>
    </row>
    <row r="24" spans="5:11" x14ac:dyDescent="0.25">
      <c r="E24" s="96"/>
      <c r="F24" s="43"/>
    </row>
    <row r="25" spans="5:11" x14ac:dyDescent="0.25">
      <c r="E25" s="96"/>
      <c r="F25" s="43"/>
    </row>
    <row r="26" spans="5:11" x14ac:dyDescent="0.25">
      <c r="J26" s="95"/>
      <c r="K26" s="95"/>
    </row>
    <row r="27" spans="5:11" x14ac:dyDescent="0.25">
      <c r="H27" s="72"/>
      <c r="I27" s="72"/>
    </row>
  </sheetData>
  <mergeCells count="1">
    <mergeCell ref="B14:C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zoomScaleNormal="100" workbookViewId="0">
      <selection activeCell="D10" sqref="D10"/>
    </sheetView>
  </sheetViews>
  <sheetFormatPr defaultRowHeight="15" x14ac:dyDescent="0.25"/>
  <cols>
    <col min="2" max="2" width="46.7109375" bestFit="1" customWidth="1"/>
    <col min="3" max="3" width="30" bestFit="1" customWidth="1"/>
    <col min="4" max="4" width="20.140625" bestFit="1" customWidth="1"/>
    <col min="5" max="5" width="13.28515625" style="44" customWidth="1"/>
    <col min="6" max="6" width="14" style="58" customWidth="1"/>
    <col min="7" max="7" width="18.5703125" bestFit="1" customWidth="1"/>
  </cols>
  <sheetData>
    <row r="1" spans="2:9" ht="15.75" thickBot="1" x14ac:dyDescent="0.3"/>
    <row r="2" spans="2:9" ht="16.5" thickTop="1" thickBot="1" x14ac:dyDescent="0.3">
      <c r="B2" s="129" t="s">
        <v>28</v>
      </c>
      <c r="C2" s="129"/>
      <c r="D2" s="129"/>
    </row>
    <row r="3" spans="2:9" ht="16.5" thickTop="1" thickBot="1" x14ac:dyDescent="0.3">
      <c r="B3" s="14" t="s">
        <v>49</v>
      </c>
      <c r="C3" s="15" t="s">
        <v>29</v>
      </c>
      <c r="D3" s="31">
        <v>5</v>
      </c>
    </row>
    <row r="4" spans="2:9" ht="16.5" thickTop="1" thickBot="1" x14ac:dyDescent="0.3">
      <c r="B4" s="130" t="s">
        <v>43</v>
      </c>
      <c r="C4" s="15" t="s">
        <v>5</v>
      </c>
      <c r="D4" s="31"/>
    </row>
    <row r="5" spans="2:9" ht="16.5" thickTop="1" thickBot="1" x14ac:dyDescent="0.3">
      <c r="B5" s="131"/>
      <c r="C5" s="15" t="s">
        <v>6</v>
      </c>
      <c r="D5" s="47">
        <v>1854</v>
      </c>
    </row>
    <row r="6" spans="2:9" ht="16.5" thickTop="1" thickBot="1" x14ac:dyDescent="0.3">
      <c r="B6" s="40" t="s">
        <v>44</v>
      </c>
      <c r="C6" s="15" t="s">
        <v>6</v>
      </c>
      <c r="D6" s="47">
        <f>D5*D3*(1.35)</f>
        <v>12514.5</v>
      </c>
    </row>
    <row r="7" spans="2:9" ht="16.5" thickTop="1" thickBot="1" x14ac:dyDescent="0.3">
      <c r="B7" s="40" t="s">
        <v>44</v>
      </c>
      <c r="C7" s="16" t="s">
        <v>7</v>
      </c>
      <c r="D7" s="48">
        <f>D6*10.764</f>
        <v>134706.07799999998</v>
      </c>
      <c r="F7" s="115">
        <f>7*4046.85</f>
        <v>28327.95</v>
      </c>
    </row>
    <row r="8" spans="2:9" ht="31.5" thickTop="1" thickBot="1" x14ac:dyDescent="0.3">
      <c r="B8" s="41" t="s">
        <v>87</v>
      </c>
      <c r="C8" s="16" t="s">
        <v>7</v>
      </c>
      <c r="D8" s="48">
        <f>D7*0.65</f>
        <v>87558.950699999987</v>
      </c>
      <c r="E8" s="124">
        <f>D8/700</f>
        <v>125.08421528571427</v>
      </c>
      <c r="F8" s="116">
        <f>F7*10.764</f>
        <v>304922.05379999999</v>
      </c>
      <c r="G8" s="44">
        <f>D8*15000</f>
        <v>1313384260.4999998</v>
      </c>
    </row>
    <row r="9" spans="2:9" ht="16.5" thickTop="1" thickBot="1" x14ac:dyDescent="0.3">
      <c r="B9" s="51"/>
      <c r="C9" s="52"/>
      <c r="D9" s="53"/>
      <c r="F9" s="117">
        <f>F8*3.6</f>
        <v>1097719.39368</v>
      </c>
      <c r="G9" s="111">
        <f>D8*4000</f>
        <v>350235802.79999995</v>
      </c>
    </row>
    <row r="10" spans="2:9" ht="31.5" thickTop="1" thickBot="1" x14ac:dyDescent="0.3">
      <c r="B10" s="30" t="s">
        <v>45</v>
      </c>
      <c r="C10" s="17" t="s">
        <v>86</v>
      </c>
      <c r="D10" s="49">
        <f>'Cost of Construction'!D14</f>
        <v>4063.1632500000001</v>
      </c>
      <c r="F10" s="101"/>
      <c r="G10" s="111">
        <f>G8-G9</f>
        <v>963148457.69999981</v>
      </c>
    </row>
    <row r="11" spans="2:9" ht="16.5" thickTop="1" thickBot="1" x14ac:dyDescent="0.3">
      <c r="B11" s="102" t="s">
        <v>38</v>
      </c>
      <c r="C11" s="17"/>
      <c r="D11" s="21">
        <v>0.05</v>
      </c>
      <c r="G11" s="72"/>
      <c r="I11">
        <f>3.3*6.34</f>
        <v>20.921999999999997</v>
      </c>
    </row>
    <row r="12" spans="2:9" ht="16.5" thickTop="1" thickBot="1" x14ac:dyDescent="0.3">
      <c r="B12" s="102" t="s">
        <v>15</v>
      </c>
      <c r="C12" s="17" t="s">
        <v>46</v>
      </c>
      <c r="D12" s="49">
        <v>150</v>
      </c>
      <c r="F12" s="59"/>
      <c r="I12">
        <f>2.7*2.1</f>
        <v>5.6700000000000008</v>
      </c>
    </row>
    <row r="13" spans="2:9" ht="16.5" thickTop="1" thickBot="1" x14ac:dyDescent="0.3">
      <c r="B13" s="103" t="s">
        <v>11</v>
      </c>
      <c r="C13" s="17" t="s">
        <v>37</v>
      </c>
      <c r="D13" s="21">
        <v>0.03</v>
      </c>
      <c r="I13">
        <f>3.05*3.81</f>
        <v>11.6205</v>
      </c>
    </row>
    <row r="14" spans="2:9" ht="16.5" thickTop="1" thickBot="1" x14ac:dyDescent="0.3">
      <c r="B14" s="103" t="s">
        <v>12</v>
      </c>
      <c r="C14" s="17" t="s">
        <v>37</v>
      </c>
      <c r="D14" s="21">
        <v>0.02</v>
      </c>
      <c r="I14">
        <f>3.05*3.96</f>
        <v>12.077999999999999</v>
      </c>
    </row>
    <row r="15" spans="2:9" ht="16.5" thickTop="1" thickBot="1" x14ac:dyDescent="0.3">
      <c r="B15" s="10" t="s">
        <v>90</v>
      </c>
      <c r="C15" s="17"/>
      <c r="D15" s="49">
        <v>347000000</v>
      </c>
      <c r="I15">
        <f>1.5*2.45</f>
        <v>3.6750000000000003</v>
      </c>
    </row>
    <row r="16" spans="2:9" ht="16.5" thickTop="1" thickBot="1" x14ac:dyDescent="0.3">
      <c r="B16" s="10" t="s">
        <v>9</v>
      </c>
      <c r="C16" s="17" t="s">
        <v>10</v>
      </c>
      <c r="D16" s="32">
        <v>0.06</v>
      </c>
      <c r="I16">
        <f>1.5*2.47</f>
        <v>3.7050000000000001</v>
      </c>
    </row>
    <row r="17" spans="2:9" ht="16.5" thickTop="1" thickBot="1" x14ac:dyDescent="0.3">
      <c r="B17" s="10" t="s">
        <v>48</v>
      </c>
      <c r="C17" s="17" t="s">
        <v>36</v>
      </c>
      <c r="D17" s="21">
        <v>0.25</v>
      </c>
      <c r="I17">
        <f>SUM(I11:I16)</f>
        <v>57.67049999999999</v>
      </c>
    </row>
    <row r="18" spans="2:9" ht="16.5" thickTop="1" thickBot="1" x14ac:dyDescent="0.3">
      <c r="B18" s="54" t="s">
        <v>79</v>
      </c>
      <c r="C18" s="55"/>
      <c r="D18" s="104">
        <v>0.04</v>
      </c>
      <c r="I18">
        <f>I17*10.764</f>
        <v>620.76526199999989</v>
      </c>
    </row>
    <row r="19" spans="2:9" ht="16.5" thickTop="1" thickBot="1" x14ac:dyDescent="0.3">
      <c r="B19" s="18" t="s">
        <v>76</v>
      </c>
      <c r="C19" s="17" t="s">
        <v>8</v>
      </c>
      <c r="D19" s="46">
        <v>18000</v>
      </c>
    </row>
    <row r="20" spans="2:9" ht="16.5" thickTop="1" thickBot="1" x14ac:dyDescent="0.3">
      <c r="B20" s="18" t="s">
        <v>47</v>
      </c>
      <c r="C20" s="17" t="s">
        <v>13</v>
      </c>
      <c r="D20" s="21">
        <v>0.05</v>
      </c>
    </row>
    <row r="21" spans="2:9" ht="15.75" hidden="1" thickTop="1" x14ac:dyDescent="0.25">
      <c r="B21" s="13"/>
      <c r="C21" s="13"/>
      <c r="D21" s="13"/>
    </row>
    <row r="22" spans="2:9" ht="15.75" hidden="1" thickTop="1" x14ac:dyDescent="0.25">
      <c r="B22" s="2" t="s">
        <v>2</v>
      </c>
      <c r="C22" s="3"/>
      <c r="D22" s="4">
        <v>0.75</v>
      </c>
    </row>
    <row r="23" spans="2:9" ht="15.75" hidden="1" thickTop="1" x14ac:dyDescent="0.25">
      <c r="B23" s="2" t="s">
        <v>3</v>
      </c>
      <c r="C23" s="3"/>
      <c r="D23" s="4">
        <v>0.25</v>
      </c>
    </row>
    <row r="24" spans="2:9" ht="15.75" hidden="1" thickTop="1" x14ac:dyDescent="0.25">
      <c r="B24" s="2" t="s">
        <v>16</v>
      </c>
      <c r="C24" s="2"/>
      <c r="D24" s="3">
        <v>0.09</v>
      </c>
      <c r="E24" s="44" t="s">
        <v>18</v>
      </c>
      <c r="F24" s="58">
        <v>7.0000000000000007E-2</v>
      </c>
    </row>
    <row r="25" spans="2:9" ht="15.75" hidden="1" thickTop="1" x14ac:dyDescent="0.25">
      <c r="B25" s="2" t="s">
        <v>17</v>
      </c>
      <c r="C25" s="2"/>
      <c r="D25" s="7">
        <v>0.25169999999999998</v>
      </c>
      <c r="E25" s="44" t="s">
        <v>19</v>
      </c>
      <c r="F25" s="58">
        <v>0.14000000000000001</v>
      </c>
    </row>
    <row r="26" spans="2:9" ht="15.75" hidden="1" thickTop="1" x14ac:dyDescent="0.25">
      <c r="B26" s="2" t="s">
        <v>22</v>
      </c>
      <c r="C26" s="2"/>
      <c r="D26" s="5">
        <f>F27</f>
        <v>0.17500000000000002</v>
      </c>
      <c r="E26" s="44" t="s">
        <v>41</v>
      </c>
      <c r="F26" s="58">
        <v>1.5</v>
      </c>
    </row>
    <row r="27" spans="2:9" ht="15.75" hidden="1" thickTop="1" x14ac:dyDescent="0.25">
      <c r="B27" s="2" t="s">
        <v>20</v>
      </c>
      <c r="C27" s="2"/>
      <c r="D27" s="7">
        <v>0.25</v>
      </c>
      <c r="E27" s="44" t="s">
        <v>42</v>
      </c>
      <c r="F27" s="58">
        <f>F24+(F26*(F25-F24))</f>
        <v>0.17500000000000002</v>
      </c>
    </row>
    <row r="28" spans="2:9" ht="15.75" hidden="1" thickTop="1" x14ac:dyDescent="0.25">
      <c r="B28" s="2" t="s">
        <v>4</v>
      </c>
      <c r="C28" s="2"/>
      <c r="D28" s="5">
        <f>(D23*D26)+((D22*D24)*(1-D25))</f>
        <v>9.4260250000000004E-2</v>
      </c>
    </row>
    <row r="29" spans="2:9" ht="15.75" hidden="1" thickTop="1" x14ac:dyDescent="0.25">
      <c r="B29" s="2" t="s">
        <v>21</v>
      </c>
      <c r="C29" s="2"/>
      <c r="D29" s="3"/>
    </row>
    <row r="30" spans="2:9" ht="15.75" hidden="1" thickTop="1" x14ac:dyDescent="0.25">
      <c r="B30" s="2" t="s">
        <v>0</v>
      </c>
      <c r="C30" s="2"/>
      <c r="D30" s="9">
        <f>D28+D29</f>
        <v>9.4260250000000004E-2</v>
      </c>
    </row>
    <row r="31" spans="2:9" ht="15.75" thickTop="1" x14ac:dyDescent="0.25">
      <c r="D31" s="8"/>
    </row>
    <row r="32" spans="2:9" x14ac:dyDescent="0.25">
      <c r="B32" s="128" t="s">
        <v>50</v>
      </c>
      <c r="C32" s="128"/>
      <c r="D32" s="128"/>
    </row>
    <row r="33" spans="2:4" x14ac:dyDescent="0.25">
      <c r="B33" s="127" t="s">
        <v>77</v>
      </c>
      <c r="C33" s="127"/>
      <c r="D33" s="127"/>
    </row>
  </sheetData>
  <mergeCells count="4">
    <mergeCell ref="B33:D33"/>
    <mergeCell ref="B32:D32"/>
    <mergeCell ref="B2:D2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222"/>
  <sheetViews>
    <sheetView tabSelected="1" zoomScaleNormal="100" workbookViewId="0">
      <selection activeCell="C21" sqref="C21"/>
    </sheetView>
  </sheetViews>
  <sheetFormatPr defaultRowHeight="15" x14ac:dyDescent="0.25"/>
  <cols>
    <col min="1" max="1" width="2" style="22" customWidth="1"/>
    <col min="2" max="2" width="33" style="42" bestFit="1" customWidth="1"/>
    <col min="3" max="3" width="18.5703125" style="42" bestFit="1" customWidth="1"/>
    <col min="4" max="4" width="13.28515625" style="42" customWidth="1"/>
    <col min="5" max="5" width="14" style="42" customWidth="1"/>
    <col min="6" max="6" width="14.5703125" style="42" bestFit="1" customWidth="1"/>
    <col min="7" max="9" width="14.5703125" style="42" customWidth="1"/>
    <col min="10" max="10" width="14.85546875" style="42" customWidth="1"/>
    <col min="11" max="11" width="19.5703125" style="22" bestFit="1" customWidth="1"/>
    <col min="12" max="12" width="17.5703125" style="22" bestFit="1" customWidth="1"/>
    <col min="13" max="15" width="19.5703125" style="22" bestFit="1" customWidth="1"/>
    <col min="16" max="16" width="9.140625" style="22"/>
    <col min="17" max="17" width="15.85546875" style="22" bestFit="1" customWidth="1"/>
    <col min="18" max="145" width="9.140625" style="22"/>
    <col min="146" max="16384" width="9.140625" style="42"/>
  </cols>
  <sheetData>
    <row r="1" spans="1:145" s="22" customFormat="1" ht="15.75" thickBot="1" x14ac:dyDescent="0.3"/>
    <row r="2" spans="1:145" ht="17.25" thickTop="1" thickBot="1" x14ac:dyDescent="0.3">
      <c r="B2" s="163" t="s">
        <v>27</v>
      </c>
      <c r="C2" s="163"/>
      <c r="D2" s="163"/>
      <c r="E2" s="163"/>
      <c r="F2" s="163"/>
      <c r="G2" s="163"/>
      <c r="H2" s="163"/>
      <c r="I2" s="163"/>
      <c r="J2" s="163"/>
    </row>
    <row r="3" spans="1:145" ht="16.5" thickTop="1" thickBot="1" x14ac:dyDescent="0.3">
      <c r="B3" s="164" t="s">
        <v>24</v>
      </c>
      <c r="C3" s="165" t="s">
        <v>33</v>
      </c>
      <c r="D3" s="33"/>
      <c r="E3" s="33"/>
      <c r="F3" s="33"/>
      <c r="G3" s="33"/>
      <c r="H3" s="33"/>
      <c r="I3" s="161" t="s">
        <v>80</v>
      </c>
      <c r="J3" s="166" t="s">
        <v>25</v>
      </c>
    </row>
    <row r="4" spans="1:145" ht="16.5" thickTop="1" thickBot="1" x14ac:dyDescent="0.3">
      <c r="B4" s="164"/>
      <c r="C4" s="165"/>
      <c r="D4" s="33">
        <v>45352</v>
      </c>
      <c r="E4" s="33">
        <v>45717</v>
      </c>
      <c r="F4" s="33">
        <v>46082</v>
      </c>
      <c r="G4" s="33">
        <v>46447</v>
      </c>
      <c r="H4" s="33">
        <v>46813</v>
      </c>
      <c r="I4" s="162"/>
      <c r="J4" s="166"/>
    </row>
    <row r="5" spans="1:145" ht="16.5" thickTop="1" thickBot="1" x14ac:dyDescent="0.3">
      <c r="B5" s="19" t="s">
        <v>14</v>
      </c>
      <c r="C5" s="22"/>
      <c r="D5" s="97">
        <v>0</v>
      </c>
      <c r="E5" s="97">
        <v>0.3</v>
      </c>
      <c r="F5" s="97">
        <v>0.25</v>
      </c>
      <c r="G5" s="97">
        <v>0.25</v>
      </c>
      <c r="H5" s="97">
        <v>0.2</v>
      </c>
      <c r="I5" s="97"/>
      <c r="J5" s="97">
        <f>SUM(D5:H5)</f>
        <v>1</v>
      </c>
    </row>
    <row r="6" spans="1:145" ht="31.5" thickTop="1" thickBot="1" x14ac:dyDescent="0.3">
      <c r="B6" s="20" t="s">
        <v>30</v>
      </c>
      <c r="C6" s="22"/>
      <c r="D6" s="29">
        <f>D5*ASSUMPTIONS!$D$8</f>
        <v>0</v>
      </c>
      <c r="E6" s="29">
        <f>E5*ASSUMPTIONS!$D$8</f>
        <v>26267.685209999996</v>
      </c>
      <c r="F6" s="29">
        <f>F5*ASSUMPTIONS!$D$8</f>
        <v>21889.737674999997</v>
      </c>
      <c r="G6" s="29">
        <f>G5*ASSUMPTIONS!$D$8</f>
        <v>21889.737674999997</v>
      </c>
      <c r="H6" s="29">
        <f>H5*ASSUMPTIONS!$D$8</f>
        <v>17511.790139999997</v>
      </c>
      <c r="I6" s="29" t="s">
        <v>52</v>
      </c>
      <c r="J6" s="99">
        <f>SUM(D6:H6)</f>
        <v>87558.950699999987</v>
      </c>
    </row>
    <row r="7" spans="1:145" ht="16.5" thickTop="1" thickBot="1" x14ac:dyDescent="0.3">
      <c r="B7" s="20" t="s">
        <v>75</v>
      </c>
      <c r="C7" s="22"/>
      <c r="D7" s="29">
        <v>0</v>
      </c>
      <c r="E7" s="98">
        <v>0.06</v>
      </c>
      <c r="F7" s="98">
        <v>0.06</v>
      </c>
      <c r="G7" s="98">
        <v>0.06</v>
      </c>
      <c r="H7" s="98">
        <v>0.06</v>
      </c>
      <c r="I7" s="98"/>
      <c r="J7" s="22"/>
    </row>
    <row r="8" spans="1:145" ht="16.5" thickTop="1" thickBot="1" x14ac:dyDescent="0.3">
      <c r="B8" s="20" t="s">
        <v>74</v>
      </c>
      <c r="C8" s="22"/>
      <c r="D8" s="29">
        <v>22000</v>
      </c>
      <c r="E8" s="29">
        <f>D8+(D8*E7)</f>
        <v>23320</v>
      </c>
      <c r="F8" s="29">
        <f t="shared" ref="F8:H8" si="0">E8+(E8*F7)</f>
        <v>24719.200000000001</v>
      </c>
      <c r="G8" s="29">
        <f t="shared" si="0"/>
        <v>26202.351999999999</v>
      </c>
      <c r="H8" s="29">
        <f t="shared" si="0"/>
        <v>27774.493119999999</v>
      </c>
      <c r="I8" s="29" t="s">
        <v>81</v>
      </c>
      <c r="J8" s="22"/>
      <c r="L8" s="22">
        <f>25000*9</f>
        <v>225000</v>
      </c>
    </row>
    <row r="9" spans="1:145" ht="29.25" customHeight="1" thickTop="1" thickBot="1" x14ac:dyDescent="0.3">
      <c r="B9" s="167" t="s">
        <v>78</v>
      </c>
      <c r="C9" s="167"/>
      <c r="D9" s="12">
        <f>D8*D6/10^7</f>
        <v>0</v>
      </c>
      <c r="E9" s="12">
        <f>E8*E6/10^7</f>
        <v>61.256241909719989</v>
      </c>
      <c r="F9" s="12">
        <f t="shared" ref="F9:H9" si="1">F8*F6/10^7</f>
        <v>54.109680353585993</v>
      </c>
      <c r="G9" s="12">
        <f t="shared" si="1"/>
        <v>57.356261174801148</v>
      </c>
      <c r="H9" s="12">
        <f t="shared" si="1"/>
        <v>48.638109476231371</v>
      </c>
      <c r="I9" s="12" t="s">
        <v>82</v>
      </c>
      <c r="J9" s="61">
        <f>SUM(D9:H9)</f>
        <v>221.36029291433849</v>
      </c>
      <c r="L9" s="29">
        <f>L8*4840</f>
        <v>1089000000</v>
      </c>
    </row>
    <row r="10" spans="1:145" s="6" customFormat="1" ht="16.5" thickTop="1" thickBot="1" x14ac:dyDescent="0.3">
      <c r="A10" s="23"/>
      <c r="B10" s="160" t="s">
        <v>39</v>
      </c>
      <c r="C10" s="160"/>
      <c r="D10" s="34">
        <f>D9</f>
        <v>0</v>
      </c>
      <c r="E10" s="34">
        <f t="shared" ref="E10:H10" si="2">E9</f>
        <v>61.256241909719989</v>
      </c>
      <c r="F10" s="34">
        <f t="shared" si="2"/>
        <v>54.109680353585993</v>
      </c>
      <c r="G10" s="34">
        <f t="shared" si="2"/>
        <v>57.356261174801148</v>
      </c>
      <c r="H10" s="34">
        <f t="shared" si="2"/>
        <v>48.638109476231371</v>
      </c>
      <c r="I10" s="34" t="s">
        <v>83</v>
      </c>
      <c r="J10" s="61">
        <f>SUM(D10:H10)</f>
        <v>221.36029291433849</v>
      </c>
      <c r="K10" s="26"/>
      <c r="L10" s="23"/>
      <c r="M10" s="27"/>
      <c r="N10" s="27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</row>
    <row r="11" spans="1:145" ht="16.5" thickTop="1" thickBot="1" x14ac:dyDescent="0.3">
      <c r="B11" s="140" t="s">
        <v>1</v>
      </c>
      <c r="C11" s="10"/>
      <c r="D11" s="120">
        <v>0.2</v>
      </c>
      <c r="E11" s="45">
        <v>0.4</v>
      </c>
      <c r="F11" s="45">
        <v>0.4</v>
      </c>
      <c r="G11" s="45">
        <v>0</v>
      </c>
      <c r="H11" s="45">
        <v>0</v>
      </c>
      <c r="I11" s="45"/>
      <c r="J11" s="62">
        <f>SUM(D11:H11)</f>
        <v>1</v>
      </c>
      <c r="N11" s="28"/>
    </row>
    <row r="12" spans="1:145" ht="16.5" thickTop="1" thickBot="1" x14ac:dyDescent="0.3">
      <c r="B12" s="141"/>
      <c r="C12" s="10"/>
      <c r="D12" s="121">
        <f>ASSUMPTIONS!D10</f>
        <v>4063.1632500000001</v>
      </c>
      <c r="E12" s="112">
        <f>D12+(D12*ASSUMPTIONS!D18)</f>
        <v>4225.6897799999997</v>
      </c>
      <c r="F12" s="112">
        <f>E12+(E12*ASSUMPTIONS!E18)</f>
        <v>4225.6897799999997</v>
      </c>
      <c r="G12" s="112">
        <v>0</v>
      </c>
      <c r="H12" s="100">
        <v>0</v>
      </c>
      <c r="I12" s="100"/>
      <c r="J12" s="118"/>
      <c r="N12" s="28"/>
    </row>
    <row r="13" spans="1:145" ht="16.5" thickTop="1" thickBot="1" x14ac:dyDescent="0.3">
      <c r="B13" s="109" t="s">
        <v>90</v>
      </c>
      <c r="C13" s="10"/>
      <c r="D13" s="122">
        <f>ASSUMPTIONS!D15/10^7</f>
        <v>34.700000000000003</v>
      </c>
      <c r="E13" s="112"/>
      <c r="F13" s="100"/>
      <c r="G13" s="100"/>
      <c r="H13" s="100"/>
      <c r="I13" s="100"/>
      <c r="J13" s="118"/>
      <c r="N13" s="28"/>
    </row>
    <row r="14" spans="1:145" ht="16.5" thickTop="1" thickBot="1" x14ac:dyDescent="0.3">
      <c r="B14" s="109"/>
      <c r="C14" s="110"/>
      <c r="D14" s="123">
        <f>D12*D11*ASSUMPTIONS!$D$7/10^7</f>
        <v>10.946655713624668</v>
      </c>
      <c r="E14" s="11">
        <f>E12*E11*ASSUMPTIONS!$D$7/10^7</f>
        <v>22.769043884339311</v>
      </c>
      <c r="F14" s="11">
        <f>F12*F11*ASSUMPTIONS!$D$7/10^7</f>
        <v>22.769043884339311</v>
      </c>
      <c r="G14" s="11">
        <f>G12*G11*ASSUMPTIONS!$D$7/10^7</f>
        <v>0</v>
      </c>
      <c r="H14" s="11">
        <f>H12*H11*ASSUMPTIONS!$D$7/10^7</f>
        <v>0</v>
      </c>
      <c r="I14" s="11"/>
      <c r="J14" s="61">
        <f>SUM(D14:F14)</f>
        <v>56.484743482303287</v>
      </c>
    </row>
    <row r="15" spans="1:145" s="6" customFormat="1" ht="16.5" thickTop="1" thickBot="1" x14ac:dyDescent="0.3">
      <c r="A15" s="23"/>
      <c r="B15" s="142" t="s">
        <v>40</v>
      </c>
      <c r="C15" s="142"/>
      <c r="D15" s="119">
        <f>D14+D13</f>
        <v>45.646655713624668</v>
      </c>
      <c r="E15" s="35">
        <f>E14</f>
        <v>22.769043884339311</v>
      </c>
      <c r="F15" s="35">
        <f>F14</f>
        <v>22.769043884339311</v>
      </c>
      <c r="G15" s="35">
        <f t="shared" ref="G15:H15" si="3">G14</f>
        <v>0</v>
      </c>
      <c r="H15" s="35">
        <f t="shared" si="3"/>
        <v>0</v>
      </c>
      <c r="I15" s="35" t="s">
        <v>83</v>
      </c>
      <c r="J15" s="60">
        <f t="shared" ref="J15" si="4">SUM(D15:F15)</f>
        <v>91.18474348230329</v>
      </c>
      <c r="K15" s="2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</row>
    <row r="16" spans="1:145" s="68" customFormat="1" ht="17.25" thickTop="1" thickBot="1" x14ac:dyDescent="0.3">
      <c r="A16" s="63"/>
      <c r="B16" s="143" t="s">
        <v>32</v>
      </c>
      <c r="C16" s="144"/>
      <c r="D16" s="64">
        <f>D10-D15</f>
        <v>-45.646655713624668</v>
      </c>
      <c r="E16" s="64">
        <f>E10-E15</f>
        <v>38.487198025380678</v>
      </c>
      <c r="F16" s="64">
        <f>F10-F15</f>
        <v>31.340636469246682</v>
      </c>
      <c r="G16" s="64">
        <f>G10-G15</f>
        <v>57.356261174801148</v>
      </c>
      <c r="H16" s="64">
        <f>H10-H15</f>
        <v>48.638109476231371</v>
      </c>
      <c r="I16" s="105"/>
      <c r="J16" s="65">
        <f>SUM(D16:H16)</f>
        <v>130.17554943203521</v>
      </c>
      <c r="K16" s="63"/>
      <c r="L16" s="63"/>
      <c r="M16" s="66"/>
      <c r="N16" s="63"/>
      <c r="O16" s="63"/>
      <c r="P16" s="63"/>
      <c r="Q16" s="67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</row>
    <row r="17" spans="2:15" ht="16.5" thickTop="1" thickBot="1" x14ac:dyDescent="0.3">
      <c r="B17" s="145"/>
      <c r="C17" s="146"/>
      <c r="D17" s="146"/>
      <c r="E17" s="146"/>
      <c r="F17" s="146"/>
      <c r="G17" s="146"/>
      <c r="H17" s="146"/>
      <c r="I17" s="146"/>
      <c r="J17" s="147"/>
      <c r="O17" s="24"/>
    </row>
    <row r="18" spans="2:15" ht="16.5" thickTop="1" thickBot="1" x14ac:dyDescent="0.3">
      <c r="B18" s="36" t="s">
        <v>35</v>
      </c>
      <c r="C18" s="106">
        <f>XNPV(C19,D16:H16,D4:H4)</f>
        <v>79.730818336642869</v>
      </c>
      <c r="D18" s="148" t="s">
        <v>34</v>
      </c>
      <c r="E18" s="149"/>
      <c r="F18" s="149"/>
      <c r="G18" s="149"/>
      <c r="H18" s="149"/>
      <c r="I18" s="149"/>
      <c r="J18" s="150"/>
      <c r="K18" s="24">
        <f>C18/7</f>
        <v>11.390116905234695</v>
      </c>
    </row>
    <row r="19" spans="2:15" ht="16.5" thickTop="1" thickBot="1" x14ac:dyDescent="0.3">
      <c r="B19" s="36" t="s">
        <v>31</v>
      </c>
      <c r="C19" s="38">
        <v>0.14000000000000001</v>
      </c>
      <c r="D19" s="151"/>
      <c r="E19" s="152"/>
      <c r="F19" s="152"/>
      <c r="G19" s="152"/>
      <c r="H19" s="152"/>
      <c r="I19" s="152"/>
      <c r="J19" s="153"/>
      <c r="M19" s="24"/>
    </row>
    <row r="20" spans="2:15" ht="16.5" thickTop="1" thickBot="1" x14ac:dyDescent="0.3">
      <c r="B20" s="36" t="s">
        <v>89</v>
      </c>
      <c r="C20" s="37">
        <f>C18*ASSUMPTIONS!D17</f>
        <v>19.932704584160717</v>
      </c>
      <c r="D20" s="151"/>
      <c r="E20" s="152"/>
      <c r="F20" s="152"/>
      <c r="G20" s="152"/>
      <c r="H20" s="152"/>
      <c r="I20" s="152"/>
      <c r="J20" s="153"/>
      <c r="K20" s="107"/>
      <c r="M20" s="24"/>
      <c r="N20" s="24"/>
      <c r="O20" s="24"/>
    </row>
    <row r="21" spans="2:15" ht="16.5" thickTop="1" thickBot="1" x14ac:dyDescent="0.3">
      <c r="B21" s="36" t="s">
        <v>26</v>
      </c>
      <c r="C21" s="39">
        <f>C18-C20</f>
        <v>59.798113752482152</v>
      </c>
      <c r="D21" s="154"/>
      <c r="E21" s="155"/>
      <c r="F21" s="155"/>
      <c r="G21" s="155"/>
      <c r="H21" s="155"/>
      <c r="I21" s="155"/>
      <c r="J21" s="156"/>
      <c r="K21" s="24">
        <f>C21/7</f>
        <v>8.5425876789260222</v>
      </c>
      <c r="M21" s="29">
        <v>8000000000</v>
      </c>
      <c r="N21" s="29">
        <v>10000000000</v>
      </c>
    </row>
    <row r="22" spans="2:15" ht="16.5" thickTop="1" thickBot="1" x14ac:dyDescent="0.3">
      <c r="B22" s="157"/>
      <c r="C22" s="158"/>
      <c r="D22" s="158"/>
      <c r="E22" s="158"/>
      <c r="F22" s="158"/>
      <c r="G22" s="158"/>
      <c r="H22" s="158"/>
      <c r="I22" s="158"/>
      <c r="J22" s="159"/>
      <c r="K22" s="114">
        <f>K21/4840</f>
        <v>1.7649974543235583E-3</v>
      </c>
      <c r="M22" s="29">
        <f>M21/7</f>
        <v>1142857142.8571429</v>
      </c>
      <c r="N22" s="113">
        <f>N21/7</f>
        <v>1428571428.5714285</v>
      </c>
    </row>
    <row r="23" spans="2:15" ht="16.5" thickTop="1" thickBot="1" x14ac:dyDescent="0.3">
      <c r="B23" s="132" t="s">
        <v>23</v>
      </c>
      <c r="C23" s="133"/>
      <c r="D23" s="133"/>
      <c r="E23" s="133"/>
      <c r="F23" s="133"/>
      <c r="G23" s="134"/>
      <c r="H23" s="134"/>
      <c r="I23" s="134"/>
      <c r="J23" s="135"/>
      <c r="K23" s="113">
        <f>K22*10^7</f>
        <v>17649.974543235581</v>
      </c>
      <c r="L23" s="24">
        <f>K23/9</f>
        <v>1961.1082825817311</v>
      </c>
      <c r="M23" s="24"/>
      <c r="N23" s="24"/>
      <c r="O23" s="25"/>
    </row>
    <row r="24" spans="2:15" ht="17.25" customHeight="1" thickTop="1" thickBot="1" x14ac:dyDescent="0.3">
      <c r="B24" s="136" t="s">
        <v>91</v>
      </c>
      <c r="C24" s="137"/>
      <c r="D24" s="137"/>
      <c r="E24" s="137"/>
      <c r="F24" s="137"/>
      <c r="G24" s="138"/>
      <c r="H24" s="138"/>
      <c r="I24" s="138"/>
      <c r="J24" s="139"/>
      <c r="N24" s="24"/>
    </row>
    <row r="25" spans="2:15" s="22" customFormat="1" ht="15.75" thickTop="1" x14ac:dyDescent="0.25">
      <c r="K25" s="29"/>
    </row>
    <row r="26" spans="2:15" s="22" customFormat="1" x14ac:dyDescent="0.25">
      <c r="C26" s="29"/>
      <c r="K26" s="24"/>
      <c r="N26" s="24"/>
    </row>
    <row r="27" spans="2:15" s="22" customFormat="1" x14ac:dyDescent="0.25">
      <c r="C27" s="69"/>
      <c r="K27" s="24">
        <f>60*10^7</f>
        <v>600000000</v>
      </c>
    </row>
    <row r="28" spans="2:15" s="22" customFormat="1" x14ac:dyDescent="0.25">
      <c r="C28" s="24">
        <f>C21*10^7</f>
        <v>597981137.52482152</v>
      </c>
      <c r="K28" s="22">
        <v>1619</v>
      </c>
      <c r="L28" s="22" t="s">
        <v>84</v>
      </c>
      <c r="N28" s="24"/>
    </row>
    <row r="29" spans="2:15" s="22" customFormat="1" x14ac:dyDescent="0.25">
      <c r="K29" s="25">
        <f>K28*10.764</f>
        <v>17426.915999999997</v>
      </c>
      <c r="L29" s="22" t="s">
        <v>85</v>
      </c>
    </row>
    <row r="30" spans="2:15" s="22" customFormat="1" x14ac:dyDescent="0.25">
      <c r="C30" s="24">
        <f>ROUND(C28,-7)</f>
        <v>600000000</v>
      </c>
      <c r="K30" s="25">
        <f>K29*1.25</f>
        <v>21783.644999999997</v>
      </c>
      <c r="L30" s="22" t="s">
        <v>52</v>
      </c>
    </row>
    <row r="31" spans="2:15" s="22" customFormat="1" x14ac:dyDescent="0.25">
      <c r="C31" s="29"/>
      <c r="K31" s="108">
        <f>K30*15%</f>
        <v>3267.5467499999995</v>
      </c>
    </row>
    <row r="32" spans="2:15" s="22" customFormat="1" x14ac:dyDescent="0.25">
      <c r="C32" s="29">
        <f>C30*0.85</f>
        <v>510000000</v>
      </c>
    </row>
    <row r="33" spans="3:11" s="22" customFormat="1" x14ac:dyDescent="0.25">
      <c r="C33" s="29"/>
    </row>
    <row r="34" spans="3:11" s="22" customFormat="1" x14ac:dyDescent="0.25">
      <c r="C34" s="29"/>
    </row>
    <row r="35" spans="3:11" s="22" customFormat="1" x14ac:dyDescent="0.25">
      <c r="C35" s="29"/>
    </row>
    <row r="36" spans="3:11" s="22" customFormat="1" x14ac:dyDescent="0.25">
      <c r="K36" s="29">
        <v>7800000</v>
      </c>
    </row>
    <row r="37" spans="3:11" s="22" customFormat="1" x14ac:dyDescent="0.25">
      <c r="K37" s="29">
        <f>K36/381</f>
        <v>20472.440944881891</v>
      </c>
    </row>
    <row r="38" spans="3:11" s="22" customFormat="1" x14ac:dyDescent="0.25"/>
    <row r="39" spans="3:11" s="22" customFormat="1" x14ac:dyDescent="0.25"/>
    <row r="40" spans="3:11" s="22" customFormat="1" x14ac:dyDescent="0.25"/>
    <row r="41" spans="3:11" s="22" customFormat="1" x14ac:dyDescent="0.25"/>
    <row r="42" spans="3:11" s="22" customFormat="1" x14ac:dyDescent="0.25"/>
    <row r="43" spans="3:11" s="22" customFormat="1" x14ac:dyDescent="0.25"/>
    <row r="44" spans="3:11" s="22" customFormat="1" x14ac:dyDescent="0.25"/>
    <row r="45" spans="3:11" s="22" customFormat="1" x14ac:dyDescent="0.25"/>
    <row r="46" spans="3:11" s="22" customFormat="1" x14ac:dyDescent="0.25"/>
    <row r="47" spans="3:11" s="22" customFormat="1" x14ac:dyDescent="0.25"/>
    <row r="48" spans="3:11" s="22" customFormat="1" x14ac:dyDescent="0.25"/>
    <row r="49" s="22" customFormat="1" x14ac:dyDescent="0.25"/>
    <row r="50" s="22" customFormat="1" x14ac:dyDescent="0.25"/>
    <row r="51" s="22" customFormat="1" x14ac:dyDescent="0.25"/>
    <row r="52" s="22" customFormat="1" x14ac:dyDescent="0.25"/>
    <row r="53" s="22" customFormat="1" x14ac:dyDescent="0.25"/>
    <row r="54" s="22" customFormat="1" x14ac:dyDescent="0.25"/>
    <row r="55" s="22" customFormat="1" x14ac:dyDescent="0.25"/>
    <row r="56" s="22" customFormat="1" x14ac:dyDescent="0.25"/>
    <row r="57" s="22" customFormat="1" x14ac:dyDescent="0.25"/>
    <row r="58" s="22" customFormat="1" x14ac:dyDescent="0.25"/>
    <row r="59" s="22" customFormat="1" x14ac:dyDescent="0.25"/>
    <row r="60" s="22" customFormat="1" x14ac:dyDescent="0.25"/>
    <row r="61" s="22" customFormat="1" x14ac:dyDescent="0.25"/>
    <row r="62" s="22" customFormat="1" x14ac:dyDescent="0.25"/>
    <row r="63" s="22" customFormat="1" x14ac:dyDescent="0.25"/>
    <row r="64" s="22" customFormat="1" x14ac:dyDescent="0.25"/>
    <row r="65" s="22" customFormat="1" x14ac:dyDescent="0.25"/>
    <row r="66" s="22" customFormat="1" x14ac:dyDescent="0.25"/>
    <row r="67" s="22" customFormat="1" x14ac:dyDescent="0.25"/>
    <row r="68" s="22" customFormat="1" x14ac:dyDescent="0.25"/>
    <row r="69" s="22" customFormat="1" x14ac:dyDescent="0.25"/>
    <row r="70" s="22" customFormat="1" x14ac:dyDescent="0.25"/>
    <row r="71" s="22" customFormat="1" x14ac:dyDescent="0.25"/>
    <row r="72" s="22" customFormat="1" x14ac:dyDescent="0.25"/>
    <row r="73" s="22" customFormat="1" x14ac:dyDescent="0.25"/>
    <row r="74" s="22" customFormat="1" x14ac:dyDescent="0.25"/>
    <row r="75" s="22" customFormat="1" x14ac:dyDescent="0.25"/>
    <row r="76" s="22" customFormat="1" x14ac:dyDescent="0.25"/>
    <row r="77" s="22" customFormat="1" x14ac:dyDescent="0.25"/>
    <row r="78" s="22" customFormat="1" x14ac:dyDescent="0.25"/>
    <row r="79" s="22" customFormat="1" x14ac:dyDescent="0.25"/>
    <row r="80" s="22" customFormat="1" x14ac:dyDescent="0.25"/>
    <row r="81" s="22" customFormat="1" x14ac:dyDescent="0.25"/>
    <row r="82" s="22" customFormat="1" x14ac:dyDescent="0.25"/>
    <row r="83" s="22" customFormat="1" x14ac:dyDescent="0.25"/>
    <row r="84" s="22" customFormat="1" x14ac:dyDescent="0.25"/>
    <row r="85" s="22" customFormat="1" x14ac:dyDescent="0.25"/>
    <row r="86" s="22" customFormat="1" x14ac:dyDescent="0.25"/>
    <row r="87" s="22" customFormat="1" x14ac:dyDescent="0.25"/>
    <row r="88" s="22" customFormat="1" x14ac:dyDescent="0.25"/>
    <row r="89" s="22" customFormat="1" x14ac:dyDescent="0.25"/>
    <row r="90" s="22" customFormat="1" x14ac:dyDescent="0.25"/>
    <row r="91" s="22" customFormat="1" x14ac:dyDescent="0.25"/>
    <row r="92" s="22" customFormat="1" x14ac:dyDescent="0.25"/>
    <row r="93" s="22" customFormat="1" x14ac:dyDescent="0.25"/>
    <row r="94" s="22" customFormat="1" x14ac:dyDescent="0.25"/>
    <row r="95" s="22" customFormat="1" x14ac:dyDescent="0.25"/>
    <row r="96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  <row r="133" s="22" customFormat="1" x14ac:dyDescent="0.25"/>
    <row r="134" s="22" customFormat="1" x14ac:dyDescent="0.25"/>
    <row r="135" s="22" customFormat="1" x14ac:dyDescent="0.25"/>
    <row r="136" s="22" customFormat="1" x14ac:dyDescent="0.25"/>
    <row r="137" s="22" customFormat="1" x14ac:dyDescent="0.25"/>
    <row r="138" s="22" customFormat="1" x14ac:dyDescent="0.25"/>
    <row r="139" s="22" customFormat="1" x14ac:dyDescent="0.25"/>
    <row r="140" s="22" customFormat="1" x14ac:dyDescent="0.25"/>
    <row r="141" s="22" customFormat="1" x14ac:dyDescent="0.25"/>
    <row r="142" s="22" customFormat="1" x14ac:dyDescent="0.25"/>
    <row r="143" s="22" customFormat="1" x14ac:dyDescent="0.25"/>
    <row r="144" s="22" customFormat="1" x14ac:dyDescent="0.25"/>
    <row r="145" s="22" customFormat="1" x14ac:dyDescent="0.25"/>
    <row r="146" s="22" customFormat="1" x14ac:dyDescent="0.25"/>
    <row r="147" s="22" customFormat="1" x14ac:dyDescent="0.25"/>
    <row r="148" s="22" customFormat="1" x14ac:dyDescent="0.25"/>
    <row r="149" s="22" customFormat="1" x14ac:dyDescent="0.25"/>
    <row r="150" s="22" customFormat="1" x14ac:dyDescent="0.25"/>
    <row r="151" s="22" customFormat="1" x14ac:dyDescent="0.25"/>
    <row r="152" s="22" customFormat="1" x14ac:dyDescent="0.25"/>
    <row r="153" s="22" customFormat="1" x14ac:dyDescent="0.25"/>
    <row r="154" s="22" customFormat="1" x14ac:dyDescent="0.25"/>
    <row r="155" s="22" customFormat="1" x14ac:dyDescent="0.25"/>
    <row r="156" s="22" customFormat="1" x14ac:dyDescent="0.25"/>
    <row r="157" s="22" customFormat="1" x14ac:dyDescent="0.25"/>
    <row r="158" s="22" customFormat="1" x14ac:dyDescent="0.25"/>
    <row r="159" s="22" customFormat="1" x14ac:dyDescent="0.25"/>
    <row r="160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  <row r="169" s="22" customFormat="1" x14ac:dyDescent="0.25"/>
    <row r="170" s="22" customFormat="1" x14ac:dyDescent="0.25"/>
    <row r="171" s="22" customFormat="1" x14ac:dyDescent="0.25"/>
    <row r="172" s="22" customFormat="1" x14ac:dyDescent="0.25"/>
    <row r="173" s="22" customFormat="1" x14ac:dyDescent="0.25"/>
    <row r="174" s="22" customFormat="1" x14ac:dyDescent="0.25"/>
    <row r="175" s="22" customFormat="1" x14ac:dyDescent="0.25"/>
    <row r="176" s="22" customFormat="1" x14ac:dyDescent="0.25"/>
    <row r="177" s="22" customFormat="1" x14ac:dyDescent="0.25"/>
    <row r="178" s="22" customFormat="1" x14ac:dyDescent="0.25"/>
    <row r="179" s="22" customFormat="1" x14ac:dyDescent="0.25"/>
    <row r="180" s="22" customFormat="1" x14ac:dyDescent="0.25"/>
    <row r="181" s="22" customFormat="1" x14ac:dyDescent="0.25"/>
    <row r="182" s="22" customFormat="1" x14ac:dyDescent="0.25"/>
    <row r="183" s="22" customFormat="1" x14ac:dyDescent="0.25"/>
    <row r="184" s="22" customFormat="1" x14ac:dyDescent="0.25"/>
    <row r="185" s="22" customFormat="1" x14ac:dyDescent="0.25"/>
    <row r="186" s="22" customFormat="1" x14ac:dyDescent="0.25"/>
    <row r="187" s="22" customFormat="1" x14ac:dyDescent="0.25"/>
    <row r="188" s="22" customFormat="1" x14ac:dyDescent="0.25"/>
    <row r="189" s="22" customFormat="1" x14ac:dyDescent="0.25"/>
    <row r="190" s="22" customFormat="1" x14ac:dyDescent="0.25"/>
    <row r="191" s="22" customFormat="1" x14ac:dyDescent="0.25"/>
    <row r="192" s="22" customFormat="1" x14ac:dyDescent="0.25"/>
    <row r="193" s="22" customFormat="1" x14ac:dyDescent="0.25"/>
    <row r="194" s="22" customFormat="1" x14ac:dyDescent="0.25"/>
    <row r="195" s="22" customFormat="1" x14ac:dyDescent="0.25"/>
    <row r="196" s="22" customFormat="1" x14ac:dyDescent="0.25"/>
    <row r="197" s="22" customFormat="1" x14ac:dyDescent="0.25"/>
    <row r="198" s="22" customFormat="1" x14ac:dyDescent="0.25"/>
    <row r="199" s="22" customFormat="1" x14ac:dyDescent="0.25"/>
    <row r="200" s="22" customFormat="1" x14ac:dyDescent="0.25"/>
    <row r="201" s="22" customFormat="1" x14ac:dyDescent="0.25"/>
    <row r="202" s="22" customFormat="1" x14ac:dyDescent="0.25"/>
    <row r="203" s="22" customFormat="1" x14ac:dyDescent="0.25"/>
    <row r="204" s="22" customFormat="1" x14ac:dyDescent="0.25"/>
    <row r="205" s="22" customFormat="1" x14ac:dyDescent="0.25"/>
    <row r="206" s="22" customFormat="1" x14ac:dyDescent="0.25"/>
    <row r="207" s="22" customFormat="1" x14ac:dyDescent="0.25"/>
    <row r="208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</sheetData>
  <mergeCells count="15">
    <mergeCell ref="B10:C10"/>
    <mergeCell ref="I3:I4"/>
    <mergeCell ref="B2:J2"/>
    <mergeCell ref="B3:B4"/>
    <mergeCell ref="C3:C4"/>
    <mergeCell ref="J3:J4"/>
    <mergeCell ref="B9:C9"/>
    <mergeCell ref="B23:J23"/>
    <mergeCell ref="B24:J24"/>
    <mergeCell ref="B11:B12"/>
    <mergeCell ref="B15:C15"/>
    <mergeCell ref="B16:C16"/>
    <mergeCell ref="B17:J17"/>
    <mergeCell ref="D18:J21"/>
    <mergeCell ref="B22:J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9"/>
  <sheetViews>
    <sheetView showGridLines="0" zoomScale="85" zoomScaleNormal="85" workbookViewId="0">
      <selection activeCell="R22" sqref="R22"/>
    </sheetView>
  </sheetViews>
  <sheetFormatPr defaultColWidth="9.140625" defaultRowHeight="15" x14ac:dyDescent="0.25"/>
  <cols>
    <col min="1" max="2" width="9.140625" style="50"/>
    <col min="3" max="3" width="16.85546875" style="50" bestFit="1" customWidth="1"/>
    <col min="4" max="10" width="9.140625" style="50"/>
    <col min="11" max="11" width="12.140625" style="70" bestFit="1" customWidth="1"/>
    <col min="12" max="12" width="9.5703125" style="70" bestFit="1" customWidth="1"/>
    <col min="13" max="13" width="17.5703125" style="50" bestFit="1" customWidth="1"/>
    <col min="14" max="16384" width="9.140625" style="50"/>
  </cols>
  <sheetData>
    <row r="4" spans="1:13" x14ac:dyDescent="0.25">
      <c r="G4" s="57"/>
    </row>
    <row r="5" spans="1:13" x14ac:dyDescent="0.25">
      <c r="A5" s="56"/>
    </row>
    <row r="6" spans="1:13" ht="15" customHeight="1" x14ac:dyDescent="0.25"/>
    <row r="7" spans="1:13" x14ac:dyDescent="0.25">
      <c r="G7" s="56"/>
    </row>
    <row r="8" spans="1:13" x14ac:dyDescent="0.25">
      <c r="G8" s="56"/>
    </row>
    <row r="9" spans="1:13" ht="15" customHeight="1" x14ac:dyDescent="0.25"/>
    <row r="11" spans="1:13" ht="15" customHeight="1" x14ac:dyDescent="0.25"/>
    <row r="12" spans="1:13" ht="15" customHeight="1" x14ac:dyDescent="0.25"/>
    <row r="14" spans="1:13" ht="30" customHeight="1" x14ac:dyDescent="0.25"/>
    <row r="15" spans="1:13" ht="30" customHeight="1" x14ac:dyDescent="0.25">
      <c r="M15" s="70"/>
    </row>
    <row r="16" spans="1:13" ht="28.5" customHeight="1" x14ac:dyDescent="0.25">
      <c r="M16" s="70"/>
    </row>
    <row r="17" spans="13:13" x14ac:dyDescent="0.25">
      <c r="M17" s="70"/>
    </row>
    <row r="18" spans="13:13" x14ac:dyDescent="0.25">
      <c r="M18" s="70"/>
    </row>
    <row r="19" spans="13:13" x14ac:dyDescent="0.25">
      <c r="M19" s="7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7:K12"/>
  <sheetViews>
    <sheetView workbookViewId="0">
      <selection activeCell="K14" sqref="K14"/>
    </sheetView>
  </sheetViews>
  <sheetFormatPr defaultRowHeight="15" x14ac:dyDescent="0.25"/>
  <cols>
    <col min="11" max="11" width="15.85546875" bestFit="1" customWidth="1"/>
  </cols>
  <sheetData>
    <row r="7" spans="11:11" x14ac:dyDescent="0.25">
      <c r="K7" s="44">
        <f>ASSUMPTIONS!D7*ASSUMPTIONS!D10</f>
        <v>547332785.68123341</v>
      </c>
    </row>
    <row r="9" spans="11:11" x14ac:dyDescent="0.25">
      <c r="K9">
        <f>ASSUMPTIONS!D15</f>
        <v>347000000</v>
      </c>
    </row>
    <row r="11" spans="11:11" x14ac:dyDescent="0.25">
      <c r="K11">
        <f>ASSUMPTIONS!D8*18000</f>
        <v>1576061112.5999997</v>
      </c>
    </row>
    <row r="12" spans="11:11" x14ac:dyDescent="0.25">
      <c r="K12" s="111">
        <f>K11-(K9+K7)</f>
        <v>681728326.91876626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 of Construction</vt:lpstr>
      <vt:lpstr>ASSUMPTIONS</vt:lpstr>
      <vt:lpstr>scenario 1</vt:lpstr>
      <vt:lpstr>Consolidated Summary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Garg - Corporate Finance</dc:creator>
  <cp:lastModifiedBy>Amit Jaiswal</cp:lastModifiedBy>
  <dcterms:created xsi:type="dcterms:W3CDTF">2020-02-03T05:38:58Z</dcterms:created>
  <dcterms:modified xsi:type="dcterms:W3CDTF">2024-05-15T06:27:12Z</dcterms:modified>
</cp:coreProperties>
</file>