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Ashil Baby\VIS(2023-24)-PL772-670-1031-APL APOLLO, MALUR\VIS(2023-24)-PL772-670-1031-APL APPLLO ,MALUR\Reports\"/>
    </mc:Choice>
  </mc:AlternateContent>
  <bookViews>
    <workbookView xWindow="0" yWindow="0" windowWidth="20490" windowHeight="7155"/>
  </bookViews>
  <sheets>
    <sheet name="Main" sheetId="4" r:id="rId1"/>
    <sheet name="Sheet1" sheetId="5" r:id="rId2"/>
    <sheet name="Sheet2" sheetId="3" r:id="rId3"/>
    <sheet name="Sheet3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8" i="4" l="1"/>
  <c r="X48" i="4"/>
  <c r="X36" i="4"/>
  <c r="X42" i="4"/>
  <c r="A11" i="6" l="1"/>
  <c r="X58" i="4"/>
  <c r="R33" i="4"/>
  <c r="F25" i="4"/>
  <c r="AA38" i="4"/>
  <c r="X29" i="4"/>
  <c r="X91" i="4"/>
  <c r="G21" i="4"/>
  <c r="O21" i="4" s="1"/>
  <c r="F24" i="4"/>
  <c r="R36" i="4"/>
  <c r="X13" i="4"/>
  <c r="R44" i="4"/>
  <c r="F13" i="4"/>
  <c r="G10" i="4"/>
  <c r="O13" i="4"/>
  <c r="J13" i="4"/>
  <c r="M13" i="4"/>
  <c r="M24" i="4"/>
  <c r="J24" i="4"/>
  <c r="M23" i="4"/>
  <c r="J23" i="4"/>
  <c r="M22" i="4"/>
  <c r="J22" i="4"/>
  <c r="M21" i="4"/>
  <c r="J21" i="4"/>
  <c r="M20" i="4"/>
  <c r="J20" i="4"/>
  <c r="M19" i="4"/>
  <c r="J19" i="4"/>
  <c r="M18" i="4"/>
  <c r="J18" i="4"/>
  <c r="M17" i="4"/>
  <c r="J17" i="4"/>
  <c r="M16" i="4"/>
  <c r="J16" i="4"/>
  <c r="M15" i="4"/>
  <c r="J15" i="4"/>
  <c r="M14" i="4"/>
  <c r="J14" i="4"/>
  <c r="M12" i="4"/>
  <c r="J12" i="4"/>
  <c r="G23" i="4"/>
  <c r="O23" i="4" s="1"/>
  <c r="O24" i="4"/>
  <c r="G16" i="4"/>
  <c r="O16" i="4" s="1"/>
  <c r="G17" i="4"/>
  <c r="O17" i="4" s="1"/>
  <c r="G18" i="4"/>
  <c r="O18" i="4" s="1"/>
  <c r="G19" i="4"/>
  <c r="O19" i="4" s="1"/>
  <c r="G20" i="4"/>
  <c r="O20" i="4" s="1"/>
  <c r="G22" i="4"/>
  <c r="O22" i="4" s="1"/>
  <c r="G7" i="4"/>
  <c r="G8" i="4"/>
  <c r="G9" i="4"/>
  <c r="G11" i="4"/>
  <c r="G12" i="4"/>
  <c r="O12" i="4" s="1"/>
  <c r="G14" i="4"/>
  <c r="O14" i="4" s="1"/>
  <c r="G15" i="4"/>
  <c r="O15" i="4" s="1"/>
  <c r="G6" i="4"/>
  <c r="P13" i="4" l="1"/>
  <c r="R13" i="4" s="1"/>
  <c r="P21" i="4"/>
  <c r="R21" i="4" s="1"/>
  <c r="G25" i="4"/>
  <c r="P15" i="4"/>
  <c r="R15" i="4" s="1"/>
  <c r="P20" i="4"/>
  <c r="R20" i="4" s="1"/>
  <c r="P23" i="4"/>
  <c r="R23" i="4" s="1"/>
  <c r="P18" i="4"/>
  <c r="R18" i="4" s="1"/>
  <c r="P22" i="4"/>
  <c r="R22" i="4" s="1"/>
  <c r="P16" i="4"/>
  <c r="R16" i="4" s="1"/>
  <c r="P14" i="4"/>
  <c r="R14" i="4" s="1"/>
  <c r="P19" i="4"/>
  <c r="R19" i="4" s="1"/>
  <c r="P12" i="4"/>
  <c r="R12" i="4" s="1"/>
  <c r="P17" i="4"/>
  <c r="R17" i="4" s="1"/>
  <c r="P24" i="4"/>
  <c r="R24" i="4" s="1"/>
  <c r="V6" i="4"/>
  <c r="V7" i="4" s="1"/>
  <c r="L14" i="6" l="1"/>
  <c r="X67" i="4" l="1"/>
  <c r="X66" i="4" s="1"/>
  <c r="X64" i="4"/>
  <c r="X65" i="4" s="1"/>
  <c r="X68" i="4" l="1"/>
  <c r="O11" i="4"/>
  <c r="O10" i="4"/>
  <c r="O7" i="4"/>
  <c r="O8" i="4"/>
  <c r="O9" i="4"/>
  <c r="M7" i="4"/>
  <c r="M8" i="4"/>
  <c r="M9" i="4"/>
  <c r="M10" i="4"/>
  <c r="M11" i="4"/>
  <c r="J7" i="4"/>
  <c r="J8" i="4"/>
  <c r="J9" i="4"/>
  <c r="J10" i="4"/>
  <c r="J11" i="4"/>
  <c r="P8" i="4" l="1"/>
  <c r="R8" i="4" s="1"/>
  <c r="P9" i="4"/>
  <c r="R9" i="4" s="1"/>
  <c r="P7" i="4"/>
  <c r="R7" i="4" s="1"/>
  <c r="P11" i="4"/>
  <c r="R11" i="4" s="1"/>
  <c r="P10" i="4"/>
  <c r="R10" i="4" s="1"/>
  <c r="T7" i="4" l="1"/>
  <c r="T6" i="4"/>
  <c r="X46" i="4"/>
  <c r="M6" i="4"/>
  <c r="J6" i="4"/>
  <c r="O6" i="4" l="1"/>
  <c r="O25" i="4" s="1"/>
  <c r="X52" i="4" s="1"/>
  <c r="T25" i="4"/>
  <c r="I3" i="3"/>
  <c r="G3" i="3"/>
  <c r="D3" i="3"/>
  <c r="P6" i="4" l="1"/>
  <c r="R6" i="4" s="1"/>
  <c r="R25" i="4" s="1"/>
  <c r="X39" i="4" s="1"/>
  <c r="J3" i="3"/>
  <c r="K3" i="3" s="1"/>
  <c r="M3" i="3" s="1"/>
  <c r="P25" i="4" l="1"/>
  <c r="X50" i="4" l="1"/>
  <c r="X49" i="4" l="1"/>
</calcChain>
</file>

<file path=xl/sharedStrings.xml><?xml version="1.0" encoding="utf-8"?>
<sst xmlns="http://schemas.openxmlformats.org/spreadsheetml/2006/main" count="96" uniqueCount="73">
  <si>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</si>
  <si>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</si>
  <si>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</si>
  <si>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</si>
  <si>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</si>
  <si>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</si>
  <si>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</si>
  <si>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</si>
  <si>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</si>
  <si>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Depreciated Replacement Market Value
(INR)</t>
  </si>
  <si>
    <t>Remarks:</t>
  </si>
  <si>
    <t>Detoration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</si>
  <si>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</si>
  <si>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</si>
  <si>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</si>
  <si>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</si>
  <si>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</si>
  <si>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</si>
  <si>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</si>
  <si>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</si>
  <si>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Sr. No.</t>
  </si>
  <si>
    <t>3. Age of construction taken from the information as per documents provided to us.</t>
  </si>
  <si>
    <t>building</t>
  </si>
  <si>
    <t>wall</t>
  </si>
  <si>
    <t>FMV</t>
  </si>
  <si>
    <t>round off</t>
  </si>
  <si>
    <t>ins</t>
  </si>
  <si>
    <t>RV</t>
  </si>
  <si>
    <t>DV</t>
  </si>
  <si>
    <t>Built-up area (in sq.mtr)</t>
  </si>
  <si>
    <t>Circle</t>
  </si>
  <si>
    <t>Total</t>
  </si>
  <si>
    <t>Buit-up area 
(in sq ft)</t>
  </si>
  <si>
    <t>Plinth Area  Rate 
(INR per sq feet)</t>
  </si>
  <si>
    <t>land value</t>
  </si>
  <si>
    <t>Area</t>
  </si>
  <si>
    <t xml:space="preserve">2.The maintinence of the building was good as per site survey observation. </t>
  </si>
  <si>
    <t>Rate</t>
  </si>
  <si>
    <t>land area</t>
  </si>
  <si>
    <t>Land value</t>
  </si>
  <si>
    <t>Circle Vaue
(INR)</t>
  </si>
  <si>
    <t>Circle Rate
(INR per sq mtr.)</t>
  </si>
  <si>
    <t>1. All the details pertaing to the building area statement such as area, floor, etc has been taken from the map provided to us and more-or-less same was found during site measurment.</t>
  </si>
  <si>
    <t>Premium</t>
  </si>
  <si>
    <t>Height 
(in ft.)</t>
  </si>
  <si>
    <t xml:space="preserve">RCC </t>
  </si>
  <si>
    <t>MAIN SHED-1</t>
  </si>
  <si>
    <t>MAIN SHED-2</t>
  </si>
  <si>
    <t>MAIN SHED 03</t>
  </si>
  <si>
    <t>MAIN SHED-1A</t>
  </si>
  <si>
    <t>NEW SHED</t>
  </si>
  <si>
    <t xml:space="preserve">BUILDING </t>
  </si>
  <si>
    <t xml:space="preserve"> CONTROL ROOM</t>
  </si>
  <si>
    <t>OFFICE BLOCK</t>
  </si>
  <si>
    <t>TOILET</t>
  </si>
  <si>
    <t xml:space="preserve">PUMP ROOM </t>
  </si>
  <si>
    <t>LIME STORE 2</t>
  </si>
  <si>
    <t>HSD STORE</t>
  </si>
  <si>
    <t>GI SHED</t>
  </si>
  <si>
    <t>GI SHED WITH SIDE OPEN</t>
  </si>
  <si>
    <t>LIME STORE 1</t>
  </si>
  <si>
    <t>RCC FOUNDATION</t>
  </si>
  <si>
    <t>-</t>
  </si>
  <si>
    <t>RCC</t>
  </si>
  <si>
    <t>WEIGH BRIDGE OFFICE</t>
  </si>
  <si>
    <t xml:space="preserve"> M/S APL APOLLO TUBES LTD. MALUR</t>
  </si>
  <si>
    <t>Particulars</t>
  </si>
  <si>
    <t>SECURITY ROOM</t>
  </si>
  <si>
    <t>GI SHED+BRICK WALLS</t>
  </si>
  <si>
    <t>SHED 1</t>
  </si>
  <si>
    <t>SHED 2</t>
  </si>
  <si>
    <t>GI ROOF</t>
  </si>
  <si>
    <t>NEW WIEGHT BRIDGE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</si>
</sst>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_ [$₹-4009]\ * #,##0_ ;_ [$₹-4009]\ * \-#,##0_ ;_ [$₹-4009]\ * &quot;-&quot;??_ ;_ @_ "/>
    <numFmt numFmtId="168" formatCode="&quot;₹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center" vertical="center" wrapText="1"/>
    </xf>
    <xf numFmtId="0" fontId="2" fillId="2" borderId="1" xfId="3" applyFont="1" applyBorder="1" applyAlignment="1">
      <alignment horizontal="center" vertical="center"/>
    </xf>
    <xf numFmtId="9" fontId="2" fillId="5" borderId="1" xfId="3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7" fontId="0" fillId="0" borderId="1" xfId="5" applyNumberFormat="1" applyFont="1" applyBorder="1" applyAlignment="1">
      <alignment vertical="center"/>
    </xf>
    <xf numFmtId="167" fontId="0" fillId="0" borderId="0" xfId="0" applyNumberFormat="1"/>
    <xf numFmtId="9" fontId="0" fillId="0" borderId="1" xfId="2" applyFont="1" applyBorder="1" applyAlignment="1">
      <alignment horizontal="right" vertical="center" wrapText="1"/>
    </xf>
    <xf numFmtId="166" fontId="0" fillId="0" borderId="1" xfId="6" applyNumberFormat="1" applyFont="1" applyBorder="1" applyAlignment="1">
      <alignment horizontal="right" vertical="center" wrapText="1"/>
    </xf>
    <xf numFmtId="166" fontId="0" fillId="0" borderId="0" xfId="6" applyNumberFormat="1" applyFont="1"/>
    <xf numFmtId="0" fontId="2" fillId="0" borderId="0" xfId="0" applyFont="1"/>
    <xf numFmtId="43" fontId="2" fillId="0" borderId="0" xfId="0" applyNumberFormat="1" applyFont="1"/>
    <xf numFmtId="0" fontId="0" fillId="0" borderId="1" xfId="0" applyBorder="1"/>
    <xf numFmtId="166" fontId="0" fillId="0" borderId="1" xfId="6" applyNumberFormat="1" applyFont="1" applyBorder="1"/>
    <xf numFmtId="166" fontId="2" fillId="0" borderId="0" xfId="6" applyNumberFormat="1" applyFont="1"/>
    <xf numFmtId="165" fontId="2" fillId="0" borderId="0" xfId="0" applyNumberFormat="1" applyFont="1"/>
    <xf numFmtId="1" fontId="0" fillId="0" borderId="0" xfId="0" applyNumberFormat="1"/>
    <xf numFmtId="2" fontId="0" fillId="0" borderId="1" xfId="6" applyNumberFormat="1" applyFont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166" fontId="0" fillId="0" borderId="1" xfId="6" applyNumberFormat="1" applyFont="1" applyFill="1" applyBorder="1" applyAlignment="1">
      <alignment vertical="center" wrapText="1"/>
    </xf>
    <xf numFmtId="2" fontId="0" fillId="0" borderId="1" xfId="6" applyNumberFormat="1" applyFont="1" applyBorder="1" applyAlignment="1">
      <alignment horizontal="center" vertical="center" wrapText="1"/>
    </xf>
    <xf numFmtId="2" fontId="0" fillId="0" borderId="0" xfId="0" applyNumberFormat="1"/>
    <xf numFmtId="43" fontId="2" fillId="0" borderId="0" xfId="6" applyFont="1"/>
    <xf numFmtId="165" fontId="2" fillId="0" borderId="1" xfId="1" applyNumberFormat="1" applyFont="1" applyBorder="1" applyAlignment="1">
      <alignment horizontal="center" vertical="center"/>
    </xf>
    <xf numFmtId="4" fontId="10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3" fontId="11" fillId="0" borderId="1" xfId="6" applyFont="1" applyBorder="1" applyAlignment="1">
      <alignment horizontal="center" vertical="center" wrapText="1"/>
    </xf>
    <xf numFmtId="166" fontId="11" fillId="0" borderId="1" xfId="6" applyNumberFormat="1" applyFont="1" applyBorder="1" applyAlignment="1">
      <alignment horizontal="center" vertical="center" wrapText="1"/>
    </xf>
    <xf numFmtId="3" fontId="2" fillId="0" borderId="0" xfId="0" applyNumberFormat="1" applyFont="1"/>
    <xf numFmtId="0" fontId="1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168" fontId="2" fillId="0" borderId="0" xfId="0" applyNumberFormat="1" applyFont="1"/>
    <xf numFmtId="44" fontId="2" fillId="0" borderId="0" xfId="0" applyNumberFormat="1" applyFo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43" fontId="0" fillId="0" borderId="0" xfId="6" applyFo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6" fontId="2" fillId="0" borderId="3" xfId="6" applyNumberFormat="1" applyFont="1" applyBorder="1" applyAlignment="1">
      <alignment horizontal="center" vertical="center" wrapText="1"/>
    </xf>
    <xf numFmtId="166" fontId="2" fillId="0" borderId="4" xfId="6" applyNumberFormat="1" applyFont="1" applyBorder="1" applyAlignment="1">
      <alignment horizontal="center" vertical="center" wrapText="1"/>
    </xf>
    <xf numFmtId="166" fontId="2" fillId="0" borderId="5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5" fontId="2" fillId="0" borderId="0" xfId="6" applyNumberFormat="1" applyFont="1"/>
  </cellXfs>
  <cellStyles count="7">
    <cellStyle name="40% - Accent1" xfId="3" builtinId="31"/>
    <cellStyle name="Comma" xfId="6" builtinId="3"/>
    <cellStyle name="Comma 2" xfId="4"/>
    <cellStyle name="Currency" xfId="1" builtinId="4"/>
    <cellStyle name="Currency 2" xfId="5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A91"/>
  <sheetViews>
    <sheetView tabSelected="1" topLeftCell="E31" zoomScale="85" zoomScaleNormal="85" workbookViewId="0">
      <selection activeCell="X52" sqref="X52"/>
    </sheetView>
  </sheetViews>
  <sheetFormatPr defaultRowHeight="15" x14ac:dyDescent="0.25"/>
  <cols>
    <col min="2" max="2" width="7.28515625" customWidth="1"/>
    <col min="3" max="3" width="21.140625" customWidth="1"/>
    <col min="4" max="4" width="9.28515625" customWidth="1"/>
    <col min="5" max="5" width="21.42578125" customWidth="1"/>
    <col min="6" max="6" width="13.5703125" customWidth="1"/>
    <col min="7" max="7" width="16.28515625" customWidth="1"/>
    <col min="8" max="8" width="12.7109375" customWidth="1"/>
    <col min="9" max="9" width="9.7109375" hidden="1" customWidth="1"/>
    <col min="10" max="10" width="10.28515625" customWidth="1"/>
    <col min="11" max="11" width="12.140625" customWidth="1"/>
    <col min="12" max="12" width="8.5703125" hidden="1" customWidth="1"/>
    <col min="13" max="13" width="9" hidden="1" customWidth="1"/>
    <col min="14" max="14" width="14.85546875" customWidth="1"/>
    <col min="15" max="15" width="20.42578125" customWidth="1"/>
    <col min="16" max="16" width="11" hidden="1" customWidth="1"/>
    <col min="17" max="17" width="21" hidden="1" customWidth="1"/>
    <col min="18" max="18" width="17.42578125" customWidth="1"/>
    <col min="19" max="19" width="11.7109375" hidden="1" customWidth="1"/>
    <col min="20" max="20" width="15.5703125" hidden="1" customWidth="1"/>
    <col min="23" max="23" width="21.140625" customWidth="1"/>
    <col min="24" max="24" width="28" customWidth="1"/>
    <col min="27" max="27" width="10.42578125" bestFit="1" customWidth="1"/>
  </cols>
  <sheetData>
    <row r="4" spans="2:24" ht="20.25" customHeight="1" x14ac:dyDescent="0.25">
      <c r="B4" s="71" t="s">
        <v>65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3"/>
    </row>
    <row r="5" spans="2:24" ht="60" x14ac:dyDescent="0.25">
      <c r="B5" s="13" t="s">
        <v>20</v>
      </c>
      <c r="C5" s="1" t="s">
        <v>66</v>
      </c>
      <c r="D5" s="1" t="s">
        <v>44</v>
      </c>
      <c r="E5" s="1" t="s">
        <v>0</v>
      </c>
      <c r="F5" s="1" t="s">
        <v>29</v>
      </c>
      <c r="G5" s="1" t="s">
        <v>32</v>
      </c>
      <c r="H5" s="1" t="s">
        <v>19</v>
      </c>
      <c r="I5" s="15" t="s">
        <v>1</v>
      </c>
      <c r="J5" s="1" t="s">
        <v>2</v>
      </c>
      <c r="K5" s="1" t="s">
        <v>3</v>
      </c>
      <c r="L5" s="15" t="s">
        <v>4</v>
      </c>
      <c r="M5" s="15" t="s">
        <v>5</v>
      </c>
      <c r="N5" s="1" t="s">
        <v>33</v>
      </c>
      <c r="O5" s="1" t="s">
        <v>6</v>
      </c>
      <c r="P5" s="15" t="s">
        <v>7</v>
      </c>
      <c r="Q5" s="14" t="s">
        <v>11</v>
      </c>
      <c r="R5" s="1" t="s">
        <v>9</v>
      </c>
      <c r="S5" s="1" t="s">
        <v>41</v>
      </c>
      <c r="T5" s="1" t="s">
        <v>40</v>
      </c>
    </row>
    <row r="6" spans="2:24" x14ac:dyDescent="0.25">
      <c r="B6" s="2">
        <v>1</v>
      </c>
      <c r="C6" s="2" t="s">
        <v>46</v>
      </c>
      <c r="D6" s="16">
        <v>43</v>
      </c>
      <c r="E6" s="2" t="s">
        <v>58</v>
      </c>
      <c r="F6" s="31">
        <v>6966.1</v>
      </c>
      <c r="G6" s="29">
        <f>F6*10.7639</f>
        <v>74982.403789999997</v>
      </c>
      <c r="H6" s="16">
        <v>2023</v>
      </c>
      <c r="I6" s="2">
        <v>2024</v>
      </c>
      <c r="J6" s="2">
        <f t="shared" ref="J6:J11" si="0">I6-H6</f>
        <v>1</v>
      </c>
      <c r="K6" s="2">
        <v>45</v>
      </c>
      <c r="L6" s="3">
        <v>0.1</v>
      </c>
      <c r="M6" s="4">
        <f>(1-L6)/K6</f>
        <v>0.02</v>
      </c>
      <c r="N6" s="32">
        <v>1400</v>
      </c>
      <c r="O6" s="33">
        <f>N6*G6</f>
        <v>104975365.30599999</v>
      </c>
      <c r="P6" s="33">
        <f>O6*M6*IF(J6&gt;K6,K6,J6)</f>
        <v>2099507.3061199998</v>
      </c>
      <c r="Q6" s="19">
        <v>0</v>
      </c>
      <c r="R6" s="33">
        <f>O6-P6</f>
        <v>102875857.99988</v>
      </c>
      <c r="S6" s="25"/>
      <c r="T6" s="20">
        <f>S6*F6</f>
        <v>0</v>
      </c>
      <c r="V6">
        <f>38+18</f>
        <v>56</v>
      </c>
    </row>
    <row r="7" spans="2:24" x14ac:dyDescent="0.25">
      <c r="B7" s="2">
        <v>2</v>
      </c>
      <c r="C7" s="2" t="s">
        <v>47</v>
      </c>
      <c r="D7" s="16">
        <v>43</v>
      </c>
      <c r="E7" s="2" t="s">
        <v>58</v>
      </c>
      <c r="F7" s="31">
        <v>7456.9</v>
      </c>
      <c r="G7" s="29">
        <f t="shared" ref="G7:G23" si="1">F7*10.7639</f>
        <v>80265.32591</v>
      </c>
      <c r="H7" s="16">
        <v>2023</v>
      </c>
      <c r="I7" s="2">
        <v>2024</v>
      </c>
      <c r="J7" s="2">
        <f t="shared" si="0"/>
        <v>1</v>
      </c>
      <c r="K7" s="2">
        <v>45</v>
      </c>
      <c r="L7" s="3">
        <v>0.1</v>
      </c>
      <c r="M7" s="4">
        <f t="shared" ref="M7:M11" si="2">(1-L7)/K7</f>
        <v>0.02</v>
      </c>
      <c r="N7" s="32">
        <v>1400</v>
      </c>
      <c r="O7" s="33">
        <f t="shared" ref="O7:O11" si="3">N7*G7</f>
        <v>112371456.274</v>
      </c>
      <c r="P7" s="33">
        <f t="shared" ref="P7:P11" si="4">O7*M7*IF(J7&gt;K7,K7,J7)</f>
        <v>2247429.1254799999</v>
      </c>
      <c r="Q7" s="19">
        <v>0</v>
      </c>
      <c r="R7" s="33">
        <f t="shared" ref="R7:R11" si="5">O7-P7</f>
        <v>110124027.14852001</v>
      </c>
      <c r="S7" s="25"/>
      <c r="T7" s="20">
        <f t="shared" ref="T7" si="6">S7*F7</f>
        <v>0</v>
      </c>
      <c r="V7">
        <f>V6/2</f>
        <v>28</v>
      </c>
      <c r="W7" s="22" t="s">
        <v>30</v>
      </c>
    </row>
    <row r="8" spans="2:24" x14ac:dyDescent="0.25">
      <c r="B8" s="2">
        <v>3</v>
      </c>
      <c r="C8" s="30" t="s">
        <v>49</v>
      </c>
      <c r="D8" s="16">
        <v>28</v>
      </c>
      <c r="E8" s="2" t="s">
        <v>58</v>
      </c>
      <c r="F8" s="31">
        <v>2276.9</v>
      </c>
      <c r="G8" s="29">
        <f t="shared" si="1"/>
        <v>24508.323909999999</v>
      </c>
      <c r="H8" s="16">
        <v>2023</v>
      </c>
      <c r="I8" s="2">
        <v>2024</v>
      </c>
      <c r="J8" s="2">
        <f t="shared" si="0"/>
        <v>1</v>
      </c>
      <c r="K8" s="2">
        <v>45</v>
      </c>
      <c r="L8" s="3">
        <v>0.1</v>
      </c>
      <c r="M8" s="4">
        <f t="shared" si="2"/>
        <v>0.02</v>
      </c>
      <c r="N8" s="32">
        <v>1200</v>
      </c>
      <c r="O8" s="33">
        <f t="shared" si="3"/>
        <v>29409988.691999998</v>
      </c>
      <c r="P8" s="33">
        <f t="shared" si="4"/>
        <v>588199.77383999992</v>
      </c>
      <c r="Q8" s="19">
        <v>0</v>
      </c>
      <c r="R8" s="33">
        <f t="shared" si="5"/>
        <v>28821788.918159999</v>
      </c>
      <c r="S8" s="25"/>
      <c r="T8" s="20"/>
      <c r="W8" s="22"/>
    </row>
    <row r="9" spans="2:24" x14ac:dyDescent="0.25">
      <c r="B9" s="2">
        <v>4</v>
      </c>
      <c r="C9" s="30" t="s">
        <v>48</v>
      </c>
      <c r="D9" s="16">
        <v>45</v>
      </c>
      <c r="E9" s="2" t="s">
        <v>58</v>
      </c>
      <c r="F9" s="31">
        <v>12536.5</v>
      </c>
      <c r="G9" s="29">
        <f t="shared" si="1"/>
        <v>134941.63235</v>
      </c>
      <c r="H9" s="16">
        <v>2023</v>
      </c>
      <c r="I9" s="2">
        <v>2024</v>
      </c>
      <c r="J9" s="2">
        <f t="shared" si="0"/>
        <v>1</v>
      </c>
      <c r="K9" s="2">
        <v>45</v>
      </c>
      <c r="L9" s="3">
        <v>0.1</v>
      </c>
      <c r="M9" s="4">
        <f t="shared" si="2"/>
        <v>0.02</v>
      </c>
      <c r="N9" s="32">
        <v>1400</v>
      </c>
      <c r="O9" s="33">
        <f t="shared" si="3"/>
        <v>188918285.28999999</v>
      </c>
      <c r="P9" s="33">
        <f t="shared" si="4"/>
        <v>3778365.7058000001</v>
      </c>
      <c r="Q9" s="19">
        <v>0</v>
      </c>
      <c r="R9" s="33">
        <f t="shared" si="5"/>
        <v>185139919.58419999</v>
      </c>
      <c r="S9" s="25"/>
      <c r="T9" s="20"/>
      <c r="W9" s="22"/>
    </row>
    <row r="10" spans="2:24" x14ac:dyDescent="0.25">
      <c r="B10" s="2">
        <v>5</v>
      </c>
      <c r="C10" s="2" t="s">
        <v>50</v>
      </c>
      <c r="D10" s="16">
        <v>12</v>
      </c>
      <c r="E10" s="2" t="s">
        <v>58</v>
      </c>
      <c r="F10" s="31">
        <v>1129.5999999999999</v>
      </c>
      <c r="G10" s="29">
        <f t="shared" si="1"/>
        <v>12158.901439999998</v>
      </c>
      <c r="H10" s="16">
        <v>2023</v>
      </c>
      <c r="I10" s="2">
        <v>2024</v>
      </c>
      <c r="J10" s="2">
        <f t="shared" si="0"/>
        <v>1</v>
      </c>
      <c r="K10" s="2">
        <v>45</v>
      </c>
      <c r="L10" s="3">
        <v>0.1</v>
      </c>
      <c r="M10" s="4">
        <f t="shared" si="2"/>
        <v>0.02</v>
      </c>
      <c r="N10" s="32">
        <v>900</v>
      </c>
      <c r="O10" s="33">
        <f t="shared" si="3"/>
        <v>10943011.295999998</v>
      </c>
      <c r="P10" s="33">
        <f t="shared" si="4"/>
        <v>218860.22591999997</v>
      </c>
      <c r="Q10" s="19">
        <v>0</v>
      </c>
      <c r="R10" s="33">
        <f t="shared" si="5"/>
        <v>10724151.070079999</v>
      </c>
      <c r="S10" s="25"/>
      <c r="T10" s="20"/>
      <c r="W10" s="22"/>
    </row>
    <row r="11" spans="2:24" x14ac:dyDescent="0.25">
      <c r="B11" s="2">
        <v>6</v>
      </c>
      <c r="C11" s="2" t="s">
        <v>51</v>
      </c>
      <c r="D11" s="16">
        <v>9</v>
      </c>
      <c r="E11" s="56" t="s">
        <v>45</v>
      </c>
      <c r="F11" s="31">
        <v>499</v>
      </c>
      <c r="G11" s="29">
        <f t="shared" si="1"/>
        <v>5371.1860999999999</v>
      </c>
      <c r="H11" s="16">
        <v>2023</v>
      </c>
      <c r="I11" s="2">
        <v>2024</v>
      </c>
      <c r="J11" s="2">
        <f t="shared" si="0"/>
        <v>1</v>
      </c>
      <c r="K11" s="2">
        <v>60</v>
      </c>
      <c r="L11" s="3">
        <v>0.1</v>
      </c>
      <c r="M11" s="4">
        <f t="shared" si="2"/>
        <v>1.5000000000000001E-2</v>
      </c>
      <c r="N11" s="32">
        <v>1400</v>
      </c>
      <c r="O11" s="33">
        <f t="shared" si="3"/>
        <v>7519660.54</v>
      </c>
      <c r="P11" s="33">
        <f t="shared" si="4"/>
        <v>112794.90810000002</v>
      </c>
      <c r="Q11" s="19">
        <v>0</v>
      </c>
      <c r="R11" s="33">
        <f t="shared" si="5"/>
        <v>7406865.6319000004</v>
      </c>
      <c r="S11" s="25"/>
      <c r="T11" s="20"/>
      <c r="W11" s="22"/>
    </row>
    <row r="12" spans="2:24" x14ac:dyDescent="0.25">
      <c r="B12" s="2">
        <v>7</v>
      </c>
      <c r="C12" s="2" t="s">
        <v>52</v>
      </c>
      <c r="D12" s="16">
        <v>25</v>
      </c>
      <c r="E12" s="56" t="s">
        <v>68</v>
      </c>
      <c r="F12" s="31">
        <v>113.1</v>
      </c>
      <c r="G12" s="29">
        <f t="shared" si="1"/>
        <v>1217.3970899999999</v>
      </c>
      <c r="H12" s="16">
        <v>2023</v>
      </c>
      <c r="I12" s="2">
        <v>2024</v>
      </c>
      <c r="J12" s="2">
        <f t="shared" ref="J12:J24" si="7">I12-H12</f>
        <v>1</v>
      </c>
      <c r="K12" s="2">
        <v>45</v>
      </c>
      <c r="L12" s="3">
        <v>0.1</v>
      </c>
      <c r="M12" s="4">
        <f t="shared" ref="M12:M24" si="8">(1-L12)/K12</f>
        <v>0.02</v>
      </c>
      <c r="N12" s="32">
        <v>1400</v>
      </c>
      <c r="O12" s="33">
        <f t="shared" ref="O12:O24" si="9">N12*G12</f>
        <v>1704355.926</v>
      </c>
      <c r="P12" s="33">
        <f t="shared" ref="P12:P24" si="10">O12*M12*IF(J12&gt;K12,K12,J12)</f>
        <v>34087.118520000004</v>
      </c>
      <c r="Q12" s="19">
        <v>0</v>
      </c>
      <c r="R12" s="33">
        <f t="shared" ref="R12:R24" si="11">O12-P12</f>
        <v>1670268.80748</v>
      </c>
      <c r="S12" s="25"/>
      <c r="T12" s="20"/>
      <c r="W12" s="22"/>
    </row>
    <row r="13" spans="2:24" ht="30" x14ac:dyDescent="0.25">
      <c r="B13" s="2">
        <v>9</v>
      </c>
      <c r="C13" s="2" t="s">
        <v>72</v>
      </c>
      <c r="D13" s="16">
        <v>8</v>
      </c>
      <c r="E13" s="2" t="s">
        <v>58</v>
      </c>
      <c r="F13" s="31">
        <f>G13/10.7639</f>
        <v>4.6451564953223272</v>
      </c>
      <c r="G13" s="29">
        <v>50</v>
      </c>
      <c r="H13" s="16">
        <v>2023</v>
      </c>
      <c r="I13" s="2">
        <v>2024</v>
      </c>
      <c r="J13" s="2">
        <f t="shared" si="7"/>
        <v>1</v>
      </c>
      <c r="K13" s="2">
        <v>45</v>
      </c>
      <c r="L13" s="3">
        <v>0.1</v>
      </c>
      <c r="M13" s="4">
        <f t="shared" si="8"/>
        <v>0.02</v>
      </c>
      <c r="N13" s="32">
        <v>700</v>
      </c>
      <c r="O13" s="33">
        <f t="shared" si="9"/>
        <v>35000</v>
      </c>
      <c r="P13" s="33">
        <f t="shared" si="10"/>
        <v>700</v>
      </c>
      <c r="Q13" s="19">
        <v>0</v>
      </c>
      <c r="R13" s="33">
        <f t="shared" si="11"/>
        <v>34300</v>
      </c>
      <c r="S13" s="25"/>
      <c r="T13" s="20"/>
      <c r="W13" s="22"/>
      <c r="X13">
        <f>450*7</f>
        <v>3150</v>
      </c>
    </row>
    <row r="14" spans="2:24" x14ac:dyDescent="0.25">
      <c r="B14" s="2">
        <v>10</v>
      </c>
      <c r="C14" s="2" t="s">
        <v>67</v>
      </c>
      <c r="D14" s="16">
        <v>9</v>
      </c>
      <c r="E14" s="56" t="s">
        <v>45</v>
      </c>
      <c r="F14" s="31">
        <v>109.1</v>
      </c>
      <c r="G14" s="29">
        <f t="shared" si="1"/>
        <v>1174.3414899999998</v>
      </c>
      <c r="H14" s="16">
        <v>2023</v>
      </c>
      <c r="I14" s="2">
        <v>2024</v>
      </c>
      <c r="J14" s="2">
        <f t="shared" si="7"/>
        <v>1</v>
      </c>
      <c r="K14" s="2">
        <v>60</v>
      </c>
      <c r="L14" s="3">
        <v>0.1</v>
      </c>
      <c r="M14" s="4">
        <f t="shared" si="8"/>
        <v>1.5000000000000001E-2</v>
      </c>
      <c r="N14" s="32">
        <v>1400</v>
      </c>
      <c r="O14" s="33">
        <f t="shared" si="9"/>
        <v>1644078.0859999997</v>
      </c>
      <c r="P14" s="33">
        <f t="shared" si="10"/>
        <v>24661.171289999998</v>
      </c>
      <c r="Q14" s="19">
        <v>0</v>
      </c>
      <c r="R14" s="33">
        <f t="shared" si="11"/>
        <v>1619416.9147099997</v>
      </c>
      <c r="S14" s="25"/>
      <c r="T14" s="20"/>
      <c r="W14" s="22"/>
    </row>
    <row r="15" spans="2:24" x14ac:dyDescent="0.25">
      <c r="B15" s="2">
        <v>11</v>
      </c>
      <c r="C15" s="2" t="s">
        <v>53</v>
      </c>
      <c r="D15" s="16">
        <v>9</v>
      </c>
      <c r="E15" s="56" t="s">
        <v>45</v>
      </c>
      <c r="F15" s="31">
        <v>46.1</v>
      </c>
      <c r="G15" s="29">
        <f t="shared" si="1"/>
        <v>496.21578999999997</v>
      </c>
      <c r="H15" s="16">
        <v>2023</v>
      </c>
      <c r="I15" s="2">
        <v>2024</v>
      </c>
      <c r="J15" s="2">
        <f t="shared" si="7"/>
        <v>1</v>
      </c>
      <c r="K15" s="2">
        <v>60</v>
      </c>
      <c r="L15" s="3">
        <v>0.1</v>
      </c>
      <c r="M15" s="4">
        <f t="shared" si="8"/>
        <v>1.5000000000000001E-2</v>
      </c>
      <c r="N15" s="32">
        <v>1400</v>
      </c>
      <c r="O15" s="33">
        <f t="shared" si="9"/>
        <v>694702.10599999991</v>
      </c>
      <c r="P15" s="33">
        <f t="shared" si="10"/>
        <v>10420.531589999999</v>
      </c>
      <c r="Q15" s="19">
        <v>0</v>
      </c>
      <c r="R15" s="33">
        <f t="shared" si="11"/>
        <v>684281.57440999988</v>
      </c>
      <c r="S15" s="25"/>
      <c r="T15" s="20"/>
      <c r="W15" s="22"/>
    </row>
    <row r="16" spans="2:24" x14ac:dyDescent="0.25">
      <c r="B16" s="2">
        <v>13</v>
      </c>
      <c r="C16" s="2" t="s">
        <v>55</v>
      </c>
      <c r="D16" s="16">
        <v>12</v>
      </c>
      <c r="E16" s="56" t="s">
        <v>71</v>
      </c>
      <c r="F16" s="31">
        <v>162.69999999999999</v>
      </c>
      <c r="G16" s="29">
        <f t="shared" si="1"/>
        <v>1751.2865299999999</v>
      </c>
      <c r="H16" s="16">
        <v>2023</v>
      </c>
      <c r="I16" s="2">
        <v>2024</v>
      </c>
      <c r="J16" s="2">
        <f t="shared" si="7"/>
        <v>1</v>
      </c>
      <c r="K16" s="2">
        <v>60</v>
      </c>
      <c r="L16" s="3">
        <v>0.1</v>
      </c>
      <c r="M16" s="4">
        <f t="shared" si="8"/>
        <v>1.5000000000000001E-2</v>
      </c>
      <c r="N16" s="32">
        <v>800</v>
      </c>
      <c r="O16" s="33">
        <f t="shared" si="9"/>
        <v>1401029.2239999999</v>
      </c>
      <c r="P16" s="33">
        <f t="shared" si="10"/>
        <v>21015.43836</v>
      </c>
      <c r="Q16" s="19">
        <v>0</v>
      </c>
      <c r="R16" s="33">
        <f t="shared" si="11"/>
        <v>1380013.7856399999</v>
      </c>
      <c r="S16" s="25"/>
      <c r="T16" s="20"/>
      <c r="W16" s="22"/>
    </row>
    <row r="17" spans="2:24" ht="27" customHeight="1" x14ac:dyDescent="0.25">
      <c r="B17" s="2">
        <v>14</v>
      </c>
      <c r="C17" s="2" t="s">
        <v>55</v>
      </c>
      <c r="D17" s="62">
        <v>12</v>
      </c>
      <c r="E17" s="56" t="s">
        <v>71</v>
      </c>
      <c r="F17" s="31">
        <v>141.4</v>
      </c>
      <c r="G17" s="29">
        <f t="shared" si="1"/>
        <v>1522.0154600000001</v>
      </c>
      <c r="H17" s="16">
        <v>2023</v>
      </c>
      <c r="I17" s="2">
        <v>2024</v>
      </c>
      <c r="J17" s="2">
        <f t="shared" si="7"/>
        <v>1</v>
      </c>
      <c r="K17" s="2">
        <v>45</v>
      </c>
      <c r="L17" s="3">
        <v>0.1</v>
      </c>
      <c r="M17" s="4">
        <f t="shared" si="8"/>
        <v>0.02</v>
      </c>
      <c r="N17" s="32">
        <v>800</v>
      </c>
      <c r="O17" s="33">
        <f t="shared" si="9"/>
        <v>1217612.368</v>
      </c>
      <c r="P17" s="33">
        <f t="shared" si="10"/>
        <v>24352.247360000001</v>
      </c>
      <c r="Q17" s="19">
        <v>0</v>
      </c>
      <c r="R17" s="33">
        <f t="shared" si="11"/>
        <v>1193260.1206400001</v>
      </c>
      <c r="S17" s="25"/>
      <c r="T17" s="20"/>
      <c r="W17" s="22"/>
    </row>
    <row r="18" spans="2:24" x14ac:dyDescent="0.25">
      <c r="B18" s="2">
        <v>15</v>
      </c>
      <c r="C18" s="2" t="s">
        <v>54</v>
      </c>
      <c r="D18" s="16">
        <v>10</v>
      </c>
      <c r="E18" s="56" t="s">
        <v>45</v>
      </c>
      <c r="F18" s="31">
        <v>75.7</v>
      </c>
      <c r="G18" s="29">
        <f t="shared" si="1"/>
        <v>814.82722999999999</v>
      </c>
      <c r="H18" s="16">
        <v>2023</v>
      </c>
      <c r="I18" s="2">
        <v>2024</v>
      </c>
      <c r="J18" s="2">
        <f t="shared" si="7"/>
        <v>1</v>
      </c>
      <c r="K18" s="2">
        <v>60</v>
      </c>
      <c r="L18" s="3">
        <v>0.1</v>
      </c>
      <c r="M18" s="4">
        <f t="shared" si="8"/>
        <v>1.5000000000000001E-2</v>
      </c>
      <c r="N18" s="32">
        <v>1200</v>
      </c>
      <c r="O18" s="33">
        <f t="shared" si="9"/>
        <v>977792.67599999998</v>
      </c>
      <c r="P18" s="33">
        <f t="shared" si="10"/>
        <v>14666.890140000001</v>
      </c>
      <c r="Q18" s="19">
        <v>0</v>
      </c>
      <c r="R18" s="33">
        <f t="shared" si="11"/>
        <v>963125.78585999995</v>
      </c>
      <c r="S18" s="25"/>
      <c r="T18" s="20"/>
      <c r="W18" s="22"/>
    </row>
    <row r="19" spans="2:24" ht="30" x14ac:dyDescent="0.25">
      <c r="B19" s="2">
        <v>17</v>
      </c>
      <c r="C19" s="2" t="s">
        <v>69</v>
      </c>
      <c r="D19" s="16">
        <v>20</v>
      </c>
      <c r="E19" s="56" t="s">
        <v>59</v>
      </c>
      <c r="F19" s="31">
        <v>115</v>
      </c>
      <c r="G19" s="29">
        <f t="shared" si="1"/>
        <v>1237.8485000000001</v>
      </c>
      <c r="H19" s="16">
        <v>2023</v>
      </c>
      <c r="I19" s="2">
        <v>2024</v>
      </c>
      <c r="J19" s="2">
        <f t="shared" si="7"/>
        <v>1</v>
      </c>
      <c r="K19" s="2">
        <v>45</v>
      </c>
      <c r="L19" s="3">
        <v>0.1</v>
      </c>
      <c r="M19" s="4">
        <f t="shared" si="8"/>
        <v>0.02</v>
      </c>
      <c r="N19" s="32">
        <v>1200</v>
      </c>
      <c r="O19" s="33">
        <f>N19*G19</f>
        <v>1485418.2000000002</v>
      </c>
      <c r="P19" s="33">
        <f t="shared" si="10"/>
        <v>29708.364000000005</v>
      </c>
      <c r="Q19" s="19">
        <v>0</v>
      </c>
      <c r="R19" s="33">
        <f t="shared" si="11"/>
        <v>1455709.8360000001</v>
      </c>
      <c r="S19" s="25"/>
      <c r="T19" s="20"/>
      <c r="W19" s="22"/>
    </row>
    <row r="20" spans="2:24" ht="30" x14ac:dyDescent="0.25">
      <c r="B20" s="2">
        <v>18</v>
      </c>
      <c r="C20" s="56" t="s">
        <v>70</v>
      </c>
      <c r="D20" s="16">
        <v>18</v>
      </c>
      <c r="E20" s="56" t="s">
        <v>59</v>
      </c>
      <c r="F20" s="31">
        <v>122.4</v>
      </c>
      <c r="G20" s="29">
        <f t="shared" si="1"/>
        <v>1317.50136</v>
      </c>
      <c r="H20" s="16">
        <v>2023</v>
      </c>
      <c r="I20" s="2">
        <v>2024</v>
      </c>
      <c r="J20" s="2">
        <f t="shared" si="7"/>
        <v>1</v>
      </c>
      <c r="K20" s="2">
        <v>45</v>
      </c>
      <c r="L20" s="3">
        <v>0.1</v>
      </c>
      <c r="M20" s="4">
        <f t="shared" si="8"/>
        <v>0.02</v>
      </c>
      <c r="N20" s="32">
        <v>1200</v>
      </c>
      <c r="O20" s="33">
        <f t="shared" si="9"/>
        <v>1581001.632</v>
      </c>
      <c r="P20" s="33">
        <f t="shared" si="10"/>
        <v>31620.032640000001</v>
      </c>
      <c r="Q20" s="19">
        <v>0</v>
      </c>
      <c r="R20" s="33">
        <f t="shared" si="11"/>
        <v>1549381.5993599999</v>
      </c>
      <c r="S20" s="25"/>
      <c r="T20" s="20"/>
      <c r="W20" s="22"/>
    </row>
    <row r="21" spans="2:24" x14ac:dyDescent="0.25">
      <c r="B21" s="2">
        <v>21</v>
      </c>
      <c r="C21" s="2" t="s">
        <v>60</v>
      </c>
      <c r="D21" s="16">
        <v>9</v>
      </c>
      <c r="E21" s="56" t="s">
        <v>45</v>
      </c>
      <c r="F21" s="31">
        <v>94.4</v>
      </c>
      <c r="G21" s="29">
        <f>F21*10.7639</f>
        <v>1016.11216</v>
      </c>
      <c r="H21" s="16">
        <v>2023</v>
      </c>
      <c r="I21" s="2">
        <v>2024</v>
      </c>
      <c r="J21" s="2">
        <f t="shared" si="7"/>
        <v>1</v>
      </c>
      <c r="K21" s="2">
        <v>60</v>
      </c>
      <c r="L21" s="3">
        <v>0.1</v>
      </c>
      <c r="M21" s="4">
        <f t="shared" si="8"/>
        <v>1.5000000000000001E-2</v>
      </c>
      <c r="N21" s="32">
        <v>1000</v>
      </c>
      <c r="O21" s="33">
        <f t="shared" si="9"/>
        <v>1016112.16</v>
      </c>
      <c r="P21" s="33">
        <f t="shared" si="10"/>
        <v>15241.682400000002</v>
      </c>
      <c r="Q21" s="19">
        <v>0</v>
      </c>
      <c r="R21" s="33">
        <f t="shared" si="11"/>
        <v>1000870.4776</v>
      </c>
      <c r="S21" s="25"/>
      <c r="T21" s="20"/>
      <c r="W21" s="22"/>
    </row>
    <row r="22" spans="2:24" x14ac:dyDescent="0.25">
      <c r="B22" s="2">
        <v>23</v>
      </c>
      <c r="C22" s="2" t="s">
        <v>56</v>
      </c>
      <c r="D22" s="16">
        <v>9</v>
      </c>
      <c r="E22" s="56" t="s">
        <v>63</v>
      </c>
      <c r="F22" s="31">
        <v>41.3</v>
      </c>
      <c r="G22" s="29">
        <f t="shared" si="1"/>
        <v>444.54906999999997</v>
      </c>
      <c r="H22" s="16">
        <v>2023</v>
      </c>
      <c r="I22" s="2">
        <v>2024</v>
      </c>
      <c r="J22" s="2">
        <f t="shared" si="7"/>
        <v>1</v>
      </c>
      <c r="K22" s="2">
        <v>60</v>
      </c>
      <c r="L22" s="3">
        <v>0.1</v>
      </c>
      <c r="M22" s="4">
        <f t="shared" si="8"/>
        <v>1.5000000000000001E-2</v>
      </c>
      <c r="N22" s="32">
        <v>1000</v>
      </c>
      <c r="O22" s="33">
        <f t="shared" si="9"/>
        <v>444549.06999999995</v>
      </c>
      <c r="P22" s="33">
        <f t="shared" si="10"/>
        <v>6668.2360499999995</v>
      </c>
      <c r="Q22" s="19">
        <v>0</v>
      </c>
      <c r="R22" s="33">
        <f t="shared" si="11"/>
        <v>437880.83394999994</v>
      </c>
      <c r="S22" s="25"/>
      <c r="T22" s="20"/>
      <c r="W22" s="22"/>
    </row>
    <row r="23" spans="2:24" x14ac:dyDescent="0.25">
      <c r="B23" s="2">
        <v>25</v>
      </c>
      <c r="C23" s="2" t="s">
        <v>57</v>
      </c>
      <c r="D23" s="16" t="s">
        <v>62</v>
      </c>
      <c r="E23" s="56" t="s">
        <v>61</v>
      </c>
      <c r="F23" s="31">
        <v>105.8</v>
      </c>
      <c r="G23" s="29">
        <f t="shared" si="1"/>
        <v>1138.82062</v>
      </c>
      <c r="H23" s="16">
        <v>2023</v>
      </c>
      <c r="I23" s="2">
        <v>2024</v>
      </c>
      <c r="J23" s="2">
        <f t="shared" si="7"/>
        <v>1</v>
      </c>
      <c r="K23" s="2">
        <v>60</v>
      </c>
      <c r="L23" s="3">
        <v>0.1</v>
      </c>
      <c r="M23" s="4">
        <f t="shared" si="8"/>
        <v>1.5000000000000001E-2</v>
      </c>
      <c r="N23" s="32">
        <v>400</v>
      </c>
      <c r="O23" s="33">
        <f t="shared" si="9"/>
        <v>455528.24799999996</v>
      </c>
      <c r="P23" s="33">
        <f t="shared" si="10"/>
        <v>6832.9237199999998</v>
      </c>
      <c r="Q23" s="19">
        <v>0</v>
      </c>
      <c r="R23" s="33">
        <f t="shared" si="11"/>
        <v>448695.32427999994</v>
      </c>
      <c r="S23" s="25"/>
      <c r="T23" s="20"/>
      <c r="W23" s="22"/>
    </row>
    <row r="24" spans="2:24" x14ac:dyDescent="0.25">
      <c r="B24" s="2">
        <v>26</v>
      </c>
      <c r="C24" s="2" t="s">
        <v>64</v>
      </c>
      <c r="D24" s="63">
        <v>8</v>
      </c>
      <c r="E24" s="56" t="s">
        <v>63</v>
      </c>
      <c r="F24" s="31">
        <f>G24/10.7639</f>
        <v>6.5032190934512588</v>
      </c>
      <c r="G24" s="29">
        <v>70</v>
      </c>
      <c r="H24" s="16">
        <v>2023</v>
      </c>
      <c r="I24" s="2">
        <v>2024</v>
      </c>
      <c r="J24" s="2">
        <f t="shared" si="7"/>
        <v>1</v>
      </c>
      <c r="K24" s="2">
        <v>60</v>
      </c>
      <c r="L24" s="3">
        <v>0.1</v>
      </c>
      <c r="M24" s="4">
        <f t="shared" si="8"/>
        <v>1.5000000000000001E-2</v>
      </c>
      <c r="N24" s="32">
        <v>1100</v>
      </c>
      <c r="O24" s="33">
        <f t="shared" si="9"/>
        <v>77000</v>
      </c>
      <c r="P24" s="33">
        <f t="shared" si="10"/>
        <v>1155</v>
      </c>
      <c r="Q24" s="19">
        <v>0</v>
      </c>
      <c r="R24" s="33">
        <f t="shared" si="11"/>
        <v>75845</v>
      </c>
      <c r="S24" s="25"/>
      <c r="T24" s="20"/>
      <c r="W24" s="22"/>
    </row>
    <row r="25" spans="2:24" ht="40.5" customHeight="1" x14ac:dyDescent="0.25">
      <c r="B25" s="41" t="s">
        <v>31</v>
      </c>
      <c r="C25" s="55"/>
      <c r="D25" s="42"/>
      <c r="E25" s="43"/>
      <c r="F25" s="44">
        <f>SUM(F6:F24)</f>
        <v>32003.148375588775</v>
      </c>
      <c r="G25" s="44">
        <f>SUM(G6:G24)</f>
        <v>344478.68880000006</v>
      </c>
      <c r="H25" s="74"/>
      <c r="I25" s="75"/>
      <c r="J25" s="75"/>
      <c r="K25" s="75"/>
      <c r="L25" s="75"/>
      <c r="M25" s="75"/>
      <c r="N25" s="76"/>
      <c r="O25" s="45">
        <f>SUM(O6:O24)</f>
        <v>466871947.09400004</v>
      </c>
      <c r="P25" s="12">
        <f>SUM(P6:P11)</f>
        <v>9045157.0452599991</v>
      </c>
      <c r="Q25" s="12">
        <v>0</v>
      </c>
      <c r="R25" s="45">
        <f>SUM(R6:R24)</f>
        <v>457605660.41266996</v>
      </c>
      <c r="S25" s="24"/>
      <c r="T25" s="12">
        <f>SUM(T6:T11)</f>
        <v>0</v>
      </c>
      <c r="W25" s="22" t="s">
        <v>30</v>
      </c>
      <c r="X25" s="21"/>
    </row>
    <row r="26" spans="2:24" x14ac:dyDescent="0.25">
      <c r="B26" s="48" t="s">
        <v>10</v>
      </c>
      <c r="C26" s="55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39"/>
      <c r="T26" s="39"/>
      <c r="W26" t="s">
        <v>38</v>
      </c>
      <c r="X26" s="52">
        <v>13</v>
      </c>
    </row>
    <row r="27" spans="2:24" ht="15" customHeight="1" x14ac:dyDescent="0.25">
      <c r="B27" s="68" t="s">
        <v>42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70"/>
      <c r="S27" s="40"/>
      <c r="T27" s="40"/>
      <c r="W27" t="s">
        <v>39</v>
      </c>
      <c r="X27" s="21">
        <v>16200000</v>
      </c>
    </row>
    <row r="28" spans="2:24" ht="15" customHeight="1" x14ac:dyDescent="0.25">
      <c r="B28" s="68" t="s">
        <v>36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70"/>
      <c r="S28" s="40"/>
      <c r="T28" s="40"/>
      <c r="W28" t="s">
        <v>22</v>
      </c>
      <c r="X28" s="12">
        <v>0</v>
      </c>
    </row>
    <row r="29" spans="2:24" ht="15" customHeight="1" x14ac:dyDescent="0.25">
      <c r="B29" s="65" t="s">
        <v>21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7"/>
      <c r="S29" s="38"/>
      <c r="T29" s="38"/>
      <c r="W29" t="s">
        <v>39</v>
      </c>
      <c r="X29" s="53">
        <f>X26*X27</f>
        <v>210600000</v>
      </c>
    </row>
    <row r="30" spans="2:24" ht="15.75" customHeight="1" x14ac:dyDescent="0.25">
      <c r="C30" s="57"/>
    </row>
    <row r="31" spans="2:24" ht="18.75" x14ac:dyDescent="0.25">
      <c r="C31" s="58"/>
    </row>
    <row r="32" spans="2:24" x14ac:dyDescent="0.25">
      <c r="C32" s="59"/>
      <c r="K32" s="51"/>
      <c r="N32" s="47"/>
    </row>
    <row r="33" spans="3:27" x14ac:dyDescent="0.25">
      <c r="C33" s="60"/>
      <c r="N33" s="21"/>
      <c r="O33">
        <v>32003.15</v>
      </c>
      <c r="R33">
        <f>O33*10.76396</f>
        <v>344480.62647400005</v>
      </c>
    </row>
    <row r="34" spans="3:27" x14ac:dyDescent="0.25">
      <c r="C34" s="60"/>
    </row>
    <row r="35" spans="3:27" ht="14.25" customHeight="1" x14ac:dyDescent="0.25">
      <c r="C35" s="61"/>
      <c r="W35" s="22" t="s">
        <v>24</v>
      </c>
    </row>
    <row r="36" spans="3:27" ht="15" customHeight="1" x14ac:dyDescent="0.25">
      <c r="R36">
        <f>13*4</f>
        <v>52</v>
      </c>
      <c r="W36" s="22" t="s">
        <v>37</v>
      </c>
      <c r="X36" s="26">
        <f>45000000*0.9</f>
        <v>40500000</v>
      </c>
    </row>
    <row r="37" spans="3:27" ht="15" customHeight="1" x14ac:dyDescent="0.25">
      <c r="W37" s="23" t="s">
        <v>35</v>
      </c>
      <c r="X37" s="46">
        <v>13</v>
      </c>
      <c r="Z37">
        <v>40000000</v>
      </c>
      <c r="AA37">
        <v>13</v>
      </c>
    </row>
    <row r="38" spans="3:27" x14ac:dyDescent="0.25">
      <c r="W38" s="26" t="s">
        <v>34</v>
      </c>
      <c r="X38" s="78">
        <f>X37*X36</f>
        <v>526500000</v>
      </c>
      <c r="AA38">
        <f>AA37*Z37</f>
        <v>520000000</v>
      </c>
    </row>
    <row r="39" spans="3:27" x14ac:dyDescent="0.25">
      <c r="J39" s="28"/>
      <c r="N39" s="28"/>
      <c r="W39" s="23" t="s">
        <v>22</v>
      </c>
      <c r="X39" s="27">
        <f>$R$25</f>
        <v>457605660.41266996</v>
      </c>
    </row>
    <row r="40" spans="3:27" x14ac:dyDescent="0.25">
      <c r="R40" s="22"/>
      <c r="W40" s="22" t="s">
        <v>23</v>
      </c>
      <c r="X40" s="36">
        <v>5000000</v>
      </c>
    </row>
    <row r="41" spans="3:27" x14ac:dyDescent="0.25">
      <c r="R41" s="22"/>
      <c r="W41" s="22" t="s">
        <v>43</v>
      </c>
      <c r="X41" s="37">
        <v>0</v>
      </c>
    </row>
    <row r="42" spans="3:27" x14ac:dyDescent="0.25">
      <c r="W42" s="23" t="s">
        <v>24</v>
      </c>
      <c r="X42" s="27">
        <f>X41+X40+X39+X38</f>
        <v>989105660.4126699</v>
      </c>
    </row>
    <row r="44" spans="3:27" x14ac:dyDescent="0.25">
      <c r="R44">
        <f>145*2</f>
        <v>290</v>
      </c>
      <c r="X44" s="17"/>
    </row>
    <row r="46" spans="3:27" x14ac:dyDescent="0.25">
      <c r="G46" s="34"/>
      <c r="X46" s="18">
        <f>X45+X44</f>
        <v>0</v>
      </c>
    </row>
    <row r="48" spans="3:27" x14ac:dyDescent="0.25">
      <c r="W48" s="22" t="s">
        <v>25</v>
      </c>
      <c r="X48" s="27">
        <f>ROUND(X42,-7)</f>
        <v>990000000</v>
      </c>
    </row>
    <row r="49" spans="23:24" x14ac:dyDescent="0.25">
      <c r="W49" s="22" t="s">
        <v>27</v>
      </c>
      <c r="X49" s="27">
        <f>0.85*X48</f>
        <v>841500000</v>
      </c>
    </row>
    <row r="50" spans="23:24" x14ac:dyDescent="0.25">
      <c r="W50" s="22" t="s">
        <v>28</v>
      </c>
      <c r="X50" s="27">
        <f>X48*0.75</f>
        <v>742500000</v>
      </c>
    </row>
    <row r="51" spans="23:24" x14ac:dyDescent="0.25">
      <c r="W51" s="22"/>
    </row>
    <row r="52" spans="23:24" x14ac:dyDescent="0.25">
      <c r="W52" s="22" t="s">
        <v>26</v>
      </c>
      <c r="X52" s="54">
        <f>0.8*O25</f>
        <v>373497557.67520005</v>
      </c>
    </row>
    <row r="54" spans="23:24" x14ac:dyDescent="0.25">
      <c r="W54" s="28"/>
    </row>
    <row r="56" spans="23:24" x14ac:dyDescent="0.25">
      <c r="X56">
        <v>35000000</v>
      </c>
    </row>
    <row r="57" spans="23:24" x14ac:dyDescent="0.25">
      <c r="X57">
        <v>43560</v>
      </c>
    </row>
    <row r="58" spans="23:24" x14ac:dyDescent="0.25">
      <c r="X58">
        <f>X56/X57</f>
        <v>803.48943985307619</v>
      </c>
    </row>
    <row r="62" spans="23:24" x14ac:dyDescent="0.25">
      <c r="X62" s="22">
        <v>81143.59</v>
      </c>
    </row>
    <row r="63" spans="23:24" x14ac:dyDescent="0.25">
      <c r="X63">
        <v>4580</v>
      </c>
    </row>
    <row r="64" spans="23:24" x14ac:dyDescent="0.25">
      <c r="X64">
        <f>0.05*X63</f>
        <v>229</v>
      </c>
    </row>
    <row r="65" spans="24:24" x14ac:dyDescent="0.25">
      <c r="X65" s="22">
        <f>X64*50000</f>
        <v>11450000</v>
      </c>
    </row>
    <row r="66" spans="24:24" x14ac:dyDescent="0.25">
      <c r="X66" s="22">
        <f>X67*15</f>
        <v>467153.85</v>
      </c>
    </row>
    <row r="67" spans="24:24" x14ac:dyDescent="0.25">
      <c r="X67">
        <f>X62-50000</f>
        <v>31143.589999999997</v>
      </c>
    </row>
    <row r="68" spans="24:24" x14ac:dyDescent="0.25">
      <c r="X68" s="35">
        <f>X65+X66</f>
        <v>11917153.85</v>
      </c>
    </row>
    <row r="72" spans="24:24" x14ac:dyDescent="0.25">
      <c r="X72" s="64">
        <v>1075212335.85991</v>
      </c>
    </row>
    <row r="89" spans="24:24" x14ac:dyDescent="0.25">
      <c r="X89">
        <v>43560</v>
      </c>
    </row>
    <row r="90" spans="24:24" x14ac:dyDescent="0.25">
      <c r="X90">
        <v>900</v>
      </c>
    </row>
    <row r="91" spans="24:24" x14ac:dyDescent="0.25">
      <c r="X91" s="64">
        <f>X90*X89</f>
        <v>39204000</v>
      </c>
    </row>
  </sheetData>
  <mergeCells count="5">
    <mergeCell ref="B29:R29"/>
    <mergeCell ref="B27:R27"/>
    <mergeCell ref="B28:R28"/>
    <mergeCell ref="B4:T4"/>
    <mergeCell ref="H25:N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M3" sqref="M3"/>
    </sheetView>
  </sheetViews>
  <sheetFormatPr defaultRowHeight="15" x14ac:dyDescent="0.25"/>
  <cols>
    <col min="1" max="1" width="8.7109375" bestFit="1" customWidth="1"/>
    <col min="2" max="2" width="13.7109375" customWidth="1"/>
    <col min="3" max="3" width="12.85546875" customWidth="1"/>
    <col min="4" max="4" width="10.7109375" customWidth="1"/>
    <col min="5" max="5" width="16" customWidth="1"/>
    <col min="6" max="6" width="21.28515625" customWidth="1"/>
    <col min="7" max="7" width="21" customWidth="1"/>
    <col min="8" max="8" width="9.5703125" customWidth="1"/>
    <col min="9" max="9" width="13" customWidth="1"/>
    <col min="10" max="10" width="12.7109375" customWidth="1"/>
    <col min="11" max="11" width="11.5703125" customWidth="1"/>
    <col min="12" max="12" width="11.85546875" hidden="1" customWidth="1"/>
    <col min="13" max="13" width="13" customWidth="1"/>
  </cols>
  <sheetData>
    <row r="1" spans="1:13" ht="15.75" x14ac:dyDescent="0.25">
      <c r="A1" s="77" t="s">
        <v>12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04.25" x14ac:dyDescent="0.25">
      <c r="A2" s="5" t="s">
        <v>17</v>
      </c>
      <c r="B2" s="5" t="s">
        <v>13</v>
      </c>
      <c r="C2" s="5" t="s">
        <v>1</v>
      </c>
      <c r="D2" s="5" t="s">
        <v>14</v>
      </c>
      <c r="E2" s="5" t="s">
        <v>15</v>
      </c>
      <c r="F2" s="5" t="s">
        <v>4</v>
      </c>
      <c r="G2" s="5" t="s">
        <v>5</v>
      </c>
      <c r="H2" s="5" t="s">
        <v>18</v>
      </c>
      <c r="I2" s="5" t="s">
        <v>6</v>
      </c>
      <c r="J2" s="5" t="s">
        <v>7</v>
      </c>
      <c r="K2" s="5" t="s">
        <v>8</v>
      </c>
      <c r="L2" s="5" t="s">
        <v>16</v>
      </c>
      <c r="M2" s="5" t="s">
        <v>9</v>
      </c>
    </row>
    <row r="3" spans="1:13" x14ac:dyDescent="0.25">
      <c r="A3" s="6">
        <v>1150</v>
      </c>
      <c r="B3" s="7">
        <v>2023</v>
      </c>
      <c r="C3" s="7">
        <v>2024</v>
      </c>
      <c r="D3" s="7">
        <f>C3-B3</f>
        <v>1</v>
      </c>
      <c r="E3" s="7">
        <v>60</v>
      </c>
      <c r="F3" s="8">
        <v>0.1</v>
      </c>
      <c r="G3" s="9">
        <f>(1-F3)/E3</f>
        <v>1.5000000000000001E-2</v>
      </c>
      <c r="H3" s="10">
        <v>4500</v>
      </c>
      <c r="I3" s="10">
        <f>H3*A3</f>
        <v>5175000</v>
      </c>
      <c r="J3" s="10">
        <f>I3*G3*D3</f>
        <v>77625</v>
      </c>
      <c r="K3" s="10">
        <f>MAX(I3-J3,0)</f>
        <v>5097375</v>
      </c>
      <c r="L3" s="11">
        <v>0</v>
      </c>
      <c r="M3" s="10">
        <f>IF(K3&gt;F3*I3,K3*(1-L3),I3*F3)</f>
        <v>5097375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E18" sqref="E18"/>
    </sheetView>
  </sheetViews>
  <sheetFormatPr defaultRowHeight="15" x14ac:dyDescent="0.25"/>
  <cols>
    <col min="12" max="12" width="12" bestFit="1" customWidth="1"/>
  </cols>
  <sheetData>
    <row r="1" spans="1:12" x14ac:dyDescent="0.25">
      <c r="A1">
        <v>6966.1</v>
      </c>
    </row>
    <row r="2" spans="1:12" x14ac:dyDescent="0.25">
      <c r="A2">
        <v>7456.9</v>
      </c>
    </row>
    <row r="3" spans="1:12" x14ac:dyDescent="0.25">
      <c r="A3">
        <v>2276.9</v>
      </c>
    </row>
    <row r="4" spans="1:12" x14ac:dyDescent="0.25">
      <c r="A4">
        <v>12536.5</v>
      </c>
    </row>
    <row r="5" spans="1:12" x14ac:dyDescent="0.25">
      <c r="A5">
        <v>0</v>
      </c>
    </row>
    <row r="6" spans="1:12" x14ac:dyDescent="0.25">
      <c r="A6">
        <v>0</v>
      </c>
    </row>
    <row r="7" spans="1:12" x14ac:dyDescent="0.25">
      <c r="A7">
        <v>0</v>
      </c>
    </row>
    <row r="8" spans="1:12" x14ac:dyDescent="0.25">
      <c r="A8">
        <v>0</v>
      </c>
    </row>
    <row r="9" spans="1:12" x14ac:dyDescent="0.25">
      <c r="A9">
        <v>0</v>
      </c>
    </row>
    <row r="10" spans="1:12" x14ac:dyDescent="0.25">
      <c r="A10">
        <v>0</v>
      </c>
    </row>
    <row r="11" spans="1:12" x14ac:dyDescent="0.25">
      <c r="A11">
        <f>SUM(A1:A10)</f>
        <v>29236.400000000001</v>
      </c>
    </row>
    <row r="14" spans="1:12" x14ac:dyDescent="0.25">
      <c r="J14">
        <v>4580</v>
      </c>
      <c r="K14">
        <v>81143.59</v>
      </c>
      <c r="L14">
        <f>J14*K14</f>
        <v>371637642.19999999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Ashil Baby</cp:lastModifiedBy>
  <dcterms:created xsi:type="dcterms:W3CDTF">2022-07-28T09:17:09Z</dcterms:created>
  <dcterms:modified xsi:type="dcterms:W3CDTF">2024-03-27T12:43:12Z</dcterms:modified>
</cp:coreProperties>
</file>