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Y:\In Progress Files\Ashil Baby\VIS(2023-24)-PL772-670-1032-APL APOLLO ATTEBELE\VIS(2023-24)-PL772-670-1032-APL APOLLO ATTEBELE\Reports\"/>
    </mc:Choice>
  </mc:AlternateContent>
  <xr:revisionPtr revIDLastSave="0" documentId="13_ncr:1_{176BDCF5-465B-416A-B383-27289DBB205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ain" sheetId="4" r:id="rId1"/>
    <sheet name="Sheet2" sheetId="3" r:id="rId2"/>
    <sheet name="Sheet1" sheetId="5" r:id="rId3"/>
    <sheet name="Sheet3" sheetId="6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9" i="4" l="1"/>
  <c r="J6" i="4"/>
  <c r="P6" i="4"/>
  <c r="X28" i="4"/>
  <c r="G13" i="4"/>
  <c r="G9" i="4"/>
  <c r="G7" i="4"/>
  <c r="G10" i="4" l="1"/>
  <c r="G8" i="4"/>
  <c r="G6" i="4"/>
  <c r="G15" i="4" s="1"/>
  <c r="F6" i="4"/>
  <c r="G11" i="4"/>
  <c r="G12" i="4"/>
  <c r="G14" i="4"/>
  <c r="X12" i="4" l="1"/>
  <c r="X54" i="4" l="1"/>
  <c r="X49" i="4"/>
  <c r="M6" i="4" l="1"/>
  <c r="M13" i="4"/>
  <c r="M14" i="4"/>
  <c r="O6" i="4"/>
  <c r="J13" i="4"/>
  <c r="J14" i="4"/>
  <c r="F7" i="4"/>
  <c r="F8" i="4"/>
  <c r="F11" i="4"/>
  <c r="F14" i="4"/>
  <c r="O13" i="4"/>
  <c r="F12" i="4"/>
  <c r="F10" i="4"/>
  <c r="F9" i="4"/>
  <c r="P13" i="4" l="1"/>
  <c r="R13" i="4" s="1"/>
  <c r="O12" i="4"/>
  <c r="O14" i="4"/>
  <c r="F13" i="4"/>
  <c r="F15" i="4" s="1"/>
  <c r="P14" i="4" l="1"/>
  <c r="R14" i="4" s="1"/>
  <c r="R6" i="4"/>
  <c r="L14" i="6"/>
  <c r="O11" i="4" l="1"/>
  <c r="O8" i="4"/>
  <c r="O9" i="4"/>
  <c r="O10" i="4"/>
  <c r="M8" i="4"/>
  <c r="M9" i="4"/>
  <c r="M10" i="4"/>
  <c r="M11" i="4"/>
  <c r="M12" i="4"/>
  <c r="J8" i="4"/>
  <c r="J9" i="4"/>
  <c r="J10" i="4"/>
  <c r="J11" i="4"/>
  <c r="J12" i="4"/>
  <c r="P9" i="4" l="1"/>
  <c r="R9" i="4" s="1"/>
  <c r="P10" i="4"/>
  <c r="R10" i="4" s="1"/>
  <c r="P8" i="4"/>
  <c r="R8" i="4" s="1"/>
  <c r="P12" i="4"/>
  <c r="R12" i="4" s="1"/>
  <c r="P11" i="4"/>
  <c r="R11" i="4" s="1"/>
  <c r="T8" i="4" l="1"/>
  <c r="T7" i="4"/>
  <c r="X36" i="4"/>
  <c r="M7" i="4"/>
  <c r="J7" i="4"/>
  <c r="O7" i="4" l="1"/>
  <c r="O15" i="4" s="1"/>
  <c r="T15" i="4"/>
  <c r="I3" i="3"/>
  <c r="G3" i="3"/>
  <c r="D3" i="3"/>
  <c r="P7" i="4" l="1"/>
  <c r="J3" i="3"/>
  <c r="K3" i="3" s="1"/>
  <c r="M3" i="3" s="1"/>
  <c r="R7" i="4" l="1"/>
  <c r="R15" i="4" s="1"/>
  <c r="P15" i="4"/>
  <c r="X32" i="4" l="1"/>
  <c r="X38" i="4" s="1"/>
  <c r="X40" i="4" s="1"/>
  <c r="X42" i="4"/>
  <c r="X39" i="4" l="1"/>
</calcChain>
</file>

<file path=xl/sharedStrings.xml><?xml version="1.0" encoding="utf-8"?>
<sst xmlns="http://schemas.openxmlformats.org/spreadsheetml/2006/main" count="84" uniqueCount="67">
  <si>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</si>
  <si>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</si>
  <si>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</si>
  <si>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</si>
  <si>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</si>
  <si>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</si>
  <si>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Gross Replacement Value
(INR)</t>
  </si>
  <si>
    <t xml:space="preserve">Depreciation
(INR) </t>
  </si>
  <si>
    <t>Depreciated Value
(INR)</t>
  </si>
  <si>
    <t>Depreciated Replacement Market Value
(INR)</t>
  </si>
  <si>
    <t>Remarks:</t>
  </si>
  <si>
    <t>Detoration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</si>
  <si>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</si>
  <si>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</si>
  <si>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</si>
  <si>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</si>
  <si>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</si>
  <si>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</si>
  <si>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</si>
  <si>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 xml:space="preserve">Year of Construction </t>
  </si>
  <si>
    <t>Sr. No.</t>
  </si>
  <si>
    <t>3. Age of construction taken from the information as per documents provided to us.</t>
  </si>
  <si>
    <t>building</t>
  </si>
  <si>
    <t>wall</t>
  </si>
  <si>
    <t>FMV</t>
  </si>
  <si>
    <t>round off</t>
  </si>
  <si>
    <t>ins</t>
  </si>
  <si>
    <t>Floor</t>
  </si>
  <si>
    <t>RV</t>
  </si>
  <si>
    <t>DV</t>
  </si>
  <si>
    <t>Built-up area (in sq.mtr)</t>
  </si>
  <si>
    <t>Circle</t>
  </si>
  <si>
    <t>Total</t>
  </si>
  <si>
    <t>Buit-up area 
(in sq ft)</t>
  </si>
  <si>
    <t>Plinth Area  Rate 
(INR per sq feet)</t>
  </si>
  <si>
    <t>land value</t>
  </si>
  <si>
    <t>Area</t>
  </si>
  <si>
    <t xml:space="preserve">2.The maintinence of the building was good as per site survey observation. </t>
  </si>
  <si>
    <t>Rate</t>
  </si>
  <si>
    <t>land area</t>
  </si>
  <si>
    <t>Land value</t>
  </si>
  <si>
    <t>Circle Vaue
(INR)</t>
  </si>
  <si>
    <t>Circle Rate
(INR per sq mtr.)</t>
  </si>
  <si>
    <t>Premium</t>
  </si>
  <si>
    <t>Height 
(in ft.)</t>
  </si>
  <si>
    <t xml:space="preserve">RCC </t>
  </si>
  <si>
    <t>MAIN SHED</t>
  </si>
  <si>
    <t xml:space="preserve">STORE SHED </t>
  </si>
  <si>
    <t>ADMIN OFFICE SHED</t>
  </si>
  <si>
    <t>CANTEEN</t>
  </si>
  <si>
    <t>MAINTENANCE SHED</t>
  </si>
  <si>
    <t>NEW OFFICE AND LAB</t>
  </si>
  <si>
    <t xml:space="preserve"> OFFICE</t>
  </si>
  <si>
    <t>9’</t>
  </si>
  <si>
    <t xml:space="preserve">GI SHED </t>
  </si>
  <si>
    <r>
      <t>35</t>
    </r>
    <r>
      <rPr>
        <sz val="11"/>
        <color theme="1"/>
        <rFont val="Calibri"/>
        <family val="2"/>
      </rPr>
      <t>’</t>
    </r>
  </si>
  <si>
    <t xml:space="preserve">DG ROOM </t>
  </si>
  <si>
    <t>1. All the details pertaing to the building area statement such as area, floor, etc has been taken from the site measurement done by us.</t>
  </si>
  <si>
    <t>8 ft ht</t>
  </si>
  <si>
    <t xml:space="preserve"> M/S APL APOLLO PVT LTD, ATIBELLE</t>
  </si>
  <si>
    <t>20'</t>
  </si>
  <si>
    <t>18'</t>
  </si>
  <si>
    <t>30'</t>
  </si>
  <si>
    <t>10'</t>
  </si>
  <si>
    <t>9'</t>
  </si>
  <si>
    <t>15'</t>
  </si>
  <si>
    <t>SCRAP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</si>
</sst>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  <numFmt numFmtId="167" formatCode="_ [$₹-4009]\ * #,##0_ ;_ [$₹-4009]\ * \-#,##0_ ;_ [$₹-4009]\ * &quot;-&quot;??_ ;_ @_ "/>
    <numFmt numFmtId="168" formatCode="&quot;₹&quot;\ #,##0.00"/>
    <numFmt numFmtId="169" formatCode="&quot;₹&quot;\ 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2" fillId="0" borderId="1" xfId="6" applyNumberFormat="1" applyFont="1" applyBorder="1" applyAlignment="1">
      <alignment horizontal="center" vertical="center" wrapText="1"/>
    </xf>
    <xf numFmtId="0" fontId="2" fillId="2" borderId="1" xfId="3" applyFont="1" applyBorder="1" applyAlignment="1">
      <alignment horizontal="center" vertical="center"/>
    </xf>
    <xf numFmtId="9" fontId="2" fillId="5" borderId="1" xfId="3" applyNumberFormat="1" applyFont="1" applyFill="1" applyBorder="1" applyAlignment="1">
      <alignment horizontal="center" vertical="center" wrapText="1"/>
    </xf>
    <xf numFmtId="0" fontId="2" fillId="5" borderId="1" xfId="3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7" fontId="0" fillId="0" borderId="1" xfId="5" applyNumberFormat="1" applyFont="1" applyBorder="1" applyAlignment="1">
      <alignment vertical="center"/>
    </xf>
    <xf numFmtId="167" fontId="0" fillId="0" borderId="0" xfId="0" applyNumberFormat="1"/>
    <xf numFmtId="166" fontId="0" fillId="0" borderId="1" xfId="6" applyNumberFormat="1" applyFont="1" applyBorder="1" applyAlignment="1">
      <alignment horizontal="right" vertical="center" wrapText="1"/>
    </xf>
    <xf numFmtId="166" fontId="0" fillId="0" borderId="0" xfId="6" applyNumberFormat="1" applyFont="1"/>
    <xf numFmtId="0" fontId="2" fillId="0" borderId="0" xfId="0" applyFont="1"/>
    <xf numFmtId="43" fontId="2" fillId="0" borderId="0" xfId="0" applyNumberFormat="1" applyFont="1"/>
    <xf numFmtId="0" fontId="0" fillId="0" borderId="1" xfId="0" applyBorder="1"/>
    <xf numFmtId="166" fontId="0" fillId="0" borderId="1" xfId="6" applyNumberFormat="1" applyFont="1" applyBorder="1"/>
    <xf numFmtId="166" fontId="2" fillId="0" borderId="0" xfId="6" applyNumberFormat="1" applyFont="1"/>
    <xf numFmtId="165" fontId="2" fillId="0" borderId="0" xfId="0" applyNumberFormat="1" applyFont="1"/>
    <xf numFmtId="1" fontId="0" fillId="0" borderId="0" xfId="0" applyNumberFormat="1"/>
    <xf numFmtId="0" fontId="0" fillId="0" borderId="1" xfId="3" applyFont="1" applyFill="1" applyBorder="1" applyAlignment="1">
      <alignment horizontal="center" vertical="center" wrapText="1"/>
    </xf>
    <xf numFmtId="2" fontId="0" fillId="0" borderId="0" xfId="0" applyNumberFormat="1"/>
    <xf numFmtId="43" fontId="2" fillId="0" borderId="0" xfId="6" applyFont="1"/>
    <xf numFmtId="165" fontId="2" fillId="0" borderId="1" xfId="1" applyNumberFormat="1" applyFont="1" applyBorder="1" applyAlignment="1">
      <alignment horizontal="center" vertical="center"/>
    </xf>
    <xf numFmtId="4" fontId="9" fillId="0" borderId="0" xfId="0" applyNumberFormat="1" applyFont="1"/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3" fontId="2" fillId="0" borderId="0" xfId="0" applyNumberFormat="1" applyFont="1"/>
    <xf numFmtId="0" fontId="10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64" fontId="0" fillId="0" borderId="0" xfId="0" applyNumberFormat="1"/>
    <xf numFmtId="168" fontId="2" fillId="0" borderId="0" xfId="0" applyNumberFormat="1" applyFont="1"/>
    <xf numFmtId="44" fontId="2" fillId="0" borderId="0" xfId="6" applyNumberFormat="1" applyFont="1"/>
    <xf numFmtId="0" fontId="0" fillId="0" borderId="4" xfId="0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 wrapText="1"/>
    </xf>
    <xf numFmtId="0" fontId="1" fillId="0" borderId="1" xfId="3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2" fontId="1" fillId="0" borderId="1" xfId="3" applyNumberFormat="1" applyFill="1" applyBorder="1" applyAlignment="1">
      <alignment horizontal="center" vertical="center" wrapText="1"/>
    </xf>
    <xf numFmtId="1" fontId="0" fillId="0" borderId="1" xfId="6" applyNumberFormat="1" applyFont="1" applyBorder="1" applyAlignment="1">
      <alignment horizontal="center" vertical="center"/>
    </xf>
    <xf numFmtId="1" fontId="1" fillId="0" borderId="1" xfId="6" applyNumberFormat="1" applyFont="1" applyFill="1" applyBorder="1" applyAlignment="1">
      <alignment horizontal="center" vertical="center" wrapText="1"/>
    </xf>
    <xf numFmtId="1" fontId="0" fillId="0" borderId="1" xfId="6" applyNumberFormat="1" applyFont="1" applyFill="1" applyBorder="1" applyAlignment="1">
      <alignment horizontal="center" vertical="center" wrapText="1"/>
    </xf>
    <xf numFmtId="1" fontId="0" fillId="0" borderId="1" xfId="6" applyNumberFormat="1" applyFont="1" applyBorder="1" applyAlignment="1">
      <alignment horizontal="center" vertical="center" wrapText="1"/>
    </xf>
    <xf numFmtId="43" fontId="2" fillId="0" borderId="1" xfId="6" applyFont="1" applyBorder="1" applyAlignment="1">
      <alignment horizontal="center" vertical="center" wrapText="1"/>
    </xf>
    <xf numFmtId="2" fontId="2" fillId="0" borderId="1" xfId="6" applyNumberFormat="1" applyFont="1" applyBorder="1" applyAlignment="1">
      <alignment horizontal="center" vertical="center" wrapText="1"/>
    </xf>
    <xf numFmtId="43" fontId="0" fillId="0" borderId="0" xfId="6" applyFont="1" applyAlignment="1">
      <alignment horizontal="center"/>
    </xf>
    <xf numFmtId="166" fontId="2" fillId="0" borderId="0" xfId="6" applyNumberFormat="1" applyFont="1" applyBorder="1" applyAlignment="1">
      <alignment horizontal="center" vertical="center" wrapText="1"/>
    </xf>
    <xf numFmtId="44" fontId="0" fillId="0" borderId="0" xfId="6" applyNumberFormat="1" applyFont="1"/>
    <xf numFmtId="169" fontId="0" fillId="0" borderId="1" xfId="6" applyNumberFormat="1" applyFont="1" applyBorder="1" applyAlignment="1">
      <alignment horizontal="center" vertical="center" wrapText="1"/>
    </xf>
    <xf numFmtId="169" fontId="2" fillId="0" borderId="1" xfId="6" applyNumberFormat="1" applyFont="1" applyBorder="1" applyAlignment="1">
      <alignment horizontal="center" vertical="center" wrapText="1"/>
    </xf>
    <xf numFmtId="1" fontId="2" fillId="0" borderId="1" xfId="6" applyNumberFormat="1" applyFont="1" applyBorder="1" applyAlignment="1">
      <alignment horizontal="center" vertical="center" wrapText="1"/>
    </xf>
    <xf numFmtId="169" fontId="2" fillId="0" borderId="0" xfId="0" applyNumberFormat="1" applyFont="1"/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43" fontId="2" fillId="0" borderId="3" xfId="6" applyFont="1" applyBorder="1" applyAlignment="1">
      <alignment horizontal="center" vertical="center" wrapText="1"/>
    </xf>
    <xf numFmtId="43" fontId="2" fillId="0" borderId="4" xfId="6" applyFont="1" applyBorder="1" applyAlignment="1">
      <alignment horizontal="center" vertical="center" wrapText="1"/>
    </xf>
    <xf numFmtId="43" fontId="2" fillId="0" borderId="5" xfId="6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7">
    <cellStyle name="40% - Accent1" xfId="3" builtinId="31"/>
    <cellStyle name="Comma" xfId="6" builtinId="3"/>
    <cellStyle name="Comma 2" xfId="4" xr:uid="{00000000-0005-0000-0000-000002000000}"/>
    <cellStyle name="Currency" xfId="1" builtinId="4"/>
    <cellStyle name="Currency 2" xfId="5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X58"/>
  <sheetViews>
    <sheetView tabSelected="1" zoomScale="85" zoomScaleNormal="85" workbookViewId="0">
      <selection activeCell="J26" sqref="J26"/>
    </sheetView>
  </sheetViews>
  <sheetFormatPr defaultRowHeight="15" x14ac:dyDescent="0.25"/>
  <cols>
    <col min="2" max="2" width="7.28515625" customWidth="1"/>
    <col min="3" max="3" width="19.7109375" customWidth="1"/>
    <col min="4" max="4" width="9.85546875" customWidth="1"/>
    <col min="5" max="5" width="12.140625" customWidth="1"/>
    <col min="6" max="6" width="15.42578125" customWidth="1"/>
    <col min="7" max="7" width="13.140625" customWidth="1"/>
    <col min="8" max="8" width="12.28515625" customWidth="1"/>
    <col min="9" max="9" width="9.42578125" hidden="1" customWidth="1"/>
    <col min="10" max="11" width="13.28515625" customWidth="1"/>
    <col min="12" max="12" width="18" hidden="1" customWidth="1"/>
    <col min="13" max="13" width="15.85546875" hidden="1" customWidth="1"/>
    <col min="14" max="14" width="14.28515625" customWidth="1"/>
    <col min="15" max="15" width="18.140625" customWidth="1"/>
    <col min="16" max="16" width="14" hidden="1" customWidth="1"/>
    <col min="17" max="17" width="10.42578125" hidden="1" customWidth="1"/>
    <col min="18" max="18" width="17.42578125" customWidth="1"/>
    <col min="19" max="19" width="11.7109375" hidden="1" customWidth="1"/>
    <col min="20" max="20" width="15.5703125" hidden="1" customWidth="1"/>
    <col min="23" max="23" width="21.140625" customWidth="1"/>
    <col min="24" max="24" width="21.7109375" customWidth="1"/>
    <col min="25" max="25" width="14.28515625" bestFit="1" customWidth="1"/>
  </cols>
  <sheetData>
    <row r="4" spans="2:24" ht="20.25" customHeight="1" x14ac:dyDescent="0.25">
      <c r="B4" s="66" t="s">
        <v>59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8"/>
    </row>
    <row r="5" spans="2:24" ht="60" x14ac:dyDescent="0.25">
      <c r="B5" s="13" t="s">
        <v>20</v>
      </c>
      <c r="C5" s="1" t="s">
        <v>27</v>
      </c>
      <c r="D5" s="1" t="s">
        <v>44</v>
      </c>
      <c r="E5" s="1" t="s">
        <v>0</v>
      </c>
      <c r="F5" s="1" t="s">
        <v>30</v>
      </c>
      <c r="G5" s="1" t="s">
        <v>33</v>
      </c>
      <c r="H5" s="1" t="s">
        <v>19</v>
      </c>
      <c r="I5" s="15" t="s">
        <v>1</v>
      </c>
      <c r="J5" s="1" t="s">
        <v>2</v>
      </c>
      <c r="K5" s="1" t="s">
        <v>3</v>
      </c>
      <c r="L5" s="15" t="s">
        <v>4</v>
      </c>
      <c r="M5" s="15" t="s">
        <v>5</v>
      </c>
      <c r="N5" s="1" t="s">
        <v>34</v>
      </c>
      <c r="O5" s="1" t="s">
        <v>6</v>
      </c>
      <c r="P5" s="15" t="s">
        <v>7</v>
      </c>
      <c r="Q5" s="14" t="s">
        <v>11</v>
      </c>
      <c r="R5" s="1" t="s">
        <v>9</v>
      </c>
      <c r="S5" s="1" t="s">
        <v>42</v>
      </c>
      <c r="T5" s="1" t="s">
        <v>41</v>
      </c>
    </row>
    <row r="6" spans="2:24" ht="20.100000000000001" customHeight="1" x14ac:dyDescent="0.25">
      <c r="B6" s="45">
        <v>1</v>
      </c>
      <c r="C6" s="28" t="s">
        <v>52</v>
      </c>
      <c r="D6" s="48" t="s">
        <v>53</v>
      </c>
      <c r="E6" s="2" t="s">
        <v>45</v>
      </c>
      <c r="F6" s="49">
        <f>G6/10.7639</f>
        <v>46.823177472849061</v>
      </c>
      <c r="G6" s="51">
        <f>18*28</f>
        <v>504</v>
      </c>
      <c r="H6" s="47">
        <v>2015</v>
      </c>
      <c r="I6" s="47">
        <v>2024</v>
      </c>
      <c r="J6" s="2">
        <f t="shared" ref="J6:J14" si="0">I6-H6</f>
        <v>9</v>
      </c>
      <c r="K6" s="47">
        <v>65</v>
      </c>
      <c r="L6" s="3">
        <v>0.1</v>
      </c>
      <c r="M6" s="4">
        <f>(1-L6)/K6</f>
        <v>1.3846153846153847E-2</v>
      </c>
      <c r="N6" s="51">
        <v>1400</v>
      </c>
      <c r="O6" s="59">
        <f>N6*G6</f>
        <v>705600</v>
      </c>
      <c r="P6" s="53">
        <f>O6*M6*IF(J6&gt;K6,K6,J6)</f>
        <v>87928.61538461539</v>
      </c>
      <c r="Q6" s="51">
        <v>0</v>
      </c>
      <c r="R6" s="59">
        <f>O6-P6</f>
        <v>617671.38461538462</v>
      </c>
      <c r="S6" s="46"/>
      <c r="T6" s="46"/>
    </row>
    <row r="7" spans="2:24" ht="20.100000000000001" customHeight="1" x14ac:dyDescent="0.25">
      <c r="B7" s="45">
        <v>2</v>
      </c>
      <c r="C7" s="2" t="s">
        <v>46</v>
      </c>
      <c r="D7" s="16" t="s">
        <v>55</v>
      </c>
      <c r="E7" s="2" t="s">
        <v>54</v>
      </c>
      <c r="F7" s="49">
        <f t="shared" ref="F7:F14" si="1">G7/10.7639</f>
        <v>5547.8962086232686</v>
      </c>
      <c r="G7" s="50">
        <f>449*133</f>
        <v>59717</v>
      </c>
      <c r="H7" s="47">
        <v>2015</v>
      </c>
      <c r="I7" s="2">
        <v>2024</v>
      </c>
      <c r="J7" s="2">
        <f t="shared" si="0"/>
        <v>9</v>
      </c>
      <c r="K7" s="2">
        <v>45</v>
      </c>
      <c r="L7" s="3">
        <v>0.1</v>
      </c>
      <c r="M7" s="4">
        <f>(1-L7)/K7</f>
        <v>0.02</v>
      </c>
      <c r="N7" s="52">
        <v>1000</v>
      </c>
      <c r="O7" s="59">
        <f>N7*G7</f>
        <v>59717000</v>
      </c>
      <c r="P7" s="53">
        <f>O7*M7*IF(J7&gt;K7,K7,J7)</f>
        <v>10749060</v>
      </c>
      <c r="Q7" s="53">
        <v>0</v>
      </c>
      <c r="R7" s="59">
        <f>O7-P7</f>
        <v>48967940</v>
      </c>
      <c r="S7" s="24"/>
      <c r="T7" s="19">
        <f>S7*F7</f>
        <v>0</v>
      </c>
    </row>
    <row r="8" spans="2:24" ht="20.100000000000001" customHeight="1" x14ac:dyDescent="0.25">
      <c r="B8" s="45">
        <v>3</v>
      </c>
      <c r="C8" s="2" t="s">
        <v>56</v>
      </c>
      <c r="D8" s="16" t="s">
        <v>60</v>
      </c>
      <c r="E8" s="2" t="s">
        <v>54</v>
      </c>
      <c r="F8" s="49">
        <f t="shared" si="1"/>
        <v>114.73536543446149</v>
      </c>
      <c r="G8" s="50">
        <f>65*19</f>
        <v>1235</v>
      </c>
      <c r="H8" s="47">
        <v>2015</v>
      </c>
      <c r="I8" s="2">
        <v>2024</v>
      </c>
      <c r="J8" s="2">
        <f t="shared" si="0"/>
        <v>9</v>
      </c>
      <c r="K8" s="2">
        <v>45</v>
      </c>
      <c r="L8" s="3">
        <v>0.1</v>
      </c>
      <c r="M8" s="4">
        <f t="shared" ref="M8:M14" si="2">(1-L8)/K8</f>
        <v>0.02</v>
      </c>
      <c r="N8" s="52">
        <v>600</v>
      </c>
      <c r="O8" s="59">
        <f t="shared" ref="O8:O11" si="3">N8*G8</f>
        <v>741000</v>
      </c>
      <c r="P8" s="53">
        <f t="shared" ref="P8:P14" si="4">O8*M8*IF(J8&gt;K8,K8,J8)</f>
        <v>133380</v>
      </c>
      <c r="Q8" s="53">
        <v>0</v>
      </c>
      <c r="R8" s="59">
        <f t="shared" ref="R8:R14" si="5">O8-P8</f>
        <v>607620</v>
      </c>
      <c r="S8" s="24"/>
      <c r="T8" s="19">
        <f t="shared" ref="T8" si="6">S8*F8</f>
        <v>0</v>
      </c>
      <c r="W8" s="21" t="s">
        <v>31</v>
      </c>
    </row>
    <row r="9" spans="2:24" ht="20.100000000000001" customHeight="1" x14ac:dyDescent="0.25">
      <c r="B9" s="45">
        <v>4</v>
      </c>
      <c r="C9" s="28" t="s">
        <v>66</v>
      </c>
      <c r="D9" s="16" t="s">
        <v>61</v>
      </c>
      <c r="E9" s="2" t="s">
        <v>54</v>
      </c>
      <c r="F9" s="49">
        <f t="shared" si="1"/>
        <v>55.277362294335695</v>
      </c>
      <c r="G9" s="50">
        <f>35*17</f>
        <v>595</v>
      </c>
      <c r="H9" s="47">
        <v>2015</v>
      </c>
      <c r="I9" s="2">
        <v>2024</v>
      </c>
      <c r="J9" s="2">
        <f t="shared" si="0"/>
        <v>9</v>
      </c>
      <c r="K9" s="2">
        <v>45</v>
      </c>
      <c r="L9" s="3">
        <v>0.1</v>
      </c>
      <c r="M9" s="4">
        <f t="shared" si="2"/>
        <v>0.02</v>
      </c>
      <c r="N9" s="52">
        <v>600</v>
      </c>
      <c r="O9" s="59">
        <f t="shared" si="3"/>
        <v>357000</v>
      </c>
      <c r="P9" s="53">
        <f t="shared" si="4"/>
        <v>64260</v>
      </c>
      <c r="Q9" s="53">
        <v>0</v>
      </c>
      <c r="R9" s="59">
        <f t="shared" si="5"/>
        <v>292740</v>
      </c>
      <c r="S9" s="24"/>
      <c r="T9" s="19"/>
      <c r="W9" t="s">
        <v>39</v>
      </c>
      <c r="X9">
        <v>3.45</v>
      </c>
    </row>
    <row r="10" spans="2:24" ht="20.100000000000001" customHeight="1" x14ac:dyDescent="0.25">
      <c r="B10" s="45">
        <v>5</v>
      </c>
      <c r="C10" s="28" t="s">
        <v>47</v>
      </c>
      <c r="D10" s="16" t="s">
        <v>62</v>
      </c>
      <c r="E10" s="2" t="s">
        <v>54</v>
      </c>
      <c r="F10" s="49">
        <f t="shared" si="1"/>
        <v>2511.3574076310633</v>
      </c>
      <c r="G10" s="50">
        <f>62*436</f>
        <v>27032</v>
      </c>
      <c r="H10" s="47">
        <v>2015</v>
      </c>
      <c r="I10" s="2">
        <v>2024</v>
      </c>
      <c r="J10" s="2">
        <f t="shared" si="0"/>
        <v>9</v>
      </c>
      <c r="K10" s="2">
        <v>45</v>
      </c>
      <c r="L10" s="3">
        <v>0.1</v>
      </c>
      <c r="M10" s="4">
        <f t="shared" si="2"/>
        <v>0.02</v>
      </c>
      <c r="N10" s="52">
        <v>1000</v>
      </c>
      <c r="O10" s="59">
        <f t="shared" si="3"/>
        <v>27032000</v>
      </c>
      <c r="P10" s="53">
        <f t="shared" si="4"/>
        <v>4865760</v>
      </c>
      <c r="Q10" s="53">
        <v>0</v>
      </c>
      <c r="R10" s="59">
        <f t="shared" si="5"/>
        <v>22166240</v>
      </c>
      <c r="S10" s="24"/>
      <c r="T10" s="19"/>
      <c r="W10" t="s">
        <v>40</v>
      </c>
      <c r="X10" s="56">
        <v>10000000</v>
      </c>
    </row>
    <row r="11" spans="2:24" ht="20.100000000000001" customHeight="1" x14ac:dyDescent="0.25">
      <c r="B11" s="45">
        <v>6</v>
      </c>
      <c r="C11" s="2" t="s">
        <v>48</v>
      </c>
      <c r="D11" s="16" t="s">
        <v>63</v>
      </c>
      <c r="E11" s="2" t="s">
        <v>54</v>
      </c>
      <c r="F11" s="49">
        <f t="shared" si="1"/>
        <v>114.45665604474215</v>
      </c>
      <c r="G11" s="50">
        <f>44*28</f>
        <v>1232</v>
      </c>
      <c r="H11" s="47">
        <v>2015</v>
      </c>
      <c r="I11" s="2">
        <v>2024</v>
      </c>
      <c r="J11" s="2">
        <f t="shared" si="0"/>
        <v>9</v>
      </c>
      <c r="K11" s="2">
        <v>45</v>
      </c>
      <c r="L11" s="3">
        <v>0.1</v>
      </c>
      <c r="M11" s="4">
        <f t="shared" si="2"/>
        <v>0.02</v>
      </c>
      <c r="N11" s="52">
        <v>1000</v>
      </c>
      <c r="O11" s="59">
        <f t="shared" si="3"/>
        <v>1232000</v>
      </c>
      <c r="P11" s="53">
        <f t="shared" si="4"/>
        <v>221760</v>
      </c>
      <c r="Q11" s="53">
        <v>0</v>
      </c>
      <c r="R11" s="59">
        <f t="shared" si="5"/>
        <v>1010240</v>
      </c>
      <c r="S11" s="24"/>
      <c r="T11" s="19"/>
      <c r="W11" t="s">
        <v>22</v>
      </c>
      <c r="X11">
        <v>0</v>
      </c>
    </row>
    <row r="12" spans="2:24" ht="20.100000000000001" customHeight="1" x14ac:dyDescent="0.25">
      <c r="B12" s="45">
        <v>7</v>
      </c>
      <c r="C12" s="2" t="s">
        <v>49</v>
      </c>
      <c r="D12" s="16" t="s">
        <v>64</v>
      </c>
      <c r="E12" s="2" t="s">
        <v>54</v>
      </c>
      <c r="F12" s="49">
        <f t="shared" si="1"/>
        <v>60.201228179377367</v>
      </c>
      <c r="G12" s="50">
        <f>36*18</f>
        <v>648</v>
      </c>
      <c r="H12" s="47">
        <v>2015</v>
      </c>
      <c r="I12" s="2">
        <v>2024</v>
      </c>
      <c r="J12" s="2">
        <f t="shared" si="0"/>
        <v>9</v>
      </c>
      <c r="K12" s="2">
        <v>45</v>
      </c>
      <c r="L12" s="3">
        <v>0.1</v>
      </c>
      <c r="M12" s="4">
        <f t="shared" si="2"/>
        <v>0.02</v>
      </c>
      <c r="N12" s="52">
        <v>1000</v>
      </c>
      <c r="O12" s="59">
        <f>N12*G12</f>
        <v>648000</v>
      </c>
      <c r="P12" s="53">
        <f t="shared" si="4"/>
        <v>116640</v>
      </c>
      <c r="Q12" s="53">
        <v>0</v>
      </c>
      <c r="R12" s="59">
        <f t="shared" si="5"/>
        <v>531360</v>
      </c>
      <c r="S12" s="24"/>
      <c r="T12" s="19"/>
      <c r="W12" t="s">
        <v>40</v>
      </c>
      <c r="X12" s="58">
        <f>X9*X10</f>
        <v>34500000</v>
      </c>
    </row>
    <row r="13" spans="2:24" ht="20.100000000000001" customHeight="1" x14ac:dyDescent="0.25">
      <c r="B13" s="45">
        <v>8</v>
      </c>
      <c r="C13" s="2" t="s">
        <v>50</v>
      </c>
      <c r="D13" s="16" t="s">
        <v>65</v>
      </c>
      <c r="E13" s="2" t="s">
        <v>54</v>
      </c>
      <c r="F13" s="49">
        <f t="shared" si="1"/>
        <v>109.43988702979404</v>
      </c>
      <c r="G13" s="50">
        <f>19*62</f>
        <v>1178</v>
      </c>
      <c r="H13" s="47">
        <v>2015</v>
      </c>
      <c r="I13" s="2">
        <v>2024</v>
      </c>
      <c r="J13" s="2">
        <f t="shared" si="0"/>
        <v>9</v>
      </c>
      <c r="K13" s="2">
        <v>45</v>
      </c>
      <c r="L13" s="3">
        <v>0.1</v>
      </c>
      <c r="M13" s="4">
        <f t="shared" si="2"/>
        <v>0.02</v>
      </c>
      <c r="N13" s="52">
        <v>800</v>
      </c>
      <c r="O13" s="59">
        <f t="shared" ref="O13:O14" si="7">N13*G13</f>
        <v>942400</v>
      </c>
      <c r="P13" s="53">
        <f t="shared" si="4"/>
        <v>169632</v>
      </c>
      <c r="Q13" s="53">
        <v>0</v>
      </c>
      <c r="R13" s="59">
        <f t="shared" si="5"/>
        <v>772768</v>
      </c>
      <c r="S13" s="24"/>
      <c r="T13" s="19"/>
      <c r="W13" s="21"/>
    </row>
    <row r="14" spans="2:24" ht="20.100000000000001" customHeight="1" x14ac:dyDescent="0.25">
      <c r="B14" s="45">
        <v>9</v>
      </c>
      <c r="C14" s="44" t="s">
        <v>51</v>
      </c>
      <c r="D14" s="16" t="s">
        <v>63</v>
      </c>
      <c r="E14" s="2" t="s">
        <v>54</v>
      </c>
      <c r="F14" s="49">
        <f t="shared" si="1"/>
        <v>205.50172335305976</v>
      </c>
      <c r="G14" s="50">
        <f>158*14</f>
        <v>2212</v>
      </c>
      <c r="H14" s="47">
        <v>2015</v>
      </c>
      <c r="I14" s="2">
        <v>2024</v>
      </c>
      <c r="J14" s="2">
        <f t="shared" si="0"/>
        <v>9</v>
      </c>
      <c r="K14" s="2">
        <v>45</v>
      </c>
      <c r="L14" s="3">
        <v>0.1</v>
      </c>
      <c r="M14" s="4">
        <f t="shared" si="2"/>
        <v>0.02</v>
      </c>
      <c r="N14" s="52">
        <v>1000</v>
      </c>
      <c r="O14" s="59">
        <f t="shared" si="7"/>
        <v>2212000</v>
      </c>
      <c r="P14" s="53">
        <f t="shared" si="4"/>
        <v>398160</v>
      </c>
      <c r="Q14" s="53">
        <v>0</v>
      </c>
      <c r="R14" s="59">
        <f t="shared" si="5"/>
        <v>1813840</v>
      </c>
      <c r="S14" s="24"/>
      <c r="T14" s="19"/>
      <c r="W14" s="21"/>
    </row>
    <row r="15" spans="2:24" ht="20.100000000000001" customHeight="1" x14ac:dyDescent="0.25">
      <c r="B15" s="69" t="s">
        <v>32</v>
      </c>
      <c r="C15" s="70"/>
      <c r="D15" s="70"/>
      <c r="E15" s="71"/>
      <c r="F15" s="55">
        <f>SUM(F6:F14)</f>
        <v>8765.6890160629519</v>
      </c>
      <c r="G15" s="61">
        <f>SUM(G6:G14)</f>
        <v>94353</v>
      </c>
      <c r="H15" s="72"/>
      <c r="I15" s="73"/>
      <c r="J15" s="73"/>
      <c r="K15" s="73"/>
      <c r="L15" s="73"/>
      <c r="M15" s="73"/>
      <c r="N15" s="74"/>
      <c r="O15" s="60">
        <f>SUM(O6:O14)</f>
        <v>93587000</v>
      </c>
      <c r="P15" s="54">
        <f>SUM(P6:P14)</f>
        <v>16806580.615384616</v>
      </c>
      <c r="Q15" s="54"/>
      <c r="R15" s="60">
        <f>SUM(R6:R14)</f>
        <v>76780419.384615391</v>
      </c>
      <c r="S15" s="23"/>
      <c r="T15" s="12">
        <f>SUM(T7:T12)</f>
        <v>0</v>
      </c>
      <c r="W15" s="21"/>
      <c r="X15" s="20"/>
    </row>
    <row r="16" spans="2:24" ht="20.100000000000001" customHeight="1" x14ac:dyDescent="0.25">
      <c r="B16" s="38" t="s">
        <v>10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40"/>
      <c r="S16" s="34"/>
      <c r="T16" s="34"/>
      <c r="X16" s="55"/>
    </row>
    <row r="17" spans="2:24" ht="20.100000000000001" customHeight="1" x14ac:dyDescent="0.25">
      <c r="B17" s="75" t="s">
        <v>57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7"/>
      <c r="S17" s="35"/>
      <c r="T17" s="35"/>
      <c r="X17" s="20"/>
    </row>
    <row r="18" spans="2:24" ht="20.100000000000001" customHeight="1" x14ac:dyDescent="0.25">
      <c r="B18" s="75" t="s">
        <v>37</v>
      </c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7"/>
      <c r="S18" s="35"/>
      <c r="T18" s="35"/>
      <c r="X18" s="57"/>
    </row>
    <row r="19" spans="2:24" ht="20.100000000000001" customHeight="1" x14ac:dyDescent="0.25">
      <c r="B19" s="63" t="s">
        <v>21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5"/>
      <c r="S19" s="33"/>
      <c r="T19" s="33"/>
      <c r="X19" s="42"/>
    </row>
    <row r="20" spans="2:24" ht="15.75" customHeight="1" x14ac:dyDescent="0.25"/>
    <row r="22" spans="2:24" x14ac:dyDescent="0.25">
      <c r="K22" s="41"/>
      <c r="N22" s="37"/>
    </row>
    <row r="23" spans="2:24" x14ac:dyDescent="0.25">
      <c r="N23" s="20"/>
    </row>
    <row r="25" spans="2:24" ht="14.25" customHeight="1" x14ac:dyDescent="0.25">
      <c r="W25" s="21" t="s">
        <v>24</v>
      </c>
    </row>
    <row r="26" spans="2:24" ht="15" customHeight="1" x14ac:dyDescent="0.25">
      <c r="W26" s="21" t="s">
        <v>38</v>
      </c>
      <c r="X26" s="25">
        <v>2800</v>
      </c>
    </row>
    <row r="27" spans="2:24" ht="15" customHeight="1" x14ac:dyDescent="0.25">
      <c r="W27" s="22" t="s">
        <v>36</v>
      </c>
      <c r="X27" s="36">
        <v>150278</v>
      </c>
    </row>
    <row r="28" spans="2:24" x14ac:dyDescent="0.25">
      <c r="W28" s="25" t="s">
        <v>35</v>
      </c>
      <c r="X28" s="43">
        <f>X27*X26</f>
        <v>420778400</v>
      </c>
    </row>
    <row r="29" spans="2:24" x14ac:dyDescent="0.25">
      <c r="J29" s="27"/>
      <c r="N29" s="27"/>
      <c r="W29" s="22" t="s">
        <v>22</v>
      </c>
      <c r="X29" s="26">
        <f>$R$15</f>
        <v>76780419.384615391</v>
      </c>
    </row>
    <row r="30" spans="2:24" x14ac:dyDescent="0.25">
      <c r="R30" s="21"/>
      <c r="W30" s="21" t="s">
        <v>23</v>
      </c>
      <c r="X30" s="31">
        <v>1428250</v>
      </c>
    </row>
    <row r="31" spans="2:24" x14ac:dyDescent="0.25">
      <c r="R31" s="21"/>
      <c r="W31" s="21" t="s">
        <v>43</v>
      </c>
      <c r="X31" s="32">
        <v>0</v>
      </c>
    </row>
    <row r="32" spans="2:24" x14ac:dyDescent="0.25">
      <c r="W32" s="22" t="s">
        <v>24</v>
      </c>
      <c r="X32" s="26">
        <f>X31+X30+X29+X28</f>
        <v>498987069.38461542</v>
      </c>
    </row>
    <row r="34" spans="7:24" x14ac:dyDescent="0.25">
      <c r="X34" s="17"/>
    </row>
    <row r="36" spans="7:24" x14ac:dyDescent="0.25">
      <c r="G36" s="29"/>
      <c r="X36" s="18">
        <f>X35+X34</f>
        <v>0</v>
      </c>
    </row>
    <row r="38" spans="7:24" x14ac:dyDescent="0.25">
      <c r="W38" s="21" t="s">
        <v>25</v>
      </c>
      <c r="X38" s="26">
        <f>ROUND(X32,-6)</f>
        <v>499000000</v>
      </c>
    </row>
    <row r="39" spans="7:24" x14ac:dyDescent="0.25">
      <c r="W39" s="21" t="s">
        <v>28</v>
      </c>
      <c r="X39" s="26">
        <f>0.85*X38</f>
        <v>424150000</v>
      </c>
    </row>
    <row r="40" spans="7:24" x14ac:dyDescent="0.25">
      <c r="W40" s="21" t="s">
        <v>29</v>
      </c>
      <c r="X40" s="26">
        <f>X38*0.75</f>
        <v>374250000</v>
      </c>
    </row>
    <row r="41" spans="7:24" x14ac:dyDescent="0.25">
      <c r="W41" s="21"/>
    </row>
    <row r="42" spans="7:24" x14ac:dyDescent="0.25">
      <c r="W42" s="21" t="s">
        <v>26</v>
      </c>
      <c r="X42" s="62">
        <f>$R$15</f>
        <v>76780419.384615391</v>
      </c>
    </row>
    <row r="44" spans="7:24" x14ac:dyDescent="0.25">
      <c r="W44" s="27"/>
    </row>
    <row r="46" spans="7:24" x14ac:dyDescent="0.25">
      <c r="X46">
        <v>43560</v>
      </c>
    </row>
    <row r="47" spans="7:24" x14ac:dyDescent="0.25">
      <c r="X47">
        <v>4000000</v>
      </c>
    </row>
    <row r="48" spans="7:24" x14ac:dyDescent="0.25">
      <c r="X48">
        <v>1200</v>
      </c>
    </row>
    <row r="49" spans="24:24" x14ac:dyDescent="0.25">
      <c r="X49">
        <f>+X47/X48</f>
        <v>3333.3333333333335</v>
      </c>
    </row>
    <row r="50" spans="24:24" x14ac:dyDescent="0.25">
      <c r="X50">
        <v>4</v>
      </c>
    </row>
    <row r="52" spans="24:24" x14ac:dyDescent="0.25">
      <c r="X52" s="21">
        <v>10000000</v>
      </c>
    </row>
    <row r="53" spans="24:24" x14ac:dyDescent="0.25">
      <c r="X53">
        <v>43560</v>
      </c>
    </row>
    <row r="54" spans="24:24" x14ac:dyDescent="0.25">
      <c r="X54">
        <f>+X52/X53</f>
        <v>229.5684113865932</v>
      </c>
    </row>
    <row r="55" spans="24:24" x14ac:dyDescent="0.25">
      <c r="X55" s="21"/>
    </row>
    <row r="56" spans="24:24" x14ac:dyDescent="0.25">
      <c r="X56" s="21"/>
    </row>
    <row r="58" spans="24:24" x14ac:dyDescent="0.25">
      <c r="X58" s="30"/>
    </row>
  </sheetData>
  <mergeCells count="6">
    <mergeCell ref="B19:R19"/>
    <mergeCell ref="B4:T4"/>
    <mergeCell ref="B15:E15"/>
    <mergeCell ref="H15:N15"/>
    <mergeCell ref="B17:R17"/>
    <mergeCell ref="B18:R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"/>
  <sheetViews>
    <sheetView workbookViewId="0">
      <selection activeCell="M3" sqref="M3"/>
    </sheetView>
  </sheetViews>
  <sheetFormatPr defaultRowHeight="15" x14ac:dyDescent="0.25"/>
  <cols>
    <col min="1" max="1" width="8.7109375" bestFit="1" customWidth="1"/>
    <col min="2" max="2" width="13.7109375" customWidth="1"/>
    <col min="3" max="3" width="12.85546875" customWidth="1"/>
    <col min="4" max="4" width="10.7109375" customWidth="1"/>
    <col min="5" max="5" width="16" customWidth="1"/>
    <col min="6" max="6" width="21.28515625" customWidth="1"/>
    <col min="7" max="7" width="21" customWidth="1"/>
    <col min="8" max="8" width="9.5703125" customWidth="1"/>
    <col min="9" max="9" width="13" customWidth="1"/>
    <col min="10" max="10" width="12.7109375" customWidth="1"/>
    <col min="11" max="11" width="11.5703125" customWidth="1"/>
    <col min="12" max="12" width="11.85546875" hidden="1" customWidth="1"/>
    <col min="13" max="13" width="13" customWidth="1"/>
  </cols>
  <sheetData>
    <row r="1" spans="1:13" ht="15.75" x14ac:dyDescent="0.25">
      <c r="A1" s="78" t="s">
        <v>12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104.25" x14ac:dyDescent="0.25">
      <c r="A2" s="5" t="s">
        <v>17</v>
      </c>
      <c r="B2" s="5" t="s">
        <v>13</v>
      </c>
      <c r="C2" s="5" t="s">
        <v>1</v>
      </c>
      <c r="D2" s="5" t="s">
        <v>14</v>
      </c>
      <c r="E2" s="5" t="s">
        <v>15</v>
      </c>
      <c r="F2" s="5" t="s">
        <v>4</v>
      </c>
      <c r="G2" s="5" t="s">
        <v>5</v>
      </c>
      <c r="H2" s="5" t="s">
        <v>18</v>
      </c>
      <c r="I2" s="5" t="s">
        <v>6</v>
      </c>
      <c r="J2" s="5" t="s">
        <v>7</v>
      </c>
      <c r="K2" s="5" t="s">
        <v>8</v>
      </c>
      <c r="L2" s="5" t="s">
        <v>16</v>
      </c>
      <c r="M2" s="5" t="s">
        <v>9</v>
      </c>
    </row>
    <row r="3" spans="1:13" x14ac:dyDescent="0.25">
      <c r="A3" s="6">
        <v>290</v>
      </c>
      <c r="B3" s="7">
        <v>2023</v>
      </c>
      <c r="C3" s="7">
        <v>2024</v>
      </c>
      <c r="D3" s="7">
        <f>C3-B3</f>
        <v>1</v>
      </c>
      <c r="E3" s="7">
        <v>60</v>
      </c>
      <c r="F3" s="8">
        <v>0.1</v>
      </c>
      <c r="G3" s="9">
        <f>(1-F3)/E3</f>
        <v>1.5000000000000001E-2</v>
      </c>
      <c r="H3" s="10">
        <v>5000</v>
      </c>
      <c r="I3" s="10">
        <f>H3*A3</f>
        <v>1450000</v>
      </c>
      <c r="J3" s="10">
        <f>I3*G3*D3</f>
        <v>21750</v>
      </c>
      <c r="K3" s="10">
        <f>MAX(I3-J3,0)</f>
        <v>1428250</v>
      </c>
      <c r="L3" s="11">
        <v>0</v>
      </c>
      <c r="M3" s="10">
        <f>IF(K3&gt;F3*I3,K3*(1-L3),I3*F3)</f>
        <v>1428250</v>
      </c>
    </row>
    <row r="7" spans="1:13" x14ac:dyDescent="0.25">
      <c r="D7" t="s">
        <v>58</v>
      </c>
    </row>
  </sheetData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21" sqref="D21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J14:L14"/>
  <sheetViews>
    <sheetView workbookViewId="0">
      <selection activeCell="L14" sqref="L14"/>
    </sheetView>
  </sheetViews>
  <sheetFormatPr defaultRowHeight="15" x14ac:dyDescent="0.25"/>
  <cols>
    <col min="12" max="12" width="12" bestFit="1" customWidth="1"/>
  </cols>
  <sheetData>
    <row r="14" spans="10:12" x14ac:dyDescent="0.25">
      <c r="J14">
        <v>4580</v>
      </c>
      <c r="K14">
        <v>81143.59</v>
      </c>
      <c r="L14">
        <f>J14*K14</f>
        <v>371637642.19999999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Main</vt:lpstr>
      <vt:lpstr>Sheet2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Rajani Gupta</cp:lastModifiedBy>
  <dcterms:created xsi:type="dcterms:W3CDTF">2022-07-28T09:17:09Z</dcterms:created>
  <dcterms:modified xsi:type="dcterms:W3CDTF">2024-03-28T11:05:05Z</dcterms:modified>
</cp:coreProperties>
</file>