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mc:AlternateContent xmlns:mc="http://schemas.openxmlformats.org/markup-compatibility/2006">
    <mc:Choice Requires="x15">
      <x15ac:absPath xmlns:x15ac="http://schemas.microsoft.com/office/spreadsheetml/2010/11/ac" url="Y:\Yash Bhatnagar\BHSL Report\New Data\FAR Working\Reports\Bilai\Report\"/>
    </mc:Choice>
  </mc:AlternateContent>
  <xr:revisionPtr revIDLastSave="0" documentId="13_ncr:1_{B721D783-DB0C-4E9D-93AB-0A07A6AE0E23}" xr6:coauthVersionLast="47" xr6:coauthVersionMax="47" xr10:uidLastSave="{00000000-0000-0000-0000-000000000000}"/>
  <bookViews>
    <workbookView xWindow="-120" yWindow="-120" windowWidth="21840" windowHeight="13140" firstSheet="2" activeTab="5" xr2:uid="{00000000-000D-0000-FFFF-FFFF00000000}"/>
  </bookViews>
  <sheets>
    <sheet name="Land details" sheetId="1" r:id="rId1"/>
    <sheet name="Land area statement" sheetId="8" r:id="rId2"/>
    <sheet name="Circle Rates" sheetId="7" r:id="rId3"/>
    <sheet name="Land acquisition table" sheetId="9" r:id="rId4"/>
    <sheet name="Land Valuation" sheetId="15" r:id="rId5"/>
    <sheet name="Sheet1" sheetId="16" r:id="rId6"/>
  </sheets>
  <definedNames>
    <definedName name="_xlnm._FilterDatabase" localSheetId="0" hidden="1">'Land details'!$F$3:$N$113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6" l="1"/>
  <c r="G8" i="16" l="1"/>
  <c r="G12" i="16" l="1"/>
  <c r="G11" i="16"/>
  <c r="F7" i="7"/>
  <c r="G7" i="7" s="1"/>
  <c r="K7" i="7" s="1"/>
  <c r="J7" i="7"/>
  <c r="G13" i="15" l="1"/>
  <c r="K12" i="15"/>
  <c r="G12" i="15"/>
  <c r="G11" i="15"/>
  <c r="E10" i="15"/>
  <c r="E9" i="15"/>
  <c r="G8" i="15"/>
  <c r="F8" i="15"/>
  <c r="E8" i="15"/>
  <c r="G7" i="15"/>
  <c r="F7" i="15"/>
  <c r="G6" i="15"/>
  <c r="F6" i="15"/>
  <c r="E6" i="15"/>
  <c r="H19" i="9"/>
  <c r="H17" i="9"/>
  <c r="H15" i="9"/>
  <c r="H11" i="9"/>
  <c r="H10" i="9"/>
  <c r="F10" i="9"/>
  <c r="H9" i="9"/>
  <c r="H8" i="9"/>
  <c r="H7" i="9"/>
  <c r="E9" i="7"/>
  <c r="F9" i="7" s="1"/>
  <c r="G9" i="7" s="1"/>
  <c r="J8" i="7"/>
  <c r="J9" i="7" s="1"/>
  <c r="F8" i="7"/>
  <c r="G8" i="7" s="1"/>
  <c r="K8" i="7" s="1"/>
  <c r="K9" i="7" s="1"/>
  <c r="I12" i="8"/>
  <c r="H12" i="8"/>
  <c r="G12" i="8"/>
  <c r="I11" i="8"/>
  <c r="I10" i="8"/>
  <c r="I9" i="8"/>
  <c r="O122" i="1"/>
  <c r="N113" i="1"/>
  <c r="M113" i="1"/>
  <c r="L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L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3" i="1"/>
  <c r="M63" i="1"/>
  <c r="L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M11" i="1"/>
  <c r="N10" i="1"/>
  <c r="M10" i="1"/>
  <c r="N9" i="1"/>
  <c r="M9" i="1"/>
  <c r="N8" i="1"/>
  <c r="M8" i="1"/>
  <c r="N7" i="1"/>
  <c r="M7" i="1"/>
  <c r="N6" i="1"/>
  <c r="M6" i="1"/>
  <c r="N5" i="1"/>
  <c r="M5" i="1"/>
  <c r="N4" i="1"/>
  <c r="M4" i="1"/>
</calcChain>
</file>

<file path=xl/sharedStrings.xml><?xml version="1.0" encoding="utf-8"?>
<sst xmlns="http://schemas.openxmlformats.org/spreadsheetml/2006/main" count="382" uniqueCount="162">
  <si>
    <t>Land Area Details</t>
  </si>
  <si>
    <t>S.No</t>
  </si>
  <si>
    <t>Date of Registry</t>
  </si>
  <si>
    <t>Reg.No.</t>
  </si>
  <si>
    <t>Khata No.</t>
  </si>
  <si>
    <t>Khasara No.</t>
  </si>
  <si>
    <t>Area  (Hect.)</t>
  </si>
  <si>
    <t>Area (Acre)</t>
  </si>
  <si>
    <t>Area
(sq. mtr.)</t>
  </si>
  <si>
    <t>19.06.04</t>
  </si>
  <si>
    <t>20.06.04</t>
  </si>
  <si>
    <t>21.06.04</t>
  </si>
  <si>
    <t>22.06.04</t>
  </si>
  <si>
    <t>23.06.04</t>
  </si>
  <si>
    <t>24.06.04</t>
  </si>
  <si>
    <t>25.06.04</t>
  </si>
  <si>
    <t>09.07.04</t>
  </si>
  <si>
    <t>03.08.04</t>
  </si>
  <si>
    <t>03.12.04</t>
  </si>
  <si>
    <t>06.12.04</t>
  </si>
  <si>
    <t>09.12.04</t>
  </si>
  <si>
    <t>16.12.04</t>
  </si>
  <si>
    <t>18.12.04</t>
  </si>
  <si>
    <t>29.01.05</t>
  </si>
  <si>
    <t>31.01.05</t>
  </si>
  <si>
    <t>25.04.05</t>
  </si>
  <si>
    <t>13.06.05</t>
  </si>
  <si>
    <t>20.06.05</t>
  </si>
  <si>
    <t>15.07.05</t>
  </si>
  <si>
    <t>25.07.05</t>
  </si>
  <si>
    <t>27.07.05</t>
  </si>
  <si>
    <t>02.08.05</t>
  </si>
  <si>
    <t>28.11.05</t>
  </si>
  <si>
    <t>01.05.06</t>
  </si>
  <si>
    <t>09.05.06</t>
  </si>
  <si>
    <t>29.06.06</t>
  </si>
  <si>
    <t>28.08.06</t>
  </si>
  <si>
    <t>16.05.07</t>
  </si>
  <si>
    <t>09</t>
  </si>
  <si>
    <t>151,154,88</t>
  </si>
  <si>
    <t>01</t>
  </si>
  <si>
    <t>57,80,161,154</t>
  </si>
  <si>
    <t>72,74</t>
  </si>
  <si>
    <t>72,98,99</t>
  </si>
  <si>
    <t>2738 to 2742,2747,2753 to 2761, 2763 to 2766</t>
  </si>
  <si>
    <t>218A,219,220A,218B,220B,221</t>
  </si>
  <si>
    <t>2739 to 2742,2747,2753 to 2761, 2763 to 2766</t>
  </si>
  <si>
    <t>210,211,213,215,216,217</t>
  </si>
  <si>
    <t>208,209,210,211,213,215,217</t>
  </si>
  <si>
    <t>2836,2837,2838</t>
  </si>
  <si>
    <t>153,154,155A,155B,156,157,158,159,167</t>
  </si>
  <si>
    <t>319,320,322</t>
  </si>
  <si>
    <t>224,225,249,270,271,274,275,276,311,312,313,314,315,316A,316B</t>
  </si>
  <si>
    <t>2833,2834</t>
  </si>
  <si>
    <t>173,174</t>
  </si>
  <si>
    <t>322,323</t>
  </si>
  <si>
    <t>255,256A, 256B</t>
  </si>
  <si>
    <t>485,508</t>
  </si>
  <si>
    <t>224,225,249,270,271,274,275,276</t>
  </si>
  <si>
    <t>257,259,260</t>
  </si>
  <si>
    <t>2772,2773</t>
  </si>
  <si>
    <t>2839,2840,2841,2870</t>
  </si>
  <si>
    <t>186,187,188</t>
  </si>
  <si>
    <t>2825,2832,2835</t>
  </si>
  <si>
    <t>208,209</t>
  </si>
  <si>
    <t>224,225,249,270,271,274,275,276,257,259,260</t>
  </si>
  <si>
    <t>322,323,328</t>
  </si>
  <si>
    <t>95,97,98</t>
  </si>
  <si>
    <t>2743,2738,2747,2753,2746</t>
  </si>
  <si>
    <t>280,281,282,283,309</t>
  </si>
  <si>
    <t>2842,2845,2846,2870</t>
  </si>
  <si>
    <t>2871,2872</t>
  </si>
  <si>
    <t>22,23,34,35</t>
  </si>
  <si>
    <t>2702,2703,2704</t>
  </si>
  <si>
    <t>2728,2743,2746,2747,2753</t>
  </si>
  <si>
    <t>2824,2825,2826,2830, 2831</t>
  </si>
  <si>
    <t>2738,2743,2746,2747 &amp; 2753</t>
  </si>
  <si>
    <t>280,281,282, &amp; 283</t>
  </si>
  <si>
    <t>248/2</t>
  </si>
  <si>
    <t>561, 554</t>
  </si>
  <si>
    <t>Village Name</t>
  </si>
  <si>
    <t>244,245,243,246,149/3,248/1,236,239,201,234,235,238,202,240,241,242,200,&amp;199</t>
  </si>
  <si>
    <t>261 to 264, 266 to 269</t>
  </si>
  <si>
    <t>160 to 166, 168 to 171</t>
  </si>
  <si>
    <t>113 to 125, 127 to 152</t>
  </si>
  <si>
    <t>311 to 315, 316A, 316B</t>
  </si>
  <si>
    <t>2684 to 2702</t>
  </si>
  <si>
    <t>272,273,261 to 264,266 to 269,277,278,279</t>
  </si>
  <si>
    <t>2738 to 2742, 2747,2753 to 2761, 2763 to 2766</t>
  </si>
  <si>
    <t>553 to 560</t>
  </si>
  <si>
    <t>03A,03B, 04 to 13, 16 to 23</t>
  </si>
  <si>
    <t>485,491,492,494,495,496,497,499,500 to 509</t>
  </si>
  <si>
    <t>228 to 238, 239A,239B,240,241 to 246, 250 to 254</t>
  </si>
  <si>
    <t>218A, 218B,219,220A,220B,221,224,225,249,270,271 to 276,261 to 264,266 to 269,257,259,260</t>
  </si>
  <si>
    <t>2668 to 2676</t>
  </si>
  <si>
    <t>97 to 104, 105A,105B, 106 to 112</t>
  </si>
  <si>
    <t>280 to 283</t>
  </si>
  <si>
    <t>261 to 264, 266 to 269,491,492,494,to 497,499 to 507,509</t>
  </si>
  <si>
    <t>284 to 302, 306 to 308,310</t>
  </si>
  <si>
    <t>97 to 104, 105A,105B,106 to 112</t>
  </si>
  <si>
    <t>02,03A,03B,04 to 13, 16 to 23</t>
  </si>
  <si>
    <t>280,310 289 to 302, 306 to 308</t>
  </si>
  <si>
    <t>Nangal Jat</t>
  </si>
  <si>
    <t>Bilai</t>
  </si>
  <si>
    <t>Faridpur Malhu</t>
  </si>
  <si>
    <t>Total</t>
  </si>
  <si>
    <t>2767,2768,2769,2770,2771 ,2772,2773</t>
  </si>
  <si>
    <t>Faridpur Mallu</t>
  </si>
  <si>
    <t>Nangal Jat &amp; Bilai</t>
  </si>
  <si>
    <t xml:space="preserve">LAND AREA STATEMENT </t>
  </si>
  <si>
    <t>Sr. No.</t>
  </si>
  <si>
    <t>Total no. of Deeds</t>
  </si>
  <si>
    <r>
      <t xml:space="preserve">Land Area 
</t>
    </r>
    <r>
      <rPr>
        <i/>
        <sz val="10"/>
        <color theme="1"/>
        <rFont val="Calibri"/>
        <family val="2"/>
        <scheme val="minor"/>
      </rPr>
      <t>(in Hectare)</t>
    </r>
  </si>
  <si>
    <r>
      <t xml:space="preserve">Land Area 
</t>
    </r>
    <r>
      <rPr>
        <i/>
        <sz val="10"/>
        <color theme="1"/>
        <rFont val="Calibri"/>
        <family val="2"/>
        <scheme val="minor"/>
      </rPr>
      <t>(in Acres)</t>
    </r>
  </si>
  <si>
    <t>Remarks:</t>
  </si>
  <si>
    <t>1. The above mentioned land area has been taken on the basis of information/ data provided by the company.</t>
  </si>
  <si>
    <t xml:space="preserve">2. As per the copy of change of land use certificate, the company has possession of 33.558 Hectare out of the total land area as on date and for which company has achieved the CLU for industrial use. </t>
  </si>
  <si>
    <t>3. Therefore, for the Valuation assessment, we have taken land area as 33.558 Hectare only.</t>
  </si>
  <si>
    <r>
      <t xml:space="preserve">Area
</t>
    </r>
    <r>
      <rPr>
        <b/>
        <i/>
        <sz val="10"/>
        <rFont val="Calibri"/>
        <family val="2"/>
        <scheme val="minor"/>
      </rPr>
      <t>(in Hectare)</t>
    </r>
  </si>
  <si>
    <r>
      <t xml:space="preserve">Land Rate under Land Acquisition Act-2013
</t>
    </r>
    <r>
      <rPr>
        <i/>
        <sz val="10"/>
        <rFont val="Calibri"/>
        <family val="2"/>
        <scheme val="minor"/>
      </rPr>
      <t>(in per hectares)</t>
    </r>
  </si>
  <si>
    <t xml:space="preserve">Total </t>
  </si>
  <si>
    <r>
      <t xml:space="preserve">Factor for Land Falls under Rural Area </t>
    </r>
    <r>
      <rPr>
        <b/>
        <sz val="11"/>
        <color theme="1"/>
        <rFont val="Calibri"/>
        <family val="2"/>
        <scheme val="minor"/>
      </rPr>
      <t>(B)</t>
    </r>
  </si>
  <si>
    <r>
      <t xml:space="preserve"> 2 times of Value of </t>
    </r>
    <r>
      <rPr>
        <b/>
        <sz val="11"/>
        <color theme="1"/>
        <rFont val="Calibri"/>
        <family val="2"/>
        <scheme val="minor"/>
      </rPr>
      <t>A</t>
    </r>
  </si>
  <si>
    <r>
      <t xml:space="preserve">Value of Assets attached to land or building </t>
    </r>
    <r>
      <rPr>
        <b/>
        <sz val="11"/>
        <color theme="1"/>
        <rFont val="Calibri"/>
        <family val="2"/>
        <scheme val="minor"/>
      </rPr>
      <t>(C)</t>
    </r>
  </si>
  <si>
    <t>Total (D=B+C)</t>
  </si>
  <si>
    <t>Add Solatium
(100%) (E)</t>
  </si>
  <si>
    <t>100% of value D</t>
  </si>
  <si>
    <t>Total Award Value (F=D+E)</t>
  </si>
  <si>
    <t>Add 5% premium for non agriculture land</t>
  </si>
  <si>
    <t>VALUATION OF PROJECT LAND | BAJAJ HINDUSTHAN SUGAR LIMITED | VILLAGE- BILAI DISTRICT- BIJNOR</t>
  </si>
  <si>
    <t>2. These circle rates gives only the indicative values. However, actually this value has no reference to the real market transaction value which is much less for this kind of land considering the land used for Industrial purpose comparing it with non-agricultural land. Hence no reference can be derived out of the Circle Guideline Value</t>
  </si>
  <si>
    <t>BILAI LAND VALUATION BELTING METHOD</t>
  </si>
  <si>
    <t>Calculation by Belting Method</t>
  </si>
  <si>
    <t>Total Area</t>
  </si>
  <si>
    <t>Area (front side)</t>
  </si>
  <si>
    <t>Area (middle part)</t>
  </si>
  <si>
    <t>Area (back side)</t>
  </si>
  <si>
    <t>Rate (Acre)</t>
  </si>
  <si>
    <t>Value</t>
  </si>
  <si>
    <t>Total Value</t>
  </si>
  <si>
    <t>Average Rate (Acre)</t>
  </si>
  <si>
    <t>Add 5% for cost &amp; effort considerations to cover administrative cost, effort towards land acquisition &amp; consolidation etc.</t>
  </si>
  <si>
    <t>TOTAL</t>
  </si>
  <si>
    <t>Range</t>
  </si>
  <si>
    <t>20-30 lakh per bigha</t>
  </si>
  <si>
    <t>1-1.5</t>
  </si>
  <si>
    <t>per acre</t>
  </si>
  <si>
    <t>12-15 lakh</t>
  </si>
  <si>
    <t>60-75</t>
  </si>
  <si>
    <t>7-9 lakh</t>
  </si>
  <si>
    <t>35-45</t>
  </si>
  <si>
    <t>per bigha</t>
  </si>
  <si>
    <t>Sr. No</t>
  </si>
  <si>
    <t>Land Area</t>
  </si>
  <si>
    <t>Govt. Guidelines Rates for Agriculture Land</t>
  </si>
  <si>
    <t>Govt. Guidelines Rates for Non-Agri. Land</t>
  </si>
  <si>
    <t>Govt. Guideline Value of Agricultural land</t>
  </si>
  <si>
    <t>Non- Agricultural Govt. Guideline Value</t>
  </si>
  <si>
    <t>GOVT. GUIDELINEGOVERNMENT GUIDELINE VALUATION OF BAJAJ ENERGY LIMITED-BILAI 
 RATES</t>
  </si>
  <si>
    <t>Land</t>
  </si>
  <si>
    <t>Building</t>
  </si>
  <si>
    <t>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</si>
</sst>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0.000"/>
    <numFmt numFmtId="165" formatCode="_ [$₹-4009]\ * #,##0.00_ ;_ [$₹-4009]\ * \-#,##0.00_ ;_ [$₹-4009]\ * &quot;-&quot;??_ ;_ @_ "/>
    <numFmt numFmtId="166" formatCode="_ * #,##0_ ;_ * \-#,##0_ ;_ * &quot;-&quot;??_ ;_ @_ "/>
  </numFmts>
  <fonts count="2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sz val="12"/>
      <name val="Calibri"/>
      <family val="2"/>
      <scheme val="minor"/>
    </font>
    <font>
      <sz val="11"/>
      <color theme="1"/>
      <name val="Calibri"/>
      <family val="2"/>
      <scheme val="minor"/>
    </font>
    <font>
      <sz val="11"/>
      <color indexed="8"/>
      <name val="Calibri"/>
      <family val="2"/>
    </font>
    <font>
      <sz val="10"/>
      <name val="Arial"/>
      <family val="2"/>
    </font>
    <font>
      <sz val="10"/>
      <color theme="1"/>
      <name val="Arial"/>
      <family val="2"/>
    </font>
    <font>
      <sz val="11"/>
      <color theme="0"/>
      <name val="Calibri"/>
      <family val="2"/>
      <scheme val="minor"/>
    </font>
    <font>
      <b/>
      <sz val="11"/>
      <color theme="0"/>
      <name val="Calibri"/>
      <family val="2"/>
      <scheme val="minor"/>
    </font>
    <font>
      <i/>
      <sz val="10"/>
      <color theme="1"/>
      <name val="Calibri"/>
      <family val="2"/>
      <scheme val="minor"/>
    </font>
    <font>
      <b/>
      <i/>
      <sz val="11"/>
      <color theme="1"/>
      <name val="Calibri"/>
      <family val="2"/>
      <scheme val="minor"/>
    </font>
    <font>
      <b/>
      <i/>
      <sz val="10"/>
      <name val="Calibri"/>
      <family val="2"/>
      <scheme val="minor"/>
    </font>
    <font>
      <i/>
      <sz val="10"/>
      <name val="Calibri"/>
      <family val="2"/>
      <scheme val="minor"/>
    </font>
    <font>
      <b/>
      <sz val="12"/>
      <color theme="0"/>
      <name val="Calibri"/>
      <family val="2"/>
      <scheme val="minor"/>
    </font>
    <font>
      <i/>
      <sz val="11"/>
      <color theme="1"/>
      <name val="Calibri"/>
      <family val="2"/>
      <scheme val="minor"/>
    </font>
    <font>
      <b/>
      <sz val="12"/>
      <color theme="1"/>
      <name val="Calibri"/>
      <family val="2"/>
      <scheme val="minor"/>
    </font>
    <font>
      <b/>
      <sz val="10"/>
      <color rgb="FF000000"/>
      <name val="Calibri"/>
      <family val="2"/>
    </font>
    <font>
      <b/>
      <sz val="10"/>
      <color theme="1"/>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rgb="FFB4C6E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s>
  <cellStyleXfs count="17">
    <xf numFmtId="0" fontId="0"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119">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xf>
    <xf numFmtId="0" fontId="2" fillId="0" borderId="1" xfId="0" quotePrefix="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2" fillId="0" borderId="1" xfId="0" quotePrefix="1" applyNumberFormat="1" applyFont="1" applyBorder="1" applyAlignment="1">
      <alignment horizontal="center" vertical="center"/>
    </xf>
    <xf numFmtId="1" fontId="2" fillId="0" borderId="1" xfId="0" quotePrefix="1" applyNumberFormat="1" applyFont="1" applyBorder="1" applyAlignment="1">
      <alignment horizontal="center" vertical="center"/>
    </xf>
    <xf numFmtId="1" fontId="2" fillId="0" borderId="1" xfId="0" applyNumberFormat="1" applyFont="1" applyBorder="1" applyAlignment="1">
      <alignment horizontal="center" vertical="center"/>
    </xf>
    <xf numFmtId="3" fontId="2" fillId="0" borderId="1" xfId="0" quotePrefix="1" applyNumberFormat="1" applyFont="1" applyBorder="1" applyAlignment="1">
      <alignment horizontal="center" vertical="center" wrapText="1"/>
    </xf>
    <xf numFmtId="1" fontId="2" fillId="0" borderId="1" xfId="0" quotePrefix="1"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2" fillId="0" borderId="4" xfId="0" applyFont="1" applyBorder="1" applyAlignment="1">
      <alignment horizontal="center" vertical="top" wrapText="1"/>
    </xf>
    <xf numFmtId="164" fontId="2" fillId="0" borderId="1" xfId="0" applyNumberFormat="1" applyFont="1" applyBorder="1" applyAlignment="1">
      <alignment horizontal="center"/>
    </xf>
    <xf numFmtId="164" fontId="2" fillId="0" borderId="2"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5" fillId="0" borderId="4" xfId="0" applyFont="1" applyBorder="1" applyAlignment="1">
      <alignment horizontal="center" vertical="top" wrapText="1"/>
    </xf>
    <xf numFmtId="0" fontId="5" fillId="0" borderId="4" xfId="0" applyFont="1" applyBorder="1" applyAlignment="1">
      <alignment horizontal="center" vertical="center" wrapText="1"/>
    </xf>
    <xf numFmtId="164" fontId="5" fillId="0" borderId="1" xfId="0" applyNumberFormat="1" applyFont="1" applyBorder="1" applyAlignment="1">
      <alignment horizontal="center"/>
    </xf>
    <xf numFmtId="164" fontId="5" fillId="0" borderId="1" xfId="0" applyNumberFormat="1"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top" wrapText="1"/>
    </xf>
    <xf numFmtId="164" fontId="5" fillId="0" borderId="5"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5" xfId="0" applyNumberFormat="1" applyFont="1" applyBorder="1" applyAlignment="1">
      <alignment horizontal="center" vertical="center"/>
    </xf>
    <xf numFmtId="0" fontId="2" fillId="0" borderId="2" xfId="0" applyFont="1" applyBorder="1" applyAlignment="1">
      <alignment horizontal="center" vertical="top" wrapText="1"/>
    </xf>
    <xf numFmtId="0" fontId="0" fillId="0" borderId="1" xfId="0" applyBorder="1"/>
    <xf numFmtId="0" fontId="0" fillId="0" borderId="1" xfId="0" applyBorder="1" applyAlignment="1">
      <alignment horizontal="center"/>
    </xf>
    <xf numFmtId="164" fontId="2" fillId="4" borderId="5" xfId="0" applyNumberFormat="1" applyFont="1" applyFill="1" applyBorder="1" applyAlignment="1">
      <alignment horizontal="center" vertical="center" wrapText="1"/>
    </xf>
    <xf numFmtId="0" fontId="2" fillId="4" borderId="1" xfId="0" quotePrefix="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quotePrefix="1" applyFont="1" applyFill="1" applyBorder="1" applyAlignment="1">
      <alignment horizontal="center" vertical="center" wrapText="1"/>
    </xf>
    <xf numFmtId="0" fontId="5" fillId="4" borderId="4" xfId="0" applyFont="1" applyFill="1" applyBorder="1" applyAlignment="1">
      <alignment horizontal="center" vertical="top" wrapText="1"/>
    </xf>
    <xf numFmtId="164" fontId="5" fillId="4" borderId="1" xfId="0" applyNumberFormat="1" applyFont="1" applyFill="1" applyBorder="1" applyAlignment="1">
      <alignment horizontal="center" vertical="center"/>
    </xf>
    <xf numFmtId="0" fontId="0" fillId="0" borderId="1" xfId="0" applyBorder="1" applyAlignment="1">
      <alignment vertical="center"/>
    </xf>
    <xf numFmtId="0" fontId="1"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2" fontId="1" fillId="0" borderId="1" xfId="0" applyNumberFormat="1" applyFont="1" applyBorder="1" applyAlignment="1">
      <alignment horizontal="center"/>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165" fontId="0" fillId="0" borderId="1" xfId="0" applyNumberFormat="1" applyBorder="1"/>
    <xf numFmtId="0" fontId="1" fillId="0" borderId="1" xfId="0" applyFont="1" applyBorder="1"/>
    <xf numFmtId="165" fontId="1" fillId="0" borderId="1" xfId="0" applyNumberFormat="1" applyFont="1" applyBorder="1"/>
    <xf numFmtId="165" fontId="1" fillId="0" borderId="1" xfId="0" applyNumberFormat="1" applyFont="1" applyBorder="1" applyAlignment="1">
      <alignment vertical="center"/>
    </xf>
    <xf numFmtId="165" fontId="0" fillId="0" borderId="1" xfId="0" applyNumberFormat="1" applyBorder="1" applyAlignment="1">
      <alignment vertical="center"/>
    </xf>
    <xf numFmtId="0" fontId="0" fillId="0" borderId="2" xfId="0" applyBorder="1" applyAlignment="1">
      <alignment horizontal="center"/>
    </xf>
    <xf numFmtId="0" fontId="0" fillId="0" borderId="6" xfId="0" applyBorder="1"/>
    <xf numFmtId="165" fontId="0" fillId="0" borderId="2" xfId="0" applyNumberFormat="1" applyBorder="1"/>
    <xf numFmtId="165" fontId="1" fillId="0" borderId="10" xfId="0" applyNumberFormat="1" applyFont="1" applyBorder="1"/>
    <xf numFmtId="0" fontId="0" fillId="0" borderId="0" xfId="0" applyAlignment="1">
      <alignment wrapText="1"/>
    </xf>
    <xf numFmtId="0" fontId="16" fillId="6"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0" borderId="1" xfId="0" applyFont="1" applyBorder="1" applyAlignment="1">
      <alignment horizontal="left" vertical="center"/>
    </xf>
    <xf numFmtId="0" fontId="1" fillId="0" borderId="1" xfId="0" applyFont="1" applyBorder="1" applyAlignment="1">
      <alignment horizontal="center" vertical="center"/>
    </xf>
    <xf numFmtId="1" fontId="0" fillId="0" borderId="1" xfId="0" applyNumberFormat="1" applyBorder="1" applyAlignment="1">
      <alignment horizontal="center" vertical="center"/>
    </xf>
    <xf numFmtId="0" fontId="1" fillId="0" borderId="1" xfId="0" applyFont="1" applyBorder="1" applyAlignment="1">
      <alignment vertical="center" wrapText="1"/>
    </xf>
    <xf numFmtId="17" fontId="0" fillId="0" borderId="0" xfId="0" applyNumberFormat="1"/>
    <xf numFmtId="166" fontId="0" fillId="0" borderId="1" xfId="16" applyNumberFormat="1" applyFont="1" applyBorder="1" applyAlignment="1">
      <alignment horizontal="center" vertical="center"/>
    </xf>
    <xf numFmtId="166" fontId="0" fillId="0" borderId="0" xfId="16" applyNumberFormat="1" applyFont="1"/>
    <xf numFmtId="166" fontId="1" fillId="0" borderId="1" xfId="16" applyNumberFormat="1" applyFont="1" applyBorder="1" applyAlignment="1">
      <alignment horizontal="center" vertical="center"/>
    </xf>
    <xf numFmtId="0" fontId="19" fillId="10" borderId="12" xfId="0" applyFont="1" applyFill="1" applyBorder="1" applyAlignment="1">
      <alignment horizontal="center" vertical="center" wrapText="1"/>
    </xf>
    <xf numFmtId="0" fontId="19" fillId="10" borderId="13" xfId="0" applyFont="1" applyFill="1" applyBorder="1" applyAlignment="1">
      <alignment horizontal="center" vertical="center" wrapText="1"/>
    </xf>
    <xf numFmtId="166" fontId="9" fillId="0" borderId="1" xfId="16" applyNumberFormat="1" applyFont="1" applyBorder="1" applyAlignment="1">
      <alignment horizontal="center" vertical="center"/>
    </xf>
    <xf numFmtId="166" fontId="20" fillId="0" borderId="1" xfId="16" applyNumberFormat="1" applyFont="1" applyBorder="1" applyAlignment="1">
      <alignment horizontal="center" vertical="center"/>
    </xf>
    <xf numFmtId="3" fontId="0" fillId="0" borderId="0" xfId="0" applyNumberFormat="1"/>
    <xf numFmtId="3" fontId="9" fillId="0" borderId="0" xfId="0" applyNumberFormat="1" applyFont="1"/>
    <xf numFmtId="0" fontId="1" fillId="2" borderId="1" xfId="0" applyFont="1" applyFill="1" applyBorder="1" applyAlignment="1">
      <alignment horizontal="center"/>
    </xf>
    <xf numFmtId="0" fontId="0" fillId="2" borderId="1" xfId="0" applyFill="1" applyBorder="1" applyAlignment="1">
      <alignment horizontal="center"/>
    </xf>
    <xf numFmtId="0" fontId="3" fillId="0" borderId="1" xfId="0" applyFont="1" applyBorder="1" applyAlignment="1">
      <alignment horizontal="center" vertical="center"/>
    </xf>
    <xf numFmtId="2" fontId="0" fillId="0" borderId="1" xfId="0" applyNumberFormat="1" applyBorder="1" applyAlignment="1">
      <alignment horizontal="center" vertical="center"/>
    </xf>
    <xf numFmtId="2" fontId="2" fillId="0" borderId="1" xfId="0" applyNumberFormat="1"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0" fontId="13" fillId="0" borderId="8" xfId="0" applyFont="1" applyBorder="1" applyAlignment="1">
      <alignment horizontal="left" wrapText="1"/>
    </xf>
    <xf numFmtId="0" fontId="13" fillId="0" borderId="9" xfId="0" applyFont="1" applyBorder="1" applyAlignment="1">
      <alignment horizontal="left" wrapText="1"/>
    </xf>
    <xf numFmtId="0" fontId="13" fillId="0" borderId="10" xfId="0" applyFont="1" applyBorder="1" applyAlignment="1">
      <alignment horizontal="left" wrapText="1"/>
    </xf>
    <xf numFmtId="0" fontId="11" fillId="5" borderId="1" xfId="0" applyFont="1" applyFill="1" applyBorder="1" applyAlignment="1">
      <alignment horizontal="center"/>
    </xf>
    <xf numFmtId="0" fontId="10" fillId="5" borderId="1" xfId="0" applyFont="1" applyFill="1" applyBorder="1" applyAlignment="1">
      <alignment horizontal="center"/>
    </xf>
    <xf numFmtId="0" fontId="1" fillId="0" borderId="1" xfId="0" applyFont="1" applyBorder="1" applyAlignment="1">
      <alignment horizontal="center"/>
    </xf>
    <xf numFmtId="0" fontId="13" fillId="0" borderId="8" xfId="0" applyFont="1" applyBorder="1" applyAlignment="1">
      <alignment horizontal="left"/>
    </xf>
    <xf numFmtId="0" fontId="13" fillId="0" borderId="9" xfId="0" applyFont="1" applyBorder="1" applyAlignment="1">
      <alignment horizontal="left"/>
    </xf>
    <xf numFmtId="0" fontId="13" fillId="0" borderId="10" xfId="0" applyFont="1" applyBorder="1" applyAlignment="1">
      <alignment horizontal="left"/>
    </xf>
    <xf numFmtId="0" fontId="17" fillId="0" borderId="1" xfId="0" applyFont="1" applyBorder="1" applyAlignment="1">
      <alignment horizontal="left" vertical="center"/>
    </xf>
    <xf numFmtId="0" fontId="17" fillId="0" borderId="1" xfId="0" applyFont="1" applyBorder="1" applyAlignment="1">
      <alignment horizontal="left" wrapText="1"/>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1" fillId="5" borderId="1" xfId="0" applyFont="1" applyFill="1" applyBorder="1" applyAlignment="1">
      <alignment horizontal="center" wrapText="1"/>
    </xf>
    <xf numFmtId="0" fontId="11" fillId="6" borderId="11" xfId="0" applyFont="1" applyFill="1" applyBorder="1" applyAlignment="1">
      <alignment horizontal="center" wrapText="1"/>
    </xf>
    <xf numFmtId="0" fontId="0" fillId="0" borderId="6" xfId="0"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xf numFmtId="0" fontId="11" fillId="8" borderId="1" xfId="0" applyFont="1" applyFill="1" applyBorder="1" applyAlignment="1">
      <alignment horizontal="center"/>
    </xf>
    <xf numFmtId="0" fontId="0" fillId="8" borderId="1" xfId="0" applyFill="1" applyBorder="1" applyAlignment="1">
      <alignment horizontal="center"/>
    </xf>
    <xf numFmtId="166" fontId="1" fillId="0" borderId="8" xfId="16" applyNumberFormat="1" applyFont="1" applyBorder="1" applyAlignment="1">
      <alignment horizontal="center" vertical="center"/>
    </xf>
    <xf numFmtId="166" fontId="1" fillId="0" borderId="9" xfId="16" applyNumberFormat="1" applyFont="1" applyBorder="1" applyAlignment="1">
      <alignment horizontal="center" vertical="center"/>
    </xf>
    <xf numFmtId="166" fontId="1" fillId="0" borderId="10" xfId="16" applyNumberFormat="1" applyFont="1" applyBorder="1" applyAlignment="1">
      <alignment horizontal="center" vertical="center"/>
    </xf>
    <xf numFmtId="166" fontId="0" fillId="0" borderId="8" xfId="16" applyNumberFormat="1" applyFont="1" applyBorder="1" applyAlignment="1">
      <alignment horizontal="center" vertical="center"/>
    </xf>
    <xf numFmtId="166" fontId="0" fillId="0" borderId="9" xfId="16" applyNumberFormat="1" applyFont="1" applyBorder="1" applyAlignment="1">
      <alignment horizontal="center" vertical="center"/>
    </xf>
    <xf numFmtId="166" fontId="0" fillId="0" borderId="10" xfId="16" applyNumberFormat="1" applyFont="1" applyBorder="1" applyAlignment="1">
      <alignment horizontal="center" vertical="center"/>
    </xf>
    <xf numFmtId="0" fontId="1" fillId="9" borderId="1" xfId="0" applyFont="1" applyFill="1" applyBorder="1" applyAlignment="1">
      <alignment horizontal="center" vertical="center"/>
    </xf>
  </cellXfs>
  <cellStyles count="17">
    <cellStyle name="Comma" xfId="16" builtinId="3"/>
    <cellStyle name="Currency 2" xfId="12" xr:uid="{00000000-0005-0000-0000-000001000000}"/>
    <cellStyle name="Currency 3" xfId="14" xr:uid="{00000000-0005-0000-0000-000002000000}"/>
    <cellStyle name="Currency 4" xfId="13" xr:uid="{00000000-0005-0000-0000-000003000000}"/>
    <cellStyle name="Currency 6" xfId="15" xr:uid="{00000000-0005-0000-0000-000004000000}"/>
    <cellStyle name="Excel Built-in Normal" xfId="1" xr:uid="{00000000-0005-0000-0000-000005000000}"/>
    <cellStyle name="Excel Built-in Normal 1" xfId="10" xr:uid="{00000000-0005-0000-0000-000006000000}"/>
    <cellStyle name="Normal" xfId="0" builtinId="0"/>
    <cellStyle name="Normal 118" xfId="2" xr:uid="{00000000-0005-0000-0000-000008000000}"/>
    <cellStyle name="Normal 119" xfId="6" xr:uid="{00000000-0005-0000-0000-000009000000}"/>
    <cellStyle name="Normal 120" xfId="3" xr:uid="{00000000-0005-0000-0000-00000A000000}"/>
    <cellStyle name="Normal 122" xfId="7" xr:uid="{00000000-0005-0000-0000-00000B000000}"/>
    <cellStyle name="Normal 123" xfId="4" xr:uid="{00000000-0005-0000-0000-00000C000000}"/>
    <cellStyle name="Normal 124" xfId="8" xr:uid="{00000000-0005-0000-0000-00000D000000}"/>
    <cellStyle name="Normal 125" xfId="5" xr:uid="{00000000-0005-0000-0000-00000E000000}"/>
    <cellStyle name="Normal 127" xfId="9" xr:uid="{00000000-0005-0000-0000-00000F000000}"/>
    <cellStyle name="Normal 2" xfId="11"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2:O122"/>
  <sheetViews>
    <sheetView zoomScale="85" zoomScaleNormal="85" workbookViewId="0">
      <selection activeCell="J24" sqref="J24"/>
    </sheetView>
  </sheetViews>
  <sheetFormatPr defaultRowHeight="15" x14ac:dyDescent="0.25"/>
  <cols>
    <col min="9" max="9" width="19.140625" customWidth="1"/>
    <col min="10" max="10" width="16.28515625" customWidth="1"/>
    <col min="11" max="11" width="41.5703125" customWidth="1"/>
    <col min="14" max="14" width="12" customWidth="1"/>
  </cols>
  <sheetData>
    <row r="2" spans="6:14" x14ac:dyDescent="0.25">
      <c r="F2" s="80" t="s">
        <v>0</v>
      </c>
      <c r="G2" s="81"/>
      <c r="H2" s="81"/>
      <c r="I2" s="81"/>
      <c r="J2" s="81"/>
      <c r="K2" s="81"/>
      <c r="L2" s="81"/>
      <c r="M2" s="81"/>
      <c r="N2" s="81"/>
    </row>
    <row r="3" spans="6:14" ht="30" x14ac:dyDescent="0.25">
      <c r="F3" s="1" t="s">
        <v>1</v>
      </c>
      <c r="G3" s="1" t="s">
        <v>2</v>
      </c>
      <c r="H3" s="1" t="s">
        <v>3</v>
      </c>
      <c r="I3" s="1" t="s">
        <v>80</v>
      </c>
      <c r="J3" s="1" t="s">
        <v>4</v>
      </c>
      <c r="K3" s="1" t="s">
        <v>5</v>
      </c>
      <c r="L3" s="1" t="s">
        <v>6</v>
      </c>
      <c r="M3" s="1" t="s">
        <v>7</v>
      </c>
      <c r="N3" s="1" t="s">
        <v>8</v>
      </c>
    </row>
    <row r="4" spans="6:14" ht="15" customHeight="1" x14ac:dyDescent="0.25">
      <c r="F4" s="3">
        <v>1</v>
      </c>
      <c r="G4" s="3" t="s">
        <v>9</v>
      </c>
      <c r="H4" s="3">
        <v>5019</v>
      </c>
      <c r="I4" s="29" t="s">
        <v>102</v>
      </c>
      <c r="J4" s="3">
        <v>275</v>
      </c>
      <c r="K4" s="3" t="s">
        <v>44</v>
      </c>
      <c r="L4" s="15">
        <v>0.72799999999999998</v>
      </c>
      <c r="M4" s="15">
        <f t="shared" ref="M4:M47" si="0">ROUND(L4*2.471,3)</f>
        <v>1.7989999999999999</v>
      </c>
      <c r="N4" s="14">
        <f>(M4*4046.86)</f>
        <v>7280.3011399999996</v>
      </c>
    </row>
    <row r="5" spans="6:14" x14ac:dyDescent="0.25">
      <c r="F5" s="2">
        <v>2</v>
      </c>
      <c r="G5" s="2" t="s">
        <v>9</v>
      </c>
      <c r="H5" s="2">
        <v>5020</v>
      </c>
      <c r="I5" s="18" t="s">
        <v>103</v>
      </c>
      <c r="J5" s="2">
        <v>80</v>
      </c>
      <c r="K5" s="2" t="s">
        <v>45</v>
      </c>
      <c r="L5" s="13">
        <v>6.8000000000000005E-2</v>
      </c>
      <c r="M5" s="13">
        <f t="shared" si="0"/>
        <v>0.16800000000000001</v>
      </c>
      <c r="N5" s="14">
        <f t="shared" ref="N5:N46" si="1">(M5*4046.86)</f>
        <v>679.87248000000011</v>
      </c>
    </row>
    <row r="6" spans="6:14" x14ac:dyDescent="0.25">
      <c r="F6" s="2">
        <v>3</v>
      </c>
      <c r="G6" s="2" t="s">
        <v>9</v>
      </c>
      <c r="H6" s="2">
        <v>5021</v>
      </c>
      <c r="I6" s="18" t="s">
        <v>103</v>
      </c>
      <c r="J6" s="7">
        <v>160</v>
      </c>
      <c r="K6" s="7">
        <v>173174</v>
      </c>
      <c r="L6" s="13">
        <v>1.2E-2</v>
      </c>
      <c r="M6" s="13">
        <f t="shared" si="0"/>
        <v>0.03</v>
      </c>
      <c r="N6" s="14">
        <f t="shared" si="1"/>
        <v>121.4058</v>
      </c>
    </row>
    <row r="7" spans="6:14" x14ac:dyDescent="0.25">
      <c r="F7" s="2">
        <v>4</v>
      </c>
      <c r="G7" s="2" t="s">
        <v>9</v>
      </c>
      <c r="H7" s="2">
        <v>5022</v>
      </c>
      <c r="I7" s="18" t="s">
        <v>103</v>
      </c>
      <c r="J7" s="7">
        <v>160</v>
      </c>
      <c r="K7" s="7">
        <v>173174</v>
      </c>
      <c r="L7" s="13">
        <v>7.4999999999999997E-2</v>
      </c>
      <c r="M7" s="13">
        <f t="shared" si="0"/>
        <v>0.185</v>
      </c>
      <c r="N7" s="14">
        <f t="shared" si="1"/>
        <v>748.66910000000007</v>
      </c>
    </row>
    <row r="8" spans="6:14" x14ac:dyDescent="0.25">
      <c r="F8" s="3">
        <v>5</v>
      </c>
      <c r="G8" s="3" t="s">
        <v>9</v>
      </c>
      <c r="H8" s="3">
        <v>5023</v>
      </c>
      <c r="I8" s="36" t="s">
        <v>102</v>
      </c>
      <c r="J8" s="3">
        <v>275</v>
      </c>
      <c r="K8" s="3" t="s">
        <v>46</v>
      </c>
      <c r="L8" s="15">
        <v>0.72799999999999998</v>
      </c>
      <c r="M8" s="15">
        <f t="shared" si="0"/>
        <v>1.7989999999999999</v>
      </c>
      <c r="N8" s="14">
        <f t="shared" si="1"/>
        <v>7280.3011399999996</v>
      </c>
    </row>
    <row r="9" spans="6:14" x14ac:dyDescent="0.25">
      <c r="F9" s="2">
        <v>6</v>
      </c>
      <c r="G9" s="2" t="s">
        <v>9</v>
      </c>
      <c r="H9" s="2">
        <v>5024</v>
      </c>
      <c r="I9" s="19" t="s">
        <v>102</v>
      </c>
      <c r="J9" s="2">
        <v>275</v>
      </c>
      <c r="K9" s="2" t="s">
        <v>44</v>
      </c>
      <c r="L9" s="13">
        <v>0.36399999999999999</v>
      </c>
      <c r="M9" s="13">
        <f t="shared" si="0"/>
        <v>0.89900000000000002</v>
      </c>
      <c r="N9" s="14">
        <f t="shared" si="1"/>
        <v>3638.1271400000001</v>
      </c>
    </row>
    <row r="10" spans="6:14" x14ac:dyDescent="0.25">
      <c r="F10" s="2">
        <v>7</v>
      </c>
      <c r="G10" s="2" t="s">
        <v>9</v>
      </c>
      <c r="H10" s="2">
        <v>5025</v>
      </c>
      <c r="I10" s="18" t="s">
        <v>103</v>
      </c>
      <c r="J10" s="2">
        <v>154</v>
      </c>
      <c r="K10" s="2" t="s">
        <v>82</v>
      </c>
      <c r="L10" s="13">
        <v>0.30299999999999999</v>
      </c>
      <c r="M10" s="13">
        <f t="shared" si="0"/>
        <v>0.749</v>
      </c>
      <c r="N10" s="14">
        <f t="shared" si="1"/>
        <v>3031.0981400000001</v>
      </c>
    </row>
    <row r="11" spans="6:14" x14ac:dyDescent="0.25">
      <c r="F11" s="2">
        <v>8</v>
      </c>
      <c r="G11" s="2" t="s">
        <v>9</v>
      </c>
      <c r="H11" s="2">
        <v>5026</v>
      </c>
      <c r="I11" s="19" t="s">
        <v>102</v>
      </c>
      <c r="J11" s="2">
        <v>275</v>
      </c>
      <c r="K11" s="2" t="s">
        <v>44</v>
      </c>
      <c r="L11" s="13">
        <v>0.72799999999999998</v>
      </c>
      <c r="M11" s="13">
        <f t="shared" si="0"/>
        <v>1.7989999999999999</v>
      </c>
      <c r="N11" s="14">
        <f t="shared" si="1"/>
        <v>7280.3011399999996</v>
      </c>
    </row>
    <row r="12" spans="6:14" x14ac:dyDescent="0.25">
      <c r="F12" s="6">
        <v>9</v>
      </c>
      <c r="G12" s="3" t="s">
        <v>9</v>
      </c>
      <c r="H12" s="6">
        <v>5027</v>
      </c>
      <c r="I12" s="20" t="s">
        <v>103</v>
      </c>
      <c r="J12" s="6">
        <v>57</v>
      </c>
      <c r="K12" s="6">
        <v>257259260</v>
      </c>
      <c r="L12" s="15">
        <v>4.2000000000000003E-2</v>
      </c>
      <c r="M12" s="15">
        <f t="shared" si="0"/>
        <v>0.104</v>
      </c>
      <c r="N12" s="14">
        <f t="shared" si="1"/>
        <v>420.87344000000002</v>
      </c>
    </row>
    <row r="13" spans="6:14" x14ac:dyDescent="0.25">
      <c r="F13" s="2">
        <v>10</v>
      </c>
      <c r="G13" s="2" t="s">
        <v>9</v>
      </c>
      <c r="H13" s="2">
        <v>5028</v>
      </c>
      <c r="I13" s="18" t="s">
        <v>103</v>
      </c>
      <c r="J13" s="7">
        <v>160</v>
      </c>
      <c r="K13" s="7">
        <v>173174</v>
      </c>
      <c r="L13" s="13">
        <v>1.2E-2</v>
      </c>
      <c r="M13" s="13">
        <f t="shared" si="0"/>
        <v>0.03</v>
      </c>
      <c r="N13" s="14">
        <f t="shared" si="1"/>
        <v>121.4058</v>
      </c>
    </row>
    <row r="14" spans="6:14" x14ac:dyDescent="0.25">
      <c r="F14" s="2">
        <v>11</v>
      </c>
      <c r="G14" s="2" t="s">
        <v>9</v>
      </c>
      <c r="H14" s="2">
        <v>5029</v>
      </c>
      <c r="I14" s="18" t="s">
        <v>103</v>
      </c>
      <c r="J14" s="8">
        <v>30</v>
      </c>
      <c r="K14" s="8" t="s">
        <v>47</v>
      </c>
      <c r="L14" s="13">
        <v>0.42099999999999999</v>
      </c>
      <c r="M14" s="13">
        <f t="shared" si="0"/>
        <v>1.04</v>
      </c>
      <c r="N14" s="14">
        <f t="shared" si="1"/>
        <v>4208.7344000000003</v>
      </c>
    </row>
    <row r="15" spans="6:14" x14ac:dyDescent="0.25">
      <c r="F15" s="2">
        <v>12</v>
      </c>
      <c r="G15" s="2" t="s">
        <v>9</v>
      </c>
      <c r="H15" s="2">
        <v>5030</v>
      </c>
      <c r="I15" s="18" t="s">
        <v>103</v>
      </c>
      <c r="J15" s="2">
        <v>80</v>
      </c>
      <c r="K15" s="2" t="s">
        <v>45</v>
      </c>
      <c r="L15" s="13">
        <v>6.9000000000000006E-2</v>
      </c>
      <c r="M15" s="13">
        <f t="shared" si="0"/>
        <v>0.17</v>
      </c>
      <c r="N15" s="14">
        <f t="shared" si="1"/>
        <v>687.96620000000007</v>
      </c>
    </row>
    <row r="16" spans="6:14" x14ac:dyDescent="0.25">
      <c r="F16" s="3">
        <v>13</v>
      </c>
      <c r="G16" s="3" t="s">
        <v>9</v>
      </c>
      <c r="H16" s="3">
        <v>5031</v>
      </c>
      <c r="I16" s="37" t="s">
        <v>103</v>
      </c>
      <c r="J16" s="3">
        <v>173</v>
      </c>
      <c r="K16" s="3" t="s">
        <v>83</v>
      </c>
      <c r="L16" s="15">
        <v>1.022</v>
      </c>
      <c r="M16" s="15">
        <f t="shared" si="0"/>
        <v>2.5249999999999999</v>
      </c>
      <c r="N16" s="14">
        <f t="shared" si="1"/>
        <v>10218.3215</v>
      </c>
    </row>
    <row r="17" spans="6:14" x14ac:dyDescent="0.25">
      <c r="F17" s="2">
        <v>14</v>
      </c>
      <c r="G17" s="2" t="s">
        <v>10</v>
      </c>
      <c r="H17" s="2">
        <v>5032</v>
      </c>
      <c r="I17" s="18" t="s">
        <v>103</v>
      </c>
      <c r="J17" s="4">
        <v>51</v>
      </c>
      <c r="K17" s="4" t="s">
        <v>84</v>
      </c>
      <c r="L17" s="13">
        <v>0.28499999999999998</v>
      </c>
      <c r="M17" s="13">
        <f t="shared" si="0"/>
        <v>0.70399999999999996</v>
      </c>
      <c r="N17" s="14">
        <f t="shared" si="1"/>
        <v>2848.9894399999998</v>
      </c>
    </row>
    <row r="18" spans="6:14" x14ac:dyDescent="0.25">
      <c r="F18" s="2">
        <v>15</v>
      </c>
      <c r="G18" s="2" t="s">
        <v>10</v>
      </c>
      <c r="H18" s="2">
        <v>5033</v>
      </c>
      <c r="I18" s="18" t="s">
        <v>103</v>
      </c>
      <c r="J18" s="7">
        <v>160</v>
      </c>
      <c r="K18" s="7">
        <v>173174</v>
      </c>
      <c r="L18" s="13">
        <v>1.2E-2</v>
      </c>
      <c r="M18" s="13">
        <f t="shared" si="0"/>
        <v>0.03</v>
      </c>
      <c r="N18" s="14">
        <f t="shared" si="1"/>
        <v>121.4058</v>
      </c>
    </row>
    <row r="19" spans="6:14" x14ac:dyDescent="0.25">
      <c r="F19" s="2">
        <v>16</v>
      </c>
      <c r="G19" s="2" t="s">
        <v>10</v>
      </c>
      <c r="H19" s="2">
        <v>5034</v>
      </c>
      <c r="I19" s="18" t="s">
        <v>103</v>
      </c>
      <c r="J19" s="7">
        <v>160</v>
      </c>
      <c r="K19" s="7">
        <v>173174</v>
      </c>
      <c r="L19" s="13">
        <v>1.7999999999999999E-2</v>
      </c>
      <c r="M19" s="13">
        <f t="shared" si="0"/>
        <v>4.3999999999999997E-2</v>
      </c>
      <c r="N19" s="14">
        <f t="shared" si="1"/>
        <v>178.06183999999999</v>
      </c>
    </row>
    <row r="20" spans="6:14" x14ac:dyDescent="0.25">
      <c r="F20" s="2">
        <v>17</v>
      </c>
      <c r="G20" s="2" t="s">
        <v>10</v>
      </c>
      <c r="H20" s="2">
        <v>5035</v>
      </c>
      <c r="I20" s="18" t="s">
        <v>103</v>
      </c>
      <c r="J20" s="4" t="s">
        <v>38</v>
      </c>
      <c r="K20" s="2" t="s">
        <v>85</v>
      </c>
      <c r="L20" s="13">
        <v>0.14799999999999999</v>
      </c>
      <c r="M20" s="13">
        <f t="shared" si="0"/>
        <v>0.36599999999999999</v>
      </c>
      <c r="N20" s="14">
        <f t="shared" si="1"/>
        <v>1481.15076</v>
      </c>
    </row>
    <row r="21" spans="6:14" x14ac:dyDescent="0.25">
      <c r="F21" s="3">
        <v>18</v>
      </c>
      <c r="G21" s="3" t="s">
        <v>10</v>
      </c>
      <c r="H21" s="3">
        <v>5036</v>
      </c>
      <c r="I21" s="35" t="s">
        <v>103</v>
      </c>
      <c r="J21" s="3">
        <v>18</v>
      </c>
      <c r="K21" s="3">
        <v>14</v>
      </c>
      <c r="L21" s="15">
        <v>3.7999999999999999E-2</v>
      </c>
      <c r="M21" s="15">
        <f t="shared" si="0"/>
        <v>9.4E-2</v>
      </c>
      <c r="N21" s="14">
        <f t="shared" si="1"/>
        <v>380.40484000000004</v>
      </c>
    </row>
    <row r="22" spans="6:14" x14ac:dyDescent="0.25">
      <c r="F22" s="2">
        <v>19</v>
      </c>
      <c r="G22" s="2" t="s">
        <v>10</v>
      </c>
      <c r="H22" s="2">
        <v>5037</v>
      </c>
      <c r="I22" s="18" t="s">
        <v>103</v>
      </c>
      <c r="J22" s="4">
        <v>51</v>
      </c>
      <c r="K22" s="4" t="s">
        <v>84</v>
      </c>
      <c r="L22" s="13">
        <v>0.56899999999999995</v>
      </c>
      <c r="M22" s="13">
        <f t="shared" si="0"/>
        <v>1.4059999999999999</v>
      </c>
      <c r="N22" s="14">
        <f t="shared" si="1"/>
        <v>5689.8851599999998</v>
      </c>
    </row>
    <row r="23" spans="6:14" x14ac:dyDescent="0.25">
      <c r="F23" s="2">
        <v>20</v>
      </c>
      <c r="G23" s="2" t="s">
        <v>10</v>
      </c>
      <c r="H23" s="2">
        <v>5038</v>
      </c>
      <c r="I23" s="18" t="s">
        <v>103</v>
      </c>
      <c r="J23" s="4" t="s">
        <v>38</v>
      </c>
      <c r="K23" s="2" t="s">
        <v>85</v>
      </c>
      <c r="L23" s="13">
        <v>0.14799999999999999</v>
      </c>
      <c r="M23" s="13">
        <f t="shared" si="0"/>
        <v>0.36599999999999999</v>
      </c>
      <c r="N23" s="14">
        <f t="shared" si="1"/>
        <v>1481.15076</v>
      </c>
    </row>
    <row r="24" spans="6:14" x14ac:dyDescent="0.25">
      <c r="F24" s="2">
        <v>21</v>
      </c>
      <c r="G24" s="2" t="s">
        <v>10</v>
      </c>
      <c r="H24" s="2">
        <v>5039</v>
      </c>
      <c r="I24" s="18" t="s">
        <v>103</v>
      </c>
      <c r="J24" s="4" t="s">
        <v>38</v>
      </c>
      <c r="K24" s="2" t="s">
        <v>85</v>
      </c>
      <c r="L24" s="13">
        <v>0.14799999999999999</v>
      </c>
      <c r="M24" s="13">
        <f t="shared" si="0"/>
        <v>0.36599999999999999</v>
      </c>
      <c r="N24" s="14">
        <f t="shared" si="1"/>
        <v>1481.15076</v>
      </c>
    </row>
    <row r="25" spans="6:14" x14ac:dyDescent="0.25">
      <c r="F25" s="3">
        <v>22</v>
      </c>
      <c r="G25" s="3" t="s">
        <v>10</v>
      </c>
      <c r="H25" s="3">
        <v>5040</v>
      </c>
      <c r="I25" s="33" t="s">
        <v>103</v>
      </c>
      <c r="J25" s="6">
        <v>160</v>
      </c>
      <c r="K25" s="6">
        <v>173174</v>
      </c>
      <c r="L25" s="15">
        <v>7.4999999999999997E-2</v>
      </c>
      <c r="M25" s="15">
        <f t="shared" si="0"/>
        <v>0.185</v>
      </c>
      <c r="N25" s="14">
        <f t="shared" si="1"/>
        <v>748.66910000000007</v>
      </c>
    </row>
    <row r="26" spans="6:14" x14ac:dyDescent="0.25">
      <c r="F26" s="2">
        <v>23</v>
      </c>
      <c r="G26" s="2" t="s">
        <v>10</v>
      </c>
      <c r="H26" s="2">
        <v>5041</v>
      </c>
      <c r="I26" s="18" t="s">
        <v>103</v>
      </c>
      <c r="J26" s="4">
        <v>165</v>
      </c>
      <c r="K26" s="4" t="s">
        <v>48</v>
      </c>
      <c r="L26" s="13">
        <v>0.20200000000000001</v>
      </c>
      <c r="M26" s="13">
        <f t="shared" si="0"/>
        <v>0.499</v>
      </c>
      <c r="N26" s="14">
        <f t="shared" si="1"/>
        <v>2019.3831400000001</v>
      </c>
    </row>
    <row r="27" spans="6:14" x14ac:dyDescent="0.25">
      <c r="F27" s="2">
        <v>24</v>
      </c>
      <c r="G27" s="2" t="s">
        <v>10</v>
      </c>
      <c r="H27" s="2">
        <v>5042</v>
      </c>
      <c r="I27" s="19" t="s">
        <v>102</v>
      </c>
      <c r="J27" s="4">
        <v>260</v>
      </c>
      <c r="K27" s="4" t="s">
        <v>86</v>
      </c>
      <c r="L27" s="13">
        <v>3.0169999999999999</v>
      </c>
      <c r="M27" s="13">
        <f t="shared" si="0"/>
        <v>7.4550000000000001</v>
      </c>
      <c r="N27" s="14">
        <f t="shared" si="1"/>
        <v>30169.3413</v>
      </c>
    </row>
    <row r="28" spans="6:14" x14ac:dyDescent="0.25">
      <c r="F28" s="3">
        <v>25</v>
      </c>
      <c r="G28" s="3" t="s">
        <v>10</v>
      </c>
      <c r="H28" s="3">
        <v>5043</v>
      </c>
      <c r="I28" s="20" t="s">
        <v>103</v>
      </c>
      <c r="J28" s="3" t="s">
        <v>39</v>
      </c>
      <c r="K28" s="5" t="s">
        <v>87</v>
      </c>
      <c r="L28" s="15">
        <v>0.49399999999999999</v>
      </c>
      <c r="M28" s="15">
        <f t="shared" si="0"/>
        <v>1.2210000000000001</v>
      </c>
      <c r="N28" s="14">
        <f t="shared" si="1"/>
        <v>4941.2160600000007</v>
      </c>
    </row>
    <row r="29" spans="6:14" x14ac:dyDescent="0.25">
      <c r="F29" s="2">
        <v>26</v>
      </c>
      <c r="G29" s="2" t="s">
        <v>10</v>
      </c>
      <c r="H29" s="2">
        <v>5044</v>
      </c>
      <c r="I29" s="19" t="s">
        <v>102</v>
      </c>
      <c r="J29" s="4">
        <v>136</v>
      </c>
      <c r="K29" s="4" t="s">
        <v>49</v>
      </c>
      <c r="L29" s="13">
        <v>0.21</v>
      </c>
      <c r="M29" s="13">
        <f t="shared" si="0"/>
        <v>0.51900000000000002</v>
      </c>
      <c r="N29" s="14">
        <f t="shared" si="1"/>
        <v>2100.3203400000002</v>
      </c>
    </row>
    <row r="30" spans="6:14" x14ac:dyDescent="0.25">
      <c r="F30" s="2">
        <v>27</v>
      </c>
      <c r="G30" s="2" t="s">
        <v>10</v>
      </c>
      <c r="H30" s="2">
        <v>5045</v>
      </c>
      <c r="I30" s="18" t="s">
        <v>103</v>
      </c>
      <c r="J30" s="4">
        <v>173</v>
      </c>
      <c r="K30" s="4" t="s">
        <v>50</v>
      </c>
      <c r="L30" s="13">
        <v>0.52</v>
      </c>
      <c r="M30" s="13">
        <f t="shared" si="0"/>
        <v>1.2849999999999999</v>
      </c>
      <c r="N30" s="14">
        <f t="shared" si="1"/>
        <v>5200.2150999999994</v>
      </c>
    </row>
    <row r="31" spans="6:14" x14ac:dyDescent="0.25">
      <c r="F31" s="2">
        <v>28</v>
      </c>
      <c r="G31" s="2" t="s">
        <v>10</v>
      </c>
      <c r="H31" s="2">
        <v>5046</v>
      </c>
      <c r="I31" s="19" t="s">
        <v>102</v>
      </c>
      <c r="J31" s="2">
        <v>148</v>
      </c>
      <c r="K31" s="2">
        <v>1626</v>
      </c>
      <c r="L31" s="13">
        <v>0.114</v>
      </c>
      <c r="M31" s="13">
        <f t="shared" si="0"/>
        <v>0.28199999999999997</v>
      </c>
      <c r="N31" s="14">
        <f t="shared" si="1"/>
        <v>1141.21452</v>
      </c>
    </row>
    <row r="32" spans="6:14" x14ac:dyDescent="0.25">
      <c r="F32" s="2">
        <v>29</v>
      </c>
      <c r="G32" s="2" t="s">
        <v>10</v>
      </c>
      <c r="H32" s="2">
        <v>5047</v>
      </c>
      <c r="I32" s="40" t="s">
        <v>104</v>
      </c>
      <c r="J32" s="41">
        <v>30</v>
      </c>
      <c r="K32" s="4" t="s">
        <v>51</v>
      </c>
      <c r="L32" s="13">
        <v>0.20599999999999999</v>
      </c>
      <c r="M32" s="13">
        <f t="shared" si="0"/>
        <v>0.50900000000000001</v>
      </c>
      <c r="N32" s="14">
        <f t="shared" si="1"/>
        <v>2059.8517400000001</v>
      </c>
    </row>
    <row r="33" spans="6:14" x14ac:dyDescent="0.25">
      <c r="F33" s="3">
        <v>30</v>
      </c>
      <c r="G33" s="3" t="s">
        <v>10</v>
      </c>
      <c r="H33" s="3">
        <v>5048</v>
      </c>
      <c r="I33" s="34" t="s">
        <v>102</v>
      </c>
      <c r="J33" s="3">
        <v>56</v>
      </c>
      <c r="K33" s="3">
        <v>2667</v>
      </c>
      <c r="L33" s="17">
        <v>2.5999999999999999E-2</v>
      </c>
      <c r="M33" s="17">
        <f t="shared" si="0"/>
        <v>6.4000000000000001E-2</v>
      </c>
      <c r="N33" s="14">
        <f t="shared" si="1"/>
        <v>258.99904000000004</v>
      </c>
    </row>
    <row r="34" spans="6:14" x14ac:dyDescent="0.25">
      <c r="F34" s="5">
        <v>31</v>
      </c>
      <c r="G34" s="3" t="s">
        <v>10</v>
      </c>
      <c r="H34" s="5">
        <v>5049</v>
      </c>
      <c r="I34" s="20" t="s">
        <v>103</v>
      </c>
      <c r="J34" s="5">
        <v>275</v>
      </c>
      <c r="K34" s="5" t="s">
        <v>88</v>
      </c>
      <c r="L34" s="15">
        <v>0.72799999999999998</v>
      </c>
      <c r="M34" s="15">
        <f t="shared" si="0"/>
        <v>1.7989999999999999</v>
      </c>
      <c r="N34" s="14">
        <f t="shared" si="1"/>
        <v>7280.3011399999996</v>
      </c>
    </row>
    <row r="35" spans="6:14" x14ac:dyDescent="0.25">
      <c r="F35" s="5">
        <v>32</v>
      </c>
      <c r="G35" s="3" t="s">
        <v>10</v>
      </c>
      <c r="H35" s="5">
        <v>5050</v>
      </c>
      <c r="I35" s="20" t="s">
        <v>103</v>
      </c>
      <c r="J35" s="5">
        <v>168</v>
      </c>
      <c r="K35" s="5" t="s">
        <v>89</v>
      </c>
      <c r="L35" s="15">
        <v>1.4750000000000001</v>
      </c>
      <c r="M35" s="15">
        <f t="shared" si="0"/>
        <v>3.645</v>
      </c>
      <c r="N35" s="14">
        <f t="shared" si="1"/>
        <v>14750.804700000001</v>
      </c>
    </row>
    <row r="36" spans="6:14" x14ac:dyDescent="0.25">
      <c r="F36" s="2">
        <v>33</v>
      </c>
      <c r="G36" s="2" t="s">
        <v>10</v>
      </c>
      <c r="H36" s="2">
        <v>5051</v>
      </c>
      <c r="I36" s="18" t="s">
        <v>103</v>
      </c>
      <c r="J36" s="4">
        <v>36</v>
      </c>
      <c r="K36" s="4" t="s">
        <v>90</v>
      </c>
      <c r="L36" s="13">
        <v>0.94899999999999995</v>
      </c>
      <c r="M36" s="13">
        <f t="shared" si="0"/>
        <v>2.3450000000000002</v>
      </c>
      <c r="N36" s="14">
        <f t="shared" si="1"/>
        <v>9489.8867000000009</v>
      </c>
    </row>
    <row r="37" spans="6:14" ht="30" x14ac:dyDescent="0.25">
      <c r="F37" s="2">
        <v>34</v>
      </c>
      <c r="G37" s="2" t="s">
        <v>10</v>
      </c>
      <c r="H37" s="2">
        <v>5052</v>
      </c>
      <c r="I37" s="20" t="s">
        <v>103</v>
      </c>
      <c r="J37" s="4">
        <v>151</v>
      </c>
      <c r="K37" s="11" t="s">
        <v>52</v>
      </c>
      <c r="L37" s="15">
        <v>0.26500000000000001</v>
      </c>
      <c r="M37" s="15">
        <f t="shared" si="0"/>
        <v>0.65500000000000003</v>
      </c>
      <c r="N37" s="14">
        <f t="shared" si="1"/>
        <v>2650.6933000000004</v>
      </c>
    </row>
    <row r="38" spans="6:14" x14ac:dyDescent="0.25">
      <c r="F38" s="5">
        <v>35</v>
      </c>
      <c r="G38" s="3" t="s">
        <v>10</v>
      </c>
      <c r="H38" s="5">
        <v>5053</v>
      </c>
      <c r="I38" s="34" t="s">
        <v>102</v>
      </c>
      <c r="J38" s="5">
        <v>249</v>
      </c>
      <c r="K38" s="5" t="s">
        <v>53</v>
      </c>
      <c r="L38" s="15">
        <v>0.34100000000000003</v>
      </c>
      <c r="M38" s="15">
        <f t="shared" si="0"/>
        <v>0.84299999999999997</v>
      </c>
      <c r="N38" s="14">
        <f t="shared" si="1"/>
        <v>3411.5029800000002</v>
      </c>
    </row>
    <row r="39" spans="6:14" x14ac:dyDescent="0.25">
      <c r="F39" s="2">
        <v>36</v>
      </c>
      <c r="G39" s="2" t="s">
        <v>10</v>
      </c>
      <c r="H39" s="2">
        <v>5054</v>
      </c>
      <c r="I39" s="18" t="s">
        <v>103</v>
      </c>
      <c r="J39" s="4">
        <v>51</v>
      </c>
      <c r="K39" s="4" t="s">
        <v>84</v>
      </c>
      <c r="L39" s="13">
        <v>0.56899999999999995</v>
      </c>
      <c r="M39" s="13">
        <f t="shared" si="0"/>
        <v>1.4059999999999999</v>
      </c>
      <c r="N39" s="14">
        <f t="shared" si="1"/>
        <v>5689.8851599999998</v>
      </c>
    </row>
    <row r="40" spans="6:14" x14ac:dyDescent="0.25">
      <c r="F40" s="2">
        <v>37</v>
      </c>
      <c r="G40" s="2" t="s">
        <v>10</v>
      </c>
      <c r="H40" s="2">
        <v>5055</v>
      </c>
      <c r="I40" s="21" t="s">
        <v>102</v>
      </c>
      <c r="J40" s="4">
        <v>275</v>
      </c>
      <c r="K40" s="11" t="s">
        <v>88</v>
      </c>
      <c r="L40" s="13">
        <v>0.36399999999999999</v>
      </c>
      <c r="M40" s="13">
        <f t="shared" si="0"/>
        <v>0.89900000000000002</v>
      </c>
      <c r="N40" s="14">
        <f t="shared" si="1"/>
        <v>3638.1271400000001</v>
      </c>
    </row>
    <row r="41" spans="6:14" x14ac:dyDescent="0.25">
      <c r="F41" s="2">
        <v>38</v>
      </c>
      <c r="G41" s="2" t="s">
        <v>11</v>
      </c>
      <c r="H41" s="2">
        <v>5070</v>
      </c>
      <c r="I41" s="40" t="s">
        <v>104</v>
      </c>
      <c r="J41" s="42">
        <v>68</v>
      </c>
      <c r="K41" s="2">
        <v>328</v>
      </c>
      <c r="L41" s="13">
        <v>5.7000000000000002E-2</v>
      </c>
      <c r="M41" s="13">
        <f t="shared" si="0"/>
        <v>0.14099999999999999</v>
      </c>
      <c r="N41" s="14">
        <f t="shared" si="1"/>
        <v>570.60726</v>
      </c>
    </row>
    <row r="42" spans="6:14" x14ac:dyDescent="0.25">
      <c r="F42" s="5">
        <v>39</v>
      </c>
      <c r="G42" s="3" t="s">
        <v>11</v>
      </c>
      <c r="H42" s="5">
        <v>5071</v>
      </c>
      <c r="I42" s="40" t="s">
        <v>104</v>
      </c>
      <c r="J42" s="43" t="s">
        <v>40</v>
      </c>
      <c r="K42" s="3">
        <v>328</v>
      </c>
      <c r="L42" s="15">
        <v>0.08</v>
      </c>
      <c r="M42" s="15">
        <f t="shared" si="0"/>
        <v>0.19800000000000001</v>
      </c>
      <c r="N42" s="14">
        <f t="shared" si="1"/>
        <v>801.27828000000011</v>
      </c>
    </row>
    <row r="43" spans="6:14" x14ac:dyDescent="0.25">
      <c r="F43" s="2">
        <v>40</v>
      </c>
      <c r="G43" s="2" t="s">
        <v>11</v>
      </c>
      <c r="H43" s="2">
        <v>5072</v>
      </c>
      <c r="I43" s="18" t="s">
        <v>103</v>
      </c>
      <c r="J43" s="2">
        <v>73</v>
      </c>
      <c r="K43" s="2">
        <v>227</v>
      </c>
      <c r="L43" s="13">
        <v>6.0999999999999999E-2</v>
      </c>
      <c r="M43" s="13">
        <f t="shared" si="0"/>
        <v>0.151</v>
      </c>
      <c r="N43" s="14">
        <f t="shared" si="1"/>
        <v>611.07586000000003</v>
      </c>
    </row>
    <row r="44" spans="6:14" x14ac:dyDescent="0.25">
      <c r="F44" s="2">
        <v>41</v>
      </c>
      <c r="G44" s="2" t="s">
        <v>11</v>
      </c>
      <c r="H44" s="2">
        <v>5073</v>
      </c>
      <c r="I44" s="18" t="s">
        <v>103</v>
      </c>
      <c r="J44" s="2">
        <v>1</v>
      </c>
      <c r="K44" s="2">
        <v>226</v>
      </c>
      <c r="L44" s="13">
        <v>6.3E-2</v>
      </c>
      <c r="M44" s="13">
        <f t="shared" si="0"/>
        <v>0.156</v>
      </c>
      <c r="N44" s="14">
        <f t="shared" si="1"/>
        <v>631.31016</v>
      </c>
    </row>
    <row r="45" spans="6:14" x14ac:dyDescent="0.25">
      <c r="F45" s="2">
        <v>42</v>
      </c>
      <c r="G45" s="2" t="s">
        <v>11</v>
      </c>
      <c r="H45" s="2">
        <v>5074</v>
      </c>
      <c r="I45" s="18" t="s">
        <v>103</v>
      </c>
      <c r="J45" s="4">
        <v>160</v>
      </c>
      <c r="K45" s="4" t="s">
        <v>54</v>
      </c>
      <c r="L45" s="13">
        <v>1.7999999999999999E-2</v>
      </c>
      <c r="M45" s="13">
        <f t="shared" si="0"/>
        <v>4.3999999999999997E-2</v>
      </c>
      <c r="N45" s="14">
        <f t="shared" si="1"/>
        <v>178.06183999999999</v>
      </c>
    </row>
    <row r="46" spans="6:14" x14ac:dyDescent="0.25">
      <c r="F46" s="2">
        <v>43</v>
      </c>
      <c r="G46" s="2" t="s">
        <v>11</v>
      </c>
      <c r="H46" s="2">
        <v>5075</v>
      </c>
      <c r="I46" s="40" t="s">
        <v>104</v>
      </c>
      <c r="J46" s="41">
        <v>81</v>
      </c>
      <c r="K46" s="4" t="s">
        <v>55</v>
      </c>
      <c r="L46" s="13">
        <v>0.23499999999999999</v>
      </c>
      <c r="M46" s="13">
        <f t="shared" si="0"/>
        <v>0.58099999999999996</v>
      </c>
      <c r="N46" s="14">
        <f t="shared" si="1"/>
        <v>2351.2256600000001</v>
      </c>
    </row>
    <row r="47" spans="6:14" x14ac:dyDescent="0.25">
      <c r="F47" s="5">
        <v>44</v>
      </c>
      <c r="G47" s="3" t="s">
        <v>11</v>
      </c>
      <c r="H47" s="5">
        <v>5087</v>
      </c>
      <c r="I47" s="33" t="s">
        <v>103</v>
      </c>
      <c r="J47" s="5">
        <v>197</v>
      </c>
      <c r="K47" s="5" t="s">
        <v>91</v>
      </c>
      <c r="L47" s="15">
        <v>0.995</v>
      </c>
      <c r="M47" s="15">
        <f t="shared" si="0"/>
        <v>2.4590000000000001</v>
      </c>
      <c r="N47" s="14">
        <f t="shared" ref="N47:N77" si="2">(M47*4046.86)</f>
        <v>9951.2287400000005</v>
      </c>
    </row>
    <row r="48" spans="6:14" x14ac:dyDescent="0.25">
      <c r="F48" s="2">
        <v>45</v>
      </c>
      <c r="G48" s="2" t="s">
        <v>11</v>
      </c>
      <c r="H48" s="2">
        <v>5091</v>
      </c>
      <c r="I48" s="18" t="s">
        <v>103</v>
      </c>
      <c r="J48" s="4">
        <v>59</v>
      </c>
      <c r="K48" s="4" t="s">
        <v>56</v>
      </c>
      <c r="L48" s="13">
        <v>0.23799999999999999</v>
      </c>
      <c r="M48" s="13">
        <f t="shared" ref="M48:M54" si="3">ROUND(L48*2.471,3)</f>
        <v>0.58799999999999997</v>
      </c>
      <c r="N48" s="14">
        <f t="shared" si="2"/>
        <v>2379.55368</v>
      </c>
    </row>
    <row r="49" spans="6:14" x14ac:dyDescent="0.25">
      <c r="F49" s="2">
        <v>46</v>
      </c>
      <c r="G49" s="2" t="s">
        <v>11</v>
      </c>
      <c r="H49" s="2">
        <v>5092</v>
      </c>
      <c r="I49" s="18" t="s">
        <v>103</v>
      </c>
      <c r="J49" s="4">
        <v>197</v>
      </c>
      <c r="K49" s="4" t="s">
        <v>57</v>
      </c>
      <c r="L49" s="13">
        <v>7.5999999999999998E-2</v>
      </c>
      <c r="M49" s="13">
        <f t="shared" si="3"/>
        <v>0.188</v>
      </c>
      <c r="N49" s="14">
        <f t="shared" si="2"/>
        <v>760.80968000000007</v>
      </c>
    </row>
    <row r="50" spans="6:14" x14ac:dyDescent="0.25">
      <c r="F50" s="2">
        <v>47</v>
      </c>
      <c r="G50" s="2" t="s">
        <v>11</v>
      </c>
      <c r="H50" s="2">
        <v>5093</v>
      </c>
      <c r="I50" s="18" t="s">
        <v>103</v>
      </c>
      <c r="J50" s="4">
        <v>151</v>
      </c>
      <c r="K50" s="4" t="s">
        <v>58</v>
      </c>
      <c r="L50" s="13">
        <v>0.11700000000000001</v>
      </c>
      <c r="M50" s="13">
        <f t="shared" si="3"/>
        <v>0.28899999999999998</v>
      </c>
      <c r="N50" s="14">
        <f t="shared" si="2"/>
        <v>1169.5425399999999</v>
      </c>
    </row>
    <row r="51" spans="6:14" x14ac:dyDescent="0.25">
      <c r="F51" s="2">
        <v>48</v>
      </c>
      <c r="G51" s="2" t="s">
        <v>11</v>
      </c>
      <c r="H51" s="2">
        <v>5094</v>
      </c>
      <c r="I51" s="18" t="s">
        <v>103</v>
      </c>
      <c r="J51" s="4">
        <v>57</v>
      </c>
      <c r="K51" s="4" t="s">
        <v>59</v>
      </c>
      <c r="L51" s="13">
        <v>4.2000000000000003E-2</v>
      </c>
      <c r="M51" s="13">
        <f t="shared" si="3"/>
        <v>0.104</v>
      </c>
      <c r="N51" s="14">
        <f t="shared" si="2"/>
        <v>420.87344000000002</v>
      </c>
    </row>
    <row r="52" spans="6:14" x14ac:dyDescent="0.25">
      <c r="F52" s="2">
        <v>49</v>
      </c>
      <c r="G52" s="2" t="s">
        <v>11</v>
      </c>
      <c r="H52" s="2">
        <v>5095</v>
      </c>
      <c r="I52" s="18" t="s">
        <v>103</v>
      </c>
      <c r="J52" s="4">
        <v>57</v>
      </c>
      <c r="K52" s="4" t="s">
        <v>59</v>
      </c>
      <c r="L52" s="13">
        <v>4.2000000000000003E-2</v>
      </c>
      <c r="M52" s="13">
        <f t="shared" si="3"/>
        <v>0.104</v>
      </c>
      <c r="N52" s="14">
        <f t="shared" si="2"/>
        <v>420.87344000000002</v>
      </c>
    </row>
    <row r="53" spans="6:14" x14ac:dyDescent="0.25">
      <c r="F53" s="2">
        <v>50</v>
      </c>
      <c r="G53" s="2" t="s">
        <v>11</v>
      </c>
      <c r="H53" s="2">
        <v>5096</v>
      </c>
      <c r="I53" s="18" t="s">
        <v>103</v>
      </c>
      <c r="J53" s="4">
        <v>151</v>
      </c>
      <c r="K53" s="4" t="s">
        <v>58</v>
      </c>
      <c r="L53" s="13">
        <v>0.11700000000000001</v>
      </c>
      <c r="M53" s="13">
        <f t="shared" si="3"/>
        <v>0.28899999999999998</v>
      </c>
      <c r="N53" s="14">
        <f t="shared" si="2"/>
        <v>1169.5425399999999</v>
      </c>
    </row>
    <row r="54" spans="6:14" x14ac:dyDescent="0.25">
      <c r="F54" s="12">
        <v>51</v>
      </c>
      <c r="G54" s="3" t="s">
        <v>11</v>
      </c>
      <c r="H54" s="12">
        <v>5097</v>
      </c>
      <c r="I54" s="32" t="s">
        <v>102</v>
      </c>
      <c r="J54" s="12">
        <v>163200</v>
      </c>
      <c r="K54" s="5" t="s">
        <v>106</v>
      </c>
      <c r="L54" s="15">
        <v>0.66</v>
      </c>
      <c r="M54" s="15">
        <f t="shared" si="3"/>
        <v>1.631</v>
      </c>
      <c r="N54" s="14">
        <f t="shared" si="2"/>
        <v>6600.4286600000005</v>
      </c>
    </row>
    <row r="55" spans="6:14" x14ac:dyDescent="0.25">
      <c r="F55" s="5">
        <v>52</v>
      </c>
      <c r="G55" s="3" t="s">
        <v>11</v>
      </c>
      <c r="H55" s="5">
        <v>5098</v>
      </c>
      <c r="I55" s="20" t="s">
        <v>102</v>
      </c>
      <c r="J55" s="5">
        <v>200</v>
      </c>
      <c r="K55" s="5" t="s">
        <v>60</v>
      </c>
      <c r="L55" s="15">
        <v>5.1999999999999998E-2</v>
      </c>
      <c r="M55" s="15">
        <f t="shared" ref="M55:M63" si="4">ROUND(L55*2.471,3)</f>
        <v>0.128</v>
      </c>
      <c r="N55" s="14">
        <f t="shared" si="2"/>
        <v>517.99808000000007</v>
      </c>
    </row>
    <row r="56" spans="6:14" x14ac:dyDescent="0.25">
      <c r="F56" s="5">
        <v>53</v>
      </c>
      <c r="G56" s="3" t="s">
        <v>11</v>
      </c>
      <c r="H56" s="5">
        <v>5099</v>
      </c>
      <c r="I56" s="20" t="s">
        <v>102</v>
      </c>
      <c r="J56" s="5">
        <v>200</v>
      </c>
      <c r="K56" s="5" t="s">
        <v>60</v>
      </c>
      <c r="L56" s="15">
        <v>2.8000000000000001E-2</v>
      </c>
      <c r="M56" s="15">
        <f t="shared" si="4"/>
        <v>6.9000000000000006E-2</v>
      </c>
      <c r="N56" s="14">
        <f t="shared" si="2"/>
        <v>279.23334000000006</v>
      </c>
    </row>
    <row r="57" spans="6:14" x14ac:dyDescent="0.25">
      <c r="F57" s="5">
        <v>54</v>
      </c>
      <c r="G57" s="3" t="s">
        <v>11</v>
      </c>
      <c r="H57" s="5">
        <v>5100</v>
      </c>
      <c r="I57" s="32" t="s">
        <v>102</v>
      </c>
      <c r="J57" s="5">
        <v>200</v>
      </c>
      <c r="K57" s="5" t="s">
        <v>60</v>
      </c>
      <c r="L57" s="15">
        <v>3.7999999999999999E-2</v>
      </c>
      <c r="M57" s="15">
        <f t="shared" si="4"/>
        <v>9.4E-2</v>
      </c>
      <c r="N57" s="14">
        <f t="shared" si="2"/>
        <v>380.40484000000004</v>
      </c>
    </row>
    <row r="58" spans="6:14" ht="15" customHeight="1" x14ac:dyDescent="0.25">
      <c r="F58" s="5">
        <v>55</v>
      </c>
      <c r="G58" s="3" t="s">
        <v>12</v>
      </c>
      <c r="H58" s="5">
        <v>5112</v>
      </c>
      <c r="I58" s="20" t="s">
        <v>103</v>
      </c>
      <c r="J58" s="5">
        <v>105</v>
      </c>
      <c r="K58" s="5" t="s">
        <v>92</v>
      </c>
      <c r="L58" s="15">
        <v>2.2269999999999999</v>
      </c>
      <c r="M58" s="15">
        <f t="shared" si="4"/>
        <v>5.5030000000000001</v>
      </c>
      <c r="N58" s="14">
        <f t="shared" si="2"/>
        <v>22269.870580000003</v>
      </c>
    </row>
    <row r="59" spans="6:14" x14ac:dyDescent="0.25">
      <c r="F59" s="2">
        <v>56</v>
      </c>
      <c r="G59" s="2" t="s">
        <v>12</v>
      </c>
      <c r="H59" s="2">
        <v>5115</v>
      </c>
      <c r="I59" s="19" t="s">
        <v>102</v>
      </c>
      <c r="J59" s="4">
        <v>126</v>
      </c>
      <c r="K59" s="4" t="s">
        <v>61</v>
      </c>
      <c r="L59" s="13">
        <v>0.106</v>
      </c>
      <c r="M59" s="13">
        <f t="shared" si="4"/>
        <v>0.26200000000000001</v>
      </c>
      <c r="N59" s="14">
        <f t="shared" si="2"/>
        <v>1060.2773200000001</v>
      </c>
    </row>
    <row r="60" spans="6:14" x14ac:dyDescent="0.25">
      <c r="F60" s="5">
        <v>57</v>
      </c>
      <c r="G60" s="3" t="s">
        <v>12</v>
      </c>
      <c r="H60" s="5">
        <v>5116</v>
      </c>
      <c r="I60" s="20" t="s">
        <v>102</v>
      </c>
      <c r="J60" s="5">
        <v>126</v>
      </c>
      <c r="K60" s="5" t="s">
        <v>61</v>
      </c>
      <c r="L60" s="15">
        <v>0.106</v>
      </c>
      <c r="M60" s="15">
        <f t="shared" si="4"/>
        <v>0.26200000000000001</v>
      </c>
      <c r="N60" s="14">
        <f t="shared" si="2"/>
        <v>1060.2773200000001</v>
      </c>
    </row>
    <row r="61" spans="6:14" x14ac:dyDescent="0.25">
      <c r="F61" s="2">
        <v>58</v>
      </c>
      <c r="G61" s="2" t="s">
        <v>12</v>
      </c>
      <c r="H61" s="2">
        <v>5117</v>
      </c>
      <c r="I61" s="20" t="s">
        <v>102</v>
      </c>
      <c r="J61" s="4">
        <v>126</v>
      </c>
      <c r="K61" s="4" t="s">
        <v>61</v>
      </c>
      <c r="L61" s="15">
        <v>0.106</v>
      </c>
      <c r="M61" s="13">
        <f t="shared" si="4"/>
        <v>0.26200000000000001</v>
      </c>
      <c r="N61" s="14">
        <f t="shared" si="2"/>
        <v>1060.2773200000001</v>
      </c>
    </row>
    <row r="62" spans="6:14" x14ac:dyDescent="0.25">
      <c r="F62" s="2">
        <v>59</v>
      </c>
      <c r="G62" s="2" t="s">
        <v>12</v>
      </c>
      <c r="H62" s="2">
        <v>5118</v>
      </c>
      <c r="I62" s="20" t="s">
        <v>102</v>
      </c>
      <c r="J62" s="4">
        <v>126</v>
      </c>
      <c r="K62" s="4" t="s">
        <v>61</v>
      </c>
      <c r="L62" s="15">
        <v>0.106</v>
      </c>
      <c r="M62" s="13">
        <f t="shared" si="4"/>
        <v>0.26200000000000001</v>
      </c>
      <c r="N62" s="14">
        <f t="shared" si="2"/>
        <v>1060.2773200000001</v>
      </c>
    </row>
    <row r="63" spans="6:14" ht="15" customHeight="1" x14ac:dyDescent="0.25">
      <c r="F63" s="86">
        <v>60</v>
      </c>
      <c r="G63" s="86" t="s">
        <v>12</v>
      </c>
      <c r="H63" s="86">
        <v>5122</v>
      </c>
      <c r="I63" s="87" t="s">
        <v>103</v>
      </c>
      <c r="J63" s="86" t="s">
        <v>41</v>
      </c>
      <c r="K63" s="85" t="s">
        <v>93</v>
      </c>
      <c r="L63" s="84">
        <f>0.168+0.275+0.565+0.152</f>
        <v>1.1599999999999999</v>
      </c>
      <c r="M63" s="84">
        <f t="shared" si="4"/>
        <v>2.8660000000000001</v>
      </c>
      <c r="N63" s="83">
        <f t="shared" si="2"/>
        <v>11598.30076</v>
      </c>
    </row>
    <row r="64" spans="6:14" ht="15" customHeight="1" x14ac:dyDescent="0.25">
      <c r="F64" s="86"/>
      <c r="G64" s="86"/>
      <c r="H64" s="86"/>
      <c r="I64" s="88"/>
      <c r="J64" s="86"/>
      <c r="K64" s="86"/>
      <c r="L64" s="84"/>
      <c r="M64" s="84"/>
      <c r="N64" s="83"/>
    </row>
    <row r="65" spans="6:14" ht="15" customHeight="1" x14ac:dyDescent="0.25">
      <c r="F65" s="86"/>
      <c r="G65" s="86"/>
      <c r="H65" s="86"/>
      <c r="I65" s="88"/>
      <c r="J65" s="86"/>
      <c r="K65" s="86"/>
      <c r="L65" s="84"/>
      <c r="M65" s="84"/>
      <c r="N65" s="83"/>
    </row>
    <row r="66" spans="6:14" ht="15" customHeight="1" x14ac:dyDescent="0.25">
      <c r="F66" s="86"/>
      <c r="G66" s="86"/>
      <c r="H66" s="86"/>
      <c r="I66" s="88"/>
      <c r="J66" s="86"/>
      <c r="K66" s="86"/>
      <c r="L66" s="84"/>
      <c r="M66" s="84"/>
      <c r="N66" s="83"/>
    </row>
    <row r="67" spans="6:14" ht="15" customHeight="1" x14ac:dyDescent="0.25">
      <c r="F67" s="86"/>
      <c r="G67" s="86"/>
      <c r="H67" s="86"/>
      <c r="I67" s="89"/>
      <c r="J67" s="86"/>
      <c r="K67" s="86"/>
      <c r="L67" s="84"/>
      <c r="M67" s="84"/>
      <c r="N67" s="83"/>
    </row>
    <row r="68" spans="6:14" ht="15.75" x14ac:dyDescent="0.25">
      <c r="F68" s="2">
        <v>61</v>
      </c>
      <c r="G68" s="2" t="s">
        <v>12</v>
      </c>
      <c r="H68" s="2">
        <v>5123</v>
      </c>
      <c r="I68" s="22" t="s">
        <v>102</v>
      </c>
      <c r="J68" s="4">
        <v>226</v>
      </c>
      <c r="K68" s="5" t="s">
        <v>94</v>
      </c>
      <c r="L68" s="15">
        <v>0.71699999999999997</v>
      </c>
      <c r="M68" s="13">
        <f t="shared" ref="M68:M79" si="5">ROUND(L68*2.471,3)</f>
        <v>1.772</v>
      </c>
      <c r="N68" s="14">
        <f t="shared" si="2"/>
        <v>7171.0359200000003</v>
      </c>
    </row>
    <row r="69" spans="6:14" ht="15.75" x14ac:dyDescent="0.25">
      <c r="F69" s="2">
        <v>62</v>
      </c>
      <c r="G69" s="2" t="s">
        <v>12</v>
      </c>
      <c r="H69" s="2">
        <v>5124</v>
      </c>
      <c r="I69" s="22" t="s">
        <v>102</v>
      </c>
      <c r="J69" s="4">
        <v>226</v>
      </c>
      <c r="K69" s="4" t="s">
        <v>94</v>
      </c>
      <c r="L69" s="13">
        <v>0.23899999999999999</v>
      </c>
      <c r="M69" s="13">
        <f t="shared" si="5"/>
        <v>0.59099999999999997</v>
      </c>
      <c r="N69" s="14">
        <f t="shared" si="2"/>
        <v>2391.6942599999998</v>
      </c>
    </row>
    <row r="70" spans="6:14" ht="15.75" x14ac:dyDescent="0.25">
      <c r="F70" s="2">
        <v>63</v>
      </c>
      <c r="G70" s="2" t="s">
        <v>12</v>
      </c>
      <c r="H70" s="2">
        <v>5125</v>
      </c>
      <c r="I70" s="23" t="s">
        <v>103</v>
      </c>
      <c r="J70" s="4">
        <v>191</v>
      </c>
      <c r="K70" s="4" t="s">
        <v>62</v>
      </c>
      <c r="L70" s="13">
        <v>9.6000000000000002E-2</v>
      </c>
      <c r="M70" s="13">
        <f t="shared" si="5"/>
        <v>0.23699999999999999</v>
      </c>
      <c r="N70" s="14">
        <f t="shared" si="2"/>
        <v>959.10581999999999</v>
      </c>
    </row>
    <row r="71" spans="6:14" ht="15" customHeight="1" x14ac:dyDescent="0.25">
      <c r="F71" s="5">
        <v>64</v>
      </c>
      <c r="G71" s="3" t="s">
        <v>12</v>
      </c>
      <c r="H71" s="5">
        <v>5126</v>
      </c>
      <c r="I71" s="31" t="s">
        <v>102</v>
      </c>
      <c r="J71" s="5">
        <v>249</v>
      </c>
      <c r="K71" s="5" t="s">
        <v>63</v>
      </c>
      <c r="L71" s="15">
        <v>0.17299999999999999</v>
      </c>
      <c r="M71" s="15">
        <f t="shared" si="5"/>
        <v>0.42699999999999999</v>
      </c>
      <c r="N71" s="14">
        <f t="shared" si="2"/>
        <v>1728.0092199999999</v>
      </c>
    </row>
    <row r="72" spans="6:14" ht="15.75" x14ac:dyDescent="0.25">
      <c r="F72" s="2">
        <v>65</v>
      </c>
      <c r="G72" s="2" t="s">
        <v>13</v>
      </c>
      <c r="H72" s="2">
        <v>5134</v>
      </c>
      <c r="I72" s="23" t="s">
        <v>102</v>
      </c>
      <c r="J72" s="4">
        <v>249</v>
      </c>
      <c r="K72" s="4" t="s">
        <v>63</v>
      </c>
      <c r="L72" s="13">
        <v>8.6999999999999994E-2</v>
      </c>
      <c r="M72" s="13">
        <f t="shared" si="5"/>
        <v>0.215</v>
      </c>
      <c r="N72" s="14">
        <f t="shared" si="2"/>
        <v>870.07490000000007</v>
      </c>
    </row>
    <row r="73" spans="6:14" ht="15" customHeight="1" x14ac:dyDescent="0.25">
      <c r="F73" s="3">
        <v>66</v>
      </c>
      <c r="G73" s="3" t="s">
        <v>13</v>
      </c>
      <c r="H73" s="3">
        <v>5135</v>
      </c>
      <c r="I73" s="29" t="s">
        <v>103</v>
      </c>
      <c r="J73" s="3">
        <v>32</v>
      </c>
      <c r="K73" s="3">
        <v>304</v>
      </c>
      <c r="L73" s="15">
        <v>0.10100000000000001</v>
      </c>
      <c r="M73" s="15">
        <f t="shared" si="5"/>
        <v>0.25</v>
      </c>
      <c r="N73" s="14">
        <f t="shared" si="2"/>
        <v>1011.715</v>
      </c>
    </row>
    <row r="74" spans="6:14" ht="15" customHeight="1" x14ac:dyDescent="0.25">
      <c r="F74" s="3">
        <v>67</v>
      </c>
      <c r="G74" s="3" t="s">
        <v>13</v>
      </c>
      <c r="H74" s="3">
        <v>5136</v>
      </c>
      <c r="I74" s="29" t="s">
        <v>103</v>
      </c>
      <c r="J74" s="3">
        <v>74</v>
      </c>
      <c r="K74" s="3">
        <v>309</v>
      </c>
      <c r="L74" s="15">
        <v>0.23699999999999999</v>
      </c>
      <c r="M74" s="15">
        <f t="shared" si="5"/>
        <v>0.58599999999999997</v>
      </c>
      <c r="N74" s="14">
        <f t="shared" si="2"/>
        <v>2371.4599600000001</v>
      </c>
    </row>
    <row r="75" spans="6:14" ht="15.75" x14ac:dyDescent="0.25">
      <c r="F75" s="2">
        <v>68</v>
      </c>
      <c r="G75" s="2" t="s">
        <v>13</v>
      </c>
      <c r="H75" s="2">
        <v>5137</v>
      </c>
      <c r="I75" s="23" t="s">
        <v>103</v>
      </c>
      <c r="J75" s="4">
        <v>47</v>
      </c>
      <c r="K75" s="4" t="s">
        <v>95</v>
      </c>
      <c r="L75" s="13">
        <v>0.86599999999999999</v>
      </c>
      <c r="M75" s="13">
        <f t="shared" si="5"/>
        <v>2.14</v>
      </c>
      <c r="N75" s="14">
        <f t="shared" si="2"/>
        <v>8660.2804000000015</v>
      </c>
    </row>
    <row r="76" spans="6:14" ht="15.75" x14ac:dyDescent="0.25">
      <c r="F76" s="2">
        <v>69</v>
      </c>
      <c r="G76" s="2" t="s">
        <v>13</v>
      </c>
      <c r="H76" s="2">
        <v>5140</v>
      </c>
      <c r="I76" s="23" t="s">
        <v>102</v>
      </c>
      <c r="J76" s="4">
        <v>165</v>
      </c>
      <c r="K76" s="4" t="s">
        <v>48</v>
      </c>
      <c r="L76" s="13">
        <v>0.61199999999999999</v>
      </c>
      <c r="M76" s="13">
        <f t="shared" si="5"/>
        <v>1.512</v>
      </c>
      <c r="N76" s="14">
        <f t="shared" si="2"/>
        <v>6118.85232</v>
      </c>
    </row>
    <row r="77" spans="6:14" ht="15" customHeight="1" x14ac:dyDescent="0.25">
      <c r="F77" s="5">
        <v>70</v>
      </c>
      <c r="G77" s="3" t="s">
        <v>13</v>
      </c>
      <c r="H77" s="5">
        <v>5141</v>
      </c>
      <c r="I77" s="29" t="s">
        <v>103</v>
      </c>
      <c r="J77" s="5">
        <v>72</v>
      </c>
      <c r="K77" s="5" t="s">
        <v>96</v>
      </c>
      <c r="L77" s="15">
        <v>0.33500000000000002</v>
      </c>
      <c r="M77" s="15">
        <f t="shared" si="5"/>
        <v>0.82799999999999996</v>
      </c>
      <c r="N77" s="14">
        <f t="shared" si="2"/>
        <v>3350.80008</v>
      </c>
    </row>
    <row r="78" spans="6:14" ht="30" x14ac:dyDescent="0.25">
      <c r="F78" s="2">
        <v>71</v>
      </c>
      <c r="G78" s="2" t="s">
        <v>13</v>
      </c>
      <c r="H78" s="2">
        <v>5142</v>
      </c>
      <c r="I78" s="27" t="s">
        <v>103</v>
      </c>
      <c r="J78" s="9">
        <v>47197</v>
      </c>
      <c r="K78" s="5" t="s">
        <v>97</v>
      </c>
      <c r="L78" s="13">
        <v>0.94499999999999995</v>
      </c>
      <c r="M78" s="13">
        <f t="shared" si="5"/>
        <v>2.335</v>
      </c>
      <c r="N78" s="14">
        <f t="shared" ref="N78:N111" si="6">(M78*4046.86)</f>
        <v>9449.4181000000008</v>
      </c>
    </row>
    <row r="79" spans="6:14" ht="15" customHeight="1" x14ac:dyDescent="0.25">
      <c r="F79" s="5">
        <v>72</v>
      </c>
      <c r="G79" s="3" t="s">
        <v>13</v>
      </c>
      <c r="H79" s="5">
        <v>5143</v>
      </c>
      <c r="I79" s="28" t="s">
        <v>103</v>
      </c>
      <c r="J79" s="5">
        <v>98</v>
      </c>
      <c r="K79" s="5" t="s">
        <v>98</v>
      </c>
      <c r="L79" s="15">
        <v>1.2509999999999999</v>
      </c>
      <c r="M79" s="15">
        <f t="shared" si="5"/>
        <v>3.0910000000000002</v>
      </c>
      <c r="N79" s="14">
        <f t="shared" si="6"/>
        <v>12508.844260000002</v>
      </c>
    </row>
    <row r="80" spans="6:14" ht="15.75" x14ac:dyDescent="0.25">
      <c r="F80" s="2">
        <v>73</v>
      </c>
      <c r="G80" s="2" t="s">
        <v>13</v>
      </c>
      <c r="H80" s="2">
        <v>5144</v>
      </c>
      <c r="I80" s="23" t="s">
        <v>103</v>
      </c>
      <c r="J80" s="5">
        <v>165</v>
      </c>
      <c r="K80" s="5" t="s">
        <v>64</v>
      </c>
      <c r="L80" s="13">
        <v>0.104</v>
      </c>
      <c r="M80" s="13">
        <f t="shared" ref="M80:M89" si="7">ROUND(L80*2.471,3)</f>
        <v>0.25700000000000001</v>
      </c>
      <c r="N80" s="14">
        <f t="shared" si="6"/>
        <v>1040.0430200000001</v>
      </c>
    </row>
    <row r="81" spans="6:14" ht="15.75" x14ac:dyDescent="0.25">
      <c r="F81" s="2">
        <v>74</v>
      </c>
      <c r="G81" s="2" t="s">
        <v>14</v>
      </c>
      <c r="H81" s="2">
        <v>5146</v>
      </c>
      <c r="I81" s="23" t="s">
        <v>103</v>
      </c>
      <c r="J81" s="4">
        <v>94</v>
      </c>
      <c r="K81" s="4" t="s">
        <v>40</v>
      </c>
      <c r="L81" s="13">
        <v>1.2999999999999999E-2</v>
      </c>
      <c r="M81" s="13">
        <f t="shared" si="7"/>
        <v>3.2000000000000001E-2</v>
      </c>
      <c r="N81" s="14">
        <f t="shared" si="6"/>
        <v>129.49952000000002</v>
      </c>
    </row>
    <row r="82" spans="6:14" ht="15.75" x14ac:dyDescent="0.25">
      <c r="F82" s="2">
        <v>75</v>
      </c>
      <c r="G82" s="2" t="s">
        <v>14</v>
      </c>
      <c r="H82" s="2">
        <v>5162</v>
      </c>
      <c r="I82" s="23" t="s">
        <v>103</v>
      </c>
      <c r="J82" s="4">
        <v>51</v>
      </c>
      <c r="K82" s="5" t="s">
        <v>84</v>
      </c>
      <c r="L82" s="15">
        <v>0.85399999999999998</v>
      </c>
      <c r="M82" s="13">
        <f t="shared" si="7"/>
        <v>2.11</v>
      </c>
      <c r="N82" s="14">
        <f t="shared" si="6"/>
        <v>8538.8745999999992</v>
      </c>
    </row>
    <row r="83" spans="6:14" ht="15.75" x14ac:dyDescent="0.25">
      <c r="F83" s="2">
        <v>76</v>
      </c>
      <c r="G83" s="3" t="s">
        <v>14</v>
      </c>
      <c r="H83" s="2">
        <v>5163</v>
      </c>
      <c r="I83" s="23" t="s">
        <v>103</v>
      </c>
      <c r="J83" s="3">
        <v>51</v>
      </c>
      <c r="K83" s="3" t="s">
        <v>84</v>
      </c>
      <c r="L83" s="15">
        <v>0.85399999999999998</v>
      </c>
      <c r="M83" s="13">
        <f t="shared" si="7"/>
        <v>2.11</v>
      </c>
      <c r="N83" s="14">
        <f t="shared" si="6"/>
        <v>8538.8745999999992</v>
      </c>
    </row>
    <row r="84" spans="6:14" ht="15" customHeight="1" x14ac:dyDescent="0.25">
      <c r="F84" s="2">
        <v>77</v>
      </c>
      <c r="G84" s="3" t="s">
        <v>14</v>
      </c>
      <c r="H84" s="2">
        <v>5164</v>
      </c>
      <c r="I84" s="23" t="s">
        <v>103</v>
      </c>
      <c r="J84" s="5">
        <v>47</v>
      </c>
      <c r="K84" s="5" t="s">
        <v>99</v>
      </c>
      <c r="L84" s="15">
        <v>0.86599999999999999</v>
      </c>
      <c r="M84" s="13">
        <f t="shared" si="7"/>
        <v>2.14</v>
      </c>
      <c r="N84" s="14">
        <f t="shared" si="6"/>
        <v>8660.2804000000015</v>
      </c>
    </row>
    <row r="85" spans="6:14" ht="15" customHeight="1" x14ac:dyDescent="0.25">
      <c r="F85" s="2">
        <v>78</v>
      </c>
      <c r="G85" s="3" t="s">
        <v>14</v>
      </c>
      <c r="H85" s="2">
        <v>5165</v>
      </c>
      <c r="I85" s="23" t="s">
        <v>103</v>
      </c>
      <c r="J85" s="5">
        <v>36</v>
      </c>
      <c r="K85" s="5" t="s">
        <v>100</v>
      </c>
      <c r="L85" s="15">
        <v>0.94899999999999995</v>
      </c>
      <c r="M85" s="13">
        <f t="shared" si="7"/>
        <v>2.3450000000000002</v>
      </c>
      <c r="N85" s="14">
        <f t="shared" si="6"/>
        <v>9489.8867000000009</v>
      </c>
    </row>
    <row r="86" spans="6:14" ht="15" customHeight="1" x14ac:dyDescent="0.25">
      <c r="F86" s="2">
        <v>79</v>
      </c>
      <c r="G86" s="3" t="s">
        <v>15</v>
      </c>
      <c r="H86" s="2">
        <v>5169</v>
      </c>
      <c r="I86" s="24" t="s">
        <v>103</v>
      </c>
      <c r="J86" s="12">
        <v>57151</v>
      </c>
      <c r="K86" s="5" t="s">
        <v>65</v>
      </c>
      <c r="L86" s="15">
        <v>0.159</v>
      </c>
      <c r="M86" s="15">
        <f t="shared" si="7"/>
        <v>0.39300000000000002</v>
      </c>
      <c r="N86" s="14">
        <f t="shared" si="6"/>
        <v>1590.4159800000002</v>
      </c>
    </row>
    <row r="87" spans="6:14" ht="15" customHeight="1" x14ac:dyDescent="0.25">
      <c r="F87" s="2">
        <v>80</v>
      </c>
      <c r="G87" s="3" t="s">
        <v>16</v>
      </c>
      <c r="H87" s="2">
        <v>5579</v>
      </c>
      <c r="I87" s="23" t="s">
        <v>103</v>
      </c>
      <c r="J87" s="5">
        <v>51</v>
      </c>
      <c r="K87" s="5" t="s">
        <v>84</v>
      </c>
      <c r="L87" s="15">
        <v>0.28499999999999998</v>
      </c>
      <c r="M87" s="13">
        <f t="shared" si="7"/>
        <v>0.70399999999999996</v>
      </c>
      <c r="N87" s="14">
        <f t="shared" si="6"/>
        <v>2848.9894399999998</v>
      </c>
    </row>
    <row r="88" spans="6:14" ht="15" customHeight="1" x14ac:dyDescent="0.25">
      <c r="F88" s="2">
        <v>81</v>
      </c>
      <c r="G88" s="2" t="s">
        <v>17</v>
      </c>
      <c r="H88" s="2">
        <v>6864</v>
      </c>
      <c r="I88" s="44" t="s">
        <v>104</v>
      </c>
      <c r="J88" s="41">
        <v>2</v>
      </c>
      <c r="K88" s="4" t="s">
        <v>66</v>
      </c>
      <c r="L88" s="13">
        <v>0.12</v>
      </c>
      <c r="M88" s="13">
        <f t="shared" si="7"/>
        <v>0.29699999999999999</v>
      </c>
      <c r="N88" s="14">
        <f t="shared" si="6"/>
        <v>1201.91742</v>
      </c>
    </row>
    <row r="89" spans="6:14" ht="15" customHeight="1" x14ac:dyDescent="0.25">
      <c r="F89" s="5">
        <v>82</v>
      </c>
      <c r="G89" s="3" t="s">
        <v>18</v>
      </c>
      <c r="H89" s="5">
        <v>10671</v>
      </c>
      <c r="I89" s="30" t="s">
        <v>103</v>
      </c>
      <c r="J89" s="5">
        <v>47</v>
      </c>
      <c r="K89" s="5" t="s">
        <v>67</v>
      </c>
      <c r="L89" s="15">
        <v>6.8000000000000005E-2</v>
      </c>
      <c r="M89" s="15">
        <f t="shared" si="7"/>
        <v>0.16800000000000001</v>
      </c>
      <c r="N89" s="14">
        <f t="shared" si="6"/>
        <v>679.87248000000011</v>
      </c>
    </row>
    <row r="90" spans="6:14" ht="15" customHeight="1" x14ac:dyDescent="0.25">
      <c r="F90" s="3">
        <v>83</v>
      </c>
      <c r="G90" s="3" t="s">
        <v>19</v>
      </c>
      <c r="H90" s="3">
        <v>10757</v>
      </c>
      <c r="I90" s="29" t="s">
        <v>103</v>
      </c>
      <c r="J90" s="3">
        <v>105</v>
      </c>
      <c r="K90" s="3">
        <v>246</v>
      </c>
      <c r="L90" s="15">
        <v>6.2E-2</v>
      </c>
      <c r="M90" s="15">
        <f>ROUND(L90*2.471,3)</f>
        <v>0.153</v>
      </c>
      <c r="N90" s="14">
        <f t="shared" si="6"/>
        <v>619.16958</v>
      </c>
    </row>
    <row r="91" spans="6:14" ht="15" customHeight="1" x14ac:dyDescent="0.25">
      <c r="F91" s="5">
        <v>84</v>
      </c>
      <c r="G91" s="3" t="s">
        <v>20</v>
      </c>
      <c r="H91" s="5">
        <v>10826</v>
      </c>
      <c r="I91" s="22" t="s">
        <v>102</v>
      </c>
      <c r="J91" s="5">
        <v>275</v>
      </c>
      <c r="K91" s="5" t="s">
        <v>68</v>
      </c>
      <c r="L91" s="15">
        <v>7.5999999999999998E-2</v>
      </c>
      <c r="M91" s="15">
        <f>ROUND(L91*2.471,3)</f>
        <v>0.188</v>
      </c>
      <c r="N91" s="14">
        <f t="shared" si="6"/>
        <v>760.80968000000007</v>
      </c>
    </row>
    <row r="92" spans="6:14" ht="15.75" x14ac:dyDescent="0.25">
      <c r="F92" s="2">
        <v>85</v>
      </c>
      <c r="G92" s="3" t="s">
        <v>21</v>
      </c>
      <c r="H92" s="2">
        <v>11002</v>
      </c>
      <c r="I92" s="23" t="s">
        <v>103</v>
      </c>
      <c r="J92" s="3" t="s">
        <v>42</v>
      </c>
      <c r="K92" s="5" t="s">
        <v>69</v>
      </c>
      <c r="L92" s="15">
        <f>0.045+0.063</f>
        <v>0.108</v>
      </c>
      <c r="M92" s="13">
        <f t="shared" ref="M92:M97" si="8">ROUND(L92*2.471,3)</f>
        <v>0.26700000000000002</v>
      </c>
      <c r="N92" s="14">
        <f t="shared" si="6"/>
        <v>1080.51162</v>
      </c>
    </row>
    <row r="93" spans="6:14" ht="15.75" x14ac:dyDescent="0.25">
      <c r="F93" s="2">
        <v>86</v>
      </c>
      <c r="G93" s="2" t="s">
        <v>22</v>
      </c>
      <c r="H93" s="2">
        <v>11082</v>
      </c>
      <c r="I93" s="45" t="s">
        <v>104</v>
      </c>
      <c r="J93" s="42">
        <v>68</v>
      </c>
      <c r="K93" s="2">
        <v>326</v>
      </c>
      <c r="L93" s="13">
        <v>0.01</v>
      </c>
      <c r="M93" s="13">
        <f t="shared" si="8"/>
        <v>2.5000000000000001E-2</v>
      </c>
      <c r="N93" s="14">
        <f t="shared" si="6"/>
        <v>101.17150000000001</v>
      </c>
    </row>
    <row r="94" spans="6:14" ht="15.75" x14ac:dyDescent="0.25">
      <c r="F94" s="2">
        <v>87</v>
      </c>
      <c r="G94" s="2" t="s">
        <v>22</v>
      </c>
      <c r="H94" s="2">
        <v>11083</v>
      </c>
      <c r="I94" s="45" t="s">
        <v>104</v>
      </c>
      <c r="J94" s="42">
        <v>2</v>
      </c>
      <c r="K94" s="2">
        <v>327</v>
      </c>
      <c r="L94" s="13">
        <v>7.4999999999999997E-2</v>
      </c>
      <c r="M94" s="13">
        <f t="shared" si="8"/>
        <v>0.185</v>
      </c>
      <c r="N94" s="14">
        <f t="shared" si="6"/>
        <v>748.66910000000007</v>
      </c>
    </row>
    <row r="95" spans="6:14" ht="15.75" x14ac:dyDescent="0.25">
      <c r="F95" s="2">
        <v>88</v>
      </c>
      <c r="G95" s="2" t="s">
        <v>23</v>
      </c>
      <c r="H95" s="2">
        <v>712</v>
      </c>
      <c r="I95" s="25" t="s">
        <v>102</v>
      </c>
      <c r="J95" s="7">
        <v>56</v>
      </c>
      <c r="K95" s="7">
        <v>26662667</v>
      </c>
      <c r="L95" s="13">
        <v>6.3E-2</v>
      </c>
      <c r="M95" s="13">
        <f t="shared" si="8"/>
        <v>0.156</v>
      </c>
      <c r="N95" s="14">
        <f t="shared" si="6"/>
        <v>631.31016</v>
      </c>
    </row>
    <row r="96" spans="6:14" ht="15.75" x14ac:dyDescent="0.25">
      <c r="F96" s="2">
        <v>89</v>
      </c>
      <c r="G96" s="2" t="s">
        <v>24</v>
      </c>
      <c r="H96" s="2">
        <v>742</v>
      </c>
      <c r="I96" s="25" t="s">
        <v>102</v>
      </c>
      <c r="J96" s="2">
        <v>136</v>
      </c>
      <c r="K96" s="2">
        <v>2836</v>
      </c>
      <c r="L96" s="13">
        <v>1.0999999999999999E-2</v>
      </c>
      <c r="M96" s="13">
        <f t="shared" si="8"/>
        <v>2.7E-2</v>
      </c>
      <c r="N96" s="14">
        <f t="shared" si="6"/>
        <v>109.26522</v>
      </c>
    </row>
    <row r="97" spans="6:14" ht="15" customHeight="1" x14ac:dyDescent="0.25">
      <c r="F97" s="5">
        <v>90</v>
      </c>
      <c r="G97" s="3" t="s">
        <v>24</v>
      </c>
      <c r="H97" s="5">
        <v>744</v>
      </c>
      <c r="I97" s="22" t="s">
        <v>102</v>
      </c>
      <c r="J97" s="5">
        <v>126</v>
      </c>
      <c r="K97" s="5" t="s">
        <v>70</v>
      </c>
      <c r="L97" s="15">
        <v>0.23300000000000001</v>
      </c>
      <c r="M97" s="15">
        <f t="shared" si="8"/>
        <v>0.57599999999999996</v>
      </c>
      <c r="N97" s="14">
        <f t="shared" si="6"/>
        <v>2330.99136</v>
      </c>
    </row>
    <row r="98" spans="6:14" ht="15.75" x14ac:dyDescent="0.25">
      <c r="F98" s="2">
        <v>91</v>
      </c>
      <c r="G98" s="2" t="s">
        <v>25</v>
      </c>
      <c r="H98" s="2">
        <v>3270</v>
      </c>
      <c r="I98" s="25" t="s">
        <v>102</v>
      </c>
      <c r="J98" s="2">
        <v>197</v>
      </c>
      <c r="K98" s="2">
        <v>2900</v>
      </c>
      <c r="L98" s="13">
        <v>0.104</v>
      </c>
      <c r="M98" s="13">
        <f t="shared" ref="M98:M105" si="9">ROUND(L98*2.471,3)</f>
        <v>0.25700000000000001</v>
      </c>
      <c r="N98" s="14">
        <f t="shared" si="6"/>
        <v>1040.0430200000001</v>
      </c>
    </row>
    <row r="99" spans="6:14" ht="15" customHeight="1" x14ac:dyDescent="0.25">
      <c r="F99" s="5">
        <v>92</v>
      </c>
      <c r="G99" s="3" t="s">
        <v>25</v>
      </c>
      <c r="H99" s="5">
        <v>3271</v>
      </c>
      <c r="I99" s="22" t="s">
        <v>102</v>
      </c>
      <c r="J99" s="5">
        <v>211</v>
      </c>
      <c r="K99" s="5" t="s">
        <v>71</v>
      </c>
      <c r="L99" s="15">
        <v>0.24</v>
      </c>
      <c r="M99" s="15">
        <f t="shared" si="9"/>
        <v>0.59299999999999997</v>
      </c>
      <c r="N99" s="14">
        <f t="shared" si="6"/>
        <v>2399.7879800000001</v>
      </c>
    </row>
    <row r="100" spans="6:14" ht="15" customHeight="1" x14ac:dyDescent="0.25">
      <c r="F100" s="3">
        <v>93</v>
      </c>
      <c r="G100" s="3" t="s">
        <v>26</v>
      </c>
      <c r="H100" s="3">
        <v>4978</v>
      </c>
      <c r="I100" s="22" t="s">
        <v>103</v>
      </c>
      <c r="J100" s="3">
        <v>36</v>
      </c>
      <c r="K100" s="3" t="s">
        <v>72</v>
      </c>
      <c r="L100" s="15">
        <v>0.14499999999999999</v>
      </c>
      <c r="M100" s="15">
        <f t="shared" si="9"/>
        <v>0.35799999999999998</v>
      </c>
      <c r="N100" s="14">
        <f t="shared" si="6"/>
        <v>1448.7758799999999</v>
      </c>
    </row>
    <row r="101" spans="6:14" ht="15.75" x14ac:dyDescent="0.25">
      <c r="F101" s="2">
        <v>94</v>
      </c>
      <c r="G101" s="3" t="s">
        <v>27</v>
      </c>
      <c r="H101" s="2">
        <v>5243</v>
      </c>
      <c r="I101" s="25" t="s">
        <v>102</v>
      </c>
      <c r="J101" s="4">
        <v>260</v>
      </c>
      <c r="K101" s="4" t="s">
        <v>73</v>
      </c>
      <c r="L101" s="13">
        <v>0.185</v>
      </c>
      <c r="M101" s="13">
        <f t="shared" si="9"/>
        <v>0.45700000000000002</v>
      </c>
      <c r="N101" s="14">
        <f t="shared" si="6"/>
        <v>1849.4150200000001</v>
      </c>
    </row>
    <row r="102" spans="6:14" ht="15" customHeight="1" x14ac:dyDescent="0.25">
      <c r="F102" s="5">
        <v>95</v>
      </c>
      <c r="G102" s="3" t="s">
        <v>27</v>
      </c>
      <c r="H102" s="5">
        <v>5244</v>
      </c>
      <c r="I102" s="22" t="s">
        <v>102</v>
      </c>
      <c r="J102" s="5">
        <v>275</v>
      </c>
      <c r="K102" s="5" t="s">
        <v>74</v>
      </c>
      <c r="L102" s="15">
        <v>3.7999999999999999E-2</v>
      </c>
      <c r="M102" s="15">
        <f t="shared" si="9"/>
        <v>9.4E-2</v>
      </c>
      <c r="N102" s="14">
        <f t="shared" si="6"/>
        <v>380.40484000000004</v>
      </c>
    </row>
    <row r="103" spans="6:14" ht="15.75" x14ac:dyDescent="0.25">
      <c r="F103" s="2">
        <v>96</v>
      </c>
      <c r="G103" s="3" t="s">
        <v>28</v>
      </c>
      <c r="H103" s="2">
        <v>6069</v>
      </c>
      <c r="I103" s="25" t="s">
        <v>102</v>
      </c>
      <c r="J103" s="10"/>
      <c r="K103" s="10" t="s">
        <v>75</v>
      </c>
      <c r="L103" s="13">
        <v>5.3999999999999999E-2</v>
      </c>
      <c r="M103" s="13">
        <f t="shared" si="9"/>
        <v>0.13300000000000001</v>
      </c>
      <c r="N103" s="14">
        <f t="shared" si="6"/>
        <v>538.23238000000003</v>
      </c>
    </row>
    <row r="104" spans="6:14" ht="15" customHeight="1" x14ac:dyDescent="0.25">
      <c r="F104" s="5">
        <v>97</v>
      </c>
      <c r="G104" s="3" t="s">
        <v>29</v>
      </c>
      <c r="H104" s="5">
        <v>6419</v>
      </c>
      <c r="I104" s="22" t="s">
        <v>102</v>
      </c>
      <c r="J104" s="5">
        <v>249</v>
      </c>
      <c r="K104" s="5" t="s">
        <v>75</v>
      </c>
      <c r="L104" s="15">
        <v>0.11700000000000001</v>
      </c>
      <c r="M104" s="15">
        <f t="shared" si="9"/>
        <v>0.28899999999999998</v>
      </c>
      <c r="N104" s="14">
        <f t="shared" si="6"/>
        <v>1169.5425399999999</v>
      </c>
    </row>
    <row r="105" spans="6:14" ht="15" customHeight="1" x14ac:dyDescent="0.25">
      <c r="F105" s="5">
        <v>98</v>
      </c>
      <c r="G105" s="3" t="s">
        <v>30</v>
      </c>
      <c r="H105" s="5">
        <v>6475</v>
      </c>
      <c r="I105" s="22" t="s">
        <v>102</v>
      </c>
      <c r="J105" s="5">
        <v>275</v>
      </c>
      <c r="K105" s="5" t="s">
        <v>76</v>
      </c>
      <c r="L105" s="15">
        <v>7.5999999999999998E-2</v>
      </c>
      <c r="M105" s="15">
        <f t="shared" si="9"/>
        <v>0.188</v>
      </c>
      <c r="N105" s="14">
        <f t="shared" si="6"/>
        <v>760.80968000000007</v>
      </c>
    </row>
    <row r="106" spans="6:14" ht="15.75" x14ac:dyDescent="0.25">
      <c r="F106" s="2">
        <v>99</v>
      </c>
      <c r="G106" s="3" t="s">
        <v>31</v>
      </c>
      <c r="H106" s="2">
        <v>6711</v>
      </c>
      <c r="I106" s="25" t="s">
        <v>103</v>
      </c>
      <c r="J106" s="10">
        <v>51</v>
      </c>
      <c r="K106" s="10">
        <v>126</v>
      </c>
      <c r="L106" s="13">
        <v>3.7999999999999999E-2</v>
      </c>
      <c r="M106" s="13">
        <f t="shared" ref="M106:M112" si="10">ROUND(L106*2.471,3)</f>
        <v>9.4E-2</v>
      </c>
      <c r="N106" s="14">
        <f t="shared" si="6"/>
        <v>380.40484000000004</v>
      </c>
    </row>
    <row r="107" spans="6:14" ht="15.75" x14ac:dyDescent="0.25">
      <c r="F107" s="2">
        <v>100</v>
      </c>
      <c r="G107" s="3" t="s">
        <v>32</v>
      </c>
      <c r="H107" s="2">
        <v>10348</v>
      </c>
      <c r="I107" s="25" t="s">
        <v>103</v>
      </c>
      <c r="J107" s="3">
        <v>72</v>
      </c>
      <c r="K107" s="3" t="s">
        <v>77</v>
      </c>
      <c r="L107" s="13">
        <v>0.108</v>
      </c>
      <c r="M107" s="13">
        <f t="shared" si="10"/>
        <v>0.26700000000000002</v>
      </c>
      <c r="N107" s="14">
        <f t="shared" si="6"/>
        <v>1080.51162</v>
      </c>
    </row>
    <row r="108" spans="6:14" ht="30" x14ac:dyDescent="0.25">
      <c r="F108" s="2">
        <v>101</v>
      </c>
      <c r="G108" s="3" t="s">
        <v>33</v>
      </c>
      <c r="H108" s="2">
        <v>4529</v>
      </c>
      <c r="I108" s="26" t="s">
        <v>104</v>
      </c>
      <c r="J108" s="3">
        <v>19</v>
      </c>
      <c r="K108" s="3" t="s">
        <v>81</v>
      </c>
      <c r="L108" s="13">
        <v>1.966</v>
      </c>
      <c r="M108" s="13">
        <f t="shared" si="10"/>
        <v>4.8579999999999997</v>
      </c>
      <c r="N108" s="14">
        <f t="shared" si="6"/>
        <v>19659.64588</v>
      </c>
    </row>
    <row r="109" spans="6:14" ht="15.75" x14ac:dyDescent="0.25">
      <c r="F109" s="2">
        <v>102</v>
      </c>
      <c r="G109" s="3" t="s">
        <v>34</v>
      </c>
      <c r="H109" s="2">
        <v>4799</v>
      </c>
      <c r="I109" s="26" t="s">
        <v>103</v>
      </c>
      <c r="J109" s="3">
        <v>19</v>
      </c>
      <c r="K109" s="3" t="s">
        <v>78</v>
      </c>
      <c r="L109" s="15">
        <v>0.05</v>
      </c>
      <c r="M109" s="13">
        <f t="shared" si="10"/>
        <v>0.124</v>
      </c>
      <c r="N109" s="14">
        <f t="shared" si="6"/>
        <v>501.81064000000003</v>
      </c>
    </row>
    <row r="110" spans="6:14" ht="15.75" x14ac:dyDescent="0.25">
      <c r="F110" s="2">
        <v>103</v>
      </c>
      <c r="G110" s="3" t="s">
        <v>35</v>
      </c>
      <c r="H110" s="2">
        <v>7426</v>
      </c>
      <c r="I110" s="26" t="s">
        <v>104</v>
      </c>
      <c r="J110" s="3"/>
      <c r="K110" s="3" t="s">
        <v>79</v>
      </c>
      <c r="L110" s="15">
        <v>6.2E-2</v>
      </c>
      <c r="M110" s="13">
        <f t="shared" si="10"/>
        <v>0.153</v>
      </c>
      <c r="N110" s="14">
        <f t="shared" si="6"/>
        <v>619.16958</v>
      </c>
    </row>
    <row r="111" spans="6:14" ht="15.75" x14ac:dyDescent="0.25">
      <c r="F111" s="2">
        <v>104</v>
      </c>
      <c r="G111" s="3" t="s">
        <v>36</v>
      </c>
      <c r="H111" s="2">
        <v>10212</v>
      </c>
      <c r="I111" s="25" t="s">
        <v>103</v>
      </c>
      <c r="J111" s="6">
        <v>1</v>
      </c>
      <c r="K111" s="6">
        <v>2.8128228328428501E+23</v>
      </c>
      <c r="L111" s="15">
        <v>0.28799999999999998</v>
      </c>
      <c r="M111" s="13">
        <f t="shared" si="10"/>
        <v>0.71199999999999997</v>
      </c>
      <c r="N111" s="14">
        <f t="shared" si="6"/>
        <v>2881.3643200000001</v>
      </c>
    </row>
    <row r="112" spans="6:14" ht="15.75" x14ac:dyDescent="0.25">
      <c r="F112" s="2">
        <v>105</v>
      </c>
      <c r="G112" s="3" t="s">
        <v>37</v>
      </c>
      <c r="H112" s="2">
        <v>4608</v>
      </c>
      <c r="I112" s="25" t="s">
        <v>103</v>
      </c>
      <c r="J112" s="3" t="s">
        <v>43</v>
      </c>
      <c r="K112" s="3" t="s">
        <v>101</v>
      </c>
      <c r="L112" s="15">
        <v>0.53800000000000003</v>
      </c>
      <c r="M112" s="13">
        <f t="shared" si="10"/>
        <v>1.329</v>
      </c>
      <c r="N112" s="14">
        <f>(M112*4046.86)</f>
        <v>5378.2769399999997</v>
      </c>
    </row>
    <row r="113" spans="6:15" x14ac:dyDescent="0.25">
      <c r="F113" s="82" t="s">
        <v>105</v>
      </c>
      <c r="G113" s="82"/>
      <c r="H113" s="82"/>
      <c r="I113" s="82"/>
      <c r="J113" s="82"/>
      <c r="K113" s="82"/>
      <c r="L113" s="16">
        <f>SUM(L4:L112)</f>
        <v>36.800999999999988</v>
      </c>
      <c r="M113" s="16">
        <f>SUM(M4:M112)</f>
        <v>90.938000000000017</v>
      </c>
      <c r="N113" s="16">
        <f>SUM(N4:N112)</f>
        <v>368013.35467999976</v>
      </c>
    </row>
    <row r="122" spans="6:15" x14ac:dyDescent="0.25">
      <c r="O122" t="e">
        <f>sum</f>
        <v>#NAME?</v>
      </c>
    </row>
  </sheetData>
  <autoFilter ref="F3:N113" xr:uid="{00000000-0009-0000-0000-000001000000}"/>
  <mergeCells count="11">
    <mergeCell ref="F2:N2"/>
    <mergeCell ref="F113:K113"/>
    <mergeCell ref="N63:N67"/>
    <mergeCell ref="L63:L67"/>
    <mergeCell ref="M63:M67"/>
    <mergeCell ref="K63:K67"/>
    <mergeCell ref="H63:H67"/>
    <mergeCell ref="J63:J67"/>
    <mergeCell ref="I63:I67"/>
    <mergeCell ref="F63:F67"/>
    <mergeCell ref="G63:G6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7:I16"/>
  <sheetViews>
    <sheetView topLeftCell="A7" workbookViewId="0">
      <selection activeCell="K9" sqref="K9"/>
    </sheetView>
  </sheetViews>
  <sheetFormatPr defaultRowHeight="15" x14ac:dyDescent="0.25"/>
  <cols>
    <col min="6" max="6" width="14.5703125" bestFit="1" customWidth="1"/>
  </cols>
  <sheetData>
    <row r="7" spans="5:9" x14ac:dyDescent="0.25">
      <c r="E7" s="93" t="s">
        <v>109</v>
      </c>
      <c r="F7" s="94"/>
      <c r="G7" s="94"/>
      <c r="H7" s="94"/>
      <c r="I7" s="94"/>
    </row>
    <row r="8" spans="5:9" ht="55.5" x14ac:dyDescent="0.25">
      <c r="E8" s="50" t="s">
        <v>110</v>
      </c>
      <c r="F8" s="50" t="s">
        <v>80</v>
      </c>
      <c r="G8" s="1" t="s">
        <v>111</v>
      </c>
      <c r="H8" s="1" t="s">
        <v>112</v>
      </c>
      <c r="I8" s="1" t="s">
        <v>113</v>
      </c>
    </row>
    <row r="9" spans="5:9" x14ac:dyDescent="0.25">
      <c r="E9" s="39">
        <v>1</v>
      </c>
      <c r="F9" s="39" t="s">
        <v>103</v>
      </c>
      <c r="G9" s="39">
        <v>62</v>
      </c>
      <c r="H9" s="13">
        <v>23.14</v>
      </c>
      <c r="I9" s="13">
        <f>(H9*2.471)</f>
        <v>57.178940000000004</v>
      </c>
    </row>
    <row r="10" spans="5:9" x14ac:dyDescent="0.25">
      <c r="E10" s="39">
        <v>2</v>
      </c>
      <c r="F10" s="39" t="s">
        <v>102</v>
      </c>
      <c r="G10" s="39">
        <v>34</v>
      </c>
      <c r="H10" s="39">
        <v>10.85</v>
      </c>
      <c r="I10" s="13">
        <f>(H10*2.471)</f>
        <v>26.81035</v>
      </c>
    </row>
    <row r="11" spans="5:9" x14ac:dyDescent="0.25">
      <c r="E11" s="39">
        <v>3</v>
      </c>
      <c r="F11" s="39" t="s">
        <v>104</v>
      </c>
      <c r="G11" s="39">
        <v>9</v>
      </c>
      <c r="H11" s="39">
        <v>2.81</v>
      </c>
      <c r="I11" s="13">
        <f>(H11*2.471)</f>
        <v>6.9435100000000007</v>
      </c>
    </row>
    <row r="12" spans="5:9" x14ac:dyDescent="0.25">
      <c r="E12" s="95" t="s">
        <v>105</v>
      </c>
      <c r="F12" s="95"/>
      <c r="G12" s="47">
        <f>SUM(G9:G11)</f>
        <v>105</v>
      </c>
      <c r="H12" s="51">
        <f>SUM(H9:H11)</f>
        <v>36.800000000000004</v>
      </c>
      <c r="I12" s="51">
        <f>SUM(I9:I11)</f>
        <v>90.932800000000015</v>
      </c>
    </row>
    <row r="13" spans="5:9" x14ac:dyDescent="0.25">
      <c r="E13" s="96" t="s">
        <v>114</v>
      </c>
      <c r="F13" s="97"/>
      <c r="G13" s="97"/>
      <c r="H13" s="97"/>
      <c r="I13" s="98"/>
    </row>
    <row r="14" spans="5:9" ht="31.5" customHeight="1" x14ac:dyDescent="0.25">
      <c r="E14" s="90" t="s">
        <v>115</v>
      </c>
      <c r="F14" s="91"/>
      <c r="G14" s="91"/>
      <c r="H14" s="91"/>
      <c r="I14" s="92"/>
    </row>
    <row r="15" spans="5:9" ht="58.5" customHeight="1" x14ac:dyDescent="0.25">
      <c r="E15" s="90" t="s">
        <v>116</v>
      </c>
      <c r="F15" s="91"/>
      <c r="G15" s="91"/>
      <c r="H15" s="91"/>
      <c r="I15" s="92"/>
    </row>
    <row r="16" spans="5:9" ht="28.5" customHeight="1" x14ac:dyDescent="0.25">
      <c r="E16" s="90" t="s">
        <v>117</v>
      </c>
      <c r="F16" s="91"/>
      <c r="G16" s="91"/>
      <c r="H16" s="91"/>
      <c r="I16" s="92"/>
    </row>
  </sheetData>
  <mergeCells count="6">
    <mergeCell ref="E16:I16"/>
    <mergeCell ref="E7:I7"/>
    <mergeCell ref="E12:F12"/>
    <mergeCell ref="E13:I13"/>
    <mergeCell ref="E14:I14"/>
    <mergeCell ref="E15:I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R12"/>
  <sheetViews>
    <sheetView workbookViewId="0">
      <selection activeCell="C6" sqref="C6"/>
    </sheetView>
  </sheetViews>
  <sheetFormatPr defaultRowHeight="15" x14ac:dyDescent="0.25"/>
  <cols>
    <col min="4" max="4" width="14" bestFit="1" customWidth="1"/>
    <col min="6" max="6" width="9.5703125" bestFit="1" customWidth="1"/>
    <col min="7" max="7" width="11.85546875" customWidth="1"/>
    <col min="8" max="8" width="14.5703125" customWidth="1"/>
    <col min="9" max="9" width="11.7109375" customWidth="1"/>
    <col min="10" max="10" width="23.5703125" customWidth="1"/>
    <col min="11" max="11" width="18.5703125" bestFit="1" customWidth="1"/>
  </cols>
  <sheetData>
    <row r="5" spans="3:18" x14ac:dyDescent="0.25">
      <c r="C5" s="104" t="s">
        <v>158</v>
      </c>
      <c r="D5" s="93"/>
      <c r="E5" s="93"/>
      <c r="F5" s="93"/>
      <c r="G5" s="93"/>
      <c r="H5" s="93"/>
      <c r="I5" s="93"/>
      <c r="J5" s="93"/>
      <c r="K5" s="93"/>
    </row>
    <row r="6" spans="3:18" ht="51" x14ac:dyDescent="0.25">
      <c r="C6" s="75" t="s">
        <v>152</v>
      </c>
      <c r="D6" s="75" t="s">
        <v>80</v>
      </c>
      <c r="E6" s="74" t="s">
        <v>153</v>
      </c>
      <c r="F6" s="74" t="s">
        <v>153</v>
      </c>
      <c r="G6" s="74" t="s">
        <v>153</v>
      </c>
      <c r="H6" s="74" t="s">
        <v>154</v>
      </c>
      <c r="I6" s="74" t="s">
        <v>155</v>
      </c>
      <c r="J6" s="74" t="s">
        <v>156</v>
      </c>
      <c r="K6" s="75" t="s">
        <v>157</v>
      </c>
    </row>
    <row r="7" spans="3:18" x14ac:dyDescent="0.25">
      <c r="C7" s="49">
        <v>1</v>
      </c>
      <c r="D7" s="49" t="s">
        <v>107</v>
      </c>
      <c r="E7" s="49">
        <v>2.81</v>
      </c>
      <c r="F7" s="14">
        <f>(E7*2.471)</f>
        <v>6.9435100000000007</v>
      </c>
      <c r="G7" s="14">
        <f>(F7*4046.86)</f>
        <v>28099.412878600004</v>
      </c>
      <c r="H7" s="76">
        <v>3500000</v>
      </c>
      <c r="I7" s="76">
        <v>1550</v>
      </c>
      <c r="J7" s="76">
        <f>(E7*H7)</f>
        <v>9835000</v>
      </c>
      <c r="K7" s="76">
        <f>(G7*I7)</f>
        <v>43554089.961830005</v>
      </c>
    </row>
    <row r="8" spans="3:18" ht="30" customHeight="1" x14ac:dyDescent="0.25">
      <c r="C8" s="49">
        <v>2</v>
      </c>
      <c r="D8" s="48" t="s">
        <v>108</v>
      </c>
      <c r="E8" s="14">
        <v>33.99</v>
      </c>
      <c r="F8" s="14">
        <f>(E8*2.471)</f>
        <v>83.989290000000011</v>
      </c>
      <c r="G8" s="14">
        <f>(F8*4046.86)</f>
        <v>339892.89812940004</v>
      </c>
      <c r="H8" s="76">
        <v>3700000</v>
      </c>
      <c r="I8" s="76">
        <v>3300</v>
      </c>
      <c r="J8" s="76">
        <f>(E8*H8)</f>
        <v>125763000</v>
      </c>
      <c r="K8" s="76">
        <f>(G8*I8)</f>
        <v>1121646563.8270202</v>
      </c>
    </row>
    <row r="9" spans="3:18" x14ac:dyDescent="0.25">
      <c r="C9" s="95" t="s">
        <v>105</v>
      </c>
      <c r="D9" s="95"/>
      <c r="E9" s="14">
        <f>SUM(E7:E8)</f>
        <v>36.800000000000004</v>
      </c>
      <c r="F9" s="14">
        <f>(E9*2.471)</f>
        <v>90.932800000000015</v>
      </c>
      <c r="G9" s="14">
        <f>(F9*4046.86)</f>
        <v>367992.31100800005</v>
      </c>
      <c r="H9" s="76"/>
      <c r="I9" s="76"/>
      <c r="J9" s="77">
        <f>SUM(J7:J8)</f>
        <v>135598000</v>
      </c>
      <c r="K9" s="77">
        <f>SUM(K7:K8)</f>
        <v>1165200653.7888501</v>
      </c>
    </row>
    <row r="10" spans="3:18" x14ac:dyDescent="0.25">
      <c r="C10" s="101" t="s">
        <v>114</v>
      </c>
      <c r="D10" s="102"/>
      <c r="E10" s="102"/>
      <c r="F10" s="102"/>
      <c r="G10" s="102"/>
      <c r="H10" s="102"/>
      <c r="I10" s="102"/>
      <c r="J10" s="102"/>
      <c r="K10" s="103"/>
    </row>
    <row r="11" spans="3:18" ht="15" customHeight="1" x14ac:dyDescent="0.25">
      <c r="C11" s="99" t="s">
        <v>115</v>
      </c>
      <c r="D11" s="99"/>
      <c r="E11" s="99"/>
      <c r="F11" s="99"/>
      <c r="G11" s="99"/>
      <c r="H11" s="99"/>
      <c r="I11" s="99"/>
      <c r="J11" s="99"/>
      <c r="K11" s="99"/>
    </row>
    <row r="12" spans="3:18" ht="44.25" customHeight="1" x14ac:dyDescent="0.25">
      <c r="C12" s="100" t="s">
        <v>130</v>
      </c>
      <c r="D12" s="100"/>
      <c r="E12" s="100"/>
      <c r="F12" s="100"/>
      <c r="G12" s="100"/>
      <c r="H12" s="100"/>
      <c r="I12" s="100"/>
      <c r="J12" s="100"/>
      <c r="K12" s="100"/>
      <c r="L12" s="63"/>
      <c r="M12" s="63"/>
      <c r="N12" s="63"/>
      <c r="O12" s="63"/>
      <c r="P12" s="63"/>
      <c r="Q12" s="63"/>
      <c r="R12" s="63"/>
    </row>
  </sheetData>
  <mergeCells count="5">
    <mergeCell ref="C11:K11"/>
    <mergeCell ref="C12:K12"/>
    <mergeCell ref="C10:K10"/>
    <mergeCell ref="C9:D9"/>
    <mergeCell ref="C5:K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E5:H19"/>
  <sheetViews>
    <sheetView workbookViewId="0">
      <selection activeCell="F7" sqref="F7"/>
    </sheetView>
  </sheetViews>
  <sheetFormatPr defaultRowHeight="15" x14ac:dyDescent="0.25"/>
  <cols>
    <col min="5" max="5" width="14.5703125" bestFit="1" customWidth="1"/>
    <col min="6" max="6" width="28.42578125" customWidth="1"/>
    <col min="7" max="7" width="21.7109375" customWidth="1"/>
    <col min="8" max="8" width="18.5703125" bestFit="1" customWidth="1"/>
  </cols>
  <sheetData>
    <row r="5" spans="5:8" ht="32.25" customHeight="1" x14ac:dyDescent="0.25">
      <c r="E5" s="105" t="s">
        <v>129</v>
      </c>
      <c r="F5" s="105"/>
      <c r="G5" s="105"/>
      <c r="H5" s="105"/>
    </row>
    <row r="6" spans="5:8" ht="42.75" x14ac:dyDescent="0.25">
      <c r="E6" s="52" t="s">
        <v>80</v>
      </c>
      <c r="F6" s="52" t="s">
        <v>118</v>
      </c>
      <c r="G6" s="52" t="s">
        <v>119</v>
      </c>
      <c r="H6" s="53" t="s">
        <v>120</v>
      </c>
    </row>
    <row r="7" spans="5:8" x14ac:dyDescent="0.25">
      <c r="E7" s="39" t="s">
        <v>103</v>
      </c>
      <c r="F7" s="13">
        <v>23.14</v>
      </c>
      <c r="G7" s="54">
        <v>2900000</v>
      </c>
      <c r="H7" s="54">
        <f>(F7*G7)</f>
        <v>67106000</v>
      </c>
    </row>
    <row r="8" spans="5:8" x14ac:dyDescent="0.25">
      <c r="E8" s="39" t="s">
        <v>102</v>
      </c>
      <c r="F8" s="39">
        <v>10.85</v>
      </c>
      <c r="G8" s="54">
        <v>2900000</v>
      </c>
      <c r="H8" s="54">
        <f>(F8*G8)</f>
        <v>31465000</v>
      </c>
    </row>
    <row r="9" spans="5:8" x14ac:dyDescent="0.25">
      <c r="E9" s="59" t="s">
        <v>104</v>
      </c>
      <c r="F9" s="59">
        <v>2.81</v>
      </c>
      <c r="G9" s="61">
        <v>2700000</v>
      </c>
      <c r="H9" s="54">
        <f>(F9*G9)</f>
        <v>7587000</v>
      </c>
    </row>
    <row r="10" spans="5:8" x14ac:dyDescent="0.25">
      <c r="E10" s="47" t="s">
        <v>105</v>
      </c>
      <c r="F10" s="51">
        <f>SUM(F7:F9)</f>
        <v>36.800000000000004</v>
      </c>
      <c r="G10" s="55"/>
      <c r="H10" s="62">
        <f>SUM(H7:H9)</f>
        <v>106158000</v>
      </c>
    </row>
    <row r="11" spans="5:8" x14ac:dyDescent="0.25">
      <c r="E11" s="106" t="s">
        <v>121</v>
      </c>
      <c r="F11" s="106"/>
      <c r="G11" s="60" t="s">
        <v>122</v>
      </c>
      <c r="H11" s="56">
        <f>2*H10</f>
        <v>212316000</v>
      </c>
    </row>
    <row r="12" spans="5:8" x14ac:dyDescent="0.25">
      <c r="E12" s="107"/>
      <c r="F12" s="107"/>
      <c r="G12" s="107"/>
      <c r="H12" s="107"/>
    </row>
    <row r="13" spans="5:8" x14ac:dyDescent="0.25">
      <c r="E13" s="108" t="s">
        <v>123</v>
      </c>
      <c r="F13" s="108"/>
      <c r="G13" s="38"/>
      <c r="H13" s="46">
        <v>0</v>
      </c>
    </row>
    <row r="14" spans="5:8" x14ac:dyDescent="0.25">
      <c r="E14" s="107"/>
      <c r="F14" s="107"/>
      <c r="G14" s="107"/>
      <c r="H14" s="107"/>
    </row>
    <row r="15" spans="5:8" x14ac:dyDescent="0.25">
      <c r="E15" s="109" t="s">
        <v>124</v>
      </c>
      <c r="F15" s="109"/>
      <c r="G15" s="109"/>
      <c r="H15" s="57">
        <f>H13+H11</f>
        <v>212316000</v>
      </c>
    </row>
    <row r="16" spans="5:8" x14ac:dyDescent="0.25">
      <c r="E16" s="107"/>
      <c r="F16" s="107"/>
      <c r="G16" s="107"/>
      <c r="H16" s="107"/>
    </row>
    <row r="17" spans="5:8" x14ac:dyDescent="0.25">
      <c r="E17" s="108" t="s">
        <v>125</v>
      </c>
      <c r="F17" s="108"/>
      <c r="G17" s="46" t="s">
        <v>126</v>
      </c>
      <c r="H17" s="58">
        <f>H15*100%</f>
        <v>212316000</v>
      </c>
    </row>
    <row r="18" spans="5:8" x14ac:dyDescent="0.25">
      <c r="E18" s="107"/>
      <c r="F18" s="107"/>
      <c r="G18" s="107"/>
      <c r="H18" s="107"/>
    </row>
    <row r="19" spans="5:8" x14ac:dyDescent="0.25">
      <c r="E19" s="109" t="s">
        <v>127</v>
      </c>
      <c r="F19" s="109"/>
      <c r="G19" s="109"/>
      <c r="H19" s="57">
        <f>H17+H15</f>
        <v>424632000</v>
      </c>
    </row>
  </sheetData>
  <mergeCells count="10">
    <mergeCell ref="E15:G15"/>
    <mergeCell ref="E16:H16"/>
    <mergeCell ref="E17:F17"/>
    <mergeCell ref="E18:H18"/>
    <mergeCell ref="E19:G19"/>
    <mergeCell ref="E5:H5"/>
    <mergeCell ref="E11:F11"/>
    <mergeCell ref="E12:H12"/>
    <mergeCell ref="E13:F13"/>
    <mergeCell ref="E14:H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79E6-6640-4C8A-BC40-4B78AF070680}">
  <dimension ref="C4:O13"/>
  <sheetViews>
    <sheetView workbookViewId="0">
      <selection activeCell="K9" sqref="K9"/>
    </sheetView>
  </sheetViews>
  <sheetFormatPr defaultRowHeight="15" x14ac:dyDescent="0.25"/>
  <cols>
    <col min="3" max="3" width="31.42578125" bestFit="1" customWidth="1"/>
    <col min="4" max="4" width="15" bestFit="1" customWidth="1"/>
    <col min="5" max="5" width="17.28515625" bestFit="1" customWidth="1"/>
    <col min="6" max="6" width="19.28515625" bestFit="1" customWidth="1"/>
    <col min="7" max="7" width="16.7109375" bestFit="1" customWidth="1"/>
    <col min="11" max="11" width="18.85546875" bestFit="1" customWidth="1"/>
  </cols>
  <sheetData>
    <row r="4" spans="3:15" x14ac:dyDescent="0.25">
      <c r="C4" s="110" t="s">
        <v>131</v>
      </c>
      <c r="D4" s="111"/>
      <c r="E4" s="111"/>
      <c r="F4" s="111"/>
      <c r="G4" s="111"/>
      <c r="K4" t="s">
        <v>143</v>
      </c>
    </row>
    <row r="5" spans="3:15" ht="15.75" x14ac:dyDescent="0.25">
      <c r="C5" s="64" t="s">
        <v>132</v>
      </c>
      <c r="D5" s="65" t="s">
        <v>133</v>
      </c>
      <c r="E5" s="65" t="s">
        <v>134</v>
      </c>
      <c r="F5" s="65" t="s">
        <v>135</v>
      </c>
      <c r="G5" s="65" t="s">
        <v>136</v>
      </c>
      <c r="K5" t="s">
        <v>144</v>
      </c>
      <c r="N5" t="s">
        <v>145</v>
      </c>
      <c r="O5" t="s">
        <v>146</v>
      </c>
    </row>
    <row r="6" spans="3:15" ht="15.75" x14ac:dyDescent="0.25">
      <c r="C6" s="66" t="s">
        <v>7</v>
      </c>
      <c r="D6" s="67">
        <v>90.93</v>
      </c>
      <c r="E6" s="68">
        <f>D6*0.25</f>
        <v>22.732500000000002</v>
      </c>
      <c r="F6" s="68">
        <f>D6*0.4</f>
        <v>36.372000000000007</v>
      </c>
      <c r="G6" s="68">
        <f>D6*0.35</f>
        <v>31.825500000000002</v>
      </c>
      <c r="K6" s="70" t="s">
        <v>147</v>
      </c>
      <c r="N6" t="s">
        <v>148</v>
      </c>
    </row>
    <row r="7" spans="3:15" ht="15.75" x14ac:dyDescent="0.25">
      <c r="C7" s="66" t="s">
        <v>137</v>
      </c>
      <c r="D7" s="49"/>
      <c r="E7" s="71">
        <v>7000000</v>
      </c>
      <c r="F7" s="71">
        <f>E7*2/3</f>
        <v>4666666.666666667</v>
      </c>
      <c r="G7" s="71">
        <f>E7/2</f>
        <v>3500000</v>
      </c>
      <c r="K7" t="s">
        <v>149</v>
      </c>
      <c r="N7" t="s">
        <v>150</v>
      </c>
    </row>
    <row r="8" spans="3:15" ht="15.75" x14ac:dyDescent="0.25">
      <c r="C8" s="66" t="s">
        <v>138</v>
      </c>
      <c r="D8" s="49"/>
      <c r="E8" s="71">
        <f>E7*E6</f>
        <v>159127500</v>
      </c>
      <c r="F8" s="71">
        <f>F7*F6</f>
        <v>169736000.00000003</v>
      </c>
      <c r="G8" s="71">
        <f>G7*G6</f>
        <v>111389250</v>
      </c>
    </row>
    <row r="9" spans="3:15" ht="15.75" x14ac:dyDescent="0.25">
      <c r="C9" s="66" t="s">
        <v>139</v>
      </c>
      <c r="D9" s="49"/>
      <c r="E9" s="112">
        <f>SUM(E8:G8)</f>
        <v>440252750</v>
      </c>
      <c r="F9" s="113"/>
      <c r="G9" s="114"/>
      <c r="K9" s="72">
        <v>1400000</v>
      </c>
      <c r="L9" t="s">
        <v>151</v>
      </c>
    </row>
    <row r="10" spans="3:15" ht="15.75" x14ac:dyDescent="0.25">
      <c r="C10" s="66" t="s">
        <v>140</v>
      </c>
      <c r="D10" s="49"/>
      <c r="E10" s="115">
        <f>E9/D6</f>
        <v>4841666.666666666</v>
      </c>
      <c r="F10" s="116"/>
      <c r="G10" s="117"/>
    </row>
    <row r="11" spans="3:15" ht="30" x14ac:dyDescent="0.25">
      <c r="C11" s="69" t="s">
        <v>128</v>
      </c>
      <c r="D11" s="49"/>
      <c r="E11" s="49"/>
      <c r="F11" s="49"/>
      <c r="G11" s="71">
        <f>E9*5%</f>
        <v>22012637.5</v>
      </c>
    </row>
    <row r="12" spans="3:15" ht="75" x14ac:dyDescent="0.25">
      <c r="C12" s="69" t="s">
        <v>141</v>
      </c>
      <c r="D12" s="49"/>
      <c r="E12" s="49"/>
      <c r="F12" s="49"/>
      <c r="G12" s="71">
        <f>E9*5%</f>
        <v>22012637.5</v>
      </c>
      <c r="K12">
        <f>20*0.7</f>
        <v>14</v>
      </c>
    </row>
    <row r="13" spans="3:15" x14ac:dyDescent="0.25">
      <c r="C13" s="118" t="s">
        <v>142</v>
      </c>
      <c r="D13" s="118"/>
      <c r="E13" s="118"/>
      <c r="F13" s="118"/>
      <c r="G13" s="73">
        <f>E9+G11+G12</f>
        <v>484278025</v>
      </c>
    </row>
  </sheetData>
  <mergeCells count="4">
    <mergeCell ref="C4:G4"/>
    <mergeCell ref="E9:G9"/>
    <mergeCell ref="E10:G10"/>
    <mergeCell ref="C13:F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736F-B03B-42E0-A3ED-C545D74AE647}">
  <dimension ref="E5:G12"/>
  <sheetViews>
    <sheetView tabSelected="1" workbookViewId="0">
      <selection activeCell="L9" sqref="L9"/>
    </sheetView>
  </sheetViews>
  <sheetFormatPr defaultRowHeight="15" x14ac:dyDescent="0.25"/>
  <cols>
    <col min="7" max="7" width="16.85546875" bestFit="1" customWidth="1"/>
    <col min="10" max="10" width="11" bestFit="1" customWidth="1"/>
  </cols>
  <sheetData>
    <row r="5" spans="5:7" x14ac:dyDescent="0.25">
      <c r="E5" t="s">
        <v>159</v>
      </c>
      <c r="G5" s="79">
        <v>484278025</v>
      </c>
    </row>
    <row r="6" spans="5:7" x14ac:dyDescent="0.25">
      <c r="E6" t="s">
        <v>160</v>
      </c>
      <c r="G6" s="79">
        <v>445686751</v>
      </c>
    </row>
    <row r="7" spans="5:7" x14ac:dyDescent="0.25">
      <c r="E7" t="s">
        <v>161</v>
      </c>
      <c r="G7" s="79">
        <v>966468907</v>
      </c>
    </row>
    <row r="8" spans="5:7" x14ac:dyDescent="0.25">
      <c r="G8" s="78">
        <f>SUM(G5:G7)</f>
        <v>1896433683</v>
      </c>
    </row>
    <row r="10" spans="5:7" x14ac:dyDescent="0.25">
      <c r="G10" s="78">
        <f>ROUND(G8,-6)</f>
        <v>1896000000</v>
      </c>
    </row>
    <row r="11" spans="5:7" x14ac:dyDescent="0.25">
      <c r="G11" s="72">
        <f>G10*0.85</f>
        <v>1611600000</v>
      </c>
    </row>
    <row r="12" spans="5:7" x14ac:dyDescent="0.25">
      <c r="G12" s="72">
        <f>G10*0.6</f>
        <v>1137600000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Land details</vt:lpstr>
      <vt:lpstr>Land area statement</vt:lpstr>
      <vt:lpstr>Circle Rates</vt:lpstr>
      <vt:lpstr>Land acquisition table</vt:lpstr>
      <vt:lpstr>Land Valuation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Udit Kumar Dubey</dc:creator>
  <cp:lastModifiedBy>Mahesh Joshi</cp:lastModifiedBy>
  <dcterms:created xsi:type="dcterms:W3CDTF">2020-10-28T08:25:25Z</dcterms:created>
  <dcterms:modified xsi:type="dcterms:W3CDTF">2024-05-14T10:10:40Z</dcterms:modified>
</cp:coreProperties>
</file>