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Yash Bhatnagar\BHSL Report\New Data\FAR Working\Reports\Budhana\Report\"/>
    </mc:Choice>
  </mc:AlternateContent>
  <xr:revisionPtr revIDLastSave="0" documentId="13_ncr:1_{9EFDA43E-503A-4940-8489-703AE3EE85BD}" xr6:coauthVersionLast="47" xr6:coauthVersionMax="47" xr10:uidLastSave="{00000000-0000-0000-0000-000000000000}"/>
  <bookViews>
    <workbookView xWindow="-120" yWindow="-120" windowWidth="21840" windowHeight="13140" activeTab="5" xr2:uid="{E64DE17C-F16E-443C-82B4-D6C182CF6C36}"/>
  </bookViews>
  <sheets>
    <sheet name="Villages" sheetId="5" r:id="rId1"/>
    <sheet name="Circle_rate" sheetId="6" r:id="rId2"/>
    <sheet name="Land_acqusition" sheetId="7" r:id="rId3"/>
    <sheet name="Capacity" sheetId="14" r:id="rId4"/>
    <sheet name="Land Valuation" sheetId="13" r:id="rId5"/>
    <sheet name="Sheet2" sheetId="15"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5" l="1"/>
  <c r="K12" i="15"/>
  <c r="K10" i="15"/>
  <c r="K8" i="15"/>
  <c r="J6" i="13" l="1"/>
  <c r="J5" i="13"/>
  <c r="E6" i="13" l="1"/>
  <c r="E8" i="13" s="1"/>
  <c r="F6" i="13"/>
  <c r="G6" i="13"/>
  <c r="F7" i="13"/>
  <c r="F8" i="13" s="1"/>
  <c r="G7" i="13"/>
  <c r="G8" i="13" s="1"/>
  <c r="G13" i="13"/>
  <c r="E9" i="13" l="1"/>
  <c r="E10" i="13"/>
  <c r="G11" i="13"/>
  <c r="G14" i="13" s="1"/>
  <c r="G12" i="13"/>
  <c r="G11" i="7" l="1"/>
  <c r="I10" i="7"/>
  <c r="I9" i="7"/>
  <c r="I8" i="7"/>
  <c r="I11" i="7" s="1"/>
  <c r="I12" i="7" s="1"/>
  <c r="I16" i="7" s="1"/>
  <c r="I18" i="7" s="1"/>
  <c r="I20" i="7" s="1"/>
  <c r="F8" i="6"/>
  <c r="K7" i="6"/>
  <c r="H7" i="6"/>
  <c r="L7" i="6" s="1"/>
  <c r="G7" i="6"/>
  <c r="K6" i="6"/>
  <c r="H6" i="6"/>
  <c r="L6" i="6" s="1"/>
  <c r="G6" i="6"/>
  <c r="K5" i="6"/>
  <c r="K8" i="6" s="1"/>
  <c r="H5" i="6"/>
  <c r="L5" i="6" s="1"/>
  <c r="G5" i="6"/>
  <c r="G8" i="6" s="1"/>
  <c r="F9" i="5"/>
  <c r="E9" i="5"/>
  <c r="G8" i="5"/>
  <c r="G7" i="5"/>
  <c r="G6" i="5"/>
  <c r="G9" i="5" s="1"/>
  <c r="L8" i="6" l="1"/>
  <c r="H8" i="6"/>
</calcChain>
</file>

<file path=xl/sharedStrings.xml><?xml version="1.0" encoding="utf-8"?>
<sst xmlns="http://schemas.openxmlformats.org/spreadsheetml/2006/main" count="88" uniqueCount="70">
  <si>
    <t>Sr. No.</t>
  </si>
  <si>
    <t>Total</t>
  </si>
  <si>
    <t xml:space="preserve">LAND AREA STATEMENT </t>
  </si>
  <si>
    <t>Village Name</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</si>
  <si>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</si>
  <si>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</si>
  <si>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</si>
  <si>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 xml:space="preserve">Bhaisana </t>
  </si>
  <si>
    <t>Budhana Khadar</t>
  </si>
  <si>
    <t>Chanderi</t>
  </si>
  <si>
    <t>VALUATION AS PER GOVT. GUIDELINE RATES</t>
  </si>
  <si>
    <t>S.No</t>
  </si>
  <si>
    <r>
      <t xml:space="preserve">Area  </t>
    </r>
    <r>
      <rPr>
        <i/>
        <sz val="11"/>
        <color theme="1"/>
        <rFont val="Calibri"/>
        <family val="2"/>
        <scheme val="minor"/>
      </rPr>
      <t>(Hectare)</t>
    </r>
  </si>
  <si>
    <r>
      <t xml:space="preserve">Area </t>
    </r>
    <r>
      <rPr>
        <i/>
        <sz val="11"/>
        <color theme="1"/>
        <rFont val="Calibri"/>
        <family val="2"/>
        <scheme val="minor"/>
      </rPr>
      <t>(Acre)</t>
    </r>
  </si>
  <si>
    <r>
      <t xml:space="preserve">Area
</t>
    </r>
    <r>
      <rPr>
        <i/>
        <sz val="11"/>
        <color theme="1"/>
        <rFont val="Calibri"/>
        <family val="2"/>
        <scheme val="minor"/>
      </rPr>
      <t>(sq. mtr.)</t>
    </r>
  </si>
  <si>
    <r>
      <t xml:space="preserve">Govt. Guidelines Rates 
</t>
    </r>
    <r>
      <rPr>
        <i/>
        <sz val="11"/>
        <color theme="1"/>
        <rFont val="Calibri"/>
        <family val="2"/>
        <scheme val="minor"/>
      </rPr>
      <t>(in Hectare)</t>
    </r>
    <r>
      <rPr>
        <b/>
        <sz val="11"/>
        <color theme="1"/>
        <rFont val="Calibri"/>
        <family val="2"/>
        <scheme val="minor"/>
      </rPr>
      <t xml:space="preserve">
</t>
    </r>
  </si>
  <si>
    <r>
      <t xml:space="preserve">Govt. Guidelines Rates 
</t>
    </r>
    <r>
      <rPr>
        <i/>
        <sz val="11"/>
        <color theme="1"/>
        <rFont val="Calibri"/>
        <family val="2"/>
        <scheme val="minor"/>
      </rPr>
      <t>(in sq. mtr.)</t>
    </r>
    <r>
      <rPr>
        <b/>
        <sz val="11"/>
        <color theme="1"/>
        <rFont val="Calibri"/>
        <family val="2"/>
        <scheme val="minor"/>
      </rPr>
      <t xml:space="preserve">
</t>
    </r>
  </si>
  <si>
    <t>Agricultural  Govt. Guideline Value</t>
  </si>
  <si>
    <t>Non- Agricultural  Govt. Guideline Value</t>
  </si>
  <si>
    <t>Remarks:</t>
  </si>
  <si>
    <t>1. The above mentioned land area has been taken on the basis of information/ data provided by the company.</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</si>
  <si>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</si>
  <si>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t>VALUATION OF PROJECT LAND | BAJAJ HINDUSTHAN SUGAR LIMITED | VILLAGE- BUDHANA | DISTRICT- MUZAFFARNAGAR</t>
  </si>
  <si>
    <r>
      <t xml:space="preserve">Area
</t>
    </r>
    <r>
      <rPr>
        <i/>
        <sz val="10"/>
        <rFont val="Calibri"/>
        <family val="2"/>
        <scheme val="minor"/>
      </rPr>
      <t>(in Hectare)</t>
    </r>
  </si>
  <si>
    <r>
      <t xml:space="preserve">Land Rate under Land Acquisition Act-2013
</t>
    </r>
    <r>
      <rPr>
        <i/>
        <sz val="10"/>
        <rFont val="Calibri"/>
        <family val="2"/>
        <scheme val="minor"/>
      </rPr>
      <t>(in per hectares)</t>
    </r>
  </si>
  <si>
    <t xml:space="preserve">Total </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</si>
  <si>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</si>
  <si>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</si>
  <si>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</si>
  <si>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</si>
  <si>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</si>
  <si>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</si>
  <si>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</si>
  <si>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BUDHANA LAND VALUATION BELTING METHOD</t>
  </si>
  <si>
    <t>Calculation by Belting Method</t>
  </si>
  <si>
    <t>Total Area</t>
  </si>
  <si>
    <t>Area (front side)</t>
  </si>
  <si>
    <t>Area (middle part)</t>
  </si>
  <si>
    <t>Area (back side)</t>
  </si>
  <si>
    <t>Area (Acre)</t>
  </si>
  <si>
    <t>2.5 lacs per acre</t>
  </si>
  <si>
    <t>TOTAL</t>
  </si>
  <si>
    <t>Rate (INR per Acre)</t>
  </si>
  <si>
    <t>Value (INR)</t>
  </si>
  <si>
    <t>Total Value (INR)</t>
  </si>
  <si>
    <t>Average Rate (INR per Acre)</t>
  </si>
  <si>
    <t>Add 5% premium for non agriculture land (INR)</t>
  </si>
  <si>
    <t>Add 5% for cost &amp; effort considerations to cover administrative cost, effort towards land acquisition &amp; consolidation etc. (INR)</t>
  </si>
  <si>
    <t>Add: Land Development, Site Levelling charges etc.  (INR)</t>
  </si>
  <si>
    <t>PLANT CAPACITY | BAJAJ HINDUSTHAN SUGAR LIMITED | KHAMBAKHERA, LAKHIMPUR KHERI</t>
  </si>
  <si>
    <t xml:space="preserve">Sr. No. </t>
  </si>
  <si>
    <t>Plant Facilities</t>
  </si>
  <si>
    <t>Capacity</t>
  </si>
  <si>
    <t>Sugar Unit</t>
  </si>
  <si>
    <t>Distillery Unit</t>
  </si>
  <si>
    <t>Cogen Plant</t>
  </si>
  <si>
    <t>Mill House</t>
  </si>
  <si>
    <t>-</t>
  </si>
  <si>
    <t>Drier House</t>
  </si>
  <si>
    <t>Godowns</t>
  </si>
  <si>
    <t>Administrative Building</t>
  </si>
  <si>
    <t>Residential Building</t>
  </si>
  <si>
    <t>Boiler Control Room</t>
  </si>
  <si>
    <t>Hospital</t>
  </si>
  <si>
    <t>1. The capacity of the subject project has been taken on the basis of information/ data provided by the company.</t>
  </si>
  <si>
    <t>9000 TCD</t>
  </si>
  <si>
    <t>27 MW</t>
  </si>
  <si>
    <t>land</t>
  </si>
  <si>
    <t>building</t>
  </si>
  <si>
    <t>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</si>
</sst>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4009]\ * #,##0.00_ ;_ [$₹-4009]\ * \-#,##0.00_ ;_ [$₹-4009]\ * &quot;-&quot;??_ ;_ @_ "/>
    <numFmt numFmtId="165" formatCode="_ [$₹-4009]\ * #,##0_ ;_ [$₹-4009]\ * \-#,##0_ ;_ [$₹-4009]\ * &quot;-&quot;??_ ;_ @_ "/>
    <numFmt numFmtId="166" formatCode="_ &quot;₹&quot;\ * #,##0_ ;_ &quot;₹&quot;\ * \-#,##0_ ;_ &quot;₹&quot;\ * &quot;-&quot;??_ ;_ @_ "/>
    <numFmt numFmtId="167" formatCode="_ * #,##0_ ;_ * \-#,##0_ ;_ * &quot;-&quot;??_ ;_ @_ "/>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sz val="10"/>
      <name val="Arial"/>
      <family val="2"/>
    </font>
    <font>
      <b/>
      <sz val="11"/>
      <name val="Calibri"/>
      <family val="2"/>
      <scheme val="minor"/>
    </font>
    <font>
      <sz val="11"/>
      <name val="Calibri"/>
      <family val="2"/>
      <scheme val="minor"/>
    </font>
    <font>
      <sz val="11"/>
      <color indexed="8"/>
      <name val="Calibri"/>
      <family val="2"/>
    </font>
    <font>
      <sz val="11"/>
      <color theme="1"/>
      <name val="Calibri"/>
      <family val="2"/>
      <scheme val="minor"/>
    </font>
    <font>
      <sz val="11"/>
      <color theme="0"/>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i/>
      <sz val="10"/>
      <name val="Calibri"/>
      <family val="2"/>
      <scheme val="minor"/>
    </font>
    <font>
      <b/>
      <sz val="12"/>
      <color theme="1"/>
      <name val="Calibri"/>
      <family val="2"/>
      <scheme val="minor"/>
    </font>
    <font>
      <sz val="10"/>
      <color theme="1"/>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7" fillId="0" borderId="0"/>
    <xf numFmtId="0" fontId="4" fillId="0" borderId="0"/>
    <xf numFmtId="44" fontId="8" fillId="0" borderId="0" applyFont="0" applyFill="0" applyBorder="0" applyAlignment="0" applyProtection="0"/>
    <xf numFmtId="43" fontId="8" fillId="0" borderId="0" applyFont="0" applyFill="0" applyBorder="0" applyAlignment="0" applyProtection="0"/>
  </cellStyleXfs>
  <cellXfs count="73">
    <xf numFmtId="0" fontId="0" fillId="0" borderId="0" xfId="0"/>
    <xf numFmtId="0" fontId="0" fillId="0" borderId="1" xfId="0" applyBorder="1" applyAlignment="1">
      <alignment horizontal="center" vertical="center"/>
    </xf>
    <xf numFmtId="164" fontId="0" fillId="0" borderId="1" xfId="0" applyNumberFormat="1" applyBorder="1" applyAlignment="1">
      <alignment vertical="center"/>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xf>
    <xf numFmtId="2" fontId="6" fillId="0" borderId="1" xfId="0" applyNumberFormat="1" applyFont="1" applyBorder="1" applyAlignment="1">
      <alignment horizontal="center" vertical="center"/>
    </xf>
    <xf numFmtId="2" fontId="6" fillId="5" borderId="1" xfId="0" applyNumberFormat="1" applyFont="1" applyFill="1" applyBorder="1" applyAlignment="1">
      <alignment horizontal="center" vertical="center"/>
    </xf>
    <xf numFmtId="2" fontId="0" fillId="0" borderId="1" xfId="0" applyNumberFormat="1" applyBorder="1" applyAlignment="1">
      <alignment horizontal="center"/>
    </xf>
    <xf numFmtId="2" fontId="2" fillId="0" borderId="1" xfId="0" applyNumberFormat="1" applyFont="1" applyBorder="1" applyAlignment="1">
      <alignment horizontal="center"/>
    </xf>
    <xf numFmtId="16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2" fontId="2" fillId="0" borderId="1" xfId="0" applyNumberFormat="1" applyFont="1" applyBorder="1" applyAlignment="1">
      <alignment horizontal="center" vertical="center"/>
    </xf>
    <xf numFmtId="164" fontId="2" fillId="0" borderId="1" xfId="0" applyNumberFormat="1" applyFont="1" applyBorder="1" applyAlignment="1">
      <alignment horizont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164" fontId="2" fillId="0" borderId="2" xfId="0" applyNumberFormat="1" applyFont="1" applyBorder="1" applyAlignment="1">
      <alignment vertical="center"/>
    </xf>
    <xf numFmtId="0" fontId="0" fillId="0" borderId="3" xfId="0" applyBorder="1" applyAlignment="1">
      <alignment vertical="center"/>
    </xf>
    <xf numFmtId="164" fontId="2" fillId="0" borderId="1" xfId="0" applyNumberFormat="1" applyFont="1" applyBorder="1" applyAlignment="1">
      <alignment vertical="center"/>
    </xf>
    <xf numFmtId="0" fontId="0" fillId="0" borderId="1" xfId="0" applyBorder="1" applyAlignment="1">
      <alignment vertical="center"/>
    </xf>
    <xf numFmtId="0" fontId="3" fillId="6"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0" borderId="1" xfId="0" applyFont="1" applyBorder="1" applyAlignment="1">
      <alignment horizontal="left" vertical="center"/>
    </xf>
    <xf numFmtId="1" fontId="0" fillId="0" borderId="1" xfId="0" applyNumberFormat="1" applyBorder="1" applyAlignment="1">
      <alignment horizontal="center" vertical="center"/>
    </xf>
    <xf numFmtId="0" fontId="2" fillId="0" borderId="1" xfId="0" applyFont="1" applyBorder="1" applyAlignment="1">
      <alignment vertical="center" wrapText="1"/>
    </xf>
    <xf numFmtId="0" fontId="2" fillId="5" borderId="1" xfId="0" applyFont="1" applyFill="1" applyBorder="1" applyAlignment="1">
      <alignment vertical="center" wrapText="1"/>
    </xf>
    <xf numFmtId="167" fontId="0" fillId="5" borderId="1" xfId="4" applyNumberFormat="1" applyFont="1" applyFill="1" applyBorder="1" applyAlignment="1">
      <alignment horizontal="center" vertical="center" wrapText="1"/>
    </xf>
    <xf numFmtId="167" fontId="2" fillId="5" borderId="1" xfId="4" applyNumberFormat="1" applyFont="1" applyFill="1" applyBorder="1" applyAlignment="1">
      <alignment horizontal="center" vertical="center" wrapText="1"/>
    </xf>
    <xf numFmtId="166" fontId="0" fillId="0" borderId="0" xfId="0" applyNumberFormat="1"/>
    <xf numFmtId="167" fontId="0" fillId="0" borderId="1" xfId="4" applyNumberFormat="1" applyFont="1" applyBorder="1" applyAlignment="1">
      <alignment horizontal="center" vertical="center"/>
    </xf>
    <xf numFmtId="167" fontId="2" fillId="0" borderId="1" xfId="4" applyNumberFormat="1" applyFont="1" applyBorder="1" applyAlignment="1">
      <alignment horizontal="center" vertical="center"/>
    </xf>
    <xf numFmtId="0" fontId="1" fillId="4" borderId="1" xfId="0" applyFont="1" applyFill="1" applyBorder="1" applyAlignment="1">
      <alignment horizontal="center"/>
    </xf>
    <xf numFmtId="0" fontId="9" fillId="4" borderId="1" xfId="0" applyFont="1" applyFill="1" applyBorder="1" applyAlignment="1">
      <alignment horizontal="center"/>
    </xf>
    <xf numFmtId="0" fontId="2" fillId="0" borderId="1" xfId="0" applyFont="1" applyBorder="1" applyAlignment="1">
      <alignment horizontal="center"/>
    </xf>
    <xf numFmtId="0" fontId="12" fillId="0" borderId="1" xfId="0" applyFont="1" applyBorder="1" applyAlignment="1">
      <alignment horizontal="left" vertical="center"/>
    </xf>
    <xf numFmtId="0" fontId="12" fillId="0" borderId="1" xfId="0" applyFont="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left" vertical="center"/>
    </xf>
    <xf numFmtId="0" fontId="2" fillId="0" borderId="1" xfId="0" applyFont="1" applyBorder="1" applyAlignment="1">
      <alignment horizontal="left" vertical="center"/>
    </xf>
    <xf numFmtId="0" fontId="1" fillId="6" borderId="4" xfId="0" applyFont="1" applyFill="1" applyBorder="1" applyAlignment="1">
      <alignment horizontal="center" vertical="center" wrapText="1"/>
    </xf>
    <xf numFmtId="0" fontId="0" fillId="0" borderId="3" xfId="0" applyBorder="1" applyAlignment="1">
      <alignment horizontal="left" vertical="center"/>
    </xf>
    <xf numFmtId="0" fontId="1" fillId="9" borderId="1" xfId="0" applyFont="1" applyFill="1" applyBorder="1" applyAlignment="1">
      <alignment horizontal="center"/>
    </xf>
    <xf numFmtId="0" fontId="0" fillId="9" borderId="1" xfId="0" applyFill="1" applyBorder="1" applyAlignment="1">
      <alignment horizontal="center"/>
    </xf>
    <xf numFmtId="167" fontId="2" fillId="0" borderId="5" xfId="4" applyNumberFormat="1" applyFont="1" applyBorder="1" applyAlignment="1">
      <alignment horizontal="center" vertical="center"/>
    </xf>
    <xf numFmtId="167" fontId="2" fillId="0" borderId="6" xfId="4" applyNumberFormat="1" applyFont="1" applyBorder="1" applyAlignment="1">
      <alignment horizontal="center" vertical="center"/>
    </xf>
    <xf numFmtId="167" fontId="2" fillId="0" borderId="2" xfId="4" applyNumberFormat="1" applyFont="1" applyBorder="1" applyAlignment="1">
      <alignment horizontal="center" vertical="center"/>
    </xf>
    <xf numFmtId="167" fontId="0" fillId="0" borderId="5" xfId="4" applyNumberFormat="1" applyFont="1" applyBorder="1" applyAlignment="1">
      <alignment horizontal="center" vertical="center"/>
    </xf>
    <xf numFmtId="167" fontId="0" fillId="0" borderId="6" xfId="4" applyNumberFormat="1" applyFont="1" applyBorder="1" applyAlignment="1">
      <alignment horizontal="center" vertical="center"/>
    </xf>
    <xf numFmtId="167" fontId="0" fillId="0" borderId="2" xfId="4" applyNumberFormat="1" applyFont="1" applyBorder="1" applyAlignment="1">
      <alignment horizontal="center" vertical="center"/>
    </xf>
    <xf numFmtId="0" fontId="2" fillId="3" borderId="1"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1" fillId="10" borderId="1" xfId="0" applyFont="1" applyFill="1" applyBorder="1" applyAlignment="1">
      <alignment horizontal="center" wrapText="1"/>
    </xf>
    <xf numFmtId="0" fontId="2" fillId="8" borderId="1" xfId="0" applyFont="1" applyFill="1" applyBorder="1"/>
    <xf numFmtId="0" fontId="0" fillId="0" borderId="1" xfId="0" applyBorder="1"/>
    <xf numFmtId="0" fontId="0" fillId="0" borderId="1" xfId="0" applyBorder="1" applyAlignment="1">
      <alignment wrapText="1"/>
    </xf>
    <xf numFmtId="0" fontId="12" fillId="0" borderId="5" xfId="0" applyFont="1" applyBorder="1" applyAlignment="1">
      <alignment horizontal="left"/>
    </xf>
    <xf numFmtId="0" fontId="12" fillId="0" borderId="6" xfId="0" applyFont="1" applyBorder="1" applyAlignment="1">
      <alignment horizontal="left"/>
    </xf>
    <xf numFmtId="0" fontId="12" fillId="0" borderId="2" xfId="0" applyFont="1" applyBorder="1" applyAlignment="1">
      <alignment horizontal="left"/>
    </xf>
    <xf numFmtId="0" fontId="12" fillId="0" borderId="5" xfId="0" applyFont="1" applyBorder="1" applyAlignment="1">
      <alignment horizontal="left" wrapText="1"/>
    </xf>
    <xf numFmtId="0" fontId="12" fillId="0" borderId="6" xfId="0" applyFont="1" applyBorder="1" applyAlignment="1">
      <alignment horizontal="left" wrapText="1"/>
    </xf>
    <xf numFmtId="0" fontId="12" fillId="0" borderId="2" xfId="0" applyFont="1" applyBorder="1" applyAlignment="1">
      <alignment horizontal="left" wrapText="1"/>
    </xf>
    <xf numFmtId="3" fontId="0" fillId="0" borderId="0" xfId="0" applyNumberFormat="1"/>
    <xf numFmtId="3" fontId="15" fillId="0" borderId="0" xfId="0" applyNumberFormat="1" applyFont="1"/>
    <xf numFmtId="167" fontId="0" fillId="0" borderId="0" xfId="4" applyNumberFormat="1" applyFont="1"/>
  </cellXfs>
  <cellStyles count="5">
    <cellStyle name="Comma" xfId="4" builtinId="3"/>
    <cellStyle name="Currency 6" xfId="3" xr:uid="{860A596D-05A2-44DA-86FB-6F7679827499}"/>
    <cellStyle name="Excel Built-in Normal" xfId="1" xr:uid="{E018C60A-E03A-4D03-859D-C6B1C9479700}"/>
    <cellStyle name="Normal" xfId="0" builtinId="0"/>
    <cellStyle name="Normal 127" xfId="2" xr:uid="{01CAC65B-3CDC-4ED6-B219-E1F4BC3DF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B269-D65D-4D8E-B1B4-7B147519EED2}">
  <dimension ref="C4:G9"/>
  <sheetViews>
    <sheetView workbookViewId="0">
      <selection activeCell="N17" sqref="N17"/>
    </sheetView>
  </sheetViews>
  <sheetFormatPr defaultRowHeight="15" x14ac:dyDescent="0.25"/>
  <cols>
    <col min="4" max="4" width="21" bestFit="1" customWidth="1"/>
  </cols>
  <sheetData>
    <row r="4" spans="3:7" x14ac:dyDescent="0.25">
      <c r="C4" s="38" t="s">
        <v>2</v>
      </c>
      <c r="D4" s="39"/>
      <c r="E4" s="39"/>
      <c r="F4" s="39"/>
      <c r="G4" s="39"/>
    </row>
    <row r="5" spans="3:7" ht="55.5" x14ac:dyDescent="0.25">
      <c r="C5" s="4" t="s">
        <v>0</v>
      </c>
      <c r="D5" s="4" t="s">
        <v>3</v>
      </c>
      <c r="E5" s="5" t="s">
        <v>4</v>
      </c>
      <c r="F5" s="5" t="s">
        <v>5</v>
      </c>
      <c r="G5" s="5" t="s">
        <v>6</v>
      </c>
    </row>
    <row r="6" spans="3:7" x14ac:dyDescent="0.25">
      <c r="C6" s="6">
        <v>1</v>
      </c>
      <c r="D6" s="7" t="s">
        <v>7</v>
      </c>
      <c r="E6" s="6">
        <v>12</v>
      </c>
      <c r="F6" s="8">
        <v>14.51</v>
      </c>
      <c r="G6" s="9">
        <f>(F6*2.471)</f>
        <v>35.854210000000002</v>
      </c>
    </row>
    <row r="7" spans="3:7" x14ac:dyDescent="0.25">
      <c r="C7" s="6">
        <v>3</v>
      </c>
      <c r="D7" s="7" t="s">
        <v>8</v>
      </c>
      <c r="E7" s="6">
        <v>22</v>
      </c>
      <c r="F7" s="10">
        <v>20.399999999999999</v>
      </c>
      <c r="G7" s="9">
        <f t="shared" ref="G7:G8" si="0">(F7*2.471)</f>
        <v>50.4084</v>
      </c>
    </row>
    <row r="8" spans="3:7" x14ac:dyDescent="0.25">
      <c r="C8" s="6">
        <v>4</v>
      </c>
      <c r="D8" s="7" t="s">
        <v>9</v>
      </c>
      <c r="E8" s="6">
        <v>1</v>
      </c>
      <c r="F8" s="10">
        <v>0.06</v>
      </c>
      <c r="G8" s="9">
        <f t="shared" si="0"/>
        <v>0.14826</v>
      </c>
    </row>
    <row r="9" spans="3:7" x14ac:dyDescent="0.25">
      <c r="C9" s="40" t="s">
        <v>1</v>
      </c>
      <c r="D9" s="40"/>
      <c r="E9" s="3">
        <f>SUM(E6:E8)</f>
        <v>35</v>
      </c>
      <c r="F9" s="11">
        <f>SUM(F6:F8)</f>
        <v>34.97</v>
      </c>
      <c r="G9" s="11">
        <f>SUM(G6:G8)</f>
        <v>86.410869999999989</v>
      </c>
    </row>
  </sheetData>
  <mergeCells count="2">
    <mergeCell ref="C4:G4"/>
    <mergeCell ref="C9: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378C-8205-4417-8EEB-32FF5D81B355}">
  <dimension ref="D3:L11"/>
  <sheetViews>
    <sheetView workbookViewId="0">
      <selection activeCell="G21" sqref="G21"/>
    </sheetView>
  </sheetViews>
  <sheetFormatPr defaultRowHeight="15" x14ac:dyDescent="0.25"/>
  <cols>
    <col min="5" max="5" width="15.42578125" bestFit="1" customWidth="1"/>
    <col min="7" max="7" width="9.5703125" bestFit="1" customWidth="1"/>
    <col min="8" max="8" width="11.5703125" bestFit="1" customWidth="1"/>
    <col min="9" max="9" width="15.85546875" bestFit="1" customWidth="1"/>
    <col min="10" max="10" width="10.5703125" bestFit="1" customWidth="1"/>
    <col min="11" max="11" width="14.28515625" bestFit="1" customWidth="1"/>
    <col min="12" max="12" width="15.85546875" bestFit="1" customWidth="1"/>
  </cols>
  <sheetData>
    <row r="3" spans="4:12" x14ac:dyDescent="0.25">
      <c r="D3" s="38" t="s">
        <v>10</v>
      </c>
      <c r="E3" s="38"/>
      <c r="F3" s="38"/>
      <c r="G3" s="38"/>
      <c r="H3" s="38"/>
      <c r="I3" s="38"/>
      <c r="J3" s="38"/>
      <c r="K3" s="38"/>
      <c r="L3" s="38"/>
    </row>
    <row r="4" spans="4:12" ht="90" x14ac:dyDescent="0.25">
      <c r="D4" s="5" t="s">
        <v>11</v>
      </c>
      <c r="E4" s="5" t="s">
        <v>3</v>
      </c>
      <c r="F4" s="5" t="s">
        <v>12</v>
      </c>
      <c r="G4" s="5" t="s">
        <v>13</v>
      </c>
      <c r="H4" s="5" t="s">
        <v>14</v>
      </c>
      <c r="I4" s="12" t="s">
        <v>15</v>
      </c>
      <c r="J4" s="12" t="s">
        <v>16</v>
      </c>
      <c r="K4" s="13" t="s">
        <v>17</v>
      </c>
      <c r="L4" s="13" t="s">
        <v>18</v>
      </c>
    </row>
    <row r="5" spans="4:12" x14ac:dyDescent="0.25">
      <c r="D5" s="14">
        <v>1</v>
      </c>
      <c r="E5" s="7" t="s">
        <v>7</v>
      </c>
      <c r="F5" s="8">
        <v>14.51</v>
      </c>
      <c r="G5" s="15">
        <f>(F5*2.471)</f>
        <v>35.854210000000002</v>
      </c>
      <c r="H5" s="15">
        <f>(G5*4046.85)</f>
        <v>145096.6097385</v>
      </c>
      <c r="I5" s="33">
        <v>6000000</v>
      </c>
      <c r="J5" s="33">
        <v>4400</v>
      </c>
      <c r="K5" s="33">
        <f>(F5*I5)</f>
        <v>87060000</v>
      </c>
      <c r="L5" s="33">
        <f>(J5*H5)</f>
        <v>638425082.84940004</v>
      </c>
    </row>
    <row r="6" spans="4:12" x14ac:dyDescent="0.25">
      <c r="D6" s="14">
        <v>2</v>
      </c>
      <c r="E6" s="7" t="s">
        <v>8</v>
      </c>
      <c r="F6" s="10">
        <v>20.399999999999999</v>
      </c>
      <c r="G6" s="15">
        <f t="shared" ref="G6:G7" si="0">(F6*2.471)</f>
        <v>50.4084</v>
      </c>
      <c r="H6" s="15">
        <f t="shared" ref="H6:H7" si="1">(G6*4046.85)</f>
        <v>203995.23353999999</v>
      </c>
      <c r="I6" s="33">
        <v>10000000</v>
      </c>
      <c r="J6" s="33">
        <v>5000</v>
      </c>
      <c r="K6" s="33">
        <f t="shared" ref="K6:K7" si="2">(F6*I6)</f>
        <v>204000000</v>
      </c>
      <c r="L6" s="33">
        <f t="shared" ref="L6:L7" si="3">(J6*H6)</f>
        <v>1019976167.6999999</v>
      </c>
    </row>
    <row r="7" spans="4:12" x14ac:dyDescent="0.25">
      <c r="D7" s="14">
        <v>3</v>
      </c>
      <c r="E7" s="7" t="s">
        <v>9</v>
      </c>
      <c r="F7" s="10">
        <v>0.06</v>
      </c>
      <c r="G7" s="15">
        <f t="shared" si="0"/>
        <v>0.14826</v>
      </c>
      <c r="H7" s="15">
        <f t="shared" si="1"/>
        <v>599.98598100000004</v>
      </c>
      <c r="I7" s="33">
        <v>4800000</v>
      </c>
      <c r="J7" s="33">
        <v>1200</v>
      </c>
      <c r="K7" s="33">
        <f t="shared" si="2"/>
        <v>288000</v>
      </c>
      <c r="L7" s="33">
        <f t="shared" si="3"/>
        <v>719983.17720000003</v>
      </c>
    </row>
    <row r="8" spans="4:12" x14ac:dyDescent="0.25">
      <c r="D8" s="40" t="s">
        <v>1</v>
      </c>
      <c r="E8" s="40"/>
      <c r="F8" s="17">
        <f>SUM(F5:F7)</f>
        <v>34.97</v>
      </c>
      <c r="G8" s="17">
        <f>SUM(G5:G7)</f>
        <v>86.410869999999989</v>
      </c>
      <c r="H8" s="17">
        <f>SUM(H5:H7)</f>
        <v>349691.82925950002</v>
      </c>
      <c r="I8" s="18"/>
      <c r="J8" s="18"/>
      <c r="K8" s="34">
        <f>SUM(K5:K7)</f>
        <v>291348000</v>
      </c>
      <c r="L8" s="34">
        <f>SUM(L5:L7)</f>
        <v>1659121233.7265999</v>
      </c>
    </row>
    <row r="9" spans="4:12" x14ac:dyDescent="0.25">
      <c r="D9" s="41" t="s">
        <v>19</v>
      </c>
      <c r="E9" s="41"/>
      <c r="F9" s="41"/>
      <c r="G9" s="41"/>
      <c r="H9" s="41"/>
      <c r="I9" s="41"/>
      <c r="J9" s="41"/>
      <c r="K9" s="41"/>
      <c r="L9" s="41"/>
    </row>
    <row r="10" spans="4:12" x14ac:dyDescent="0.25">
      <c r="D10" s="41" t="s">
        <v>20</v>
      </c>
      <c r="E10" s="41"/>
      <c r="F10" s="41"/>
      <c r="G10" s="41"/>
      <c r="H10" s="41"/>
      <c r="I10" s="41"/>
      <c r="J10" s="41"/>
      <c r="K10" s="41"/>
      <c r="L10" s="41"/>
    </row>
    <row r="11" spans="4:12" ht="46.5" customHeight="1" x14ac:dyDescent="0.25">
      <c r="D11" s="42" t="s">
        <v>21</v>
      </c>
      <c r="E11" s="42"/>
      <c r="F11" s="42"/>
      <c r="G11" s="42"/>
      <c r="H11" s="42"/>
      <c r="I11" s="42"/>
      <c r="J11" s="42"/>
      <c r="K11" s="42"/>
      <c r="L11" s="42"/>
    </row>
  </sheetData>
  <mergeCells count="5">
    <mergeCell ref="D3:L3"/>
    <mergeCell ref="D8:E8"/>
    <mergeCell ref="D9:L9"/>
    <mergeCell ref="D10:L10"/>
    <mergeCell ref="D11:L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3B53-4BCA-4A84-B000-71303E8FD2AE}">
  <dimension ref="F6:I20"/>
  <sheetViews>
    <sheetView workbookViewId="0">
      <selection activeCell="I25" sqref="I25"/>
    </sheetView>
  </sheetViews>
  <sheetFormatPr defaultRowHeight="15" x14ac:dyDescent="0.25"/>
  <cols>
    <col min="6" max="6" width="21.140625" customWidth="1"/>
    <col min="7" max="7" width="22.140625" customWidth="1"/>
    <col min="8" max="8" width="24.5703125" customWidth="1"/>
    <col min="9" max="9" width="18.5703125" bestFit="1" customWidth="1"/>
  </cols>
  <sheetData>
    <row r="6" spans="6:9" x14ac:dyDescent="0.25">
      <c r="F6" s="46" t="s">
        <v>22</v>
      </c>
      <c r="G6" s="46"/>
      <c r="H6" s="46"/>
      <c r="I6" s="46"/>
    </row>
    <row r="7" spans="6:9" ht="42.75" x14ac:dyDescent="0.25">
      <c r="F7" s="19" t="s">
        <v>3</v>
      </c>
      <c r="G7" s="19" t="s">
        <v>23</v>
      </c>
      <c r="H7" s="19" t="s">
        <v>24</v>
      </c>
      <c r="I7" s="20" t="s">
        <v>25</v>
      </c>
    </row>
    <row r="8" spans="6:9" x14ac:dyDescent="0.25">
      <c r="F8" s="7" t="s">
        <v>7</v>
      </c>
      <c r="G8" s="8">
        <v>14.51</v>
      </c>
      <c r="H8" s="16">
        <v>6000000</v>
      </c>
      <c r="I8" s="2">
        <f>(G8*H8)</f>
        <v>87060000</v>
      </c>
    </row>
    <row r="9" spans="6:9" x14ac:dyDescent="0.25">
      <c r="F9" s="7" t="s">
        <v>8</v>
      </c>
      <c r="G9" s="10">
        <v>20.399999999999999</v>
      </c>
      <c r="H9" s="16">
        <v>10000000</v>
      </c>
      <c r="I9" s="2">
        <f t="shared" ref="I9:I10" si="0">(G9*H9)</f>
        <v>204000000</v>
      </c>
    </row>
    <row r="10" spans="6:9" x14ac:dyDescent="0.25">
      <c r="F10" s="7" t="s">
        <v>9</v>
      </c>
      <c r="G10" s="10">
        <v>0.06</v>
      </c>
      <c r="H10" s="16">
        <v>4800000</v>
      </c>
      <c r="I10" s="2">
        <f t="shared" si="0"/>
        <v>288000</v>
      </c>
    </row>
    <row r="11" spans="6:9" x14ac:dyDescent="0.25">
      <c r="F11" s="21" t="s">
        <v>1</v>
      </c>
      <c r="G11" s="17">
        <f>SUM(G8:G10)</f>
        <v>34.97</v>
      </c>
      <c r="H11" s="22"/>
      <c r="I11" s="23">
        <f>SUM(I8:I10)</f>
        <v>291348000</v>
      </c>
    </row>
    <row r="12" spans="6:9" x14ac:dyDescent="0.25">
      <c r="F12" s="47" t="s">
        <v>26</v>
      </c>
      <c r="G12" s="47"/>
      <c r="H12" s="24" t="s">
        <v>27</v>
      </c>
      <c r="I12" s="25">
        <f>2*I11</f>
        <v>582696000</v>
      </c>
    </row>
    <row r="13" spans="6:9" x14ac:dyDescent="0.25">
      <c r="F13" s="43"/>
      <c r="G13" s="43"/>
      <c r="H13" s="43"/>
      <c r="I13" s="43"/>
    </row>
    <row r="14" spans="6:9" x14ac:dyDescent="0.25">
      <c r="F14" s="44" t="s">
        <v>28</v>
      </c>
      <c r="G14" s="44"/>
      <c r="H14" s="26"/>
      <c r="I14" s="26">
        <v>0</v>
      </c>
    </row>
    <row r="15" spans="6:9" x14ac:dyDescent="0.25">
      <c r="F15" s="43"/>
      <c r="G15" s="43"/>
      <c r="H15" s="43"/>
      <c r="I15" s="43"/>
    </row>
    <row r="16" spans="6:9" x14ac:dyDescent="0.25">
      <c r="F16" s="45" t="s">
        <v>29</v>
      </c>
      <c r="G16" s="45"/>
      <c r="H16" s="45"/>
      <c r="I16" s="25">
        <f>I14+I12</f>
        <v>582696000</v>
      </c>
    </row>
    <row r="17" spans="6:9" x14ac:dyDescent="0.25">
      <c r="F17" s="43"/>
      <c r="G17" s="43"/>
      <c r="H17" s="43"/>
      <c r="I17" s="43"/>
    </row>
    <row r="18" spans="6:9" x14ac:dyDescent="0.25">
      <c r="F18" s="44" t="s">
        <v>30</v>
      </c>
      <c r="G18" s="44"/>
      <c r="H18" s="26" t="s">
        <v>31</v>
      </c>
      <c r="I18" s="2">
        <f>I16*100%</f>
        <v>582696000</v>
      </c>
    </row>
    <row r="19" spans="6:9" x14ac:dyDescent="0.25">
      <c r="F19" s="43"/>
      <c r="G19" s="43"/>
      <c r="H19" s="43"/>
      <c r="I19" s="43"/>
    </row>
    <row r="20" spans="6:9" x14ac:dyDescent="0.25">
      <c r="F20" s="45" t="s">
        <v>32</v>
      </c>
      <c r="G20" s="45"/>
      <c r="H20" s="45"/>
      <c r="I20" s="25">
        <f>I18+I16</f>
        <v>1165392000</v>
      </c>
    </row>
  </sheetData>
  <mergeCells count="10">
    <mergeCell ref="F17:I17"/>
    <mergeCell ref="F18:G18"/>
    <mergeCell ref="F19:I19"/>
    <mergeCell ref="F20:H20"/>
    <mergeCell ref="F6:I6"/>
    <mergeCell ref="F12:G12"/>
    <mergeCell ref="F13:I13"/>
    <mergeCell ref="F14:G14"/>
    <mergeCell ref="F15:I15"/>
    <mergeCell ref="F16:H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8DBF-1861-4927-808B-32E42E67BCEE}">
  <dimension ref="I8:K21"/>
  <sheetViews>
    <sheetView workbookViewId="0">
      <selection activeCell="I8" sqref="I8:K21"/>
    </sheetView>
  </sheetViews>
  <sheetFormatPr defaultRowHeight="15" x14ac:dyDescent="0.25"/>
  <cols>
    <col min="10" max="10" width="18.5703125" customWidth="1"/>
    <col min="11" max="11" width="18.140625" customWidth="1"/>
  </cols>
  <sheetData>
    <row r="8" spans="9:11" ht="30.75" customHeight="1" x14ac:dyDescent="0.25">
      <c r="I8" s="60" t="s">
        <v>49</v>
      </c>
      <c r="J8" s="60"/>
      <c r="K8" s="60"/>
    </row>
    <row r="9" spans="9:11" x14ac:dyDescent="0.25">
      <c r="I9" s="61" t="s">
        <v>50</v>
      </c>
      <c r="J9" s="61" t="s">
        <v>51</v>
      </c>
      <c r="K9" s="61" t="s">
        <v>52</v>
      </c>
    </row>
    <row r="10" spans="9:11" x14ac:dyDescent="0.25">
      <c r="I10" s="1">
        <v>1</v>
      </c>
      <c r="J10" s="62" t="s">
        <v>53</v>
      </c>
      <c r="K10" s="62" t="s">
        <v>65</v>
      </c>
    </row>
    <row r="11" spans="9:11" x14ac:dyDescent="0.25">
      <c r="I11" s="1">
        <v>2</v>
      </c>
      <c r="J11" s="62" t="s">
        <v>54</v>
      </c>
      <c r="K11" s="62" t="s">
        <v>57</v>
      </c>
    </row>
    <row r="12" spans="9:11" x14ac:dyDescent="0.25">
      <c r="I12" s="1">
        <v>3</v>
      </c>
      <c r="J12" s="62" t="s">
        <v>55</v>
      </c>
      <c r="K12" s="62" t="s">
        <v>66</v>
      </c>
    </row>
    <row r="13" spans="9:11" x14ac:dyDescent="0.25">
      <c r="I13" s="1">
        <v>4</v>
      </c>
      <c r="J13" s="62" t="s">
        <v>56</v>
      </c>
      <c r="K13" s="62" t="s">
        <v>57</v>
      </c>
    </row>
    <row r="14" spans="9:11" x14ac:dyDescent="0.25">
      <c r="I14" s="1">
        <v>5</v>
      </c>
      <c r="J14" s="62" t="s">
        <v>58</v>
      </c>
      <c r="K14" s="62" t="s">
        <v>57</v>
      </c>
    </row>
    <row r="15" spans="9:11" x14ac:dyDescent="0.25">
      <c r="I15" s="1">
        <v>6</v>
      </c>
      <c r="J15" s="62" t="s">
        <v>59</v>
      </c>
      <c r="K15" s="62" t="s">
        <v>57</v>
      </c>
    </row>
    <row r="16" spans="9:11" ht="27" customHeight="1" x14ac:dyDescent="0.25">
      <c r="I16" s="1">
        <v>7</v>
      </c>
      <c r="J16" s="63" t="s">
        <v>60</v>
      </c>
      <c r="K16" s="62" t="s">
        <v>57</v>
      </c>
    </row>
    <row r="17" spans="9:11" ht="35.25" customHeight="1" x14ac:dyDescent="0.25">
      <c r="I17" s="1">
        <v>8</v>
      </c>
      <c r="J17" s="63" t="s">
        <v>61</v>
      </c>
      <c r="K17" s="62" t="s">
        <v>57</v>
      </c>
    </row>
    <row r="18" spans="9:11" ht="32.25" customHeight="1" x14ac:dyDescent="0.25">
      <c r="I18" s="1">
        <v>9</v>
      </c>
      <c r="J18" s="63" t="s">
        <v>62</v>
      </c>
      <c r="K18" s="62" t="s">
        <v>57</v>
      </c>
    </row>
    <row r="19" spans="9:11" x14ac:dyDescent="0.25">
      <c r="I19" s="1">
        <v>10</v>
      </c>
      <c r="J19" s="63" t="s">
        <v>63</v>
      </c>
      <c r="K19" s="62" t="s">
        <v>57</v>
      </c>
    </row>
    <row r="20" spans="9:11" x14ac:dyDescent="0.25">
      <c r="I20" s="64" t="s">
        <v>19</v>
      </c>
      <c r="J20" s="65"/>
      <c r="K20" s="66"/>
    </row>
    <row r="21" spans="9:11" ht="45.75" customHeight="1" x14ac:dyDescent="0.25">
      <c r="I21" s="67" t="s">
        <v>64</v>
      </c>
      <c r="J21" s="68"/>
      <c r="K21" s="69"/>
    </row>
  </sheetData>
  <mergeCells count="3">
    <mergeCell ref="I8:K8"/>
    <mergeCell ref="I20:K20"/>
    <mergeCell ref="I21:K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5A65-DF6A-4ABF-ACBB-B2BB4FAE088F}">
  <dimension ref="C4:J14"/>
  <sheetViews>
    <sheetView workbookViewId="0">
      <selection activeCell="F19" sqref="F19"/>
    </sheetView>
  </sheetViews>
  <sheetFormatPr defaultRowHeight="15" x14ac:dyDescent="0.25"/>
  <cols>
    <col min="3" max="3" width="31.42578125" bestFit="1" customWidth="1"/>
    <col min="4" max="4" width="11.140625" bestFit="1" customWidth="1"/>
    <col min="5" max="5" width="17.28515625" bestFit="1" customWidth="1"/>
    <col min="6" max="6" width="19.28515625" bestFit="1" customWidth="1"/>
    <col min="7" max="7" width="16.7109375" bestFit="1" customWidth="1"/>
    <col min="10" max="10" width="13.28515625" bestFit="1" customWidth="1"/>
  </cols>
  <sheetData>
    <row r="4" spans="3:10" x14ac:dyDescent="0.25">
      <c r="C4" s="48" t="s">
        <v>33</v>
      </c>
      <c r="D4" s="49"/>
      <c r="E4" s="49"/>
      <c r="F4" s="49"/>
      <c r="G4" s="49"/>
    </row>
    <row r="5" spans="3:10" ht="15.75" x14ac:dyDescent="0.25">
      <c r="C5" s="27" t="s">
        <v>34</v>
      </c>
      <c r="D5" s="28" t="s">
        <v>35</v>
      </c>
      <c r="E5" s="28" t="s">
        <v>36</v>
      </c>
      <c r="F5" s="28" t="s">
        <v>37</v>
      </c>
      <c r="G5" s="28" t="s">
        <v>38</v>
      </c>
      <c r="J5" s="35">
        <f>E7</f>
        <v>13000000</v>
      </c>
    </row>
    <row r="6" spans="3:10" ht="15.75" x14ac:dyDescent="0.25">
      <c r="C6" s="29" t="s">
        <v>39</v>
      </c>
      <c r="D6" s="21">
        <v>86.4</v>
      </c>
      <c r="E6" s="30">
        <f>D6*0.25</f>
        <v>21.6</v>
      </c>
      <c r="F6" s="30">
        <f>D6*0.4</f>
        <v>34.56</v>
      </c>
      <c r="G6" s="30">
        <f>D6*0.35</f>
        <v>30.24</v>
      </c>
      <c r="J6" s="35">
        <f>J5/5</f>
        <v>2600000</v>
      </c>
    </row>
    <row r="7" spans="3:10" ht="15.75" x14ac:dyDescent="0.25">
      <c r="C7" s="29" t="s">
        <v>42</v>
      </c>
      <c r="D7" s="1"/>
      <c r="E7" s="36">
        <v>13000000</v>
      </c>
      <c r="F7" s="36">
        <f>E7*0.85</f>
        <v>11050000</v>
      </c>
      <c r="G7" s="36">
        <f>E7*0.7</f>
        <v>9100000</v>
      </c>
    </row>
    <row r="8" spans="3:10" ht="15.75" x14ac:dyDescent="0.25">
      <c r="C8" s="29" t="s">
        <v>43</v>
      </c>
      <c r="D8" s="1"/>
      <c r="E8" s="36">
        <f>E7*E6</f>
        <v>280800000</v>
      </c>
      <c r="F8" s="36">
        <f>F7*F6</f>
        <v>381888000</v>
      </c>
      <c r="G8" s="36">
        <f>G7*G6</f>
        <v>275184000</v>
      </c>
    </row>
    <row r="9" spans="3:10" ht="15.75" x14ac:dyDescent="0.25">
      <c r="C9" s="29" t="s">
        <v>44</v>
      </c>
      <c r="D9" s="1"/>
      <c r="E9" s="50">
        <f>SUM(E8:G8)</f>
        <v>937872000</v>
      </c>
      <c r="F9" s="51"/>
      <c r="G9" s="52"/>
    </row>
    <row r="10" spans="3:10" ht="15.75" x14ac:dyDescent="0.25">
      <c r="C10" s="29" t="s">
        <v>45</v>
      </c>
      <c r="D10" s="1"/>
      <c r="E10" s="53">
        <f>E9/D6</f>
        <v>10855000</v>
      </c>
      <c r="F10" s="54"/>
      <c r="G10" s="55"/>
    </row>
    <row r="11" spans="3:10" ht="30" x14ac:dyDescent="0.25">
      <c r="C11" s="31" t="s">
        <v>46</v>
      </c>
      <c r="D11" s="1"/>
      <c r="E11" s="1"/>
      <c r="F11" s="1"/>
      <c r="G11" s="36">
        <f>E9*5%</f>
        <v>46893600</v>
      </c>
    </row>
    <row r="12" spans="3:10" ht="75" x14ac:dyDescent="0.25">
      <c r="C12" s="31" t="s">
        <v>47</v>
      </c>
      <c r="D12" s="1"/>
      <c r="E12" s="1"/>
      <c r="F12" s="1"/>
      <c r="G12" s="36">
        <f>E9*5%</f>
        <v>46893600</v>
      </c>
    </row>
    <row r="13" spans="3:10" ht="30" x14ac:dyDescent="0.25">
      <c r="C13" s="32" t="s">
        <v>48</v>
      </c>
      <c r="D13" s="57" t="s">
        <v>40</v>
      </c>
      <c r="E13" s="58"/>
      <c r="F13" s="59"/>
      <c r="G13" s="36">
        <f>250000*D6</f>
        <v>21600000</v>
      </c>
    </row>
    <row r="14" spans="3:10" x14ac:dyDescent="0.25">
      <c r="C14" s="56" t="s">
        <v>41</v>
      </c>
      <c r="D14" s="56"/>
      <c r="E14" s="56"/>
      <c r="F14" s="56"/>
      <c r="G14" s="37">
        <f>E9+G11+G12+G13</f>
        <v>1053259200</v>
      </c>
    </row>
  </sheetData>
  <mergeCells count="5">
    <mergeCell ref="C4:G4"/>
    <mergeCell ref="E9:G9"/>
    <mergeCell ref="E10:G10"/>
    <mergeCell ref="C14:F14"/>
    <mergeCell ref="D13:F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620-EA86-4633-ABD5-67E9CF8F2FC8}">
  <dimension ref="I5:N12"/>
  <sheetViews>
    <sheetView tabSelected="1" workbookViewId="0">
      <selection activeCell="N11" sqref="N11"/>
    </sheetView>
  </sheetViews>
  <sheetFormatPr defaultRowHeight="15" x14ac:dyDescent="0.25"/>
  <cols>
    <col min="11" max="11" width="16.85546875" bestFit="1" customWidth="1"/>
    <col min="14" max="14" width="11" bestFit="1" customWidth="1"/>
  </cols>
  <sheetData>
    <row r="5" spans="9:14" x14ac:dyDescent="0.25">
      <c r="I5" t="s">
        <v>67</v>
      </c>
      <c r="K5" s="71">
        <v>1053259200</v>
      </c>
    </row>
    <row r="6" spans="9:14" x14ac:dyDescent="0.25">
      <c r="I6" t="s">
        <v>68</v>
      </c>
      <c r="K6" s="71">
        <v>498862180</v>
      </c>
    </row>
    <row r="7" spans="9:14" x14ac:dyDescent="0.25">
      <c r="I7" t="s">
        <v>69</v>
      </c>
      <c r="K7" s="71">
        <v>1165250684</v>
      </c>
    </row>
    <row r="8" spans="9:14" x14ac:dyDescent="0.25">
      <c r="K8" s="70">
        <f>SUM(K5:K7)</f>
        <v>2717372064</v>
      </c>
    </row>
    <row r="10" spans="9:14" x14ac:dyDescent="0.25">
      <c r="K10" s="70">
        <f>ROUND(K8,-6)</f>
        <v>2717000000</v>
      </c>
      <c r="N10">
        <v>2717000000</v>
      </c>
    </row>
    <row r="11" spans="9:14" x14ac:dyDescent="0.25">
      <c r="K11" s="72">
        <f>K10*0.85</f>
        <v>2309450000</v>
      </c>
      <c r="N11">
        <v>2309450000</v>
      </c>
    </row>
    <row r="12" spans="9:14" x14ac:dyDescent="0.25">
      <c r="K12" s="72">
        <f>K10*0.6</f>
        <v>1630200000</v>
      </c>
      <c r="N12">
        <v>1630200000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Villages</vt:lpstr>
      <vt:lpstr>Circle_rate</vt:lpstr>
      <vt:lpstr>Land_acqusition</vt:lpstr>
      <vt:lpstr>Capacity</vt:lpstr>
      <vt:lpstr>Land Valuation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Mahesh Joshi</cp:lastModifiedBy>
  <dcterms:created xsi:type="dcterms:W3CDTF">2022-06-06T13:13:40Z</dcterms:created>
  <dcterms:modified xsi:type="dcterms:W3CDTF">2024-05-03T12:24:30Z</dcterms:modified>
</cp:coreProperties>
</file>