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Y:\Yash Bhatnagar\BHSL Report\New Data\FAR Working\Building Valuation\"/>
    </mc:Choice>
  </mc:AlternateContent>
  <xr:revisionPtr revIDLastSave="0" documentId="13_ncr:1_{0E8B5D3D-A5F1-49E1-A84B-ADE5938B6584}" xr6:coauthVersionLast="47" xr6:coauthVersionMax="47" xr10:uidLastSave="{00000000-0000-0000-0000-000000000000}"/>
  <bookViews>
    <workbookView xWindow="-120" yWindow="-120" windowWidth="24240" windowHeight="13140" firstSheet="3" activeTab="1" xr2:uid="{00000000-000D-0000-FFFF-FFFF00000000}"/>
  </bookViews>
  <sheets>
    <sheet name="Sheet1" sheetId="1" r:id="rId1"/>
    <sheet name="Building_working" sheetId="2" r:id="rId2"/>
    <sheet name="Yards" sheetId="3" r:id="rId3"/>
    <sheet name="Underground_tank" sheetId="8" r:id="rId4"/>
    <sheet name="Roads" sheetId="4" r:id="rId5"/>
    <sheet name="Summary" sheetId="9" r:id="rId6"/>
    <sheet name="Land_acquisition" sheetId="5" r:id="rId7"/>
    <sheet name="Land_calculation" sheetId="6" r:id="rId8"/>
    <sheet name="Circle_rate" sheetId="7" r:id="rId9"/>
    <sheet name="Sheet2" sheetId="10" r:id="rId10"/>
  </sheets>
  <definedNames>
    <definedName name="_xlnm._FilterDatabase" localSheetId="1" hidden="1">Building_working!$B$3:$X$62</definedName>
    <definedName name="_xlnm._FilterDatabase" localSheetId="0" hidden="1">Sheet1!$A$2:$H$106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0" l="1"/>
  <c r="F12" i="10"/>
  <c r="F11" i="10"/>
  <c r="F9" i="10"/>
  <c r="H63" i="2"/>
  <c r="I63" i="2" s="1"/>
  <c r="X63" i="2"/>
  <c r="G19" i="6"/>
  <c r="I10" i="6"/>
  <c r="F10" i="6"/>
  <c r="J8" i="6"/>
  <c r="J4" i="8"/>
  <c r="H5" i="8"/>
  <c r="J5" i="8" s="1"/>
  <c r="J6" i="8" s="1"/>
  <c r="H4" i="8"/>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S37" i="2"/>
  <c r="S38" i="2"/>
  <c r="S39" i="2"/>
  <c r="S40" i="2"/>
  <c r="S41" i="2"/>
  <c r="S42" i="2"/>
  <c r="S43" i="2"/>
  <c r="S44" i="2"/>
  <c r="S45" i="2"/>
  <c r="S46" i="2"/>
  <c r="S47" i="2"/>
  <c r="S48" i="2"/>
  <c r="S49" i="2"/>
  <c r="S50" i="2"/>
  <c r="S51" i="2"/>
  <c r="S52" i="2"/>
  <c r="S53" i="2"/>
  <c r="S54" i="2"/>
  <c r="S55" i="2"/>
  <c r="S56" i="2"/>
  <c r="S57" i="2"/>
  <c r="S58" i="2"/>
  <c r="S59" i="2"/>
  <c r="S60" i="2"/>
  <c r="S61" i="2"/>
  <c r="S62" i="2"/>
  <c r="S36" i="2"/>
  <c r="S35" i="2"/>
  <c r="S34"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H36" i="2"/>
  <c r="I36" i="2" s="1"/>
  <c r="K4" i="2"/>
  <c r="D9" i="7"/>
  <c r="I8" i="7"/>
  <c r="F8" i="7"/>
  <c r="J8" i="7" s="1"/>
  <c r="E8" i="7"/>
  <c r="I7" i="7"/>
  <c r="F7" i="7"/>
  <c r="J7" i="7" s="1"/>
  <c r="E7" i="7"/>
  <c r="I6" i="7"/>
  <c r="E6" i="7"/>
  <c r="F6" i="7" s="1"/>
  <c r="J6" i="7" s="1"/>
  <c r="F11" i="6"/>
  <c r="F7" i="6"/>
  <c r="F8" i="6" s="1"/>
  <c r="D9" i="5"/>
  <c r="F8" i="5"/>
  <c r="F7" i="5"/>
  <c r="F6" i="5"/>
  <c r="G6" i="4"/>
  <c r="I6" i="4" s="1"/>
  <c r="G5" i="4"/>
  <c r="I5" i="4" s="1"/>
  <c r="G7" i="4"/>
  <c r="I7" i="4" s="1"/>
  <c r="G42" i="1"/>
  <c r="G13" i="3"/>
  <c r="F14" i="3"/>
  <c r="I13" i="3"/>
  <c r="I12" i="3"/>
  <c r="G12" i="3"/>
  <c r="I11" i="3"/>
  <c r="G11" i="3"/>
  <c r="I10" i="3"/>
  <c r="G10" i="3"/>
  <c r="I9" i="3"/>
  <c r="G9" i="3"/>
  <c r="I8" i="3"/>
  <c r="G8" i="3"/>
  <c r="I7" i="3"/>
  <c r="G7" i="3"/>
  <c r="F9" i="5" l="1"/>
  <c r="F10" i="5" s="1"/>
  <c r="F14" i="5" s="1"/>
  <c r="F16" i="5" s="1"/>
  <c r="F18" i="5" s="1"/>
  <c r="I9" i="7"/>
  <c r="E9" i="7"/>
  <c r="G7" i="6"/>
  <c r="H8" i="6"/>
  <c r="I8" i="6" s="1"/>
  <c r="F9" i="6"/>
  <c r="H10" i="6"/>
  <c r="T36" i="2"/>
  <c r="U36" i="2" s="1"/>
  <c r="V36" i="2" s="1"/>
  <c r="X36" i="2" s="1"/>
  <c r="J9" i="7"/>
  <c r="F9" i="7"/>
  <c r="I8" i="4"/>
  <c r="I14" i="3"/>
  <c r="G14" i="3"/>
  <c r="H50" i="2"/>
  <c r="I50" i="2" s="1"/>
  <c r="H51" i="2"/>
  <c r="I51" i="2" s="1"/>
  <c r="H52" i="2"/>
  <c r="I52" i="2" s="1"/>
  <c r="H53" i="2"/>
  <c r="I53" i="2" s="1"/>
  <c r="H54" i="2"/>
  <c r="I54" i="2" s="1"/>
  <c r="H55" i="2"/>
  <c r="I55" i="2" s="1"/>
  <c r="H56" i="2"/>
  <c r="I56" i="2" s="1"/>
  <c r="H57" i="2"/>
  <c r="I57" i="2" s="1"/>
  <c r="H58" i="2"/>
  <c r="I58" i="2" s="1"/>
  <c r="H59" i="2"/>
  <c r="I59" i="2" s="1"/>
  <c r="H60" i="2"/>
  <c r="I60" i="2" s="1"/>
  <c r="H61" i="2"/>
  <c r="I61" i="2" s="1"/>
  <c r="H62" i="2"/>
  <c r="I62" i="2" s="1"/>
  <c r="H48" i="2"/>
  <c r="I48" i="2" s="1"/>
  <c r="H49" i="2"/>
  <c r="I49" i="2" s="1"/>
  <c r="H39" i="2"/>
  <c r="I39" i="2" s="1"/>
  <c r="H40" i="2"/>
  <c r="I40" i="2" s="1"/>
  <c r="H41" i="2"/>
  <c r="I41" i="2" s="1"/>
  <c r="H42" i="2"/>
  <c r="I42" i="2" s="1"/>
  <c r="H43" i="2"/>
  <c r="I43" i="2" s="1"/>
  <c r="H44" i="2"/>
  <c r="I44" i="2" s="1"/>
  <c r="H45" i="2"/>
  <c r="I45" i="2" s="1"/>
  <c r="H46" i="2"/>
  <c r="I46" i="2" s="1"/>
  <c r="H47" i="2"/>
  <c r="I47" i="2" s="1"/>
  <c r="H38" i="2"/>
  <c r="I38" i="2" s="1"/>
  <c r="H37" i="2"/>
  <c r="I37" i="2" s="1"/>
  <c r="H34" i="2"/>
  <c r="H35" i="2"/>
  <c r="I35" i="2" s="1"/>
  <c r="H7" i="2"/>
  <c r="I7" i="2" s="1"/>
  <c r="H5" i="2"/>
  <c r="H6" i="2"/>
  <c r="I6" i="2" s="1"/>
  <c r="H8" i="2"/>
  <c r="I8" i="2" s="1"/>
  <c r="H9" i="2"/>
  <c r="I9" i="2" s="1"/>
  <c r="H10" i="2"/>
  <c r="I10" i="2" s="1"/>
  <c r="H11" i="2"/>
  <c r="I11" i="2" s="1"/>
  <c r="H12" i="2"/>
  <c r="I12" i="2" s="1"/>
  <c r="H13" i="2"/>
  <c r="I13" i="2" s="1"/>
  <c r="H14" i="2"/>
  <c r="I14" i="2" s="1"/>
  <c r="H15" i="2"/>
  <c r="I15" i="2" s="1"/>
  <c r="H16" i="2"/>
  <c r="I16" i="2" s="1"/>
  <c r="H17" i="2"/>
  <c r="I17" i="2" s="1"/>
  <c r="H18" i="2"/>
  <c r="I18" i="2" s="1"/>
  <c r="H19" i="2"/>
  <c r="I19" i="2" s="1"/>
  <c r="H20" i="2"/>
  <c r="I20" i="2" s="1"/>
  <c r="H21" i="2"/>
  <c r="I21" i="2" s="1"/>
  <c r="H22" i="2"/>
  <c r="I22" i="2" s="1"/>
  <c r="H23" i="2"/>
  <c r="I23" i="2" s="1"/>
  <c r="H24" i="2"/>
  <c r="I24" i="2" s="1"/>
  <c r="H25" i="2"/>
  <c r="I25" i="2" s="1"/>
  <c r="H26" i="2"/>
  <c r="I26" i="2" s="1"/>
  <c r="H27" i="2"/>
  <c r="I27" i="2" s="1"/>
  <c r="H28" i="2"/>
  <c r="I28" i="2" s="1"/>
  <c r="H29" i="2"/>
  <c r="I29" i="2" s="1"/>
  <c r="H30" i="2"/>
  <c r="I30" i="2" s="1"/>
  <c r="H31" i="2"/>
  <c r="I31" i="2" s="1"/>
  <c r="H32" i="2"/>
  <c r="I32" i="2" s="1"/>
  <c r="H33" i="2"/>
  <c r="I33" i="2" s="1"/>
  <c r="H4" i="2"/>
  <c r="I4" i="2" s="1"/>
  <c r="S33" i="2"/>
  <c r="Q33" i="2"/>
  <c r="N33" i="2"/>
  <c r="S32" i="2"/>
  <c r="Q32" i="2"/>
  <c r="N32" i="2"/>
  <c r="S31" i="2"/>
  <c r="Q31" i="2"/>
  <c r="N31" i="2"/>
  <c r="S30" i="2"/>
  <c r="Q30" i="2"/>
  <c r="N30" i="2"/>
  <c r="S29" i="2"/>
  <c r="Q29" i="2"/>
  <c r="N29" i="2"/>
  <c r="S28" i="2"/>
  <c r="Q28" i="2"/>
  <c r="N28" i="2"/>
  <c r="S27" i="2"/>
  <c r="Q27" i="2"/>
  <c r="N27" i="2"/>
  <c r="S26" i="2"/>
  <c r="Q26" i="2"/>
  <c r="N26" i="2"/>
  <c r="S25" i="2"/>
  <c r="Q25" i="2"/>
  <c r="N25" i="2"/>
  <c r="S24" i="2"/>
  <c r="Q24" i="2"/>
  <c r="N24" i="2"/>
  <c r="S23" i="2"/>
  <c r="Q23" i="2"/>
  <c r="N23" i="2"/>
  <c r="S22" i="2"/>
  <c r="Q22" i="2"/>
  <c r="N22" i="2"/>
  <c r="S21" i="2"/>
  <c r="Q21" i="2"/>
  <c r="N21" i="2"/>
  <c r="S20" i="2"/>
  <c r="Q20" i="2"/>
  <c r="N20" i="2"/>
  <c r="S19" i="2"/>
  <c r="Q19" i="2"/>
  <c r="N19" i="2"/>
  <c r="S18" i="2"/>
  <c r="Q18" i="2"/>
  <c r="N18" i="2"/>
  <c r="S17" i="2"/>
  <c r="Q17" i="2"/>
  <c r="N17" i="2"/>
  <c r="S16" i="2"/>
  <c r="Q16" i="2"/>
  <c r="N16" i="2"/>
  <c r="S15" i="2"/>
  <c r="Q15" i="2"/>
  <c r="N15" i="2"/>
  <c r="S14" i="2"/>
  <c r="Q14" i="2"/>
  <c r="N14" i="2"/>
  <c r="S13" i="2"/>
  <c r="Q13" i="2"/>
  <c r="N13" i="2"/>
  <c r="S12" i="2"/>
  <c r="Q12" i="2"/>
  <c r="N12" i="2"/>
  <c r="S11" i="2"/>
  <c r="Q11" i="2"/>
  <c r="N11" i="2"/>
  <c r="S10" i="2"/>
  <c r="Q10" i="2"/>
  <c r="N10" i="2"/>
  <c r="S9" i="2"/>
  <c r="Q9" i="2"/>
  <c r="N9" i="2"/>
  <c r="S8" i="2"/>
  <c r="Q8" i="2"/>
  <c r="N8" i="2"/>
  <c r="S7" i="2"/>
  <c r="Q7" i="2"/>
  <c r="N7" i="2"/>
  <c r="S6" i="2"/>
  <c r="Q6" i="2"/>
  <c r="N6" i="2"/>
  <c r="S5" i="2"/>
  <c r="Q5" i="2"/>
  <c r="N5" i="2"/>
  <c r="I5" i="2"/>
  <c r="S4" i="2"/>
  <c r="Q4" i="2"/>
  <c r="N4" i="2"/>
  <c r="G8" i="9" l="1"/>
  <c r="F8" i="9"/>
  <c r="H12" i="6"/>
  <c r="F12" i="6"/>
  <c r="T47" i="2"/>
  <c r="U47" i="2" s="1"/>
  <c r="V47" i="2" s="1"/>
  <c r="X47" i="2" s="1"/>
  <c r="T51" i="2"/>
  <c r="U51" i="2" s="1"/>
  <c r="V51" i="2" s="1"/>
  <c r="X51" i="2" s="1"/>
  <c r="T48" i="2"/>
  <c r="U48" i="2" s="1"/>
  <c r="V48" i="2" s="1"/>
  <c r="X48" i="2" s="1"/>
  <c r="T55" i="2"/>
  <c r="U55" i="2" s="1"/>
  <c r="V55" i="2" s="1"/>
  <c r="X55" i="2" s="1"/>
  <c r="T50" i="2"/>
  <c r="U50" i="2" s="1"/>
  <c r="V50" i="2" s="1"/>
  <c r="X50" i="2" s="1"/>
  <c r="T43" i="2"/>
  <c r="U43" i="2" s="1"/>
  <c r="V43" i="2" s="1"/>
  <c r="X43" i="2" s="1"/>
  <c r="T62" i="2"/>
  <c r="U62" i="2" s="1"/>
  <c r="V62" i="2" s="1"/>
  <c r="X62" i="2" s="1"/>
  <c r="T57" i="2"/>
  <c r="U57" i="2" s="1"/>
  <c r="V57" i="2" s="1"/>
  <c r="X57" i="2" s="1"/>
  <c r="T41" i="2"/>
  <c r="U41" i="2" s="1"/>
  <c r="V41" i="2" s="1"/>
  <c r="X41" i="2" s="1"/>
  <c r="T61" i="2"/>
  <c r="U61" i="2" s="1"/>
  <c r="V61" i="2" s="1"/>
  <c r="X61" i="2" s="1"/>
  <c r="T38" i="2"/>
  <c r="U38" i="2" s="1"/>
  <c r="V38" i="2" s="1"/>
  <c r="X38" i="2" s="1"/>
  <c r="T52" i="2"/>
  <c r="U52" i="2" s="1"/>
  <c r="V52" i="2" s="1"/>
  <c r="X52" i="2" s="1"/>
  <c r="T45" i="2"/>
  <c r="U45" i="2" s="1"/>
  <c r="V45" i="2" s="1"/>
  <c r="X45" i="2" s="1"/>
  <c r="T59" i="2"/>
  <c r="U59" i="2" s="1"/>
  <c r="V59" i="2" s="1"/>
  <c r="X59" i="2" s="1"/>
  <c r="T40" i="2"/>
  <c r="U40" i="2" s="1"/>
  <c r="V40" i="2" s="1"/>
  <c r="X40" i="2" s="1"/>
  <c r="T54" i="2"/>
  <c r="U54" i="2" s="1"/>
  <c r="V54" i="2" s="1"/>
  <c r="X54" i="2" s="1"/>
  <c r="T42" i="2"/>
  <c r="U42" i="2" s="1"/>
  <c r="V42" i="2" s="1"/>
  <c r="X42" i="2" s="1"/>
  <c r="T56" i="2"/>
  <c r="U56" i="2" s="1"/>
  <c r="V56" i="2" s="1"/>
  <c r="X56" i="2" s="1"/>
  <c r="T37" i="2"/>
  <c r="U37" i="2" s="1"/>
  <c r="V37" i="2" s="1"/>
  <c r="X37" i="2" s="1"/>
  <c r="T49" i="2"/>
  <c r="U49" i="2" s="1"/>
  <c r="V49" i="2" s="1"/>
  <c r="X49" i="2" s="1"/>
  <c r="T39" i="2"/>
  <c r="U39" i="2" s="1"/>
  <c r="V39" i="2" s="1"/>
  <c r="X39" i="2" s="1"/>
  <c r="T53" i="2"/>
  <c r="U53" i="2" s="1"/>
  <c r="V53" i="2" s="1"/>
  <c r="X53" i="2" s="1"/>
  <c r="T44" i="2"/>
  <c r="U44" i="2" s="1"/>
  <c r="V44" i="2" s="1"/>
  <c r="X44" i="2" s="1"/>
  <c r="T58" i="2"/>
  <c r="U58" i="2" s="1"/>
  <c r="V58" i="2" s="1"/>
  <c r="X58" i="2" s="1"/>
  <c r="T46" i="2"/>
  <c r="U46" i="2" s="1"/>
  <c r="V46" i="2" s="1"/>
  <c r="X46" i="2" s="1"/>
  <c r="T60" i="2"/>
  <c r="U60" i="2" s="1"/>
  <c r="V60" i="2" s="1"/>
  <c r="X60" i="2" s="1"/>
  <c r="T14" i="2"/>
  <c r="U14" i="2" s="1"/>
  <c r="V14" i="2" s="1"/>
  <c r="X14" i="2" s="1"/>
  <c r="T35" i="2"/>
  <c r="U35" i="2" s="1"/>
  <c r="V35" i="2" s="1"/>
  <c r="X35" i="2" s="1"/>
  <c r="I34" i="2"/>
  <c r="T34" i="2"/>
  <c r="U34" i="2" s="1"/>
  <c r="V34" i="2" s="1"/>
  <c r="X34" i="2" s="1"/>
  <c r="T18" i="2"/>
  <c r="U18" i="2" s="1"/>
  <c r="V18" i="2" s="1"/>
  <c r="X18" i="2" s="1"/>
  <c r="T5" i="2"/>
  <c r="T10" i="2"/>
  <c r="U10" i="2" s="1"/>
  <c r="V10" i="2" s="1"/>
  <c r="X10" i="2" s="1"/>
  <c r="T29" i="2"/>
  <c r="U29" i="2" s="1"/>
  <c r="V29" i="2" s="1"/>
  <c r="X29" i="2" s="1"/>
  <c r="T33" i="2"/>
  <c r="U33" i="2" s="1"/>
  <c r="V33" i="2" s="1"/>
  <c r="X33" i="2" s="1"/>
  <c r="T7" i="2"/>
  <c r="U7" i="2" s="1"/>
  <c r="V7" i="2" s="1"/>
  <c r="X7" i="2" s="1"/>
  <c r="T9" i="2"/>
  <c r="U9" i="2" s="1"/>
  <c r="V9" i="2" s="1"/>
  <c r="X9" i="2" s="1"/>
  <c r="T19" i="2"/>
  <c r="U19" i="2" s="1"/>
  <c r="V19" i="2" s="1"/>
  <c r="X19" i="2" s="1"/>
  <c r="T24" i="2"/>
  <c r="U24" i="2" s="1"/>
  <c r="V24" i="2" s="1"/>
  <c r="X24" i="2" s="1"/>
  <c r="T8" i="2"/>
  <c r="U8" i="2" s="1"/>
  <c r="V8" i="2" s="1"/>
  <c r="X8" i="2" s="1"/>
  <c r="T17" i="2"/>
  <c r="U17" i="2" s="1"/>
  <c r="V17" i="2" s="1"/>
  <c r="X17" i="2" s="1"/>
  <c r="T26" i="2"/>
  <c r="U26" i="2" s="1"/>
  <c r="V26" i="2" s="1"/>
  <c r="X26" i="2" s="1"/>
  <c r="T13" i="2"/>
  <c r="U13" i="2" s="1"/>
  <c r="V13" i="2" s="1"/>
  <c r="X13" i="2" s="1"/>
  <c r="T21" i="2"/>
  <c r="U21" i="2" s="1"/>
  <c r="V21" i="2" s="1"/>
  <c r="X21" i="2" s="1"/>
  <c r="T25" i="2"/>
  <c r="U25" i="2" s="1"/>
  <c r="V25" i="2" s="1"/>
  <c r="X25" i="2" s="1"/>
  <c r="T28" i="2"/>
  <c r="U28" i="2" s="1"/>
  <c r="V28" i="2" s="1"/>
  <c r="X28" i="2" s="1"/>
  <c r="T4" i="2"/>
  <c r="T6" i="2"/>
  <c r="U6" i="2" s="1"/>
  <c r="V6" i="2" s="1"/>
  <c r="X6" i="2" s="1"/>
  <c r="T11" i="2"/>
  <c r="U11" i="2" s="1"/>
  <c r="V11" i="2" s="1"/>
  <c r="X11" i="2" s="1"/>
  <c r="T15" i="2"/>
  <c r="U15" i="2" s="1"/>
  <c r="V15" i="2" s="1"/>
  <c r="X15" i="2" s="1"/>
  <c r="T23" i="2"/>
  <c r="U23" i="2" s="1"/>
  <c r="V23" i="2" s="1"/>
  <c r="X23" i="2" s="1"/>
  <c r="T30" i="2"/>
  <c r="U30" i="2" s="1"/>
  <c r="V30" i="2" s="1"/>
  <c r="X30" i="2" s="1"/>
  <c r="T12" i="2"/>
  <c r="U12" i="2" s="1"/>
  <c r="V12" i="2" s="1"/>
  <c r="X12" i="2" s="1"/>
  <c r="T31" i="2"/>
  <c r="U31" i="2" s="1"/>
  <c r="V31" i="2" s="1"/>
  <c r="X31" i="2" s="1"/>
  <c r="T16" i="2"/>
  <c r="U16" i="2" s="1"/>
  <c r="V16" i="2" s="1"/>
  <c r="X16" i="2" s="1"/>
  <c r="T20" i="2"/>
  <c r="U20" i="2" s="1"/>
  <c r="V20" i="2" s="1"/>
  <c r="X20" i="2" s="1"/>
  <c r="T32" i="2"/>
  <c r="U32" i="2" s="1"/>
  <c r="V32" i="2" s="1"/>
  <c r="X32" i="2" s="1"/>
  <c r="T27" i="2"/>
  <c r="U27" i="2" s="1"/>
  <c r="V27" i="2" s="1"/>
  <c r="X27" i="2" s="1"/>
  <c r="T22" i="2"/>
  <c r="U22" i="2" s="1"/>
  <c r="V22" i="2" s="1"/>
  <c r="X22" i="2" s="1"/>
  <c r="U5" i="2"/>
  <c r="V5" i="2" s="1"/>
  <c r="X5" i="2" s="1"/>
  <c r="U4" i="2" l="1"/>
  <c r="V4" i="2" s="1"/>
  <c r="T63" i="2"/>
  <c r="F7" i="9" s="1"/>
  <c r="F9" i="9" s="1"/>
  <c r="I15" i="6"/>
  <c r="I12" i="6"/>
  <c r="J12" i="6" s="1"/>
  <c r="J15" i="6"/>
  <c r="X4" i="2"/>
  <c r="G7" i="9" s="1"/>
  <c r="G9" i="9" s="1"/>
  <c r="G98" i="1" l="1"/>
  <c r="G97" i="1"/>
  <c r="G96" i="1"/>
  <c r="G94" i="1"/>
  <c r="G93" i="1"/>
  <c r="G92" i="1"/>
  <c r="G91" i="1"/>
  <c r="G90" i="1"/>
  <c r="G89" i="1"/>
  <c r="G88" i="1"/>
  <c r="G87" i="1"/>
  <c r="G82" i="1"/>
  <c r="G81" i="1"/>
  <c r="G79" i="1"/>
  <c r="G78" i="1"/>
  <c r="G77" i="1"/>
  <c r="G76" i="1"/>
  <c r="G75" i="1"/>
  <c r="G74" i="1"/>
  <c r="G72" i="1"/>
  <c r="G71" i="1"/>
  <c r="G70" i="1"/>
  <c r="G69" i="1"/>
  <c r="G68" i="1"/>
  <c r="G65" i="1"/>
  <c r="G64" i="1"/>
  <c r="G63" i="1"/>
  <c r="G62" i="1"/>
  <c r="G61" i="1"/>
  <c r="G60" i="1"/>
  <c r="G59" i="1"/>
  <c r="G58" i="1"/>
  <c r="G57" i="1"/>
  <c r="G54" i="1"/>
  <c r="G52" i="1"/>
  <c r="G51" i="1"/>
  <c r="G49" i="1"/>
  <c r="G48" i="1"/>
  <c r="G47" i="1"/>
  <c r="G44" i="1"/>
  <c r="G43" i="1"/>
  <c r="G41" i="1"/>
  <c r="G40" i="1"/>
  <c r="G39" i="1"/>
  <c r="G38"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<sst xmlns="http://schemas.openxmlformats.org/spreadsheetml/2006/main" count="513" uniqueCount="247">
  <si>
    <t>S. No.</t>
  </si>
  <si>
    <t>Name of Structure</t>
  </si>
  <si>
    <t>Size (In Meter)</t>
  </si>
  <si>
    <t>Length</t>
  </si>
  <si>
    <t>Width</t>
  </si>
  <si>
    <t>Height</t>
  </si>
  <si>
    <t>No. of Units</t>
  </si>
  <si>
    <t>Area</t>
  </si>
  <si>
    <t>SQM</t>
  </si>
  <si>
    <t>Type of Construction RC Load Bearing Walls/ AC Sht.Etc.</t>
  </si>
  <si>
    <t>A</t>
  </si>
  <si>
    <t>Main Building for Plant &amp; Machinery</t>
  </si>
  <si>
    <t>Mill House Building</t>
  </si>
  <si>
    <t>Mill House Panel Room GF</t>
  </si>
  <si>
    <t>Mill House Panel Room FF</t>
  </si>
  <si>
    <t>Boiler</t>
  </si>
  <si>
    <t>Boiler House Panel Room GF</t>
  </si>
  <si>
    <t>Boiler House Panel Room FF</t>
  </si>
  <si>
    <t>Line station</t>
  </si>
  <si>
    <t>Sulphu  station</t>
  </si>
  <si>
    <t>Power House</t>
  </si>
  <si>
    <t>Power House Control Room GF</t>
  </si>
  <si>
    <t>Power House Control Room FF</t>
  </si>
  <si>
    <t>Sulphitor station</t>
  </si>
  <si>
    <t>Clarifier and Filter station</t>
  </si>
  <si>
    <t>Juice heater and evaporator station</t>
  </si>
  <si>
    <t>Pan Station</t>
  </si>
  <si>
    <t>Boiling House Control room</t>
  </si>
  <si>
    <t>Sugar House/ Direr house</t>
  </si>
  <si>
    <t>Gunny Bag Godown</t>
  </si>
  <si>
    <t>Sugar Godown</t>
  </si>
  <si>
    <t>Cooling Tower Co-Gen</t>
  </si>
  <si>
    <t>Cooling Tower Process</t>
  </si>
  <si>
    <t>Molasses Tank</t>
  </si>
  <si>
    <t>Scrap Yard</t>
  </si>
  <si>
    <t>Switch Yard</t>
  </si>
  <si>
    <t>Cane Carrier RCC Flooring</t>
  </si>
  <si>
    <t>DM Plant</t>
  </si>
  <si>
    <t>DM Plant Lab</t>
  </si>
  <si>
    <t>Air compressor roomBoiler</t>
  </si>
  <si>
    <t>LAB Building GF</t>
  </si>
  <si>
    <t>Instrument Office ,2nd Floor</t>
  </si>
  <si>
    <t>OFFICE/ Lab BUILDING</t>
  </si>
  <si>
    <t>Cable Trench under Ground</t>
  </si>
  <si>
    <t>B</t>
  </si>
  <si>
    <t>Essential Axilliary Building</t>
  </si>
  <si>
    <t>DG House</t>
  </si>
  <si>
    <t>Suphur &amp; Lime Store</t>
  </si>
  <si>
    <t>General Store GF</t>
  </si>
  <si>
    <t>General Store FF</t>
  </si>
  <si>
    <t>Open Store Yard</t>
  </si>
  <si>
    <t>Bagasse Yard</t>
  </si>
  <si>
    <t>Weigh Bridge Cabin - 100 ton</t>
  </si>
  <si>
    <t>C</t>
  </si>
  <si>
    <t>C1</t>
  </si>
  <si>
    <t>Cane Yard</t>
  </si>
  <si>
    <t>Weigh Bridge Cabin ( Cane Yard )</t>
  </si>
  <si>
    <t>Token Room ( Cane Yard ) Trolly</t>
  </si>
  <si>
    <t>Weigh Bridge Cabin - 60 ton GF</t>
  </si>
  <si>
    <t>Weigh Bridge Cabin - 60 ton FF</t>
  </si>
  <si>
    <t>Trolley Yard</t>
  </si>
  <si>
    <t>Truck Yard</t>
  </si>
  <si>
    <t>Around Cane Carrier</t>
  </si>
  <si>
    <t>Kishan Shed AT Cane Yard</t>
  </si>
  <si>
    <t>RCC + Brick wall + Steel Structure + AC Sht.</t>
  </si>
  <si>
    <t>RCC + Brick wall + RCC Slab</t>
  </si>
  <si>
    <t>RCC + Brick wall + AC Sht.</t>
  </si>
  <si>
    <t>RCC + Steel Structure + GC Sht.</t>
  </si>
  <si>
    <t>RCC + Brick wall + Steel Structure + RCC Slab</t>
  </si>
  <si>
    <t>RCC Foundation, column &amp; floor and no roof</t>
  </si>
  <si>
    <t>RCC Foundation &amp; floor, steel structure and no roof</t>
  </si>
  <si>
    <t>RCC + Brick wall + RCC Lintel</t>
  </si>
  <si>
    <t>RCC + Brick wall + Steel Structure + GC Sht.</t>
  </si>
  <si>
    <t>RCC Structure</t>
  </si>
  <si>
    <t xml:space="preserve">RCC Foundation &amp; floor  </t>
  </si>
  <si>
    <t>RCC Foundation &amp; floor no roof</t>
  </si>
  <si>
    <t>RCC + Brick wall + AC Sheet</t>
  </si>
  <si>
    <t>RCC + Brick wall + RCC Structure + AC Sht.</t>
  </si>
  <si>
    <t>RCC + Brick wall + RCC Structure + rcc slab</t>
  </si>
  <si>
    <t>IRON STEEL STRUCTURE WITH TEEN SHED, PARTIALLY COVERED</t>
  </si>
  <si>
    <t>Foundation &amp; Floor with No Roof</t>
  </si>
  <si>
    <t>Brick wall + AC Sht.</t>
  </si>
  <si>
    <t>BOE Soling in strip With Partion rcc wall boulder soling 300 mm</t>
  </si>
  <si>
    <t>BOE Soling in strip with boulder soling 300 mm</t>
  </si>
  <si>
    <t>IRON STEEL STRUCTURE WITH TEEN SHED</t>
  </si>
  <si>
    <t>C2</t>
  </si>
  <si>
    <t>OFFICE BUILDING</t>
  </si>
  <si>
    <t>ADMIN BLOCK</t>
  </si>
  <si>
    <t>Admin Building FF</t>
  </si>
  <si>
    <t>Admin Building GF</t>
  </si>
  <si>
    <t>Cane Office</t>
  </si>
  <si>
    <t>Canteen</t>
  </si>
  <si>
    <t>Dispensary</t>
  </si>
  <si>
    <t>HR &amp; Admin ( Time Office )</t>
  </si>
  <si>
    <t>Security Office</t>
  </si>
  <si>
    <t>Salse Office</t>
  </si>
  <si>
    <t>Main Gate Cabin</t>
  </si>
  <si>
    <t>WATER SUPPLY &amp; TREETMENT WORK</t>
  </si>
  <si>
    <t>Effluent Treatment Plant</t>
  </si>
  <si>
    <t>C3</t>
  </si>
  <si>
    <t>Office/ Lab &amp; Control Room Building</t>
  </si>
  <si>
    <t>Pump Room</t>
  </si>
  <si>
    <t>Oil &amp; Grease Remover Tank</t>
  </si>
  <si>
    <t>Lime Mixing Tank</t>
  </si>
  <si>
    <t>Equalisation Tank</t>
  </si>
  <si>
    <t>Primary Clarifier - Circular Tank</t>
  </si>
  <si>
    <t>Aeration Tank</t>
  </si>
  <si>
    <t>Secondary Clarifier - Circular Tank</t>
  </si>
  <si>
    <t>Sludge Bed</t>
  </si>
  <si>
    <t>Under Ground Reservoir - Cold water</t>
  </si>
  <si>
    <t>Under Ground Reservoir - Hot water</t>
  </si>
  <si>
    <t>Hot &amp; Cold Water Channel</t>
  </si>
  <si>
    <t>C4</t>
  </si>
  <si>
    <t>RESIDENTIAL BUILDING</t>
  </si>
  <si>
    <t>Township 3 BR ( Colony ) - Ground Floor</t>
  </si>
  <si>
    <t>Township 3 BR ( Colony ) - First Floor</t>
  </si>
  <si>
    <t>Township 2 BR ( Colony ) - Ground Floor</t>
  </si>
  <si>
    <t>Township 2 BR ( Colony ) - First Floor</t>
  </si>
  <si>
    <t>Township 2 BR ( Colony ) - Second Floor</t>
  </si>
  <si>
    <t>Township 2 BR ( Colony ) - Third Floor</t>
  </si>
  <si>
    <t>Officer Dormitory - Ground Floor</t>
  </si>
  <si>
    <t>Officer Dormitory - First Floor</t>
  </si>
  <si>
    <t>Staff Dormitory - Ground Floor</t>
  </si>
  <si>
    <t>Staff Dormitory - First Floor</t>
  </si>
  <si>
    <t>Staff Dormitory - Second Floor</t>
  </si>
  <si>
    <t>Labour Hutment 25 Rooms</t>
  </si>
  <si>
    <t>Security Barrack</t>
  </si>
  <si>
    <t>Temple</t>
  </si>
  <si>
    <t>D</t>
  </si>
  <si>
    <t>ROAD AREA</t>
  </si>
  <si>
    <t>Colony Roads</t>
  </si>
  <si>
    <t>Plants Roads</t>
  </si>
  <si>
    <t>Road From Main Gate To Main Road</t>
  </si>
  <si>
    <t>E</t>
  </si>
  <si>
    <t>DRAINS</t>
  </si>
  <si>
    <t>Drain in Plant</t>
  </si>
  <si>
    <t>Drain in Colony</t>
  </si>
  <si>
    <t>F</t>
  </si>
  <si>
    <t>BOUNDARY WALL</t>
  </si>
  <si>
    <t>Colony Boundary Wall</t>
  </si>
  <si>
    <t>Factory Boundary Wall</t>
  </si>
  <si>
    <t>Factory Main Gate</t>
  </si>
  <si>
    <t>Other Gates Etc 15 Nos</t>
  </si>
  <si>
    <t>RCC + Brick wall + RCC Structure + ac slab</t>
  </si>
  <si>
    <t>RCC Structure with RCC Slab</t>
  </si>
  <si>
    <t xml:space="preserve">RCC Structure </t>
  </si>
  <si>
    <t>White Marble Structure</t>
  </si>
  <si>
    <t>CC construction</t>
  </si>
  <si>
    <t>Sr. No.</t>
  </si>
  <si>
    <t xml:space="preserve">Block Name </t>
  </si>
  <si>
    <t>Construction Category</t>
  </si>
  <si>
    <t>Condition of Structure</t>
  </si>
  <si>
    <r>
      <t xml:space="preserve">Area 
</t>
    </r>
    <r>
      <rPr>
        <i/>
        <sz val="11"/>
        <rFont val="Calibri"/>
        <family val="2"/>
        <scheme val="minor"/>
      </rPr>
      <t>(in sq mtr)</t>
    </r>
  </si>
  <si>
    <r>
      <t xml:space="preserve">Area 
</t>
    </r>
    <r>
      <rPr>
        <i/>
        <sz val="11"/>
        <rFont val="Calibri"/>
        <family val="2"/>
        <scheme val="minor"/>
      </rPr>
      <t>(in sq ft)</t>
    </r>
  </si>
  <si>
    <t>Height (in mtr.)</t>
  </si>
  <si>
    <t>Height (in ft.)</t>
  </si>
  <si>
    <t>Year of Construction</t>
  </si>
  <si>
    <t xml:space="preserve">Year of Valuation </t>
  </si>
  <si>
    <r>
      <t xml:space="preserve">Total Life Consumed 
</t>
    </r>
    <r>
      <rPr>
        <i/>
        <sz val="11"/>
        <rFont val="Calibri"/>
        <family val="2"/>
        <scheme val="minor"/>
      </rPr>
      <t>(in yrs.)</t>
    </r>
  </si>
  <si>
    <r>
      <t xml:space="preserve">Total Economical Life
</t>
    </r>
    <r>
      <rPr>
        <i/>
        <sz val="11"/>
        <rFont val="Calibri"/>
        <family val="2"/>
        <scheme val="minor"/>
      </rPr>
      <t>(in yrs.)</t>
    </r>
  </si>
  <si>
    <t>Salvage value</t>
  </si>
  <si>
    <t>Depreciation Rate</t>
  </si>
  <si>
    <r>
      <t xml:space="preserve">Plinth Area  Rate 
</t>
    </r>
    <r>
      <rPr>
        <i/>
        <sz val="11"/>
        <rFont val="Calibri"/>
        <family val="2"/>
        <scheme val="minor"/>
      </rPr>
      <t>(in per sq.ft.)</t>
    </r>
  </si>
  <si>
    <r>
      <t xml:space="preserve">Plinth Area  Rate 
</t>
    </r>
    <r>
      <rPr>
        <b/>
        <i/>
        <sz val="11"/>
        <rFont val="Calibri"/>
        <family val="2"/>
        <scheme val="minor"/>
      </rPr>
      <t>(</t>
    </r>
    <r>
      <rPr>
        <i/>
        <sz val="11"/>
        <rFont val="Calibri"/>
        <family val="2"/>
        <scheme val="minor"/>
      </rPr>
      <t>In per sq. mtr.</t>
    </r>
    <r>
      <rPr>
        <b/>
        <i/>
        <sz val="11"/>
        <rFont val="Calibri"/>
        <family val="2"/>
        <scheme val="minor"/>
      </rPr>
      <t>)</t>
    </r>
  </si>
  <si>
    <r>
      <t>Gross Replacement Value
(</t>
    </r>
    <r>
      <rPr>
        <i/>
        <sz val="11"/>
        <rFont val="Calibri"/>
        <family val="2"/>
        <scheme val="minor"/>
      </rPr>
      <t>INR</t>
    </r>
    <r>
      <rPr>
        <b/>
        <sz val="11"/>
        <rFont val="Calibri"/>
        <family val="2"/>
        <scheme val="minor"/>
      </rPr>
      <t>)</t>
    </r>
  </si>
  <si>
    <r>
      <t>Total Deterioration 
(</t>
    </r>
    <r>
      <rPr>
        <i/>
        <sz val="11"/>
        <rFont val="Calibri"/>
        <family val="2"/>
        <scheme val="minor"/>
      </rPr>
      <t>INR</t>
    </r>
    <r>
      <rPr>
        <b/>
        <sz val="11"/>
        <rFont val="Calibri"/>
        <family val="2"/>
        <scheme val="minor"/>
      </rPr>
      <t xml:space="preserve">) </t>
    </r>
  </si>
  <si>
    <r>
      <t>Depreciated Value
(</t>
    </r>
    <r>
      <rPr>
        <i/>
        <sz val="11"/>
        <rFont val="Calibri"/>
        <family val="2"/>
        <scheme val="minor"/>
      </rPr>
      <t>INR</t>
    </r>
    <r>
      <rPr>
        <b/>
        <sz val="11"/>
        <rFont val="Calibri"/>
        <family val="2"/>
        <scheme val="minor"/>
      </rPr>
      <t>)</t>
    </r>
  </si>
  <si>
    <r>
      <t xml:space="preserve">Premium </t>
    </r>
    <r>
      <rPr>
        <sz val="11"/>
        <rFont val="Calibri"/>
        <family val="2"/>
        <scheme val="minor"/>
      </rPr>
      <t>(For additional aesthetics or renovation)</t>
    </r>
  </si>
  <si>
    <r>
      <t>Depreciated Replacement Market Value
(</t>
    </r>
    <r>
      <rPr>
        <i/>
        <sz val="11"/>
        <rFont val="Calibri"/>
        <family val="2"/>
        <scheme val="minor"/>
      </rPr>
      <t>INR</t>
    </r>
    <r>
      <rPr>
        <b/>
        <sz val="11"/>
        <rFont val="Calibri"/>
        <family val="2"/>
        <scheme val="minor"/>
      </rPr>
      <t>)</t>
    </r>
  </si>
  <si>
    <t>Good</t>
  </si>
  <si>
    <t>TOTAL</t>
  </si>
  <si>
    <r>
      <t xml:space="preserve">Length </t>
    </r>
    <r>
      <rPr>
        <i/>
        <sz val="11"/>
        <rFont val="Calibri"/>
        <family val="2"/>
        <scheme val="minor"/>
      </rPr>
      <t>(mtr)</t>
    </r>
  </si>
  <si>
    <r>
      <t>Width</t>
    </r>
    <r>
      <rPr>
        <i/>
        <sz val="11"/>
        <rFont val="Calibri"/>
        <family val="2"/>
        <scheme val="minor"/>
      </rPr>
      <t xml:space="preserve"> (mtr)</t>
    </r>
  </si>
  <si>
    <t xml:space="preserve"> VALUATION  OF OTHER STRUCTURES</t>
  </si>
  <si>
    <t>S.No.</t>
  </si>
  <si>
    <t>Description</t>
  </si>
  <si>
    <r>
      <t xml:space="preserve">Area 
</t>
    </r>
    <r>
      <rPr>
        <i/>
        <sz val="11"/>
        <color indexed="8"/>
        <rFont val="Calibri"/>
        <family val="2"/>
      </rPr>
      <t>(sq.mtr.)</t>
    </r>
  </si>
  <si>
    <r>
      <t xml:space="preserve">Area
</t>
    </r>
    <r>
      <rPr>
        <i/>
        <sz val="11"/>
        <color indexed="8"/>
        <rFont val="Calibri"/>
        <family val="2"/>
      </rPr>
      <t xml:space="preserve"> ( sq.fts.)</t>
    </r>
  </si>
  <si>
    <t>Rates adopted</t>
  </si>
  <si>
    <t>Depreciated Replacement Cost</t>
  </si>
  <si>
    <t>Total</t>
  </si>
  <si>
    <t xml:space="preserve"> VALUATION  OF OTHER STRUCTURES (ROADS)</t>
  </si>
  <si>
    <r>
      <t xml:space="preserve">Area 
</t>
    </r>
    <r>
      <rPr>
        <i/>
        <sz val="11"/>
        <color indexed="8"/>
        <rFont val="Calibri"/>
        <family val="2"/>
      </rPr>
      <t>(in running mtr.)</t>
    </r>
  </si>
  <si>
    <t>Road Length (running meter)</t>
  </si>
  <si>
    <t>Boundary wall</t>
  </si>
  <si>
    <t>Drains</t>
  </si>
  <si>
    <t>VALUATION OF PROJECT LAND | BAJAJ HINDUSTHAN SUGAR LIMITED | VILLAGE- UTRAULA   | DISTRICT- BALRAMPUR</t>
  </si>
  <si>
    <t>Village Name</t>
  </si>
  <si>
    <r>
      <t xml:space="preserve">Area
</t>
    </r>
    <r>
      <rPr>
        <i/>
        <sz val="10"/>
        <rFont val="Calibri"/>
        <family val="2"/>
        <scheme val="minor"/>
      </rPr>
      <t>(in Hectare)</t>
    </r>
  </si>
  <si>
    <r>
      <t xml:space="preserve">Land Rate under Land Acquisition Act-2013
</t>
    </r>
    <r>
      <rPr>
        <i/>
        <sz val="10"/>
        <rFont val="Calibri"/>
        <family val="2"/>
        <scheme val="minor"/>
      </rPr>
      <t>(in per hectares)</t>
    </r>
  </si>
  <si>
    <t xml:space="preserve">Total </t>
  </si>
  <si>
    <t>Itai Maida</t>
  </si>
  <si>
    <t>DhowaDaber</t>
  </si>
  <si>
    <t>Vishambharpur</t>
  </si>
  <si>
    <r>
      <t xml:space="preserve">Factor for Land Falls under Rural Area </t>
    </r>
    <r>
      <rPr>
        <b/>
        <sz val="11"/>
        <color theme="1"/>
        <rFont val="Calibri"/>
        <family val="2"/>
        <scheme val="minor"/>
      </rPr>
      <t>(B)</t>
    </r>
  </si>
  <si>
    <r>
      <t xml:space="preserve"> 2 times of Value of </t>
    </r>
    <r>
      <rPr>
        <b/>
        <sz val="11"/>
        <color theme="1"/>
        <rFont val="Calibri"/>
        <family val="2"/>
        <scheme val="minor"/>
      </rPr>
      <t>A</t>
    </r>
  </si>
  <si>
    <r>
      <t xml:space="preserve">Value of Assets attached to land or building </t>
    </r>
    <r>
      <rPr>
        <b/>
        <sz val="11"/>
        <color theme="1"/>
        <rFont val="Calibri"/>
        <family val="2"/>
        <scheme val="minor"/>
      </rPr>
      <t>(C)</t>
    </r>
  </si>
  <si>
    <t>Total (D=B+C)</t>
  </si>
  <si>
    <t>Add Solatium
(100%) (E)</t>
  </si>
  <si>
    <t>100% of value D</t>
  </si>
  <si>
    <t>Total Award Value (F=D+E)</t>
  </si>
  <si>
    <t xml:space="preserve">FAIR MARKET VALUATION OF LAND OF  : M/S. BAJAJ HINDUSTHAN SUGAR LIMITED, UTRAULA, BALRAMPUR, UTTAR PRTADESH  </t>
  </si>
  <si>
    <t>Sr.No.</t>
  </si>
  <si>
    <t>Particulars</t>
  </si>
  <si>
    <t>Original Land Area</t>
  </si>
  <si>
    <t xml:space="preserve">Fair Market Valuation </t>
  </si>
  <si>
    <t>Acres</t>
  </si>
  <si>
    <t>Hectares</t>
  </si>
  <si>
    <t>Project Land</t>
  </si>
  <si>
    <t>Add 5% premium for non agriculture land</t>
  </si>
  <si>
    <t xml:space="preserve">Add: Land Development, Site Levelling charges etc. </t>
  </si>
  <si>
    <t xml:space="preserve">  At Rs.2.5 Lacs per acre</t>
  </si>
  <si>
    <t>GRAND TOTAL</t>
  </si>
  <si>
    <t>Notes:</t>
  </si>
  <si>
    <t>1.  Land area details has been provided to us by the company, which is relied upon in good faith.</t>
  </si>
  <si>
    <t>VALUATION AS PER GOVT. GUIDELINE RATES</t>
  </si>
  <si>
    <t>S.No</t>
  </si>
  <si>
    <r>
      <t xml:space="preserve">Area  </t>
    </r>
    <r>
      <rPr>
        <i/>
        <sz val="11"/>
        <color theme="1"/>
        <rFont val="Calibri"/>
        <family val="2"/>
        <scheme val="minor"/>
      </rPr>
      <t>(Hectare)</t>
    </r>
  </si>
  <si>
    <r>
      <t xml:space="preserve">Area </t>
    </r>
    <r>
      <rPr>
        <i/>
        <sz val="11"/>
        <color theme="1"/>
        <rFont val="Calibri"/>
        <family val="2"/>
        <scheme val="minor"/>
      </rPr>
      <t>(Acre)</t>
    </r>
  </si>
  <si>
    <r>
      <t xml:space="preserve">Area
</t>
    </r>
    <r>
      <rPr>
        <i/>
        <sz val="11"/>
        <color theme="1"/>
        <rFont val="Calibri"/>
        <family val="2"/>
        <scheme val="minor"/>
      </rPr>
      <t>(sq. mtr.)</t>
    </r>
  </si>
  <si>
    <r>
      <t xml:space="preserve">Govt. Guidelines Rates 
</t>
    </r>
    <r>
      <rPr>
        <i/>
        <sz val="11"/>
        <color theme="1"/>
        <rFont val="Calibri"/>
        <family val="2"/>
        <scheme val="minor"/>
      </rPr>
      <t>(in Hectare)</t>
    </r>
    <r>
      <rPr>
        <b/>
        <sz val="11"/>
        <color theme="1"/>
        <rFont val="Calibri"/>
        <family val="2"/>
        <scheme val="minor"/>
      </rPr>
      <t xml:space="preserve">
</t>
    </r>
  </si>
  <si>
    <r>
      <t xml:space="preserve">Govt. Guidelines Rates 
</t>
    </r>
    <r>
      <rPr>
        <i/>
        <sz val="11"/>
        <color theme="1"/>
        <rFont val="Calibri"/>
        <family val="2"/>
        <scheme val="minor"/>
      </rPr>
      <t>(in sq. mtr.)</t>
    </r>
    <r>
      <rPr>
        <b/>
        <sz val="11"/>
        <color theme="1"/>
        <rFont val="Calibri"/>
        <family val="2"/>
        <scheme val="minor"/>
      </rPr>
      <t xml:space="preserve">
</t>
    </r>
  </si>
  <si>
    <t>Agricultural  Govt. Guideline Value</t>
  </si>
  <si>
    <t>Non- Agricultural  Govt. Guideline Value</t>
  </si>
  <si>
    <t>Remarks:</t>
  </si>
  <si>
    <t>1. The above mentioned land area has been taken on the basis of information/ data provided by the company.</t>
  </si>
  <si>
    <t>2. These circle rates gives only the indicative values. However, actually this value has no reference to the real market transaction value which is much less for this kind of land considering the land used for Industrial purpose comparing it with non-agricultural land. Hence no reference can be derived out of the Circle Guideline Value</t>
  </si>
  <si>
    <r>
      <t xml:space="preserve">Height
</t>
    </r>
    <r>
      <rPr>
        <i/>
        <sz val="11"/>
        <rFont val="Calibri"/>
        <family val="2"/>
        <scheme val="minor"/>
      </rPr>
      <t>(in mtr)</t>
    </r>
  </si>
  <si>
    <t>Value</t>
  </si>
  <si>
    <r>
      <t xml:space="preserve">Volume </t>
    </r>
    <r>
      <rPr>
        <i/>
        <sz val="11"/>
        <rFont val="Calibri"/>
        <family val="2"/>
        <scheme val="minor"/>
      </rPr>
      <t>(cubic mtr.)</t>
    </r>
  </si>
  <si>
    <r>
      <t xml:space="preserve">Plinth Area  Rate 
</t>
    </r>
    <r>
      <rPr>
        <i/>
        <sz val="11"/>
        <rFont val="Calibri"/>
        <family val="2"/>
        <scheme val="minor"/>
      </rPr>
      <t>(in cubic mtr.)</t>
    </r>
  </si>
  <si>
    <t>VALUATION OF BUILDING, CIVIL STRUCTURE WORK &amp; LAND OF  M/S. BAJAJ HINDUSTAN SUGAR MILL | UTRAULA PLANT| BALRAMPUR</t>
  </si>
  <si>
    <t>Items</t>
  </si>
  <si>
    <t>Annexure</t>
  </si>
  <si>
    <t>Gross Block</t>
  </si>
  <si>
    <t>Fair Market Value</t>
  </si>
  <si>
    <t xml:space="preserve">Buildings &amp; Civil Structure Work </t>
  </si>
  <si>
    <t>Other Structure Valuation</t>
  </si>
  <si>
    <t>1.The covered area statement of the subject project has been taken on the basis of information/ data provided by the company.</t>
  </si>
  <si>
    <t>2. The condition of the structure is average and maintained by the company.</t>
  </si>
  <si>
    <t>3. The Valuation of the building/ civil structures has been done on the basis of 'Depreciated Replacement cost approach'</t>
  </si>
  <si>
    <t>20% discount due to large parcel of land</t>
  </si>
  <si>
    <t>Add 5% for cost &amp; effort considerations to cover administrative cost, effort towards land acquisition &amp; consolidation etc.</t>
  </si>
  <si>
    <r>
      <t xml:space="preserve">2. As per the our calculations, the market rate for the subject power project is comes out to be </t>
    </r>
    <r>
      <rPr>
        <i/>
        <sz val="11"/>
        <rFont val="Calibri"/>
        <family val="2"/>
        <scheme val="minor"/>
      </rPr>
      <t>Rs. 48,00,000/-</t>
    </r>
    <r>
      <rPr>
        <i/>
        <sz val="11"/>
        <color theme="1"/>
        <rFont val="Calibri"/>
        <family val="2"/>
        <scheme val="minor"/>
      </rPr>
      <t xml:space="preserve"> per Acres, which seems to be reasonable in our point of view. </t>
    </r>
  </si>
  <si>
    <t xml:space="preserve">Land </t>
  </si>
  <si>
    <t>Building</t>
  </si>
  <si>
    <t>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</si>
</sst>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0.000"/>
    <numFmt numFmtId="165" formatCode="_ [$₹-4009]\ * #,##0.00_ ;_ [$₹-4009]\ * \-#,##0.00_ ;_ [$₹-4009]\ * &quot;-&quot;??_ ;_ @_ "/>
    <numFmt numFmtId="166" formatCode="_ [$₹-4009]\ * #,##0_ ;_ [$₹-4009]\ * \-#,##0_ ;_ [$₹-4009]\ * &quot;-&quot;??_ ;_ @_ "/>
    <numFmt numFmtId="167" formatCode="_ &quot;₹&quot;\ * #,##0_ ;_ &quot;₹&quot;\ * \-#,##0_ ;_ &quot;₹&quot;\ * &quot;-&quot;??_ ;_ @_ "/>
    <numFmt numFmtId="168" formatCode="_ * #,##0_ ;_ * \-#,##0_ ;_ * &quot;-&quot;??_ ;_ @_ "/>
  </numFmts>
  <fonts count="23"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i/>
      <sz val="11"/>
      <name val="Calibri"/>
      <family val="2"/>
      <scheme val="minor"/>
    </font>
    <font>
      <b/>
      <i/>
      <sz val="11"/>
      <name val="Calibri"/>
      <family val="2"/>
      <scheme val="minor"/>
    </font>
    <font>
      <sz val="11"/>
      <name val="Calibri"/>
      <family val="2"/>
      <scheme val="minor"/>
    </font>
    <font>
      <sz val="11"/>
      <color indexed="8"/>
      <name val="Times New Roman"/>
      <family val="1"/>
      <charset val="1"/>
    </font>
    <font>
      <sz val="10"/>
      <color theme="1"/>
      <name val="Calibri"/>
      <family val="2"/>
      <scheme val="minor"/>
    </font>
    <font>
      <sz val="11"/>
      <color indexed="8"/>
      <name val="Calibri"/>
      <family val="2"/>
    </font>
    <font>
      <b/>
      <sz val="12"/>
      <color indexed="9"/>
      <name val="Calibri"/>
      <family val="2"/>
    </font>
    <font>
      <b/>
      <sz val="11"/>
      <color indexed="8"/>
      <name val="Calibri"/>
      <family val="2"/>
    </font>
    <font>
      <i/>
      <sz val="11"/>
      <color indexed="8"/>
      <name val="Calibri"/>
      <family val="2"/>
    </font>
    <font>
      <sz val="11"/>
      <color indexed="8"/>
      <name val="Calibri"/>
      <family val="2"/>
      <scheme val="minor"/>
    </font>
    <font>
      <b/>
      <sz val="11"/>
      <color indexed="8"/>
      <name val="Calibri"/>
      <family val="2"/>
      <scheme val="minor"/>
    </font>
    <font>
      <i/>
      <sz val="10"/>
      <name val="Calibri"/>
      <family val="2"/>
      <scheme val="minor"/>
    </font>
    <font>
      <sz val="10"/>
      <name val="Arial"/>
      <family val="2"/>
    </font>
    <font>
      <b/>
      <sz val="12"/>
      <color theme="0"/>
      <name val="Calibri"/>
      <family val="2"/>
      <scheme val="minor"/>
    </font>
    <font>
      <b/>
      <i/>
      <sz val="11"/>
      <color theme="1"/>
      <name val="Calibri"/>
      <family val="2"/>
      <scheme val="minor"/>
    </font>
    <font>
      <i/>
      <sz val="11"/>
      <color theme="1"/>
      <name val="Calibri"/>
      <family val="2"/>
      <scheme val="minor"/>
    </font>
    <font>
      <b/>
      <sz val="12"/>
      <color theme="1"/>
      <name val="Calibri"/>
      <family val="2"/>
      <scheme val="minor"/>
    </font>
    <font>
      <sz val="10"/>
      <color theme="1"/>
      <name val="Arial"/>
      <family val="2"/>
    </font>
  </fonts>
  <fills count="13">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indexed="56"/>
        <bgColor indexed="63"/>
      </patternFill>
    </fill>
    <fill>
      <patternFill patternType="solid">
        <fgColor theme="4" tint="0.59999389629810485"/>
        <bgColor indexed="2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theme="8" tint="-0.249977111117893"/>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4" fontId="2" fillId="0" borderId="0" applyFont="0" applyFill="0" applyBorder="0" applyAlignment="0" applyProtection="0"/>
    <xf numFmtId="0" fontId="10" fillId="0" borderId="0"/>
    <xf numFmtId="44" fontId="2" fillId="0" borderId="0" applyFont="0" applyFill="0" applyBorder="0" applyAlignment="0" applyProtection="0"/>
    <xf numFmtId="43" fontId="2" fillId="0" borderId="0" applyFont="0" applyFill="0" applyBorder="0" applyAlignment="0" applyProtection="0"/>
  </cellStyleXfs>
  <cellXfs count="187">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xf>
    <xf numFmtId="4" fontId="0" fillId="0" borderId="0" xfId="0" applyNumberForma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horizontal="center"/>
    </xf>
    <xf numFmtId="0" fontId="1" fillId="0" borderId="1" xfId="0" applyFont="1" applyBorder="1" applyAlignment="1">
      <alignment vertical="top" wrapText="1"/>
    </xf>
    <xf numFmtId="0" fontId="0" fillId="0" borderId="1" xfId="0" applyBorder="1" applyAlignment="1">
      <alignment horizontal="center"/>
    </xf>
    <xf numFmtId="0" fontId="0" fillId="0" borderId="1" xfId="0" applyBorder="1" applyAlignment="1">
      <alignment vertical="top" wrapText="1"/>
    </xf>
    <xf numFmtId="4" fontId="0" fillId="0" borderId="1" xfId="0" applyNumberFormat="1" applyBorder="1" applyAlignment="1">
      <alignment horizontal="center"/>
    </xf>
    <xf numFmtId="4" fontId="0" fillId="2" borderId="1" xfId="0" applyNumberFormat="1" applyFill="1" applyBorder="1"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3" fontId="0" fillId="0" borderId="1" xfId="0" applyNumberFormat="1" applyBorder="1" applyAlignment="1">
      <alignment horizontal="center"/>
    </xf>
    <xf numFmtId="1" fontId="0" fillId="0" borderId="1" xfId="0" applyNumberFormat="1" applyBorder="1" applyAlignment="1">
      <alignment horizontal="center"/>
    </xf>
    <xf numFmtId="0" fontId="12" fillId="5" borderId="6" xfId="2" applyFont="1" applyFill="1" applyBorder="1" applyAlignment="1">
      <alignment horizontal="center" vertical="center" wrapText="1"/>
    </xf>
    <xf numFmtId="0" fontId="14" fillId="0" borderId="10" xfId="2" applyFont="1" applyBorder="1" applyAlignment="1">
      <alignment horizontal="center" vertical="center"/>
    </xf>
    <xf numFmtId="1" fontId="7" fillId="0" borderId="10" xfId="2" applyNumberFormat="1" applyFont="1" applyBorder="1" applyAlignment="1">
      <alignment horizontal="center" vertical="center"/>
    </xf>
    <xf numFmtId="1" fontId="14" fillId="0" borderId="10" xfId="2" applyNumberFormat="1" applyFont="1" applyBorder="1" applyAlignment="1">
      <alignment horizontal="center" vertical="center"/>
    </xf>
    <xf numFmtId="167" fontId="2" fillId="0" borderId="1" xfId="1" applyNumberFormat="1" applyFont="1" applyFill="1" applyBorder="1" applyAlignment="1">
      <alignment horizontal="center" vertical="center"/>
    </xf>
    <xf numFmtId="166" fontId="2" fillId="0" borderId="1" xfId="0" applyNumberFormat="1" applyFont="1" applyBorder="1" applyAlignment="1">
      <alignment vertical="center"/>
    </xf>
    <xf numFmtId="1" fontId="1" fillId="0" borderId="1" xfId="0" applyNumberFormat="1" applyFont="1" applyBorder="1" applyAlignment="1">
      <alignment horizontal="center"/>
    </xf>
    <xf numFmtId="0" fontId="1" fillId="0" borderId="1" xfId="0" applyFont="1" applyBorder="1"/>
    <xf numFmtId="166" fontId="1" fillId="6" borderId="1" xfId="0" applyNumberFormat="1" applyFont="1" applyFill="1" applyBorder="1"/>
    <xf numFmtId="0" fontId="12" fillId="5" borderId="1" xfId="2" applyFont="1" applyFill="1" applyBorder="1" applyAlignment="1">
      <alignment horizontal="center" vertical="center" wrapText="1"/>
    </xf>
    <xf numFmtId="167" fontId="0" fillId="0" borderId="1" xfId="1" applyNumberFormat="1" applyFont="1" applyBorder="1"/>
    <xf numFmtId="167" fontId="1" fillId="0" borderId="1" xfId="0" applyNumberFormat="1" applyFont="1" applyBorder="1"/>
    <xf numFmtId="167" fontId="1" fillId="6" borderId="1" xfId="0" applyNumberFormat="1" applyFont="1" applyFill="1" applyBorder="1"/>
    <xf numFmtId="0" fontId="0" fillId="0" borderId="1" xfId="0" applyBorder="1" applyAlignment="1">
      <alignment horizontal="center" vertical="center"/>
    </xf>
    <xf numFmtId="0" fontId="4" fillId="8" borderId="1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5" xfId="0" applyFont="1" applyFill="1" applyBorder="1" applyAlignment="1">
      <alignment horizontal="center" vertical="center"/>
    </xf>
    <xf numFmtId="0" fontId="17" fillId="0" borderId="1" xfId="0" applyFont="1" applyBorder="1" applyAlignment="1">
      <alignment horizontal="center" vertical="center"/>
    </xf>
    <xf numFmtId="43" fontId="17" fillId="0" borderId="1" xfId="0" applyNumberFormat="1" applyFont="1" applyBorder="1" applyAlignment="1">
      <alignment vertical="center"/>
    </xf>
    <xf numFmtId="165" fontId="0" fillId="9" borderId="1" xfId="0" applyNumberFormat="1" applyFill="1" applyBorder="1" applyAlignment="1">
      <alignment horizontal="center" vertical="center" wrapText="1"/>
    </xf>
    <xf numFmtId="165" fontId="0" fillId="0" borderId="15" xfId="0" applyNumberFormat="1" applyBorder="1" applyAlignment="1">
      <alignment horizontal="center" vertical="center"/>
    </xf>
    <xf numFmtId="0" fontId="1" fillId="0" borderId="14" xfId="0" applyFont="1" applyBorder="1" applyAlignment="1">
      <alignment horizontal="center" vertical="center"/>
    </xf>
    <xf numFmtId="2" fontId="1" fillId="0" borderId="1" xfId="0" applyNumberFormat="1" applyFont="1" applyBorder="1" applyAlignment="1">
      <alignment horizontal="center" vertical="center"/>
    </xf>
    <xf numFmtId="165" fontId="1" fillId="0" borderId="16" xfId="0" applyNumberFormat="1" applyFont="1" applyBorder="1" applyAlignment="1">
      <alignment horizontal="center" vertical="center"/>
    </xf>
    <xf numFmtId="165" fontId="1" fillId="0" borderId="15" xfId="0" applyNumberFormat="1" applyFont="1" applyBorder="1" applyAlignment="1">
      <alignment horizontal="center" vertical="center"/>
    </xf>
    <xf numFmtId="0" fontId="0" fillId="0" borderId="15" xfId="0" applyBorder="1" applyAlignment="1">
      <alignment horizontal="center" vertical="center"/>
    </xf>
    <xf numFmtId="165" fontId="1" fillId="0" borderId="2" xfId="0" applyNumberFormat="1" applyFont="1" applyBorder="1" applyAlignment="1">
      <alignment horizontal="center" vertical="center"/>
    </xf>
    <xf numFmtId="0" fontId="0" fillId="0" borderId="14" xfId="0" applyBorder="1" applyAlignment="1">
      <alignment horizontal="center" vertical="center"/>
    </xf>
    <xf numFmtId="0" fontId="1" fillId="6" borderId="1" xfId="0" applyFont="1" applyFill="1" applyBorder="1" applyAlignment="1">
      <alignment vertical="center" wrapText="1"/>
    </xf>
    <xf numFmtId="0" fontId="0" fillId="0" borderId="14" xfId="0" applyBorder="1" applyAlignment="1">
      <alignment vertical="center"/>
    </xf>
    <xf numFmtId="0" fontId="0" fillId="0" borderId="25" xfId="0" applyBorder="1" applyAlignment="1">
      <alignment vertical="center"/>
    </xf>
    <xf numFmtId="2" fontId="0" fillId="0" borderId="1" xfId="0" applyNumberFormat="1" applyBorder="1" applyAlignment="1">
      <alignment horizontal="center" vertical="center"/>
    </xf>
    <xf numFmtId="0" fontId="0" fillId="0" borderId="25" xfId="0" applyBorder="1" applyAlignment="1">
      <alignment vertical="center" wrapText="1"/>
    </xf>
    <xf numFmtId="0" fontId="0" fillId="9" borderId="25" xfId="0" applyFill="1" applyBorder="1" applyAlignment="1">
      <alignment vertical="center" wrapText="1"/>
    </xf>
    <xf numFmtId="44" fontId="0" fillId="0" borderId="0" xfId="1" applyFont="1"/>
    <xf numFmtId="44" fontId="0" fillId="0" borderId="0" xfId="0" applyNumberFormat="1"/>
    <xf numFmtId="0" fontId="1" fillId="3" borderId="14" xfId="0" applyFont="1" applyFill="1" applyBorder="1" applyAlignment="1">
      <alignment horizontal="center" vertical="center" wrapText="1"/>
    </xf>
    <xf numFmtId="0" fontId="1" fillId="3" borderId="1" xfId="0" applyFont="1" applyFill="1" applyBorder="1" applyAlignment="1">
      <alignment horizontal="center" vertical="center" wrapText="1"/>
    </xf>
    <xf numFmtId="165" fontId="1" fillId="3"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3" borderId="15" xfId="0" applyNumberFormat="1" applyFont="1" applyFill="1" applyBorder="1" applyAlignment="1">
      <alignment horizontal="center" vertical="center" wrapText="1"/>
    </xf>
    <xf numFmtId="0" fontId="1" fillId="9" borderId="14" xfId="0" applyFont="1" applyFill="1" applyBorder="1" applyAlignment="1">
      <alignment horizontal="center" vertical="center" wrapText="1"/>
    </xf>
    <xf numFmtId="0" fontId="17" fillId="0" borderId="1" xfId="0" applyFont="1" applyBorder="1"/>
    <xf numFmtId="43" fontId="17" fillId="0" borderId="1" xfId="0" applyNumberFormat="1" applyFont="1" applyBorder="1"/>
    <xf numFmtId="0" fontId="0" fillId="9" borderId="1" xfId="0" applyFill="1" applyBorder="1" applyAlignment="1">
      <alignment horizontal="center" vertical="center" wrapText="1"/>
    </xf>
    <xf numFmtId="166" fontId="0" fillId="9" borderId="1" xfId="0" applyNumberFormat="1" applyFill="1" applyBorder="1" applyAlignment="1">
      <alignment horizontal="center" vertical="center" wrapText="1"/>
    </xf>
    <xf numFmtId="166" fontId="0" fillId="9" borderId="15" xfId="0" applyNumberFormat="1" applyFill="1" applyBorder="1" applyAlignment="1">
      <alignment horizontal="center" vertical="center" wrapText="1"/>
    </xf>
    <xf numFmtId="165" fontId="1" fillId="0" borderId="1" xfId="0" applyNumberFormat="1" applyFont="1" applyBorder="1" applyAlignment="1">
      <alignment horizontal="center"/>
    </xf>
    <xf numFmtId="166" fontId="1" fillId="0" borderId="1" xfId="0" applyNumberFormat="1" applyFont="1" applyBorder="1" applyAlignment="1">
      <alignment vertical="center"/>
    </xf>
    <xf numFmtId="166" fontId="1" fillId="0" borderId="15" xfId="0" applyNumberFormat="1" applyFont="1" applyBorder="1" applyAlignment="1">
      <alignment vertical="center"/>
    </xf>
    <xf numFmtId="4" fontId="0" fillId="0" borderId="1" xfId="0" applyNumberFormat="1" applyBorder="1" applyAlignment="1">
      <alignment horizontal="center" vertical="center"/>
    </xf>
    <xf numFmtId="0" fontId="21" fillId="6" borderId="14" xfId="0" applyFont="1" applyFill="1" applyBorder="1" applyAlignment="1">
      <alignment horizontal="center" vertical="center" wrapText="1"/>
    </xf>
    <xf numFmtId="0" fontId="21" fillId="6" borderId="1" xfId="0" applyFont="1" applyFill="1" applyBorder="1" applyAlignment="1">
      <alignment horizontal="center" vertical="center" wrapText="1"/>
    </xf>
    <xf numFmtId="166" fontId="21" fillId="6" borderId="1" xfId="0" applyNumberFormat="1" applyFont="1" applyFill="1" applyBorder="1" applyAlignment="1">
      <alignment horizontal="center" vertical="center" wrapText="1"/>
    </xf>
    <xf numFmtId="166" fontId="21" fillId="6" borderId="15" xfId="0" applyNumberFormat="1" applyFont="1" applyFill="1" applyBorder="1" applyAlignment="1">
      <alignment horizontal="center" vertical="center" wrapText="1"/>
    </xf>
    <xf numFmtId="0" fontId="0" fillId="0" borderId="1" xfId="0" applyBorder="1" applyAlignment="1">
      <alignment horizontal="left" vertical="center"/>
    </xf>
    <xf numFmtId="166" fontId="0" fillId="0" borderId="15" xfId="0" applyNumberFormat="1" applyBorder="1" applyAlignment="1">
      <alignment horizontal="center" vertical="center"/>
    </xf>
    <xf numFmtId="166" fontId="1" fillId="0" borderId="1" xfId="0" applyNumberFormat="1" applyFont="1" applyBorder="1" applyAlignment="1">
      <alignment horizontal="center" vertical="center"/>
    </xf>
    <xf numFmtId="166" fontId="1" fillId="0" borderId="15" xfId="0" applyNumberFormat="1" applyFont="1" applyBorder="1" applyAlignment="1">
      <alignment horizontal="center" vertical="center"/>
    </xf>
    <xf numFmtId="167" fontId="0" fillId="0" borderId="1" xfId="1" applyNumberFormat="1" applyFont="1" applyBorder="1" applyAlignment="1">
      <alignment vertical="center"/>
    </xf>
    <xf numFmtId="167" fontId="0" fillId="0" borderId="1" xfId="0" applyNumberFormat="1" applyBorder="1"/>
    <xf numFmtId="167" fontId="1" fillId="0" borderId="0" xfId="0" applyNumberFormat="1" applyFont="1"/>
    <xf numFmtId="167" fontId="7" fillId="0" borderId="15" xfId="3" applyNumberFormat="1" applyFont="1" applyBorder="1" applyAlignment="1">
      <alignment vertical="center"/>
    </xf>
    <xf numFmtId="167" fontId="0" fillId="0" borderId="15" xfId="3" applyNumberFormat="1" applyFont="1" applyBorder="1" applyAlignment="1">
      <alignment vertical="center"/>
    </xf>
    <xf numFmtId="167" fontId="1" fillId="6" borderId="15" xfId="3" applyNumberFormat="1" applyFont="1" applyFill="1" applyBorder="1" applyAlignment="1">
      <alignment vertical="center"/>
    </xf>
    <xf numFmtId="0" fontId="0" fillId="0" borderId="25" xfId="0" applyBorder="1" applyAlignment="1">
      <alignment horizontal="center" vertical="center"/>
    </xf>
    <xf numFmtId="2" fontId="0" fillId="0" borderId="3" xfId="0" applyNumberFormat="1" applyBorder="1" applyAlignment="1">
      <alignment horizontal="center" vertical="center"/>
    </xf>
    <xf numFmtId="167" fontId="0" fillId="0" borderId="0" xfId="0" applyNumberFormat="1"/>
    <xf numFmtId="44" fontId="1" fillId="0" borderId="0" xfId="0" applyNumberFormat="1" applyFont="1"/>
    <xf numFmtId="167" fontId="7" fillId="0" borderId="0" xfId="3" applyNumberFormat="1" applyFont="1" applyBorder="1" applyAlignment="1">
      <alignment vertical="center"/>
    </xf>
    <xf numFmtId="167" fontId="0" fillId="0" borderId="0" xfId="3" applyNumberFormat="1" applyFont="1" applyBorder="1" applyAlignment="1">
      <alignment vertical="center"/>
    </xf>
    <xf numFmtId="0" fontId="19" fillId="0" borderId="0" xfId="0" applyFont="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center" vertical="center" wrapText="1"/>
    </xf>
    <xf numFmtId="44" fontId="1" fillId="0" borderId="0" xfId="3" applyFont="1" applyFill="1" applyBorder="1" applyAlignment="1">
      <alignment vertical="center"/>
    </xf>
    <xf numFmtId="167" fontId="7" fillId="0" borderId="0" xfId="3" applyNumberFormat="1" applyFont="1" applyFill="1" applyBorder="1" applyAlignment="1">
      <alignment vertical="center"/>
    </xf>
    <xf numFmtId="167" fontId="1" fillId="0" borderId="0" xfId="3" applyNumberFormat="1" applyFont="1" applyFill="1" applyBorder="1" applyAlignment="1">
      <alignment vertical="center"/>
    </xf>
    <xf numFmtId="166" fontId="0" fillId="0" borderId="1" xfId="0" applyNumberFormat="1" applyBorder="1" applyAlignment="1">
      <alignment vertical="center"/>
    </xf>
    <xf numFmtId="3" fontId="0" fillId="0" borderId="0" xfId="0" applyNumberFormat="1"/>
    <xf numFmtId="3" fontId="22" fillId="0" borderId="0" xfId="0" applyNumberFormat="1" applyFont="1"/>
    <xf numFmtId="168" fontId="0" fillId="0" borderId="0" xfId="4" applyNumberFormat="1" applyFont="1"/>
    <xf numFmtId="0" fontId="1" fillId="0" borderId="1" xfId="0" applyFont="1" applyBorder="1" applyAlignment="1">
      <alignment horizontal="center" vertical="center"/>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 fillId="3" borderId="1" xfId="0" applyFont="1" applyFill="1" applyBorder="1" applyAlignment="1">
      <alignment horizontal="center"/>
    </xf>
    <xf numFmtId="0" fontId="11" fillId="4" borderId="5" xfId="2" applyFont="1" applyFill="1" applyBorder="1" applyAlignment="1">
      <alignment horizontal="center" vertical="center"/>
    </xf>
    <xf numFmtId="0" fontId="12" fillId="5" borderId="7"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5" fillId="0" borderId="7" xfId="2" applyFont="1" applyBorder="1" applyAlignment="1">
      <alignment horizontal="center"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2" fillId="5" borderId="1" xfId="2" applyFont="1" applyFill="1" applyBorder="1" applyAlignment="1">
      <alignment horizontal="center" vertical="center" wrapText="1"/>
    </xf>
    <xf numFmtId="0" fontId="1" fillId="0" borderId="1" xfId="0" applyFont="1" applyBorder="1" applyAlignment="1">
      <alignment horizontal="center"/>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18" fillId="10" borderId="21" xfId="0" applyFont="1" applyFill="1" applyBorder="1" applyAlignment="1">
      <alignment horizontal="center" vertical="center" wrapText="1"/>
    </xf>
    <xf numFmtId="0" fontId="18" fillId="10" borderId="22" xfId="0" applyFont="1" applyFill="1" applyBorder="1" applyAlignment="1">
      <alignment horizontal="center" vertical="center" wrapText="1"/>
    </xf>
    <xf numFmtId="0" fontId="18" fillId="10" borderId="23" xfId="0" applyFont="1" applyFill="1" applyBorder="1" applyAlignment="1">
      <alignment horizontal="center" vertical="center" wrapText="1"/>
    </xf>
    <xf numFmtId="0" fontId="1" fillId="0" borderId="14" xfId="0" applyFont="1" applyBorder="1" applyAlignment="1">
      <alignment horizontal="center" vertical="center"/>
    </xf>
    <xf numFmtId="0" fontId="20" fillId="0" borderId="14" xfId="0" applyFont="1" applyBorder="1" applyAlignment="1">
      <alignment horizontal="left" vertical="center"/>
    </xf>
    <xf numFmtId="0" fontId="20" fillId="0" borderId="1" xfId="0" applyFont="1" applyBorder="1" applyAlignment="1">
      <alignment horizontal="left" vertical="center"/>
    </xf>
    <xf numFmtId="0" fontId="20" fillId="0" borderId="15" xfId="0" applyFont="1" applyBorder="1" applyAlignment="1">
      <alignment horizontal="left" vertical="center"/>
    </xf>
    <xf numFmtId="0" fontId="19" fillId="0" borderId="28" xfId="0" applyFont="1" applyBorder="1" applyAlignment="1">
      <alignment horizontal="left" vertical="center" wrapText="1"/>
    </xf>
    <xf numFmtId="0" fontId="19" fillId="0" borderId="27" xfId="0" applyFont="1" applyBorder="1" applyAlignment="1">
      <alignment horizontal="left" vertical="center" wrapText="1"/>
    </xf>
    <xf numFmtId="0" fontId="19" fillId="0" borderId="16" xfId="0" applyFont="1" applyBorder="1" applyAlignment="1">
      <alignment horizontal="left" vertical="center" wrapTex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 fillId="0" borderId="2" xfId="0" applyFont="1" applyBorder="1" applyAlignment="1">
      <alignment horizontal="center" vertic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0" borderId="17" xfId="0" applyBorder="1" applyAlignment="1">
      <alignment horizontal="center" vertical="center"/>
    </xf>
    <xf numFmtId="0" fontId="0" fillId="0" borderId="2" xfId="0" applyBorder="1" applyAlignment="1">
      <alignment horizontal="center" vertical="center"/>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1" fillId="6" borderId="14" xfId="0" applyFont="1" applyFill="1" applyBorder="1" applyAlignment="1">
      <alignment horizontal="center" vertical="center"/>
    </xf>
    <xf numFmtId="0" fontId="1" fillId="6" borderId="24" xfId="0" applyFont="1" applyFill="1" applyBorder="1" applyAlignment="1">
      <alignment vertical="center"/>
    </xf>
    <xf numFmtId="0" fontId="1" fillId="6" borderId="26" xfId="0" applyFont="1" applyFill="1" applyBorder="1" applyAlignment="1">
      <alignment vertical="center"/>
    </xf>
    <xf numFmtId="0" fontId="1" fillId="6" borderId="25" xfId="0" applyFont="1" applyFill="1" applyBorder="1" applyAlignment="1">
      <alignment vertical="center" wrapText="1"/>
    </xf>
    <xf numFmtId="0" fontId="1" fillId="6" borderId="3" xfId="0" applyFont="1" applyFill="1" applyBorder="1" applyAlignment="1">
      <alignment vertical="center" wrapText="1"/>
    </xf>
    <xf numFmtId="44" fontId="1" fillId="6" borderId="15" xfId="3" applyFont="1" applyFill="1" applyBorder="1" applyAlignment="1">
      <alignment vertical="center"/>
    </xf>
    <xf numFmtId="9" fontId="0" fillId="0" borderId="25" xfId="0" applyNumberFormat="1" applyBorder="1" applyAlignment="1">
      <alignment horizontal="center" vertical="center"/>
    </xf>
    <xf numFmtId="0" fontId="0" fillId="0" borderId="3" xfId="0" applyBorder="1" applyAlignment="1">
      <alignment horizontal="center" vertical="center"/>
    </xf>
    <xf numFmtId="0" fontId="0" fillId="9" borderId="25" xfId="0" applyFill="1" applyBorder="1" applyAlignment="1">
      <alignment vertical="center"/>
    </xf>
    <xf numFmtId="0" fontId="0" fillId="9" borderId="27" xfId="0" applyFill="1" applyBorder="1" applyAlignment="1">
      <alignment vertical="center"/>
    </xf>
    <xf numFmtId="0" fontId="1" fillId="6" borderId="28" xfId="0" applyFont="1" applyFill="1" applyBorder="1" applyAlignment="1">
      <alignment vertical="center"/>
    </xf>
    <xf numFmtId="0" fontId="1" fillId="6" borderId="27" xfId="0" applyFont="1" applyFill="1" applyBorder="1" applyAlignment="1">
      <alignment vertical="center"/>
    </xf>
    <xf numFmtId="0" fontId="1" fillId="6" borderId="3" xfId="0" applyFont="1" applyFill="1" applyBorder="1" applyAlignment="1">
      <alignment vertical="center"/>
    </xf>
    <xf numFmtId="0" fontId="19" fillId="0" borderId="14" xfId="0"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0" fontId="20" fillId="0" borderId="14" xfId="0" applyFont="1" applyBorder="1" applyAlignment="1">
      <alignment horizontal="left" vertical="center" wrapText="1"/>
    </xf>
    <xf numFmtId="0" fontId="20" fillId="0" borderId="1" xfId="0" applyFont="1" applyBorder="1" applyAlignment="1">
      <alignment horizontal="left" vertical="center" wrapText="1"/>
    </xf>
    <xf numFmtId="0" fontId="20" fillId="0" borderId="15" xfId="0" applyFont="1" applyBorder="1" applyAlignment="1">
      <alignment horizontal="left" vertical="center" wrapText="1"/>
    </xf>
    <xf numFmtId="0" fontId="3" fillId="11" borderId="21" xfId="0" applyFont="1" applyFill="1" applyBorder="1" applyAlignment="1">
      <alignment horizontal="center"/>
    </xf>
    <xf numFmtId="0" fontId="3" fillId="11" borderId="22" xfId="0" applyFont="1" applyFill="1" applyBorder="1" applyAlignment="1">
      <alignment horizontal="center"/>
    </xf>
    <xf numFmtId="0" fontId="3" fillId="11" borderId="23" xfId="0" applyFont="1" applyFill="1" applyBorder="1" applyAlignment="1">
      <alignment horizontal="center"/>
    </xf>
    <xf numFmtId="0" fontId="1" fillId="0" borderId="14" xfId="0" applyFont="1" applyBorder="1" applyAlignment="1">
      <alignment horizontal="center"/>
    </xf>
    <xf numFmtId="0" fontId="19" fillId="0" borderId="14" xfId="0" applyFont="1" applyBorder="1" applyAlignment="1">
      <alignment horizontal="left" vertical="center"/>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18" xfId="0" applyFont="1" applyBorder="1" applyAlignment="1">
      <alignment horizontal="left" wrapText="1"/>
    </xf>
    <xf numFmtId="0" fontId="19" fillId="0" borderId="19" xfId="0" applyFont="1" applyBorder="1" applyAlignment="1">
      <alignment horizontal="left" wrapText="1"/>
    </xf>
    <xf numFmtId="0" fontId="19" fillId="0" borderId="20" xfId="0" applyFont="1" applyBorder="1" applyAlignment="1">
      <alignment horizontal="left" wrapText="1"/>
    </xf>
    <xf numFmtId="168" fontId="4" fillId="3" borderId="1" xfId="4" applyNumberFormat="1" applyFont="1" applyFill="1" applyBorder="1" applyAlignment="1">
      <alignment horizontal="center" vertical="center" wrapText="1"/>
    </xf>
    <xf numFmtId="168" fontId="9" fillId="0" borderId="1" xfId="4" applyNumberFormat="1" applyFont="1" applyBorder="1" applyAlignment="1">
      <alignment horizontal="center" vertical="center" wrapText="1"/>
    </xf>
    <xf numFmtId="168" fontId="0" fillId="0" borderId="1" xfId="4" applyNumberFormat="1" applyFont="1" applyBorder="1"/>
    <xf numFmtId="168" fontId="9" fillId="0" borderId="1" xfId="4" applyNumberFormat="1" applyFont="1" applyBorder="1" applyAlignment="1">
      <alignment horizontal="center" wrapText="1"/>
    </xf>
    <xf numFmtId="0" fontId="1" fillId="12" borderId="25" xfId="0" applyFont="1" applyFill="1" applyBorder="1" applyAlignment="1">
      <alignment horizontal="right"/>
    </xf>
    <xf numFmtId="0" fontId="1" fillId="12" borderId="3" xfId="0" applyFont="1" applyFill="1" applyBorder="1" applyAlignment="1">
      <alignment horizontal="right"/>
    </xf>
    <xf numFmtId="0" fontId="1" fillId="12" borderId="1" xfId="0" applyFont="1" applyFill="1" applyBorder="1"/>
    <xf numFmtId="1" fontId="1" fillId="12" borderId="1" xfId="0" applyNumberFormat="1" applyFont="1" applyFill="1" applyBorder="1"/>
    <xf numFmtId="168" fontId="1" fillId="12" borderId="1" xfId="4" applyNumberFormat="1" applyFont="1" applyFill="1" applyBorder="1"/>
    <xf numFmtId="168" fontId="1" fillId="12" borderId="4" xfId="4" applyNumberFormat="1" applyFont="1" applyFill="1" applyBorder="1"/>
    <xf numFmtId="168" fontId="0" fillId="12" borderId="0" xfId="4" applyNumberFormat="1" applyFont="1" applyFill="1"/>
  </cellXfs>
  <cellStyles count="5">
    <cellStyle name="Comma" xfId="4" builtinId="3"/>
    <cellStyle name="Currency" xfId="1" builtinId="4"/>
    <cellStyle name="Currency 6" xfId="3" xr:uid="{00000000-0005-0000-0000-000001000000}"/>
    <cellStyle name="Excel Built-in Normal" xfId="2"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37"/>
  <sheetViews>
    <sheetView workbookViewId="0">
      <selection activeCell="F13" sqref="F13"/>
    </sheetView>
  </sheetViews>
  <sheetFormatPr defaultRowHeight="15" x14ac:dyDescent="0.25"/>
  <cols>
    <col min="1" max="1" width="9.140625" style="2"/>
    <col min="2" max="2" width="36" style="5" customWidth="1"/>
    <col min="3" max="5" width="9.140625" style="2"/>
    <col min="6" max="6" width="12.28515625" style="2" customWidth="1"/>
    <col min="7" max="7" width="9.140625" style="2"/>
    <col min="8" max="8" width="51.28515625" style="5" bestFit="1" customWidth="1"/>
  </cols>
  <sheetData>
    <row r="2" spans="1:13" s="4" customFormat="1" x14ac:dyDescent="0.25">
      <c r="A2" s="7" t="s">
        <v>0</v>
      </c>
      <c r="B2" s="8" t="s">
        <v>1</v>
      </c>
      <c r="C2" s="105" t="s">
        <v>2</v>
      </c>
      <c r="D2" s="105"/>
      <c r="E2" s="105"/>
      <c r="F2" s="105" t="s">
        <v>6</v>
      </c>
      <c r="G2" s="7" t="s">
        <v>7</v>
      </c>
      <c r="H2" s="8" t="s">
        <v>9</v>
      </c>
      <c r="I2" s="3"/>
      <c r="J2" s="3"/>
      <c r="K2" s="3"/>
      <c r="L2" s="3"/>
      <c r="M2" s="3"/>
    </row>
    <row r="3" spans="1:13" s="4" customFormat="1" x14ac:dyDescent="0.25">
      <c r="A3" s="7"/>
      <c r="B3" s="8"/>
      <c r="C3" s="7" t="s">
        <v>3</v>
      </c>
      <c r="D3" s="7" t="s">
        <v>4</v>
      </c>
      <c r="E3" s="7" t="s">
        <v>5</v>
      </c>
      <c r="F3" s="105"/>
      <c r="G3" s="7" t="s">
        <v>8</v>
      </c>
      <c r="H3" s="8"/>
      <c r="I3" s="3"/>
      <c r="J3" s="3"/>
      <c r="K3" s="3"/>
      <c r="L3" s="3"/>
      <c r="M3" s="3"/>
    </row>
    <row r="4" spans="1:13" x14ac:dyDescent="0.25">
      <c r="A4" s="9" t="s">
        <v>10</v>
      </c>
      <c r="B4" s="10" t="s">
        <v>11</v>
      </c>
      <c r="C4" s="9"/>
      <c r="D4" s="9"/>
      <c r="E4" s="9"/>
      <c r="F4" s="9"/>
      <c r="G4" s="9"/>
      <c r="H4" s="10"/>
      <c r="I4" s="1"/>
      <c r="J4" s="1"/>
      <c r="K4" s="1"/>
      <c r="L4" s="1"/>
      <c r="M4" s="1"/>
    </row>
    <row r="5" spans="1:13" x14ac:dyDescent="0.25">
      <c r="A5" s="11">
        <v>1</v>
      </c>
      <c r="B5" s="12" t="s">
        <v>12</v>
      </c>
      <c r="C5" s="13">
        <v>172.5</v>
      </c>
      <c r="D5" s="13">
        <v>28</v>
      </c>
      <c r="E5" s="13">
        <v>28</v>
      </c>
      <c r="F5" s="13">
        <v>1</v>
      </c>
      <c r="G5" s="13">
        <f>C5*D5</f>
        <v>4830</v>
      </c>
      <c r="H5" s="12" t="s">
        <v>64</v>
      </c>
    </row>
    <row r="6" spans="1:13" x14ac:dyDescent="0.25">
      <c r="A6" s="11">
        <v>2</v>
      </c>
      <c r="B6" s="12" t="s">
        <v>13</v>
      </c>
      <c r="C6" s="13">
        <v>60</v>
      </c>
      <c r="D6" s="13">
        <v>10.5</v>
      </c>
      <c r="E6" s="13">
        <v>4.5</v>
      </c>
      <c r="F6" s="13">
        <v>1</v>
      </c>
      <c r="G6" s="13">
        <f t="shared" ref="G6:G36" si="0">C6*D6</f>
        <v>630</v>
      </c>
      <c r="H6" s="12" t="s">
        <v>65</v>
      </c>
    </row>
    <row r="7" spans="1:13" x14ac:dyDescent="0.25">
      <c r="A7" s="11">
        <v>3</v>
      </c>
      <c r="B7" s="12" t="s">
        <v>14</v>
      </c>
      <c r="C7" s="13">
        <v>60</v>
      </c>
      <c r="D7" s="13">
        <v>6</v>
      </c>
      <c r="E7" s="13">
        <v>4.5</v>
      </c>
      <c r="F7" s="13">
        <v>1</v>
      </c>
      <c r="G7" s="13">
        <f t="shared" si="0"/>
        <v>360</v>
      </c>
      <c r="H7" s="12" t="s">
        <v>66</v>
      </c>
    </row>
    <row r="8" spans="1:13" x14ac:dyDescent="0.25">
      <c r="A8" s="11">
        <v>4</v>
      </c>
      <c r="B8" s="12" t="s">
        <v>15</v>
      </c>
      <c r="C8" s="13">
        <v>31.2</v>
      </c>
      <c r="D8" s="13">
        <v>9.9</v>
      </c>
      <c r="E8" s="13">
        <v>20.95</v>
      </c>
      <c r="F8" s="13">
        <v>3</v>
      </c>
      <c r="G8" s="13">
        <f t="shared" si="0"/>
        <v>308.88</v>
      </c>
      <c r="H8" s="12" t="s">
        <v>67</v>
      </c>
    </row>
    <row r="9" spans="1:13" x14ac:dyDescent="0.25">
      <c r="A9" s="11">
        <v>5</v>
      </c>
      <c r="B9" s="12" t="s">
        <v>16</v>
      </c>
      <c r="C9" s="13">
        <v>67</v>
      </c>
      <c r="D9" s="13">
        <v>9.5</v>
      </c>
      <c r="E9" s="13">
        <v>4</v>
      </c>
      <c r="F9" s="13">
        <v>1</v>
      </c>
      <c r="G9" s="13">
        <f t="shared" si="0"/>
        <v>636.5</v>
      </c>
      <c r="H9" s="12" t="s">
        <v>65</v>
      </c>
    </row>
    <row r="10" spans="1:13" x14ac:dyDescent="0.25">
      <c r="A10" s="11">
        <v>6</v>
      </c>
      <c r="B10" s="12" t="s">
        <v>17</v>
      </c>
      <c r="C10" s="13">
        <v>49</v>
      </c>
      <c r="D10" s="13">
        <v>9.5</v>
      </c>
      <c r="E10" s="13">
        <v>4</v>
      </c>
      <c r="F10" s="13">
        <v>1</v>
      </c>
      <c r="G10" s="13">
        <f t="shared" si="0"/>
        <v>465.5</v>
      </c>
      <c r="H10" s="12" t="s">
        <v>65</v>
      </c>
    </row>
    <row r="11" spans="1:13" x14ac:dyDescent="0.25">
      <c r="A11" s="11">
        <v>7</v>
      </c>
      <c r="B11" s="12" t="s">
        <v>20</v>
      </c>
      <c r="C11" s="13">
        <v>60</v>
      </c>
      <c r="D11" s="13">
        <v>28</v>
      </c>
      <c r="E11" s="13">
        <v>26</v>
      </c>
      <c r="F11" s="13">
        <v>1</v>
      </c>
      <c r="G11" s="13">
        <f t="shared" si="0"/>
        <v>1680</v>
      </c>
      <c r="H11" s="12" t="s">
        <v>64</v>
      </c>
    </row>
    <row r="12" spans="1:13" x14ac:dyDescent="0.25">
      <c r="A12" s="11">
        <v>8</v>
      </c>
      <c r="B12" s="12" t="s">
        <v>21</v>
      </c>
      <c r="C12" s="13">
        <v>52.5</v>
      </c>
      <c r="D12" s="13">
        <v>12</v>
      </c>
      <c r="E12" s="13">
        <v>7</v>
      </c>
      <c r="F12" s="13">
        <v>1</v>
      </c>
      <c r="G12" s="13">
        <f t="shared" si="0"/>
        <v>630</v>
      </c>
      <c r="H12" s="12" t="s">
        <v>68</v>
      </c>
    </row>
    <row r="13" spans="1:13" x14ac:dyDescent="0.25">
      <c r="A13" s="11">
        <v>9</v>
      </c>
      <c r="B13" s="12" t="s">
        <v>22</v>
      </c>
      <c r="C13" s="13">
        <v>52.5</v>
      </c>
      <c r="D13" s="13">
        <v>12</v>
      </c>
      <c r="E13" s="13">
        <v>5</v>
      </c>
      <c r="F13" s="13">
        <v>1</v>
      </c>
      <c r="G13" s="13">
        <f t="shared" si="0"/>
        <v>630</v>
      </c>
      <c r="H13" s="12" t="s">
        <v>64</v>
      </c>
    </row>
    <row r="14" spans="1:13" x14ac:dyDescent="0.25">
      <c r="A14" s="11">
        <v>10</v>
      </c>
      <c r="B14" s="12" t="s">
        <v>18</v>
      </c>
      <c r="C14" s="13">
        <v>6</v>
      </c>
      <c r="D14" s="13">
        <v>10</v>
      </c>
      <c r="E14" s="13">
        <v>10</v>
      </c>
      <c r="F14" s="13">
        <v>1</v>
      </c>
      <c r="G14" s="13">
        <f t="shared" si="0"/>
        <v>60</v>
      </c>
      <c r="H14" s="12" t="s">
        <v>69</v>
      </c>
    </row>
    <row r="15" spans="1:13" x14ac:dyDescent="0.25">
      <c r="A15" s="11">
        <v>11</v>
      </c>
      <c r="B15" s="12" t="s">
        <v>19</v>
      </c>
      <c r="C15" s="13">
        <v>42</v>
      </c>
      <c r="D15" s="13">
        <v>8</v>
      </c>
      <c r="E15" s="13">
        <v>10</v>
      </c>
      <c r="F15" s="13">
        <v>1</v>
      </c>
      <c r="G15" s="13">
        <f t="shared" si="0"/>
        <v>336</v>
      </c>
      <c r="H15" s="12" t="s">
        <v>69</v>
      </c>
    </row>
    <row r="16" spans="1:13" x14ac:dyDescent="0.25">
      <c r="A16" s="11">
        <v>12</v>
      </c>
      <c r="B16" s="12" t="s">
        <v>23</v>
      </c>
      <c r="C16" s="13">
        <v>22</v>
      </c>
      <c r="D16" s="13">
        <v>5.5</v>
      </c>
      <c r="E16" s="13">
        <v>10</v>
      </c>
      <c r="F16" s="13">
        <v>1</v>
      </c>
      <c r="G16" s="13">
        <f t="shared" si="0"/>
        <v>121</v>
      </c>
      <c r="H16" s="12" t="s">
        <v>70</v>
      </c>
    </row>
    <row r="17" spans="1:8" x14ac:dyDescent="0.25">
      <c r="A17" s="11">
        <v>13</v>
      </c>
      <c r="B17" s="12" t="s">
        <v>24</v>
      </c>
      <c r="C17" s="13">
        <v>44</v>
      </c>
      <c r="D17" s="13">
        <v>63</v>
      </c>
      <c r="E17" s="13">
        <v>10</v>
      </c>
      <c r="F17" s="13">
        <v>1</v>
      </c>
      <c r="G17" s="13">
        <f t="shared" si="0"/>
        <v>2772</v>
      </c>
      <c r="H17" s="12" t="s">
        <v>70</v>
      </c>
    </row>
    <row r="18" spans="1:8" x14ac:dyDescent="0.25">
      <c r="A18" s="11">
        <v>14</v>
      </c>
      <c r="B18" s="12" t="s">
        <v>25</v>
      </c>
      <c r="C18" s="13">
        <v>65</v>
      </c>
      <c r="D18" s="13">
        <v>33</v>
      </c>
      <c r="E18" s="13">
        <v>10</v>
      </c>
      <c r="F18" s="13">
        <v>1</v>
      </c>
      <c r="G18" s="13">
        <f t="shared" si="0"/>
        <v>2145</v>
      </c>
      <c r="H18" s="12" t="s">
        <v>70</v>
      </c>
    </row>
    <row r="19" spans="1:8" x14ac:dyDescent="0.25">
      <c r="A19" s="11">
        <v>15</v>
      </c>
      <c r="B19" s="12" t="s">
        <v>26</v>
      </c>
      <c r="C19" s="13">
        <v>123.5</v>
      </c>
      <c r="D19" s="13">
        <v>33</v>
      </c>
      <c r="E19" s="13">
        <v>10</v>
      </c>
      <c r="F19" s="13">
        <v>1</v>
      </c>
      <c r="G19" s="13">
        <f t="shared" si="0"/>
        <v>4075.5</v>
      </c>
      <c r="H19" s="12" t="s">
        <v>64</v>
      </c>
    </row>
    <row r="20" spans="1:8" x14ac:dyDescent="0.25">
      <c r="A20" s="11">
        <v>16</v>
      </c>
      <c r="B20" s="12" t="s">
        <v>27</v>
      </c>
      <c r="C20" s="13">
        <v>32</v>
      </c>
      <c r="D20" s="13">
        <v>12</v>
      </c>
      <c r="E20" s="13">
        <v>5</v>
      </c>
      <c r="F20" s="13">
        <v>1</v>
      </c>
      <c r="G20" s="13">
        <f t="shared" si="0"/>
        <v>384</v>
      </c>
      <c r="H20" s="12" t="s">
        <v>71</v>
      </c>
    </row>
    <row r="21" spans="1:8" x14ac:dyDescent="0.25">
      <c r="A21" s="11">
        <v>17</v>
      </c>
      <c r="B21" s="12" t="s">
        <v>28</v>
      </c>
      <c r="C21" s="13">
        <v>56</v>
      </c>
      <c r="D21" s="13">
        <v>40</v>
      </c>
      <c r="E21" s="13">
        <v>25.6</v>
      </c>
      <c r="F21" s="13">
        <v>1</v>
      </c>
      <c r="G21" s="13">
        <f t="shared" si="0"/>
        <v>2240</v>
      </c>
      <c r="H21" s="12" t="s">
        <v>64</v>
      </c>
    </row>
    <row r="22" spans="1:8" x14ac:dyDescent="0.25">
      <c r="A22" s="11">
        <v>18</v>
      </c>
      <c r="B22" s="12" t="s">
        <v>29</v>
      </c>
      <c r="C22" s="13">
        <v>16</v>
      </c>
      <c r="D22" s="13">
        <v>30</v>
      </c>
      <c r="E22" s="13">
        <v>9.6</v>
      </c>
      <c r="F22" s="13">
        <v>1</v>
      </c>
      <c r="G22" s="13">
        <f t="shared" si="0"/>
        <v>480</v>
      </c>
      <c r="H22" s="12" t="s">
        <v>64</v>
      </c>
    </row>
    <row r="23" spans="1:8" x14ac:dyDescent="0.25">
      <c r="A23" s="11">
        <v>19</v>
      </c>
      <c r="B23" s="12" t="s">
        <v>30</v>
      </c>
      <c r="C23" s="13">
        <v>200</v>
      </c>
      <c r="D23" s="13">
        <v>60</v>
      </c>
      <c r="E23" s="13">
        <v>11</v>
      </c>
      <c r="F23" s="13">
        <v>1</v>
      </c>
      <c r="G23" s="13">
        <f t="shared" si="0"/>
        <v>12000</v>
      </c>
      <c r="H23" s="12" t="s">
        <v>72</v>
      </c>
    </row>
    <row r="24" spans="1:8" x14ac:dyDescent="0.25">
      <c r="A24" s="11">
        <v>20</v>
      </c>
      <c r="B24" s="12" t="s">
        <v>31</v>
      </c>
      <c r="C24" s="13">
        <v>24</v>
      </c>
      <c r="D24" s="13">
        <v>21</v>
      </c>
      <c r="E24" s="13">
        <v>9.59</v>
      </c>
      <c r="F24" s="13">
        <v>1</v>
      </c>
      <c r="G24" s="13">
        <f t="shared" si="0"/>
        <v>504</v>
      </c>
      <c r="H24" s="12" t="s">
        <v>73</v>
      </c>
    </row>
    <row r="25" spans="1:8" x14ac:dyDescent="0.25">
      <c r="A25" s="11">
        <v>21</v>
      </c>
      <c r="B25" s="12" t="s">
        <v>32</v>
      </c>
      <c r="C25" s="13">
        <v>63</v>
      </c>
      <c r="D25" s="13">
        <v>23</v>
      </c>
      <c r="E25" s="13">
        <v>9.59</v>
      </c>
      <c r="F25" s="13">
        <v>1</v>
      </c>
      <c r="G25" s="13">
        <f t="shared" si="0"/>
        <v>1449</v>
      </c>
      <c r="H25" s="12" t="s">
        <v>73</v>
      </c>
    </row>
    <row r="26" spans="1:8" x14ac:dyDescent="0.25">
      <c r="A26" s="11">
        <v>22</v>
      </c>
      <c r="B26" s="12" t="s">
        <v>33</v>
      </c>
      <c r="C26" s="13">
        <v>110</v>
      </c>
      <c r="D26" s="13">
        <v>80</v>
      </c>
      <c r="E26" s="13"/>
      <c r="F26" s="13">
        <v>1</v>
      </c>
      <c r="G26" s="13">
        <f t="shared" si="0"/>
        <v>8800</v>
      </c>
      <c r="H26" s="12" t="s">
        <v>74</v>
      </c>
    </row>
    <row r="27" spans="1:8" x14ac:dyDescent="0.25">
      <c r="A27" s="11">
        <v>23</v>
      </c>
      <c r="B27" s="12" t="s">
        <v>34</v>
      </c>
      <c r="C27" s="13">
        <v>54</v>
      </c>
      <c r="D27" s="13">
        <v>15</v>
      </c>
      <c r="E27" s="13"/>
      <c r="F27" s="13">
        <v>1</v>
      </c>
      <c r="G27" s="13">
        <f t="shared" si="0"/>
        <v>810</v>
      </c>
      <c r="H27" s="12" t="s">
        <v>75</v>
      </c>
    </row>
    <row r="28" spans="1:8" x14ac:dyDescent="0.25">
      <c r="A28" s="11">
        <v>24</v>
      </c>
      <c r="B28" s="12" t="s">
        <v>35</v>
      </c>
      <c r="C28" s="13">
        <v>70</v>
      </c>
      <c r="D28" s="13">
        <v>20</v>
      </c>
      <c r="E28" s="13"/>
      <c r="F28" s="13">
        <v>1</v>
      </c>
      <c r="G28" s="13">
        <f t="shared" si="0"/>
        <v>1400</v>
      </c>
      <c r="H28" s="12" t="s">
        <v>75</v>
      </c>
    </row>
    <row r="29" spans="1:8" x14ac:dyDescent="0.25">
      <c r="A29" s="11">
        <v>25</v>
      </c>
      <c r="B29" s="12" t="s">
        <v>36</v>
      </c>
      <c r="C29" s="13">
        <v>156.5</v>
      </c>
      <c r="D29" s="13">
        <v>28</v>
      </c>
      <c r="E29" s="13"/>
      <c r="F29" s="13">
        <v>1</v>
      </c>
      <c r="G29" s="13">
        <f t="shared" si="0"/>
        <v>4382</v>
      </c>
      <c r="H29" s="12" t="s">
        <v>75</v>
      </c>
    </row>
    <row r="30" spans="1:8" x14ac:dyDescent="0.25">
      <c r="A30" s="11">
        <v>26</v>
      </c>
      <c r="B30" s="12" t="s">
        <v>37</v>
      </c>
      <c r="C30" s="13">
        <v>23</v>
      </c>
      <c r="D30" s="13">
        <v>14</v>
      </c>
      <c r="E30" s="13"/>
      <c r="F30" s="13">
        <v>1</v>
      </c>
      <c r="G30" s="13">
        <f t="shared" si="0"/>
        <v>322</v>
      </c>
      <c r="H30" s="12" t="s">
        <v>75</v>
      </c>
    </row>
    <row r="31" spans="1:8" x14ac:dyDescent="0.25">
      <c r="A31" s="11">
        <v>27</v>
      </c>
      <c r="B31" s="12" t="s">
        <v>38</v>
      </c>
      <c r="C31" s="13">
        <v>8</v>
      </c>
      <c r="D31" s="13">
        <v>4</v>
      </c>
      <c r="E31" s="13">
        <v>3</v>
      </c>
      <c r="F31" s="13">
        <v>1</v>
      </c>
      <c r="G31" s="13">
        <f t="shared" si="0"/>
        <v>32</v>
      </c>
      <c r="H31" s="12" t="s">
        <v>71</v>
      </c>
    </row>
    <row r="32" spans="1:8" x14ac:dyDescent="0.25">
      <c r="A32" s="11">
        <v>28</v>
      </c>
      <c r="B32" s="12" t="s">
        <v>39</v>
      </c>
      <c r="C32" s="13">
        <v>16.7</v>
      </c>
      <c r="D32" s="13">
        <v>6.2</v>
      </c>
      <c r="E32" s="13">
        <v>3</v>
      </c>
      <c r="F32" s="13">
        <v>1</v>
      </c>
      <c r="G32" s="13">
        <f t="shared" si="0"/>
        <v>103.53999999999999</v>
      </c>
      <c r="H32" s="12" t="s">
        <v>71</v>
      </c>
    </row>
    <row r="33" spans="1:8" x14ac:dyDescent="0.25">
      <c r="A33" s="11">
        <v>29</v>
      </c>
      <c r="B33" s="12" t="s">
        <v>40</v>
      </c>
      <c r="C33" s="13">
        <v>10</v>
      </c>
      <c r="D33" s="13">
        <v>21</v>
      </c>
      <c r="E33" s="13">
        <v>4.5</v>
      </c>
      <c r="F33" s="13">
        <v>1</v>
      </c>
      <c r="G33" s="13">
        <f t="shared" si="0"/>
        <v>210</v>
      </c>
      <c r="H33" s="12" t="s">
        <v>71</v>
      </c>
    </row>
    <row r="34" spans="1:8" x14ac:dyDescent="0.25">
      <c r="A34" s="11">
        <v>30</v>
      </c>
      <c r="B34" s="12" t="s">
        <v>41</v>
      </c>
      <c r="C34" s="13">
        <v>10</v>
      </c>
      <c r="D34" s="13">
        <v>21</v>
      </c>
      <c r="E34" s="13">
        <v>4.5</v>
      </c>
      <c r="F34" s="13">
        <v>1</v>
      </c>
      <c r="G34" s="13">
        <f t="shared" si="0"/>
        <v>210</v>
      </c>
      <c r="H34" s="12" t="s">
        <v>76</v>
      </c>
    </row>
    <row r="35" spans="1:8" x14ac:dyDescent="0.25">
      <c r="A35" s="11">
        <v>31</v>
      </c>
      <c r="B35" s="12" t="s">
        <v>42</v>
      </c>
      <c r="C35" s="13">
        <v>10</v>
      </c>
      <c r="D35" s="13">
        <v>21</v>
      </c>
      <c r="E35" s="13">
        <v>4.5</v>
      </c>
      <c r="F35" s="13">
        <v>1</v>
      </c>
      <c r="G35" s="13">
        <f t="shared" si="0"/>
        <v>210</v>
      </c>
      <c r="H35" s="12" t="s">
        <v>71</v>
      </c>
    </row>
    <row r="36" spans="1:8" x14ac:dyDescent="0.25">
      <c r="A36" s="11">
        <v>32</v>
      </c>
      <c r="B36" s="12" t="s">
        <v>43</v>
      </c>
      <c r="C36" s="13">
        <v>975</v>
      </c>
      <c r="D36" s="13">
        <v>1.5</v>
      </c>
      <c r="E36" s="13">
        <v>1.25</v>
      </c>
      <c r="F36" s="13">
        <v>1</v>
      </c>
      <c r="G36" s="13">
        <f t="shared" si="0"/>
        <v>1462.5</v>
      </c>
      <c r="H36" s="12" t="s">
        <v>73</v>
      </c>
    </row>
    <row r="37" spans="1:8" x14ac:dyDescent="0.25">
      <c r="A37" s="9" t="s">
        <v>44</v>
      </c>
      <c r="B37" s="10" t="s">
        <v>45</v>
      </c>
      <c r="C37" s="13"/>
      <c r="D37" s="13"/>
      <c r="E37" s="13"/>
      <c r="F37" s="13"/>
      <c r="G37" s="13"/>
      <c r="H37" s="12"/>
    </row>
    <row r="38" spans="1:8" x14ac:dyDescent="0.25">
      <c r="A38" s="11">
        <v>1</v>
      </c>
      <c r="B38" s="12" t="s">
        <v>46</v>
      </c>
      <c r="C38" s="13">
        <v>30</v>
      </c>
      <c r="D38" s="13">
        <v>19</v>
      </c>
      <c r="E38" s="13">
        <v>10.130000000000001</v>
      </c>
      <c r="F38" s="13">
        <v>1</v>
      </c>
      <c r="G38" s="13">
        <f t="shared" ref="G38:G44" si="1">C38*D38</f>
        <v>570</v>
      </c>
      <c r="H38" s="12" t="s">
        <v>64</v>
      </c>
    </row>
    <row r="39" spans="1:8" x14ac:dyDescent="0.25">
      <c r="A39" s="11">
        <v>2</v>
      </c>
      <c r="B39" s="12" t="s">
        <v>47</v>
      </c>
      <c r="C39" s="13">
        <v>36</v>
      </c>
      <c r="D39" s="13">
        <v>12</v>
      </c>
      <c r="E39" s="13">
        <v>6.9</v>
      </c>
      <c r="F39" s="13">
        <v>1</v>
      </c>
      <c r="G39" s="13">
        <f t="shared" si="1"/>
        <v>432</v>
      </c>
      <c r="H39" s="12" t="s">
        <v>77</v>
      </c>
    </row>
    <row r="40" spans="1:8" x14ac:dyDescent="0.25">
      <c r="A40" s="11">
        <v>3</v>
      </c>
      <c r="B40" s="12" t="s">
        <v>48</v>
      </c>
      <c r="C40" s="13">
        <v>54</v>
      </c>
      <c r="D40" s="13">
        <v>18</v>
      </c>
      <c r="E40" s="13">
        <v>4.5</v>
      </c>
      <c r="F40" s="13">
        <v>1</v>
      </c>
      <c r="G40" s="13">
        <f t="shared" si="1"/>
        <v>972</v>
      </c>
      <c r="H40" s="12" t="s">
        <v>78</v>
      </c>
    </row>
    <row r="41" spans="1:8" x14ac:dyDescent="0.25">
      <c r="A41" s="11">
        <v>4</v>
      </c>
      <c r="B41" s="12" t="s">
        <v>49</v>
      </c>
      <c r="C41" s="13">
        <v>54</v>
      </c>
      <c r="D41" s="13">
        <v>18</v>
      </c>
      <c r="E41" s="13">
        <v>4.5</v>
      </c>
      <c r="F41" s="13">
        <v>1</v>
      </c>
      <c r="G41" s="13">
        <f t="shared" si="1"/>
        <v>972</v>
      </c>
      <c r="H41" s="12" t="s">
        <v>77</v>
      </c>
    </row>
    <row r="42" spans="1:8" ht="30" x14ac:dyDescent="0.25">
      <c r="A42" s="11">
        <v>5</v>
      </c>
      <c r="B42" s="12" t="s">
        <v>50</v>
      </c>
      <c r="C42" s="13">
        <v>54</v>
      </c>
      <c r="D42" s="13">
        <v>20</v>
      </c>
      <c r="E42" s="13">
        <v>3</v>
      </c>
      <c r="F42" s="13"/>
      <c r="G42" s="13">
        <f>D42*C42</f>
        <v>1080</v>
      </c>
      <c r="H42" s="12" t="s">
        <v>79</v>
      </c>
    </row>
    <row r="43" spans="1:8" x14ac:dyDescent="0.25">
      <c r="A43" s="11">
        <v>6</v>
      </c>
      <c r="B43" s="12" t="s">
        <v>51</v>
      </c>
      <c r="C43" s="13">
        <v>250</v>
      </c>
      <c r="D43" s="13">
        <v>170</v>
      </c>
      <c r="E43" s="13"/>
      <c r="F43" s="13">
        <v>1</v>
      </c>
      <c r="G43" s="13">
        <f t="shared" si="1"/>
        <v>42500</v>
      </c>
      <c r="H43" s="12" t="s">
        <v>80</v>
      </c>
    </row>
    <row r="44" spans="1:8" x14ac:dyDescent="0.25">
      <c r="A44" s="11">
        <v>7</v>
      </c>
      <c r="B44" s="12" t="s">
        <v>52</v>
      </c>
      <c r="C44" s="13">
        <v>4</v>
      </c>
      <c r="D44" s="13">
        <v>5</v>
      </c>
      <c r="E44" s="13">
        <v>4</v>
      </c>
      <c r="F44" s="13">
        <v>2</v>
      </c>
      <c r="G44" s="14">
        <f t="shared" si="1"/>
        <v>20</v>
      </c>
      <c r="H44" s="12" t="s">
        <v>73</v>
      </c>
    </row>
    <row r="45" spans="1:8" x14ac:dyDescent="0.25">
      <c r="A45" s="9" t="s">
        <v>53</v>
      </c>
      <c r="B45" s="10" t="s">
        <v>55</v>
      </c>
      <c r="C45" s="13"/>
      <c r="D45" s="13"/>
      <c r="E45" s="13"/>
      <c r="F45" s="13"/>
      <c r="G45" s="13"/>
      <c r="H45" s="12"/>
    </row>
    <row r="46" spans="1:8" x14ac:dyDescent="0.25">
      <c r="A46" s="9" t="s">
        <v>54</v>
      </c>
      <c r="B46" s="10" t="s">
        <v>56</v>
      </c>
      <c r="C46" s="13"/>
      <c r="D46" s="13"/>
      <c r="E46" s="13"/>
      <c r="F46" s="13"/>
      <c r="G46" s="13"/>
      <c r="H46" s="12"/>
    </row>
    <row r="47" spans="1:8" x14ac:dyDescent="0.25">
      <c r="A47" s="11">
        <v>1</v>
      </c>
      <c r="B47" s="12" t="s">
        <v>57</v>
      </c>
      <c r="C47" s="13">
        <v>4</v>
      </c>
      <c r="D47" s="13">
        <v>4</v>
      </c>
      <c r="E47" s="13">
        <v>4</v>
      </c>
      <c r="F47" s="13">
        <v>1</v>
      </c>
      <c r="G47" s="13">
        <f t="shared" ref="G47:G49" si="2">C47*D47</f>
        <v>16</v>
      </c>
      <c r="H47" s="12" t="s">
        <v>81</v>
      </c>
    </row>
    <row r="48" spans="1:8" x14ac:dyDescent="0.25">
      <c r="A48" s="11">
        <v>2</v>
      </c>
      <c r="B48" s="12" t="s">
        <v>58</v>
      </c>
      <c r="C48" s="13">
        <v>4</v>
      </c>
      <c r="D48" s="13">
        <v>4</v>
      </c>
      <c r="E48" s="13">
        <v>4</v>
      </c>
      <c r="F48" s="13">
        <v>6</v>
      </c>
      <c r="G48" s="14">
        <f t="shared" si="2"/>
        <v>16</v>
      </c>
      <c r="H48" s="12" t="s">
        <v>73</v>
      </c>
    </row>
    <row r="49" spans="1:8" x14ac:dyDescent="0.25">
      <c r="A49" s="11">
        <v>3</v>
      </c>
      <c r="B49" s="12" t="s">
        <v>59</v>
      </c>
      <c r="C49" s="13">
        <v>4</v>
      </c>
      <c r="D49" s="13">
        <v>4</v>
      </c>
      <c r="E49" s="13">
        <v>3</v>
      </c>
      <c r="F49" s="13">
        <v>1</v>
      </c>
      <c r="G49" s="13">
        <f t="shared" si="2"/>
        <v>16</v>
      </c>
      <c r="H49" s="12" t="s">
        <v>73</v>
      </c>
    </row>
    <row r="50" spans="1:8" x14ac:dyDescent="0.25">
      <c r="A50" s="11"/>
      <c r="B50" s="10" t="s">
        <v>55</v>
      </c>
      <c r="C50" s="13"/>
      <c r="D50" s="13"/>
      <c r="E50" s="13"/>
      <c r="F50" s="13"/>
      <c r="G50" s="13"/>
      <c r="H50" s="12"/>
    </row>
    <row r="51" spans="1:8" ht="30" x14ac:dyDescent="0.25">
      <c r="A51" s="11">
        <v>4</v>
      </c>
      <c r="B51" s="12" t="s">
        <v>60</v>
      </c>
      <c r="C51" s="13">
        <v>380</v>
      </c>
      <c r="D51" s="13">
        <v>55</v>
      </c>
      <c r="E51" s="13"/>
      <c r="F51" s="13">
        <v>1</v>
      </c>
      <c r="G51" s="13">
        <f t="shared" ref="G51:G54" si="3">C51*D51</f>
        <v>20900</v>
      </c>
      <c r="H51" s="12" t="s">
        <v>82</v>
      </c>
    </row>
    <row r="52" spans="1:8" ht="30" x14ac:dyDescent="0.25">
      <c r="A52" s="11">
        <v>5</v>
      </c>
      <c r="B52" s="12" t="s">
        <v>61</v>
      </c>
      <c r="C52" s="13">
        <v>168</v>
      </c>
      <c r="D52" s="13">
        <v>125</v>
      </c>
      <c r="E52" s="13"/>
      <c r="F52" s="13">
        <v>1</v>
      </c>
      <c r="G52" s="13">
        <f t="shared" si="3"/>
        <v>21000</v>
      </c>
      <c r="H52" s="12" t="s">
        <v>82</v>
      </c>
    </row>
    <row r="53" spans="1:8" x14ac:dyDescent="0.25">
      <c r="A53" s="11">
        <v>6</v>
      </c>
      <c r="B53" s="12" t="s">
        <v>62</v>
      </c>
      <c r="C53" s="13">
        <v>180</v>
      </c>
      <c r="D53" s="13">
        <v>108</v>
      </c>
      <c r="E53" s="13"/>
      <c r="F53" s="13"/>
      <c r="G53" s="13"/>
      <c r="H53" s="12" t="s">
        <v>83</v>
      </c>
    </row>
    <row r="54" spans="1:8" x14ac:dyDescent="0.25">
      <c r="A54" s="11">
        <v>7</v>
      </c>
      <c r="B54" s="12" t="s">
        <v>63</v>
      </c>
      <c r="C54" s="13">
        <v>16</v>
      </c>
      <c r="D54" s="13">
        <v>4</v>
      </c>
      <c r="E54" s="13"/>
      <c r="F54" s="13">
        <v>1</v>
      </c>
      <c r="G54" s="13">
        <f t="shared" si="3"/>
        <v>64</v>
      </c>
      <c r="H54" s="12" t="s">
        <v>84</v>
      </c>
    </row>
    <row r="55" spans="1:8" x14ac:dyDescent="0.25">
      <c r="A55" s="9" t="s">
        <v>85</v>
      </c>
      <c r="B55" s="10" t="s">
        <v>86</v>
      </c>
      <c r="C55" s="13"/>
      <c r="D55" s="13"/>
      <c r="E55" s="13"/>
      <c r="F55" s="13"/>
      <c r="G55" s="13"/>
      <c r="H55" s="12"/>
    </row>
    <row r="56" spans="1:8" x14ac:dyDescent="0.25">
      <c r="A56" s="11"/>
      <c r="B56" s="10" t="s">
        <v>87</v>
      </c>
      <c r="C56" s="13"/>
      <c r="D56" s="13"/>
      <c r="E56" s="13"/>
      <c r="F56" s="13"/>
      <c r="G56" s="13"/>
      <c r="H56" s="12"/>
    </row>
    <row r="57" spans="1:8" x14ac:dyDescent="0.25">
      <c r="A57" s="11">
        <v>1</v>
      </c>
      <c r="B57" s="12" t="s">
        <v>88</v>
      </c>
      <c r="C57" s="13">
        <v>23.5</v>
      </c>
      <c r="D57" s="13">
        <v>18.5</v>
      </c>
      <c r="E57" s="13">
        <v>4</v>
      </c>
      <c r="F57" s="13">
        <v>1</v>
      </c>
      <c r="G57" s="13">
        <f t="shared" ref="G57:G65" si="4">C57*D57</f>
        <v>434.75</v>
      </c>
      <c r="H57" s="12" t="s">
        <v>71</v>
      </c>
    </row>
    <row r="58" spans="1:8" x14ac:dyDescent="0.25">
      <c r="A58" s="11">
        <v>2</v>
      </c>
      <c r="B58" s="12" t="s">
        <v>89</v>
      </c>
      <c r="C58" s="13">
        <v>23.5</v>
      </c>
      <c r="D58" s="13">
        <v>18.5</v>
      </c>
      <c r="E58" s="13">
        <v>4</v>
      </c>
      <c r="F58" s="13">
        <v>1</v>
      </c>
      <c r="G58" s="13">
        <f t="shared" si="4"/>
        <v>434.75</v>
      </c>
      <c r="H58" s="12" t="s">
        <v>71</v>
      </c>
    </row>
    <row r="59" spans="1:8" x14ac:dyDescent="0.25">
      <c r="A59" s="11">
        <v>3</v>
      </c>
      <c r="B59" s="12" t="s">
        <v>90</v>
      </c>
      <c r="C59" s="13">
        <v>21.63</v>
      </c>
      <c r="D59" s="13">
        <v>26.11</v>
      </c>
      <c r="E59" s="13">
        <v>5.25</v>
      </c>
      <c r="F59" s="13">
        <v>1</v>
      </c>
      <c r="G59" s="13">
        <f t="shared" si="4"/>
        <v>564.75929999999994</v>
      </c>
      <c r="H59" s="12" t="s">
        <v>77</v>
      </c>
    </row>
    <row r="60" spans="1:8" x14ac:dyDescent="0.25">
      <c r="A60" s="11">
        <v>4</v>
      </c>
      <c r="B60" s="12" t="s">
        <v>91</v>
      </c>
      <c r="C60" s="13">
        <v>30</v>
      </c>
      <c r="D60" s="13">
        <v>4.5</v>
      </c>
      <c r="E60" s="13">
        <v>3.2</v>
      </c>
      <c r="F60" s="13">
        <v>1</v>
      </c>
      <c r="G60" s="13">
        <f t="shared" si="4"/>
        <v>135</v>
      </c>
      <c r="H60" s="12" t="s">
        <v>81</v>
      </c>
    </row>
    <row r="61" spans="1:8" x14ac:dyDescent="0.25">
      <c r="A61" s="11">
        <v>5</v>
      </c>
      <c r="B61" s="12" t="s">
        <v>92</v>
      </c>
      <c r="C61" s="13">
        <v>4</v>
      </c>
      <c r="D61" s="13">
        <v>4</v>
      </c>
      <c r="E61" s="13">
        <v>3.2</v>
      </c>
      <c r="F61" s="13">
        <v>1</v>
      </c>
      <c r="G61" s="13">
        <f t="shared" si="4"/>
        <v>16</v>
      </c>
      <c r="H61" s="12" t="s">
        <v>81</v>
      </c>
    </row>
    <row r="62" spans="1:8" x14ac:dyDescent="0.25">
      <c r="A62" s="11">
        <v>6</v>
      </c>
      <c r="B62" s="12" t="s">
        <v>93</v>
      </c>
      <c r="C62" s="13">
        <v>12</v>
      </c>
      <c r="D62" s="13">
        <v>11</v>
      </c>
      <c r="E62" s="13">
        <v>4</v>
      </c>
      <c r="F62" s="13">
        <v>1</v>
      </c>
      <c r="G62" s="13">
        <f t="shared" si="4"/>
        <v>132</v>
      </c>
      <c r="H62" s="12" t="s">
        <v>78</v>
      </c>
    </row>
    <row r="63" spans="1:8" x14ac:dyDescent="0.25">
      <c r="A63" s="11">
        <v>7</v>
      </c>
      <c r="B63" s="12" t="s">
        <v>94</v>
      </c>
      <c r="C63" s="13">
        <v>4.6500000000000004</v>
      </c>
      <c r="D63" s="13">
        <v>9.99</v>
      </c>
      <c r="E63" s="13">
        <v>4</v>
      </c>
      <c r="F63" s="13">
        <v>1</v>
      </c>
      <c r="G63" s="14">
        <f t="shared" si="4"/>
        <v>46.453500000000005</v>
      </c>
      <c r="H63" s="12" t="s">
        <v>143</v>
      </c>
    </row>
    <row r="64" spans="1:8" x14ac:dyDescent="0.25">
      <c r="A64" s="11">
        <v>8</v>
      </c>
      <c r="B64" s="12" t="s">
        <v>95</v>
      </c>
      <c r="C64" s="13">
        <v>24</v>
      </c>
      <c r="D64" s="13">
        <v>4</v>
      </c>
      <c r="E64" s="13">
        <v>4</v>
      </c>
      <c r="F64" s="13">
        <v>1</v>
      </c>
      <c r="G64" s="13">
        <f t="shared" si="4"/>
        <v>96</v>
      </c>
      <c r="H64" s="12" t="s">
        <v>78</v>
      </c>
    </row>
    <row r="65" spans="1:8" x14ac:dyDescent="0.25">
      <c r="A65" s="11">
        <v>9</v>
      </c>
      <c r="B65" s="12" t="s">
        <v>96</v>
      </c>
      <c r="C65" s="13">
        <v>6</v>
      </c>
      <c r="D65" s="13">
        <v>4</v>
      </c>
      <c r="E65" s="13">
        <v>3</v>
      </c>
      <c r="F65" s="13">
        <v>1</v>
      </c>
      <c r="G65" s="13">
        <f t="shared" si="4"/>
        <v>24</v>
      </c>
      <c r="H65" s="12" t="s">
        <v>81</v>
      </c>
    </row>
    <row r="66" spans="1:8" x14ac:dyDescent="0.25">
      <c r="A66" s="9" t="s">
        <v>99</v>
      </c>
      <c r="B66" s="10" t="s">
        <v>97</v>
      </c>
      <c r="C66" s="13"/>
      <c r="D66" s="13"/>
      <c r="E66" s="13"/>
      <c r="F66" s="13"/>
      <c r="G66" s="13"/>
      <c r="H66" s="12"/>
    </row>
    <row r="67" spans="1:8" x14ac:dyDescent="0.25">
      <c r="A67" s="9"/>
      <c r="B67" s="10" t="s">
        <v>98</v>
      </c>
      <c r="C67" s="13"/>
      <c r="D67" s="13"/>
      <c r="E67" s="13"/>
      <c r="F67" s="13"/>
      <c r="G67" s="13"/>
      <c r="H67" s="12"/>
    </row>
    <row r="68" spans="1:8" x14ac:dyDescent="0.25">
      <c r="A68" s="11">
        <v>1</v>
      </c>
      <c r="B68" s="12" t="s">
        <v>100</v>
      </c>
      <c r="C68" s="13">
        <v>15</v>
      </c>
      <c r="D68" s="13">
        <v>5</v>
      </c>
      <c r="E68" s="13">
        <v>3.2</v>
      </c>
      <c r="F68" s="13">
        <v>1</v>
      </c>
      <c r="G68" s="13">
        <f t="shared" ref="G68:G79" si="5">C68*D68</f>
        <v>75</v>
      </c>
      <c r="H68" s="12" t="s">
        <v>144</v>
      </c>
    </row>
    <row r="69" spans="1:8" x14ac:dyDescent="0.25">
      <c r="A69" s="11">
        <v>2</v>
      </c>
      <c r="B69" s="12" t="s">
        <v>101</v>
      </c>
      <c r="C69" s="13">
        <v>6</v>
      </c>
      <c r="D69" s="13">
        <v>3</v>
      </c>
      <c r="E69" s="13">
        <v>3.2</v>
      </c>
      <c r="F69" s="13">
        <v>1</v>
      </c>
      <c r="G69" s="13">
        <f t="shared" si="5"/>
        <v>18</v>
      </c>
      <c r="H69" s="12" t="s">
        <v>144</v>
      </c>
    </row>
    <row r="70" spans="1:8" x14ac:dyDescent="0.25">
      <c r="A70" s="11">
        <v>3</v>
      </c>
      <c r="B70" s="12" t="s">
        <v>102</v>
      </c>
      <c r="C70" s="13">
        <v>7</v>
      </c>
      <c r="D70" s="13">
        <v>5</v>
      </c>
      <c r="E70" s="13">
        <v>3</v>
      </c>
      <c r="F70" s="13">
        <v>1</v>
      </c>
      <c r="G70" s="13">
        <f t="shared" si="5"/>
        <v>35</v>
      </c>
      <c r="H70" s="12" t="s">
        <v>145</v>
      </c>
    </row>
    <row r="71" spans="1:8" x14ac:dyDescent="0.25">
      <c r="A71" s="11">
        <v>4</v>
      </c>
      <c r="B71" s="12" t="s">
        <v>103</v>
      </c>
      <c r="C71" s="13">
        <v>5</v>
      </c>
      <c r="D71" s="13">
        <v>4.5</v>
      </c>
      <c r="E71" s="13">
        <v>2</v>
      </c>
      <c r="F71" s="13">
        <v>1</v>
      </c>
      <c r="G71" s="13">
        <f t="shared" si="5"/>
        <v>22.5</v>
      </c>
      <c r="H71" s="12" t="s">
        <v>145</v>
      </c>
    </row>
    <row r="72" spans="1:8" x14ac:dyDescent="0.25">
      <c r="A72" s="11">
        <v>5</v>
      </c>
      <c r="B72" s="12" t="s">
        <v>104</v>
      </c>
      <c r="C72" s="13">
        <v>15</v>
      </c>
      <c r="D72" s="13">
        <v>9.5</v>
      </c>
      <c r="E72" s="13">
        <v>3</v>
      </c>
      <c r="F72" s="13">
        <v>1</v>
      </c>
      <c r="G72" s="13">
        <f t="shared" si="5"/>
        <v>142.5</v>
      </c>
      <c r="H72" s="12" t="s">
        <v>145</v>
      </c>
    </row>
    <row r="73" spans="1:8" x14ac:dyDescent="0.25">
      <c r="A73" s="11">
        <v>6</v>
      </c>
      <c r="B73" s="12" t="s">
        <v>105</v>
      </c>
      <c r="C73" s="13">
        <v>12.5</v>
      </c>
      <c r="D73" s="13"/>
      <c r="E73" s="13">
        <v>3</v>
      </c>
      <c r="F73" s="13">
        <v>1</v>
      </c>
      <c r="G73" s="14"/>
      <c r="H73" s="12" t="s">
        <v>145</v>
      </c>
    </row>
    <row r="74" spans="1:8" x14ac:dyDescent="0.25">
      <c r="A74" s="11">
        <v>7</v>
      </c>
      <c r="B74" s="12" t="s">
        <v>106</v>
      </c>
      <c r="C74" s="13">
        <v>32</v>
      </c>
      <c r="D74" s="13">
        <v>20</v>
      </c>
      <c r="E74" s="13">
        <v>4</v>
      </c>
      <c r="F74" s="13">
        <v>1</v>
      </c>
      <c r="G74" s="13">
        <f t="shared" si="5"/>
        <v>640</v>
      </c>
      <c r="H74" s="12" t="s">
        <v>145</v>
      </c>
    </row>
    <row r="75" spans="1:8" x14ac:dyDescent="0.25">
      <c r="A75" s="11">
        <v>8</v>
      </c>
      <c r="B75" s="12" t="s">
        <v>107</v>
      </c>
      <c r="C75" s="13">
        <v>12.5</v>
      </c>
      <c r="D75" s="13"/>
      <c r="E75" s="13">
        <v>3</v>
      </c>
      <c r="F75" s="13">
        <v>1</v>
      </c>
      <c r="G75" s="14">
        <f t="shared" si="5"/>
        <v>0</v>
      </c>
      <c r="H75" s="12" t="s">
        <v>145</v>
      </c>
    </row>
    <row r="76" spans="1:8" x14ac:dyDescent="0.25">
      <c r="A76" s="11">
        <v>9</v>
      </c>
      <c r="B76" s="12" t="s">
        <v>108</v>
      </c>
      <c r="C76" s="13">
        <v>42</v>
      </c>
      <c r="D76" s="13">
        <v>5</v>
      </c>
      <c r="E76" s="13">
        <v>1.75</v>
      </c>
      <c r="F76" s="13">
        <v>1</v>
      </c>
      <c r="G76" s="13">
        <f t="shared" si="5"/>
        <v>210</v>
      </c>
      <c r="H76" s="12" t="s">
        <v>145</v>
      </c>
    </row>
    <row r="77" spans="1:8" x14ac:dyDescent="0.25">
      <c r="A77" s="11">
        <v>10</v>
      </c>
      <c r="B77" s="12" t="s">
        <v>109</v>
      </c>
      <c r="C77" s="13">
        <v>30</v>
      </c>
      <c r="D77" s="13">
        <v>15</v>
      </c>
      <c r="E77" s="13">
        <v>3</v>
      </c>
      <c r="F77" s="13">
        <v>1</v>
      </c>
      <c r="G77" s="13">
        <f t="shared" si="5"/>
        <v>450</v>
      </c>
      <c r="H77" s="12" t="s">
        <v>145</v>
      </c>
    </row>
    <row r="78" spans="1:8" x14ac:dyDescent="0.25">
      <c r="A78" s="11">
        <v>11</v>
      </c>
      <c r="B78" s="12" t="s">
        <v>110</v>
      </c>
      <c r="C78" s="13">
        <v>35</v>
      </c>
      <c r="D78" s="13">
        <v>20</v>
      </c>
      <c r="E78" s="13">
        <v>3</v>
      </c>
      <c r="F78" s="13">
        <v>1</v>
      </c>
      <c r="G78" s="13">
        <f t="shared" si="5"/>
        <v>700</v>
      </c>
      <c r="H78" s="12" t="s">
        <v>144</v>
      </c>
    </row>
    <row r="79" spans="1:8" x14ac:dyDescent="0.25">
      <c r="A79" s="11">
        <v>12</v>
      </c>
      <c r="B79" s="12" t="s">
        <v>111</v>
      </c>
      <c r="C79" s="13">
        <v>215</v>
      </c>
      <c r="D79" s="13">
        <v>3</v>
      </c>
      <c r="E79" s="13">
        <v>3</v>
      </c>
      <c r="F79" s="13">
        <v>1</v>
      </c>
      <c r="G79" s="13">
        <f t="shared" si="5"/>
        <v>645</v>
      </c>
      <c r="H79" s="12" t="s">
        <v>145</v>
      </c>
    </row>
    <row r="80" spans="1:8" x14ac:dyDescent="0.25">
      <c r="A80" s="9" t="s">
        <v>112</v>
      </c>
      <c r="B80" s="10" t="s">
        <v>113</v>
      </c>
      <c r="C80" s="13"/>
      <c r="D80" s="13"/>
      <c r="E80" s="13"/>
      <c r="F80" s="13"/>
      <c r="G80" s="13"/>
      <c r="H80" s="12"/>
    </row>
    <row r="81" spans="1:8" ht="30" x14ac:dyDescent="0.25">
      <c r="A81" s="11">
        <v>1</v>
      </c>
      <c r="B81" s="12" t="s">
        <v>114</v>
      </c>
      <c r="C81" s="13">
        <v>18.22</v>
      </c>
      <c r="D81" s="13">
        <v>15.31</v>
      </c>
      <c r="E81" s="13">
        <v>3.5</v>
      </c>
      <c r="F81" s="13">
        <v>1</v>
      </c>
      <c r="G81" s="14">
        <f t="shared" ref="G81:G94" si="6">C81*D81</f>
        <v>278.94819999999999</v>
      </c>
      <c r="H81" s="12" t="s">
        <v>65</v>
      </c>
    </row>
    <row r="82" spans="1:8" x14ac:dyDescent="0.25">
      <c r="A82" s="11">
        <v>2</v>
      </c>
      <c r="B82" s="12" t="s">
        <v>115</v>
      </c>
      <c r="C82" s="13">
        <v>18.22</v>
      </c>
      <c r="D82" s="13">
        <v>15.31</v>
      </c>
      <c r="E82" s="13">
        <v>3.5</v>
      </c>
      <c r="F82" s="13">
        <v>1</v>
      </c>
      <c r="G82" s="14">
        <f t="shared" si="6"/>
        <v>278.94819999999999</v>
      </c>
      <c r="H82" s="12" t="s">
        <v>65</v>
      </c>
    </row>
    <row r="83" spans="1:8" ht="30" x14ac:dyDescent="0.25">
      <c r="A83" s="11">
        <v>3</v>
      </c>
      <c r="B83" s="12" t="s">
        <v>116</v>
      </c>
      <c r="C83" s="13">
        <v>23.9</v>
      </c>
      <c r="D83" s="13">
        <v>21.48</v>
      </c>
      <c r="E83" s="13">
        <v>3.5</v>
      </c>
      <c r="F83" s="13">
        <v>3</v>
      </c>
      <c r="G83" s="14"/>
      <c r="H83" s="12" t="s">
        <v>65</v>
      </c>
    </row>
    <row r="84" spans="1:8" x14ac:dyDescent="0.25">
      <c r="A84" s="11">
        <v>4</v>
      </c>
      <c r="B84" s="12" t="s">
        <v>117</v>
      </c>
      <c r="C84" s="13">
        <v>23.9</v>
      </c>
      <c r="D84" s="13">
        <v>21.48</v>
      </c>
      <c r="E84" s="13">
        <v>3.5</v>
      </c>
      <c r="F84" s="13">
        <v>3</v>
      </c>
      <c r="G84" s="14"/>
      <c r="H84" s="12" t="s">
        <v>65</v>
      </c>
    </row>
    <row r="85" spans="1:8" ht="30" x14ac:dyDescent="0.25">
      <c r="A85" s="11">
        <v>5</v>
      </c>
      <c r="B85" s="12" t="s">
        <v>118</v>
      </c>
      <c r="C85" s="13">
        <v>23.9</v>
      </c>
      <c r="D85" s="13">
        <v>21.48</v>
      </c>
      <c r="E85" s="13">
        <v>3.5</v>
      </c>
      <c r="F85" s="13">
        <v>3</v>
      </c>
      <c r="G85" s="14"/>
      <c r="H85" s="12" t="s">
        <v>65</v>
      </c>
    </row>
    <row r="86" spans="1:8" x14ac:dyDescent="0.25">
      <c r="A86" s="11">
        <v>6</v>
      </c>
      <c r="B86" s="12" t="s">
        <v>119</v>
      </c>
      <c r="C86" s="13">
        <v>23.9</v>
      </c>
      <c r="D86" s="13">
        <v>21.48</v>
      </c>
      <c r="E86" s="13">
        <v>3.5</v>
      </c>
      <c r="F86" s="13">
        <v>3</v>
      </c>
      <c r="G86" s="14"/>
      <c r="H86" s="12" t="s">
        <v>65</v>
      </c>
    </row>
    <row r="87" spans="1:8" x14ac:dyDescent="0.25">
      <c r="A87" s="11">
        <v>7</v>
      </c>
      <c r="B87" s="12" t="s">
        <v>120</v>
      </c>
      <c r="C87" s="13">
        <v>52</v>
      </c>
      <c r="D87" s="13">
        <v>26</v>
      </c>
      <c r="E87" s="13">
        <v>3.5</v>
      </c>
      <c r="F87" s="13">
        <v>1</v>
      </c>
      <c r="G87" s="13">
        <f t="shared" si="6"/>
        <v>1352</v>
      </c>
      <c r="H87" s="12" t="s">
        <v>65</v>
      </c>
    </row>
    <row r="88" spans="1:8" x14ac:dyDescent="0.25">
      <c r="A88" s="11">
        <v>8</v>
      </c>
      <c r="B88" s="12" t="s">
        <v>121</v>
      </c>
      <c r="C88" s="13">
        <v>42</v>
      </c>
      <c r="D88" s="13">
        <v>26</v>
      </c>
      <c r="E88" s="13">
        <v>3.5</v>
      </c>
      <c r="F88" s="13">
        <v>1</v>
      </c>
      <c r="G88" s="13">
        <f t="shared" si="6"/>
        <v>1092</v>
      </c>
      <c r="H88" s="12" t="s">
        <v>65</v>
      </c>
    </row>
    <row r="89" spans="1:8" x14ac:dyDescent="0.25">
      <c r="A89" s="11">
        <v>9</v>
      </c>
      <c r="B89" s="12" t="s">
        <v>122</v>
      </c>
      <c r="C89" s="13">
        <v>14</v>
      </c>
      <c r="D89" s="13">
        <v>15.2</v>
      </c>
      <c r="E89" s="13">
        <v>3.5</v>
      </c>
      <c r="F89" s="13">
        <v>1</v>
      </c>
      <c r="G89" s="13">
        <f t="shared" si="6"/>
        <v>212.79999999999998</v>
      </c>
      <c r="H89" s="12" t="s">
        <v>65</v>
      </c>
    </row>
    <row r="90" spans="1:8" x14ac:dyDescent="0.25">
      <c r="A90" s="11">
        <v>10</v>
      </c>
      <c r="B90" s="12" t="s">
        <v>123</v>
      </c>
      <c r="C90" s="13">
        <v>14</v>
      </c>
      <c r="D90" s="13">
        <v>15.2</v>
      </c>
      <c r="E90" s="13">
        <v>3.5</v>
      </c>
      <c r="F90" s="13">
        <v>1</v>
      </c>
      <c r="G90" s="13">
        <f t="shared" si="6"/>
        <v>212.79999999999998</v>
      </c>
      <c r="H90" s="12" t="s">
        <v>65</v>
      </c>
    </row>
    <row r="91" spans="1:8" x14ac:dyDescent="0.25">
      <c r="A91" s="11">
        <v>11</v>
      </c>
      <c r="B91" s="12" t="s">
        <v>124</v>
      </c>
      <c r="C91" s="13">
        <v>14</v>
      </c>
      <c r="D91" s="13">
        <v>15.2</v>
      </c>
      <c r="E91" s="13">
        <v>3.5</v>
      </c>
      <c r="F91" s="13">
        <v>1</v>
      </c>
      <c r="G91" s="13">
        <f t="shared" si="6"/>
        <v>212.79999999999998</v>
      </c>
      <c r="H91" s="12" t="s">
        <v>65</v>
      </c>
    </row>
    <row r="92" spans="1:8" x14ac:dyDescent="0.25">
      <c r="A92" s="11">
        <v>12</v>
      </c>
      <c r="B92" s="12" t="s">
        <v>125</v>
      </c>
      <c r="C92" s="13">
        <v>185</v>
      </c>
      <c r="D92" s="13">
        <v>3.8</v>
      </c>
      <c r="E92" s="13">
        <v>3</v>
      </c>
      <c r="F92" s="13">
        <v>1</v>
      </c>
      <c r="G92" s="13">
        <f t="shared" si="6"/>
        <v>703</v>
      </c>
      <c r="H92" s="12" t="s">
        <v>81</v>
      </c>
    </row>
    <row r="93" spans="1:8" x14ac:dyDescent="0.25">
      <c r="A93" s="11">
        <v>13</v>
      </c>
      <c r="B93" s="12" t="s">
        <v>126</v>
      </c>
      <c r="C93" s="13">
        <v>105</v>
      </c>
      <c r="D93" s="13">
        <v>3.8</v>
      </c>
      <c r="E93" s="13">
        <v>3</v>
      </c>
      <c r="F93" s="13">
        <v>1</v>
      </c>
      <c r="G93" s="13">
        <f t="shared" si="6"/>
        <v>399</v>
      </c>
      <c r="H93" s="12" t="s">
        <v>81</v>
      </c>
    </row>
    <row r="94" spans="1:8" x14ac:dyDescent="0.25">
      <c r="A94" s="11">
        <v>14</v>
      </c>
      <c r="B94" s="12" t="s">
        <v>127</v>
      </c>
      <c r="C94" s="13">
        <v>19</v>
      </c>
      <c r="D94" s="13">
        <v>21</v>
      </c>
      <c r="E94" s="13">
        <v>18.5</v>
      </c>
      <c r="F94" s="13">
        <v>1</v>
      </c>
      <c r="G94" s="13">
        <f t="shared" si="6"/>
        <v>399</v>
      </c>
      <c r="H94" s="12" t="s">
        <v>146</v>
      </c>
    </row>
    <row r="95" spans="1:8" x14ac:dyDescent="0.25">
      <c r="A95" s="9" t="s">
        <v>128</v>
      </c>
      <c r="B95" s="10" t="s">
        <v>129</v>
      </c>
      <c r="C95" s="13"/>
      <c r="D95" s="13"/>
      <c r="E95" s="13"/>
      <c r="F95" s="13"/>
      <c r="G95" s="13"/>
      <c r="H95" s="12"/>
    </row>
    <row r="96" spans="1:8" x14ac:dyDescent="0.25">
      <c r="A96" s="11">
        <v>1</v>
      </c>
      <c r="B96" s="12" t="s">
        <v>130</v>
      </c>
      <c r="C96" s="13">
        <v>565</v>
      </c>
      <c r="D96" s="13">
        <v>4</v>
      </c>
      <c r="E96" s="13"/>
      <c r="F96" s="13">
        <v>1</v>
      </c>
      <c r="G96" s="13">
        <f t="shared" ref="G96:G98" si="7">C96*D96</f>
        <v>2260</v>
      </c>
      <c r="H96" s="12"/>
    </row>
    <row r="97" spans="1:8" x14ac:dyDescent="0.25">
      <c r="A97" s="11">
        <v>2</v>
      </c>
      <c r="B97" s="12" t="s">
        <v>131</v>
      </c>
      <c r="C97" s="13">
        <v>1515</v>
      </c>
      <c r="D97" s="13">
        <v>5</v>
      </c>
      <c r="E97" s="13"/>
      <c r="F97" s="13">
        <v>1</v>
      </c>
      <c r="G97" s="13">
        <f t="shared" si="7"/>
        <v>7575</v>
      </c>
      <c r="H97" s="12"/>
    </row>
    <row r="98" spans="1:8" x14ac:dyDescent="0.25">
      <c r="A98" s="11">
        <v>3</v>
      </c>
      <c r="B98" s="12" t="s">
        <v>132</v>
      </c>
      <c r="C98" s="13">
        <v>1800</v>
      </c>
      <c r="D98" s="13">
        <v>25</v>
      </c>
      <c r="E98" s="13"/>
      <c r="F98" s="13">
        <v>1</v>
      </c>
      <c r="G98" s="13">
        <f t="shared" si="7"/>
        <v>45000</v>
      </c>
      <c r="H98" s="12" t="s">
        <v>147</v>
      </c>
    </row>
    <row r="99" spans="1:8" x14ac:dyDescent="0.25">
      <c r="A99" s="9" t="s">
        <v>133</v>
      </c>
      <c r="B99" s="10" t="s">
        <v>134</v>
      </c>
      <c r="C99" s="13"/>
      <c r="D99" s="13"/>
      <c r="E99" s="13"/>
      <c r="F99" s="13"/>
      <c r="G99" s="13"/>
      <c r="H99" s="12"/>
    </row>
    <row r="100" spans="1:8" x14ac:dyDescent="0.25">
      <c r="A100" s="11">
        <v>1</v>
      </c>
      <c r="B100" s="12" t="s">
        <v>135</v>
      </c>
      <c r="C100" s="13">
        <v>6065</v>
      </c>
      <c r="D100" s="13">
        <v>1.2</v>
      </c>
      <c r="E100" s="13"/>
      <c r="F100" s="13"/>
      <c r="G100" s="13"/>
      <c r="H100" s="12"/>
    </row>
    <row r="101" spans="1:8" x14ac:dyDescent="0.25">
      <c r="A101" s="11">
        <v>2</v>
      </c>
      <c r="B101" s="12" t="s">
        <v>136</v>
      </c>
      <c r="C101" s="13">
        <v>475</v>
      </c>
      <c r="D101" s="13">
        <v>1</v>
      </c>
      <c r="E101" s="13"/>
      <c r="F101" s="13"/>
      <c r="G101" s="13"/>
      <c r="H101" s="12"/>
    </row>
    <row r="102" spans="1:8" x14ac:dyDescent="0.25">
      <c r="A102" s="9" t="s">
        <v>137</v>
      </c>
      <c r="B102" s="10" t="s">
        <v>138</v>
      </c>
      <c r="C102" s="13"/>
      <c r="D102" s="13"/>
      <c r="E102" s="13"/>
      <c r="F102" s="13"/>
      <c r="G102" s="13"/>
      <c r="H102" s="12"/>
    </row>
    <row r="103" spans="1:8" x14ac:dyDescent="0.25">
      <c r="A103" s="11">
        <v>1</v>
      </c>
      <c r="B103" s="12" t="s">
        <v>139</v>
      </c>
      <c r="C103" s="13">
        <v>853</v>
      </c>
      <c r="D103" s="13"/>
      <c r="E103" s="13">
        <v>2.4</v>
      </c>
      <c r="F103" s="13"/>
      <c r="G103" s="13"/>
      <c r="H103" s="12"/>
    </row>
    <row r="104" spans="1:8" x14ac:dyDescent="0.25">
      <c r="A104" s="11">
        <v>2</v>
      </c>
      <c r="B104" s="12" t="s">
        <v>140</v>
      </c>
      <c r="C104" s="13">
        <v>2437</v>
      </c>
      <c r="D104" s="13"/>
      <c r="E104" s="13">
        <v>2.4</v>
      </c>
      <c r="F104" s="13"/>
      <c r="G104" s="13"/>
      <c r="H104" s="12"/>
    </row>
    <row r="105" spans="1:8" x14ac:dyDescent="0.25">
      <c r="A105" s="11">
        <v>3</v>
      </c>
      <c r="B105" s="12" t="s">
        <v>141</v>
      </c>
      <c r="C105" s="13">
        <v>14</v>
      </c>
      <c r="D105" s="13"/>
      <c r="E105" s="13">
        <v>3</v>
      </c>
      <c r="F105" s="13"/>
      <c r="G105" s="13"/>
      <c r="H105" s="12"/>
    </row>
    <row r="106" spans="1:8" x14ac:dyDescent="0.25">
      <c r="A106" s="11">
        <v>4</v>
      </c>
      <c r="B106" s="12" t="s">
        <v>142</v>
      </c>
      <c r="C106" s="13">
        <v>60</v>
      </c>
      <c r="D106" s="13"/>
      <c r="E106" s="13">
        <v>2.4</v>
      </c>
      <c r="F106" s="13"/>
      <c r="G106" s="13"/>
      <c r="H106" s="12"/>
    </row>
    <row r="107" spans="1:8" x14ac:dyDescent="0.25">
      <c r="C107" s="6"/>
      <c r="D107" s="6"/>
      <c r="E107" s="6"/>
      <c r="F107" s="6"/>
      <c r="G107" s="6"/>
    </row>
    <row r="108" spans="1:8" x14ac:dyDescent="0.25">
      <c r="C108" s="6"/>
      <c r="D108" s="6"/>
      <c r="E108" s="6"/>
      <c r="F108" s="6"/>
      <c r="G108" s="6"/>
    </row>
    <row r="109" spans="1:8" x14ac:dyDescent="0.25">
      <c r="C109" s="6"/>
      <c r="D109" s="6"/>
      <c r="E109" s="6"/>
      <c r="F109" s="6"/>
      <c r="G109" s="6"/>
    </row>
    <row r="110" spans="1:8" x14ac:dyDescent="0.25">
      <c r="C110" s="6"/>
      <c r="D110" s="6"/>
      <c r="E110" s="6"/>
      <c r="F110" s="6"/>
      <c r="G110" s="6"/>
    </row>
    <row r="111" spans="1:8" x14ac:dyDescent="0.25">
      <c r="C111" s="6"/>
      <c r="D111" s="6"/>
      <c r="E111" s="6"/>
      <c r="F111" s="6"/>
      <c r="G111" s="6"/>
    </row>
    <row r="112" spans="1:8" x14ac:dyDescent="0.25">
      <c r="C112" s="6"/>
      <c r="D112" s="6"/>
      <c r="E112" s="6"/>
      <c r="F112" s="6"/>
      <c r="G112" s="6"/>
    </row>
    <row r="113" spans="3:7" x14ac:dyDescent="0.25">
      <c r="C113" s="6"/>
      <c r="D113" s="6"/>
      <c r="E113" s="6"/>
      <c r="F113" s="6"/>
      <c r="G113" s="6"/>
    </row>
    <row r="114" spans="3:7" x14ac:dyDescent="0.25">
      <c r="C114" s="6"/>
      <c r="D114" s="6"/>
      <c r="E114" s="6"/>
      <c r="F114" s="6"/>
      <c r="G114" s="6"/>
    </row>
    <row r="115" spans="3:7" x14ac:dyDescent="0.25">
      <c r="C115" s="6"/>
      <c r="D115" s="6"/>
      <c r="E115" s="6"/>
      <c r="F115" s="6"/>
      <c r="G115" s="6"/>
    </row>
    <row r="116" spans="3:7" x14ac:dyDescent="0.25">
      <c r="C116" s="6"/>
      <c r="D116" s="6"/>
      <c r="E116" s="6"/>
      <c r="F116" s="6"/>
      <c r="G116" s="6"/>
    </row>
    <row r="117" spans="3:7" x14ac:dyDescent="0.25">
      <c r="C117" s="6"/>
      <c r="D117" s="6"/>
      <c r="E117" s="6"/>
      <c r="F117" s="6"/>
      <c r="G117" s="6"/>
    </row>
    <row r="118" spans="3:7" x14ac:dyDescent="0.25">
      <c r="C118" s="6"/>
      <c r="D118" s="6"/>
      <c r="E118" s="6"/>
      <c r="F118" s="6"/>
      <c r="G118" s="6"/>
    </row>
    <row r="119" spans="3:7" x14ac:dyDescent="0.25">
      <c r="C119" s="6"/>
      <c r="D119" s="6"/>
      <c r="E119" s="6"/>
      <c r="F119" s="6"/>
      <c r="G119" s="6"/>
    </row>
    <row r="120" spans="3:7" x14ac:dyDescent="0.25">
      <c r="C120" s="6"/>
      <c r="D120" s="6"/>
      <c r="E120" s="6"/>
      <c r="F120" s="6"/>
      <c r="G120" s="6"/>
    </row>
    <row r="121" spans="3:7" x14ac:dyDescent="0.25">
      <c r="C121" s="6"/>
      <c r="D121" s="6"/>
      <c r="E121" s="6"/>
      <c r="F121" s="6"/>
      <c r="G121" s="6"/>
    </row>
    <row r="122" spans="3:7" x14ac:dyDescent="0.25">
      <c r="C122" s="6"/>
      <c r="D122" s="6"/>
      <c r="E122" s="6"/>
      <c r="F122" s="6"/>
      <c r="G122" s="6"/>
    </row>
    <row r="123" spans="3:7" x14ac:dyDescent="0.25">
      <c r="C123" s="6"/>
      <c r="D123" s="6"/>
      <c r="E123" s="6"/>
      <c r="F123" s="6"/>
      <c r="G123" s="6"/>
    </row>
    <row r="124" spans="3:7" x14ac:dyDescent="0.25">
      <c r="C124" s="6"/>
      <c r="D124" s="6"/>
      <c r="E124" s="6"/>
      <c r="F124" s="6"/>
      <c r="G124" s="6"/>
    </row>
    <row r="125" spans="3:7" x14ac:dyDescent="0.25">
      <c r="C125" s="6"/>
      <c r="D125" s="6"/>
      <c r="E125" s="6"/>
      <c r="F125" s="6"/>
      <c r="G125" s="6"/>
    </row>
    <row r="126" spans="3:7" x14ac:dyDescent="0.25">
      <c r="C126" s="6"/>
      <c r="D126" s="6"/>
      <c r="E126" s="6"/>
      <c r="F126" s="6"/>
      <c r="G126" s="6"/>
    </row>
    <row r="127" spans="3:7" x14ac:dyDescent="0.25">
      <c r="C127" s="6"/>
      <c r="D127" s="6"/>
      <c r="E127" s="6"/>
      <c r="F127" s="6"/>
      <c r="G127" s="6"/>
    </row>
    <row r="128" spans="3:7" x14ac:dyDescent="0.25">
      <c r="C128" s="6"/>
      <c r="D128" s="6"/>
      <c r="E128" s="6"/>
      <c r="F128" s="6"/>
      <c r="G128" s="6"/>
    </row>
    <row r="129" spans="3:7" x14ac:dyDescent="0.25">
      <c r="C129" s="6"/>
      <c r="D129" s="6"/>
      <c r="E129" s="6"/>
      <c r="F129" s="6"/>
      <c r="G129" s="6"/>
    </row>
    <row r="130" spans="3:7" x14ac:dyDescent="0.25">
      <c r="C130" s="6"/>
      <c r="D130" s="6"/>
      <c r="E130" s="6"/>
      <c r="F130" s="6"/>
      <c r="G130" s="6"/>
    </row>
    <row r="131" spans="3:7" x14ac:dyDescent="0.25">
      <c r="C131" s="6"/>
      <c r="D131" s="6"/>
      <c r="E131" s="6"/>
      <c r="F131" s="6"/>
      <c r="G131" s="6"/>
    </row>
    <row r="132" spans="3:7" x14ac:dyDescent="0.25">
      <c r="C132" s="6"/>
      <c r="D132" s="6"/>
      <c r="E132" s="6"/>
      <c r="F132" s="6"/>
      <c r="G132" s="6"/>
    </row>
    <row r="133" spans="3:7" x14ac:dyDescent="0.25">
      <c r="C133" s="6"/>
      <c r="D133" s="6"/>
      <c r="E133" s="6"/>
      <c r="F133" s="6"/>
      <c r="G133" s="6"/>
    </row>
    <row r="134" spans="3:7" x14ac:dyDescent="0.25">
      <c r="C134" s="6"/>
      <c r="D134" s="6"/>
      <c r="E134" s="6"/>
      <c r="F134" s="6"/>
      <c r="G134" s="6"/>
    </row>
    <row r="135" spans="3:7" x14ac:dyDescent="0.25">
      <c r="C135" s="6"/>
      <c r="D135" s="6"/>
      <c r="E135" s="6"/>
      <c r="F135" s="6"/>
      <c r="G135" s="6"/>
    </row>
    <row r="136" spans="3:7" x14ac:dyDescent="0.25">
      <c r="C136" s="6"/>
      <c r="D136" s="6"/>
      <c r="E136" s="6"/>
      <c r="F136" s="6"/>
      <c r="G136" s="6"/>
    </row>
    <row r="137" spans="3:7" x14ac:dyDescent="0.25">
      <c r="C137" s="6"/>
      <c r="D137" s="6"/>
      <c r="E137" s="6"/>
      <c r="F137" s="6"/>
      <c r="G137" s="6"/>
    </row>
  </sheetData>
  <autoFilter ref="A2:H106" xr:uid="{00000000-0009-0000-0000-000000000000}">
    <filterColumn colId="2" showButton="0"/>
    <filterColumn colId="3" showButton="0"/>
  </autoFilter>
  <mergeCells count="2">
    <mergeCell ref="F2:F3"/>
    <mergeCell ref="C2:E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35261-09C3-46BD-A46F-196187B8DCED}">
  <dimension ref="B6:F13"/>
  <sheetViews>
    <sheetView workbookViewId="0">
      <selection activeCell="G22" sqref="G22"/>
    </sheetView>
  </sheetViews>
  <sheetFormatPr defaultRowHeight="15" x14ac:dyDescent="0.25"/>
  <cols>
    <col min="6" max="6" width="16.85546875" bestFit="1" customWidth="1"/>
  </cols>
  <sheetData>
    <row r="6" spans="2:6" x14ac:dyDescent="0.25">
      <c r="B6" t="s">
        <v>244</v>
      </c>
      <c r="F6" s="103">
        <v>798956545</v>
      </c>
    </row>
    <row r="7" spans="2:6" x14ac:dyDescent="0.25">
      <c r="B7" t="s">
        <v>245</v>
      </c>
      <c r="F7" s="103">
        <v>541921868</v>
      </c>
    </row>
    <row r="8" spans="2:6" x14ac:dyDescent="0.25">
      <c r="B8" t="s">
        <v>246</v>
      </c>
      <c r="F8" s="103">
        <v>1934036009</v>
      </c>
    </row>
    <row r="9" spans="2:6" x14ac:dyDescent="0.25">
      <c r="F9" s="102">
        <f>SUM(F6:F8)</f>
        <v>3274914422</v>
      </c>
    </row>
    <row r="11" spans="2:6" x14ac:dyDescent="0.25">
      <c r="F11" s="102">
        <f>ROUND(F9,-6)</f>
        <v>3275000000</v>
      </c>
    </row>
    <row r="12" spans="2:6" x14ac:dyDescent="0.25">
      <c r="F12" s="104">
        <f>F11*0.85</f>
        <v>2783750000</v>
      </c>
    </row>
    <row r="13" spans="2:6" x14ac:dyDescent="0.25">
      <c r="F13" s="104">
        <f>F11*0.75</f>
        <v>2456250000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X63"/>
  <sheetViews>
    <sheetView tabSelected="1" topLeftCell="A46" zoomScale="85" zoomScaleNormal="85" workbookViewId="0">
      <selection activeCell="T57" sqref="T57"/>
    </sheetView>
  </sheetViews>
  <sheetFormatPr defaultRowHeight="15" x14ac:dyDescent="0.25"/>
  <cols>
    <col min="2" max="2" width="5.7109375" customWidth="1"/>
    <col min="3" max="3" width="28.28515625" bestFit="1" customWidth="1"/>
    <col min="4" max="4" width="41.7109375" customWidth="1"/>
    <col min="5" max="7" width="13.140625" hidden="1" customWidth="1"/>
    <col min="8" max="8" width="14.85546875" hidden="1" customWidth="1"/>
    <col min="9" max="9" width="10.5703125" style="104" customWidth="1"/>
    <col min="10" max="10" width="9.140625" hidden="1" customWidth="1"/>
    <col min="11" max="11" width="16.28515625" customWidth="1"/>
    <col min="12" max="13" width="9.140625" hidden="1" customWidth="1"/>
    <col min="14" max="14" width="9.140625" customWidth="1"/>
    <col min="15" max="16" width="9.140625" hidden="1" customWidth="1"/>
    <col min="17" max="17" width="15.7109375" hidden="1" customWidth="1"/>
    <col min="18" max="18" width="11.85546875" style="104" customWidth="1"/>
    <col min="19" max="19" width="12.5703125" style="104" hidden="1" customWidth="1"/>
    <col min="20" max="20" width="13.85546875" style="104" customWidth="1"/>
    <col min="21" max="21" width="13.7109375" style="104" hidden="1" customWidth="1"/>
    <col min="22" max="22" width="14.42578125" style="104" hidden="1" customWidth="1"/>
    <col min="23" max="23" width="14.28515625" style="104" hidden="1" customWidth="1"/>
    <col min="24" max="24" width="14.140625" style="104" customWidth="1"/>
  </cols>
  <sheetData>
    <row r="3" spans="2:24" ht="60" x14ac:dyDescent="0.25">
      <c r="B3" s="15" t="s">
        <v>148</v>
      </c>
      <c r="C3" s="16" t="s">
        <v>149</v>
      </c>
      <c r="D3" s="15" t="s">
        <v>150</v>
      </c>
      <c r="E3" s="15" t="s">
        <v>151</v>
      </c>
      <c r="F3" s="15" t="s">
        <v>171</v>
      </c>
      <c r="G3" s="15" t="s">
        <v>172</v>
      </c>
      <c r="H3" s="15" t="s">
        <v>152</v>
      </c>
      <c r="I3" s="176" t="s">
        <v>153</v>
      </c>
      <c r="J3" s="15" t="s">
        <v>154</v>
      </c>
      <c r="K3" s="15" t="s">
        <v>155</v>
      </c>
      <c r="L3" s="15" t="s">
        <v>156</v>
      </c>
      <c r="M3" s="15" t="s">
        <v>157</v>
      </c>
      <c r="N3" s="15" t="s">
        <v>158</v>
      </c>
      <c r="O3" s="15" t="s">
        <v>159</v>
      </c>
      <c r="P3" s="15" t="s">
        <v>160</v>
      </c>
      <c r="Q3" s="15" t="s">
        <v>161</v>
      </c>
      <c r="R3" s="176" t="s">
        <v>162</v>
      </c>
      <c r="S3" s="176" t="s">
        <v>163</v>
      </c>
      <c r="T3" s="176" t="s">
        <v>164</v>
      </c>
      <c r="U3" s="176" t="s">
        <v>165</v>
      </c>
      <c r="V3" s="176" t="s">
        <v>166</v>
      </c>
      <c r="W3" s="176" t="s">
        <v>167</v>
      </c>
      <c r="X3" s="176" t="s">
        <v>168</v>
      </c>
    </row>
    <row r="4" spans="2:24" x14ac:dyDescent="0.25">
      <c r="B4" s="17">
        <v>1</v>
      </c>
      <c r="C4" s="12" t="s">
        <v>12</v>
      </c>
      <c r="D4" s="12" t="s">
        <v>64</v>
      </c>
      <c r="E4" s="19" t="s">
        <v>169</v>
      </c>
      <c r="F4" s="22">
        <v>172.5</v>
      </c>
      <c r="G4" s="22">
        <v>28</v>
      </c>
      <c r="H4" s="21">
        <f>F4*G4</f>
        <v>4830</v>
      </c>
      <c r="I4" s="177">
        <f>H4*10.7639</f>
        <v>51989.636999999995</v>
      </c>
      <c r="J4" s="13">
        <v>28</v>
      </c>
      <c r="K4" s="13">
        <f>J4*3.28084</f>
        <v>91.863519999999994</v>
      </c>
      <c r="L4" s="17">
        <v>2007</v>
      </c>
      <c r="M4" s="19">
        <v>2024</v>
      </c>
      <c r="N4" s="19">
        <f t="shared" ref="N4:N57" si="0">M4-L4</f>
        <v>17</v>
      </c>
      <c r="O4" s="19">
        <v>40</v>
      </c>
      <c r="P4" s="19">
        <v>0.05</v>
      </c>
      <c r="Q4" s="20">
        <f>(1-P4)/O4</f>
        <v>2.375E-2</v>
      </c>
      <c r="R4" s="177">
        <v>1800</v>
      </c>
      <c r="S4" s="177">
        <f>R4*10.7639</f>
        <v>19375.02</v>
      </c>
      <c r="T4" s="177">
        <f>S4*H4</f>
        <v>93581346.600000009</v>
      </c>
      <c r="U4" s="177">
        <f>T4*Q4*N4</f>
        <v>37783468.689750001</v>
      </c>
      <c r="V4" s="177">
        <f>MAX(T4-U4,0)</f>
        <v>55797877.910250008</v>
      </c>
      <c r="W4" s="177">
        <v>0</v>
      </c>
      <c r="X4" s="177">
        <f>IF(V4&gt;P4*T4,V4*(1+W4),T4*P4)</f>
        <v>55797877.910250008</v>
      </c>
    </row>
    <row r="5" spans="2:24" x14ac:dyDescent="0.25">
      <c r="B5" s="17">
        <v>2</v>
      </c>
      <c r="C5" s="12" t="s">
        <v>13</v>
      </c>
      <c r="D5" s="12" t="s">
        <v>65</v>
      </c>
      <c r="E5" s="19" t="s">
        <v>169</v>
      </c>
      <c r="F5" s="22">
        <v>60</v>
      </c>
      <c r="G5" s="22">
        <v>10.5</v>
      </c>
      <c r="H5" s="21">
        <f t="shared" ref="H5:H49" si="1">F5*G5</f>
        <v>630</v>
      </c>
      <c r="I5" s="177">
        <f t="shared" ref="I5:I49" si="2">H5*10.7639</f>
        <v>6781.2569999999996</v>
      </c>
      <c r="J5" s="13">
        <v>4.5</v>
      </c>
      <c r="K5" s="13">
        <f t="shared" ref="K5:K58" si="3">J5*3.28084</f>
        <v>14.763780000000001</v>
      </c>
      <c r="L5" s="17">
        <v>2007</v>
      </c>
      <c r="M5" s="19">
        <v>2024</v>
      </c>
      <c r="N5" s="19">
        <f t="shared" si="0"/>
        <v>17</v>
      </c>
      <c r="O5" s="19">
        <v>40</v>
      </c>
      <c r="P5" s="19">
        <v>0.05</v>
      </c>
      <c r="Q5" s="20">
        <f>(1-P5)/O5</f>
        <v>2.375E-2</v>
      </c>
      <c r="R5" s="177">
        <v>1100</v>
      </c>
      <c r="S5" s="177">
        <f>R5*10.7639</f>
        <v>11840.289999999999</v>
      </c>
      <c r="T5" s="177">
        <f>S5*H5</f>
        <v>7459382.6999999993</v>
      </c>
      <c r="U5" s="177">
        <f>T5*Q5*N5</f>
        <v>3011725.7651249999</v>
      </c>
      <c r="V5" s="177">
        <f>MAX(T5-U5,0)</f>
        <v>4447656.9348749993</v>
      </c>
      <c r="W5" s="177">
        <v>0</v>
      </c>
      <c r="X5" s="177">
        <f>IF(V5&gt;P5*T5,V5*(1+W5),T5*P5)</f>
        <v>4447656.9348749993</v>
      </c>
    </row>
    <row r="6" spans="2:24" x14ac:dyDescent="0.25">
      <c r="B6" s="17">
        <v>3</v>
      </c>
      <c r="C6" s="12" t="s">
        <v>14</v>
      </c>
      <c r="D6" s="12" t="s">
        <v>66</v>
      </c>
      <c r="E6" s="19" t="s">
        <v>169</v>
      </c>
      <c r="F6" s="22">
        <v>60</v>
      </c>
      <c r="G6" s="22">
        <v>6</v>
      </c>
      <c r="H6" s="21">
        <f t="shared" si="1"/>
        <v>360</v>
      </c>
      <c r="I6" s="177">
        <f t="shared" si="2"/>
        <v>3875.0039999999999</v>
      </c>
      <c r="J6" s="13">
        <v>4.5</v>
      </c>
      <c r="K6" s="13">
        <f t="shared" si="3"/>
        <v>14.763780000000001</v>
      </c>
      <c r="L6" s="17">
        <v>2007</v>
      </c>
      <c r="M6" s="19">
        <v>2024</v>
      </c>
      <c r="N6" s="19">
        <f t="shared" si="0"/>
        <v>17</v>
      </c>
      <c r="O6" s="19">
        <v>60</v>
      </c>
      <c r="P6" s="19">
        <v>0.05</v>
      </c>
      <c r="Q6" s="20">
        <f>(1-P6)/O6</f>
        <v>1.5833333333333331E-2</v>
      </c>
      <c r="R6" s="177">
        <v>1100</v>
      </c>
      <c r="S6" s="177">
        <f>R6*10.7639</f>
        <v>11840.289999999999</v>
      </c>
      <c r="T6" s="177">
        <f>S6*H6</f>
        <v>4262504.3999999994</v>
      </c>
      <c r="U6" s="177">
        <f>T6*Q6*N6</f>
        <v>1147324.1009999996</v>
      </c>
      <c r="V6" s="177">
        <f>MAX(T6-U6,0)</f>
        <v>3115180.2989999996</v>
      </c>
      <c r="W6" s="177">
        <v>0</v>
      </c>
      <c r="X6" s="177">
        <f>IF(V6&gt;P6*T6,V6*(1+W6),T6*P6)</f>
        <v>3115180.2989999996</v>
      </c>
    </row>
    <row r="7" spans="2:24" x14ac:dyDescent="0.25">
      <c r="B7" s="17">
        <v>4</v>
      </c>
      <c r="C7" s="12" t="s">
        <v>15</v>
      </c>
      <c r="D7" s="12" t="s">
        <v>67</v>
      </c>
      <c r="E7" s="19" t="s">
        <v>169</v>
      </c>
      <c r="F7" s="22">
        <v>31.2</v>
      </c>
      <c r="G7" s="22">
        <v>9.9</v>
      </c>
      <c r="H7" s="21">
        <f>F7*G7</f>
        <v>308.88</v>
      </c>
      <c r="I7" s="177">
        <f t="shared" si="2"/>
        <v>3324.753432</v>
      </c>
      <c r="J7" s="13">
        <v>20.95</v>
      </c>
      <c r="K7" s="13">
        <f t="shared" si="3"/>
        <v>68.733598000000001</v>
      </c>
      <c r="L7" s="17">
        <v>2007</v>
      </c>
      <c r="M7" s="19">
        <v>2024</v>
      </c>
      <c r="N7" s="19">
        <f t="shared" si="0"/>
        <v>17</v>
      </c>
      <c r="O7" s="19">
        <v>40</v>
      </c>
      <c r="P7" s="19">
        <v>0.05</v>
      </c>
      <c r="Q7" s="20">
        <f>(1-P7)/O7</f>
        <v>2.375E-2</v>
      </c>
      <c r="R7" s="177">
        <v>1600</v>
      </c>
      <c r="S7" s="177">
        <f>R7*10.7639</f>
        <v>17222.239999999998</v>
      </c>
      <c r="T7" s="177">
        <f>S7*H7</f>
        <v>5319605.4911999991</v>
      </c>
      <c r="U7" s="177">
        <f>T7*Q7*N7</f>
        <v>2147790.7170719998</v>
      </c>
      <c r="V7" s="177">
        <f>MAX(T7-U7,0)</f>
        <v>3171814.7741279993</v>
      </c>
      <c r="W7" s="177">
        <v>0</v>
      </c>
      <c r="X7" s="177">
        <f>IF(V7&gt;P7*T7,V7*(1+W7),T7*P7)</f>
        <v>3171814.7741279993</v>
      </c>
    </row>
    <row r="8" spans="2:24" x14ac:dyDescent="0.25">
      <c r="B8" s="17">
        <v>5</v>
      </c>
      <c r="C8" s="12" t="s">
        <v>16</v>
      </c>
      <c r="D8" s="12" t="s">
        <v>65</v>
      </c>
      <c r="E8" s="19" t="s">
        <v>169</v>
      </c>
      <c r="F8" s="22">
        <v>67</v>
      </c>
      <c r="G8" s="22">
        <v>9.5</v>
      </c>
      <c r="H8" s="21">
        <f t="shared" si="1"/>
        <v>636.5</v>
      </c>
      <c r="I8" s="177">
        <f t="shared" si="2"/>
        <v>6851.22235</v>
      </c>
      <c r="J8" s="13">
        <v>4</v>
      </c>
      <c r="K8" s="13">
        <f t="shared" si="3"/>
        <v>13.12336</v>
      </c>
      <c r="L8" s="17">
        <v>2007</v>
      </c>
      <c r="M8" s="19">
        <v>2024</v>
      </c>
      <c r="N8" s="19">
        <f t="shared" si="0"/>
        <v>17</v>
      </c>
      <c r="O8" s="19">
        <v>60</v>
      </c>
      <c r="P8" s="19">
        <v>0.05</v>
      </c>
      <c r="Q8" s="20">
        <f t="shared" ref="Q8:Q10" si="4">(1-P8)/O8</f>
        <v>1.5833333333333331E-2</v>
      </c>
      <c r="R8" s="177">
        <v>1100</v>
      </c>
      <c r="S8" s="177">
        <f t="shared" ref="S8:S61" si="5">R8*10.7639</f>
        <v>11840.289999999999</v>
      </c>
      <c r="T8" s="177">
        <f>S8*H8</f>
        <v>7536344.584999999</v>
      </c>
      <c r="U8" s="177">
        <f t="shared" ref="U8:U62" si="6">T8*Q8*N8</f>
        <v>2028532.7507958328</v>
      </c>
      <c r="V8" s="177">
        <f t="shared" ref="V8:V62" si="7">MAX(T8-U8,0)</f>
        <v>5507811.8342041662</v>
      </c>
      <c r="W8" s="177">
        <v>0</v>
      </c>
      <c r="X8" s="177">
        <f t="shared" ref="X8:X62" si="8">IF(V8&gt;P8*T8,V8*(1+W8),T8*P8)</f>
        <v>5507811.8342041662</v>
      </c>
    </row>
    <row r="9" spans="2:24" x14ac:dyDescent="0.25">
      <c r="B9" s="17">
        <v>6</v>
      </c>
      <c r="C9" s="12" t="s">
        <v>17</v>
      </c>
      <c r="D9" s="12" t="s">
        <v>65</v>
      </c>
      <c r="E9" s="19" t="s">
        <v>169</v>
      </c>
      <c r="F9" s="22">
        <v>49</v>
      </c>
      <c r="G9" s="22">
        <v>9.5</v>
      </c>
      <c r="H9" s="21">
        <f t="shared" si="1"/>
        <v>465.5</v>
      </c>
      <c r="I9" s="177">
        <f t="shared" si="2"/>
        <v>5010.5954499999998</v>
      </c>
      <c r="J9" s="13">
        <v>4</v>
      </c>
      <c r="K9" s="13">
        <f t="shared" si="3"/>
        <v>13.12336</v>
      </c>
      <c r="L9" s="17">
        <v>2007</v>
      </c>
      <c r="M9" s="19">
        <v>2024</v>
      </c>
      <c r="N9" s="19">
        <f>M9-L9</f>
        <v>17</v>
      </c>
      <c r="O9" s="19">
        <v>40</v>
      </c>
      <c r="P9" s="19">
        <v>0.05</v>
      </c>
      <c r="Q9" s="20">
        <f t="shared" si="4"/>
        <v>2.375E-2</v>
      </c>
      <c r="R9" s="177">
        <v>1100</v>
      </c>
      <c r="S9" s="177">
        <f t="shared" si="5"/>
        <v>11840.289999999999</v>
      </c>
      <c r="T9" s="177">
        <f t="shared" ref="T9:T62" si="9">S9*H9</f>
        <v>5511654.9949999992</v>
      </c>
      <c r="U9" s="177">
        <f t="shared" si="6"/>
        <v>2225330.7042312496</v>
      </c>
      <c r="V9" s="177">
        <f t="shared" si="7"/>
        <v>3286324.2907687495</v>
      </c>
      <c r="W9" s="177">
        <v>0</v>
      </c>
      <c r="X9" s="177">
        <f t="shared" si="8"/>
        <v>3286324.2907687495</v>
      </c>
    </row>
    <row r="10" spans="2:24" x14ac:dyDescent="0.25">
      <c r="B10" s="17">
        <v>7</v>
      </c>
      <c r="C10" s="12" t="s">
        <v>20</v>
      </c>
      <c r="D10" s="12" t="s">
        <v>64</v>
      </c>
      <c r="E10" s="19" t="s">
        <v>169</v>
      </c>
      <c r="F10" s="22">
        <v>60</v>
      </c>
      <c r="G10" s="22">
        <v>28</v>
      </c>
      <c r="H10" s="21">
        <f t="shared" si="1"/>
        <v>1680</v>
      </c>
      <c r="I10" s="177">
        <f t="shared" si="2"/>
        <v>18083.351999999999</v>
      </c>
      <c r="J10" s="13">
        <v>26</v>
      </c>
      <c r="K10" s="13">
        <f t="shared" si="3"/>
        <v>85.301839999999999</v>
      </c>
      <c r="L10" s="17">
        <v>2007</v>
      </c>
      <c r="M10" s="19">
        <v>2024</v>
      </c>
      <c r="N10" s="19">
        <f t="shared" si="0"/>
        <v>17</v>
      </c>
      <c r="O10" s="19">
        <v>40</v>
      </c>
      <c r="P10" s="19">
        <v>0.05</v>
      </c>
      <c r="Q10" s="20">
        <f t="shared" si="4"/>
        <v>2.375E-2</v>
      </c>
      <c r="R10" s="177">
        <v>1800</v>
      </c>
      <c r="S10" s="177">
        <f t="shared" si="5"/>
        <v>19375.02</v>
      </c>
      <c r="T10" s="177">
        <f t="shared" si="9"/>
        <v>32550033.600000001</v>
      </c>
      <c r="U10" s="177">
        <f t="shared" si="6"/>
        <v>13142076.066000002</v>
      </c>
      <c r="V10" s="177">
        <f t="shared" si="7"/>
        <v>19407957.534000002</v>
      </c>
      <c r="W10" s="177">
        <v>0</v>
      </c>
      <c r="X10" s="177">
        <f t="shared" si="8"/>
        <v>19407957.534000002</v>
      </c>
    </row>
    <row r="11" spans="2:24" ht="30" x14ac:dyDescent="0.25">
      <c r="B11" s="17">
        <v>8</v>
      </c>
      <c r="C11" s="12" t="s">
        <v>21</v>
      </c>
      <c r="D11" s="12" t="s">
        <v>68</v>
      </c>
      <c r="E11" s="19" t="s">
        <v>169</v>
      </c>
      <c r="F11" s="22">
        <v>52.5</v>
      </c>
      <c r="G11" s="22">
        <v>12</v>
      </c>
      <c r="H11" s="21">
        <f t="shared" si="1"/>
        <v>630</v>
      </c>
      <c r="I11" s="177">
        <f t="shared" si="2"/>
        <v>6781.2569999999996</v>
      </c>
      <c r="J11" s="13">
        <v>7</v>
      </c>
      <c r="K11" s="13">
        <f t="shared" si="3"/>
        <v>22.965879999999999</v>
      </c>
      <c r="L11" s="17">
        <v>2007</v>
      </c>
      <c r="M11" s="19">
        <v>2024</v>
      </c>
      <c r="N11" s="19">
        <f t="shared" si="0"/>
        <v>17</v>
      </c>
      <c r="O11" s="19">
        <v>40</v>
      </c>
      <c r="P11" s="19">
        <v>0.05</v>
      </c>
      <c r="Q11" s="20">
        <f>(1-P11)/O11</f>
        <v>2.375E-2</v>
      </c>
      <c r="R11" s="177">
        <v>1200</v>
      </c>
      <c r="S11" s="177">
        <f t="shared" si="5"/>
        <v>12916.68</v>
      </c>
      <c r="T11" s="177">
        <f t="shared" si="9"/>
        <v>8137508.4000000004</v>
      </c>
      <c r="U11" s="177">
        <f t="shared" si="6"/>
        <v>3285519.0165000004</v>
      </c>
      <c r="V11" s="177">
        <f t="shared" si="7"/>
        <v>4851989.3835000005</v>
      </c>
      <c r="W11" s="177">
        <v>0</v>
      </c>
      <c r="X11" s="177">
        <f t="shared" si="8"/>
        <v>4851989.3835000005</v>
      </c>
    </row>
    <row r="12" spans="2:24" x14ac:dyDescent="0.25">
      <c r="B12" s="17">
        <v>9</v>
      </c>
      <c r="C12" s="12" t="s">
        <v>22</v>
      </c>
      <c r="D12" s="12" t="s">
        <v>64</v>
      </c>
      <c r="E12" s="19" t="s">
        <v>169</v>
      </c>
      <c r="F12" s="22">
        <v>52.5</v>
      </c>
      <c r="G12" s="22">
        <v>12</v>
      </c>
      <c r="H12" s="21">
        <f t="shared" si="1"/>
        <v>630</v>
      </c>
      <c r="I12" s="177">
        <f t="shared" si="2"/>
        <v>6781.2569999999996</v>
      </c>
      <c r="J12" s="13">
        <v>5</v>
      </c>
      <c r="K12" s="13">
        <f t="shared" si="3"/>
        <v>16.404199999999999</v>
      </c>
      <c r="L12" s="17">
        <v>2007</v>
      </c>
      <c r="M12" s="19">
        <v>2024</v>
      </c>
      <c r="N12" s="19">
        <f t="shared" si="0"/>
        <v>17</v>
      </c>
      <c r="O12" s="19">
        <v>40</v>
      </c>
      <c r="P12" s="19">
        <v>0.05</v>
      </c>
      <c r="Q12" s="20">
        <f t="shared" ref="Q12:Q62" si="10">(1-P12)/O12</f>
        <v>2.375E-2</v>
      </c>
      <c r="R12" s="177">
        <v>1100</v>
      </c>
      <c r="S12" s="177">
        <f t="shared" si="5"/>
        <v>11840.289999999999</v>
      </c>
      <c r="T12" s="177">
        <f t="shared" si="9"/>
        <v>7459382.6999999993</v>
      </c>
      <c r="U12" s="177">
        <f t="shared" si="6"/>
        <v>3011725.7651249999</v>
      </c>
      <c r="V12" s="177">
        <f t="shared" si="7"/>
        <v>4447656.9348749993</v>
      </c>
      <c r="W12" s="177">
        <v>0</v>
      </c>
      <c r="X12" s="177">
        <f t="shared" si="8"/>
        <v>4447656.9348749993</v>
      </c>
    </row>
    <row r="13" spans="2:24" x14ac:dyDescent="0.25">
      <c r="B13" s="17">
        <v>10</v>
      </c>
      <c r="C13" s="12" t="s">
        <v>18</v>
      </c>
      <c r="D13" s="12" t="s">
        <v>69</v>
      </c>
      <c r="E13" s="19" t="s">
        <v>169</v>
      </c>
      <c r="F13" s="22">
        <v>6</v>
      </c>
      <c r="G13" s="22">
        <v>10</v>
      </c>
      <c r="H13" s="21">
        <f t="shared" si="1"/>
        <v>60</v>
      </c>
      <c r="I13" s="177">
        <f t="shared" si="2"/>
        <v>645.83399999999995</v>
      </c>
      <c r="J13" s="13">
        <v>10</v>
      </c>
      <c r="K13" s="13">
        <f t="shared" si="3"/>
        <v>32.808399999999999</v>
      </c>
      <c r="L13" s="17">
        <v>2007</v>
      </c>
      <c r="M13" s="19">
        <v>2024</v>
      </c>
      <c r="N13" s="19">
        <f t="shared" si="0"/>
        <v>17</v>
      </c>
      <c r="O13" s="19">
        <v>40</v>
      </c>
      <c r="P13" s="19">
        <v>0.05</v>
      </c>
      <c r="Q13" s="20">
        <f t="shared" si="10"/>
        <v>2.375E-2</v>
      </c>
      <c r="R13" s="177">
        <v>1100</v>
      </c>
      <c r="S13" s="177">
        <f t="shared" si="5"/>
        <v>11840.289999999999</v>
      </c>
      <c r="T13" s="177">
        <f t="shared" si="9"/>
        <v>710417.39999999991</v>
      </c>
      <c r="U13" s="177">
        <f t="shared" si="6"/>
        <v>286831.02524999995</v>
      </c>
      <c r="V13" s="177">
        <f t="shared" si="7"/>
        <v>423586.37474999996</v>
      </c>
      <c r="W13" s="177">
        <v>0</v>
      </c>
      <c r="X13" s="177">
        <f t="shared" si="8"/>
        <v>423586.37474999996</v>
      </c>
    </row>
    <row r="14" spans="2:24" x14ac:dyDescent="0.25">
      <c r="B14" s="17">
        <v>11</v>
      </c>
      <c r="C14" s="12" t="s">
        <v>19</v>
      </c>
      <c r="D14" s="12" t="s">
        <v>69</v>
      </c>
      <c r="E14" s="19" t="s">
        <v>169</v>
      </c>
      <c r="F14" s="22">
        <v>42</v>
      </c>
      <c r="G14" s="22">
        <v>8</v>
      </c>
      <c r="H14" s="21">
        <f t="shared" si="1"/>
        <v>336</v>
      </c>
      <c r="I14" s="177">
        <f t="shared" si="2"/>
        <v>3616.6704</v>
      </c>
      <c r="J14" s="13">
        <v>10</v>
      </c>
      <c r="K14" s="13">
        <f t="shared" si="3"/>
        <v>32.808399999999999</v>
      </c>
      <c r="L14" s="17">
        <v>2007</v>
      </c>
      <c r="M14" s="19">
        <v>2024</v>
      </c>
      <c r="N14" s="19">
        <f t="shared" si="0"/>
        <v>17</v>
      </c>
      <c r="O14" s="19">
        <v>60</v>
      </c>
      <c r="P14" s="19">
        <v>0.05</v>
      </c>
      <c r="Q14" s="20">
        <f t="shared" si="10"/>
        <v>1.5833333333333331E-2</v>
      </c>
      <c r="R14" s="177">
        <v>1100</v>
      </c>
      <c r="S14" s="177">
        <f t="shared" si="5"/>
        <v>11840.289999999999</v>
      </c>
      <c r="T14" s="177">
        <f t="shared" si="9"/>
        <v>3978337.4399999995</v>
      </c>
      <c r="U14" s="177">
        <f t="shared" si="6"/>
        <v>1070835.8275999997</v>
      </c>
      <c r="V14" s="177">
        <f t="shared" si="7"/>
        <v>2907501.6124</v>
      </c>
      <c r="W14" s="177">
        <v>0</v>
      </c>
      <c r="X14" s="177">
        <f t="shared" si="8"/>
        <v>2907501.6124</v>
      </c>
    </row>
    <row r="15" spans="2:24" ht="30" x14ac:dyDescent="0.25">
      <c r="B15" s="17">
        <v>12</v>
      </c>
      <c r="C15" s="12" t="s">
        <v>23</v>
      </c>
      <c r="D15" s="12" t="s">
        <v>70</v>
      </c>
      <c r="E15" s="19" t="s">
        <v>169</v>
      </c>
      <c r="F15" s="22">
        <v>22</v>
      </c>
      <c r="G15" s="22">
        <v>5.5</v>
      </c>
      <c r="H15" s="21">
        <f t="shared" si="1"/>
        <v>121</v>
      </c>
      <c r="I15" s="177">
        <f t="shared" si="2"/>
        <v>1302.4319</v>
      </c>
      <c r="J15" s="13">
        <v>10</v>
      </c>
      <c r="K15" s="13">
        <f t="shared" si="3"/>
        <v>32.808399999999999</v>
      </c>
      <c r="L15" s="17">
        <v>2007</v>
      </c>
      <c r="M15" s="19">
        <v>2024</v>
      </c>
      <c r="N15" s="19">
        <f t="shared" si="0"/>
        <v>17</v>
      </c>
      <c r="O15" s="19">
        <v>40</v>
      </c>
      <c r="P15" s="19">
        <v>0.05</v>
      </c>
      <c r="Q15" s="20">
        <f t="shared" si="10"/>
        <v>2.375E-2</v>
      </c>
      <c r="R15" s="177">
        <v>1100</v>
      </c>
      <c r="S15" s="177">
        <f t="shared" si="5"/>
        <v>11840.289999999999</v>
      </c>
      <c r="T15" s="177">
        <f t="shared" si="9"/>
        <v>1432675.0899999999</v>
      </c>
      <c r="U15" s="177">
        <f t="shared" si="6"/>
        <v>578442.56758749997</v>
      </c>
      <c r="V15" s="177">
        <f t="shared" si="7"/>
        <v>854232.52241249988</v>
      </c>
      <c r="W15" s="177">
        <v>0</v>
      </c>
      <c r="X15" s="177">
        <f t="shared" si="8"/>
        <v>854232.52241249988</v>
      </c>
    </row>
    <row r="16" spans="2:24" ht="30" x14ac:dyDescent="0.25">
      <c r="B16" s="17">
        <v>13</v>
      </c>
      <c r="C16" s="12" t="s">
        <v>24</v>
      </c>
      <c r="D16" s="12" t="s">
        <v>70</v>
      </c>
      <c r="E16" s="19" t="s">
        <v>169</v>
      </c>
      <c r="F16" s="22">
        <v>44</v>
      </c>
      <c r="G16" s="22">
        <v>63</v>
      </c>
      <c r="H16" s="21">
        <f t="shared" si="1"/>
        <v>2772</v>
      </c>
      <c r="I16" s="177">
        <f t="shared" si="2"/>
        <v>29837.5308</v>
      </c>
      <c r="J16" s="13">
        <v>10</v>
      </c>
      <c r="K16" s="13">
        <f t="shared" si="3"/>
        <v>32.808399999999999</v>
      </c>
      <c r="L16" s="17">
        <v>2007</v>
      </c>
      <c r="M16" s="19">
        <v>2024</v>
      </c>
      <c r="N16" s="19">
        <f t="shared" si="0"/>
        <v>17</v>
      </c>
      <c r="O16" s="19">
        <v>40</v>
      </c>
      <c r="P16" s="19">
        <v>0.05</v>
      </c>
      <c r="Q16" s="20">
        <f t="shared" si="10"/>
        <v>2.375E-2</v>
      </c>
      <c r="R16" s="177">
        <v>1100</v>
      </c>
      <c r="S16" s="177">
        <f t="shared" si="5"/>
        <v>11840.289999999999</v>
      </c>
      <c r="T16" s="177">
        <f t="shared" si="9"/>
        <v>32821283.879999999</v>
      </c>
      <c r="U16" s="177">
        <f t="shared" si="6"/>
        <v>13251593.366549999</v>
      </c>
      <c r="V16" s="177">
        <f t="shared" si="7"/>
        <v>19569690.51345</v>
      </c>
      <c r="W16" s="177">
        <v>0</v>
      </c>
      <c r="X16" s="177">
        <f t="shared" si="8"/>
        <v>19569690.51345</v>
      </c>
    </row>
    <row r="17" spans="2:24" ht="30" x14ac:dyDescent="0.25">
      <c r="B17" s="17">
        <v>14</v>
      </c>
      <c r="C17" s="12" t="s">
        <v>25</v>
      </c>
      <c r="D17" s="12" t="s">
        <v>70</v>
      </c>
      <c r="E17" s="19" t="s">
        <v>169</v>
      </c>
      <c r="F17" s="22">
        <v>65</v>
      </c>
      <c r="G17" s="22">
        <v>33</v>
      </c>
      <c r="H17" s="21">
        <f t="shared" si="1"/>
        <v>2145</v>
      </c>
      <c r="I17" s="177">
        <f t="shared" si="2"/>
        <v>23088.565500000001</v>
      </c>
      <c r="J17" s="13">
        <v>10</v>
      </c>
      <c r="K17" s="13">
        <f t="shared" si="3"/>
        <v>32.808399999999999</v>
      </c>
      <c r="L17" s="17">
        <v>2007</v>
      </c>
      <c r="M17" s="19">
        <v>2024</v>
      </c>
      <c r="N17" s="19">
        <f t="shared" si="0"/>
        <v>17</v>
      </c>
      <c r="O17" s="19">
        <v>40</v>
      </c>
      <c r="P17" s="19">
        <v>0.05</v>
      </c>
      <c r="Q17" s="20">
        <f t="shared" si="10"/>
        <v>2.375E-2</v>
      </c>
      <c r="R17" s="177">
        <v>1100</v>
      </c>
      <c r="S17" s="177">
        <f t="shared" si="5"/>
        <v>11840.289999999999</v>
      </c>
      <c r="T17" s="177">
        <f t="shared" si="9"/>
        <v>25397422.049999997</v>
      </c>
      <c r="U17" s="177">
        <f t="shared" si="6"/>
        <v>10254209.152687499</v>
      </c>
      <c r="V17" s="177">
        <f t="shared" si="7"/>
        <v>15143212.897312498</v>
      </c>
      <c r="W17" s="177">
        <v>0</v>
      </c>
      <c r="X17" s="177">
        <f t="shared" si="8"/>
        <v>15143212.897312498</v>
      </c>
    </row>
    <row r="18" spans="2:24" x14ac:dyDescent="0.25">
      <c r="B18" s="17">
        <v>15</v>
      </c>
      <c r="C18" s="12" t="s">
        <v>26</v>
      </c>
      <c r="D18" s="12" t="s">
        <v>64</v>
      </c>
      <c r="E18" s="19" t="s">
        <v>169</v>
      </c>
      <c r="F18" s="22">
        <v>123.5</v>
      </c>
      <c r="G18" s="22">
        <v>33</v>
      </c>
      <c r="H18" s="21">
        <f t="shared" si="1"/>
        <v>4075.5</v>
      </c>
      <c r="I18" s="177">
        <f t="shared" si="2"/>
        <v>43868.274449999997</v>
      </c>
      <c r="J18" s="13">
        <v>10</v>
      </c>
      <c r="K18" s="13">
        <f t="shared" si="3"/>
        <v>32.808399999999999</v>
      </c>
      <c r="L18" s="17">
        <v>2007</v>
      </c>
      <c r="M18" s="19">
        <v>2024</v>
      </c>
      <c r="N18" s="19">
        <f t="shared" si="0"/>
        <v>17</v>
      </c>
      <c r="O18" s="19">
        <v>40</v>
      </c>
      <c r="P18" s="19">
        <v>0.05</v>
      </c>
      <c r="Q18" s="20">
        <f t="shared" si="10"/>
        <v>2.375E-2</v>
      </c>
      <c r="R18" s="177">
        <v>1100</v>
      </c>
      <c r="S18" s="177">
        <f t="shared" si="5"/>
        <v>11840.289999999999</v>
      </c>
      <c r="T18" s="177">
        <f t="shared" si="9"/>
        <v>48255101.894999996</v>
      </c>
      <c r="U18" s="177">
        <f t="shared" si="6"/>
        <v>19482997.390106246</v>
      </c>
      <c r="V18" s="177">
        <f t="shared" si="7"/>
        <v>28772104.50489375</v>
      </c>
      <c r="W18" s="177">
        <v>0</v>
      </c>
      <c r="X18" s="177">
        <f t="shared" si="8"/>
        <v>28772104.50489375</v>
      </c>
    </row>
    <row r="19" spans="2:24" x14ac:dyDescent="0.25">
      <c r="B19" s="17">
        <v>16</v>
      </c>
      <c r="C19" s="12" t="s">
        <v>27</v>
      </c>
      <c r="D19" s="12" t="s">
        <v>71</v>
      </c>
      <c r="E19" s="19" t="s">
        <v>169</v>
      </c>
      <c r="F19" s="22">
        <v>32</v>
      </c>
      <c r="G19" s="22">
        <v>12</v>
      </c>
      <c r="H19" s="21">
        <f t="shared" si="1"/>
        <v>384</v>
      </c>
      <c r="I19" s="177">
        <f t="shared" si="2"/>
        <v>4133.3375999999998</v>
      </c>
      <c r="J19" s="13">
        <v>5</v>
      </c>
      <c r="K19" s="13">
        <f t="shared" si="3"/>
        <v>16.404199999999999</v>
      </c>
      <c r="L19" s="17">
        <v>2007</v>
      </c>
      <c r="M19" s="19">
        <v>2024</v>
      </c>
      <c r="N19" s="19">
        <f t="shared" si="0"/>
        <v>17</v>
      </c>
      <c r="O19" s="19">
        <v>40</v>
      </c>
      <c r="P19" s="19">
        <v>0.05</v>
      </c>
      <c r="Q19" s="20">
        <f t="shared" si="10"/>
        <v>2.375E-2</v>
      </c>
      <c r="R19" s="177">
        <v>1200</v>
      </c>
      <c r="S19" s="177">
        <f t="shared" si="5"/>
        <v>12916.68</v>
      </c>
      <c r="T19" s="177">
        <f t="shared" si="9"/>
        <v>4960005.12</v>
      </c>
      <c r="U19" s="177">
        <f t="shared" si="6"/>
        <v>2002602.0671999999</v>
      </c>
      <c r="V19" s="177">
        <f t="shared" si="7"/>
        <v>2957403.0528000002</v>
      </c>
      <c r="W19" s="177">
        <v>0</v>
      </c>
      <c r="X19" s="177">
        <f t="shared" si="8"/>
        <v>2957403.0528000002</v>
      </c>
    </row>
    <row r="20" spans="2:24" x14ac:dyDescent="0.25">
      <c r="B20" s="17">
        <v>17</v>
      </c>
      <c r="C20" s="12" t="s">
        <v>28</v>
      </c>
      <c r="D20" s="12" t="s">
        <v>64</v>
      </c>
      <c r="E20" s="19" t="s">
        <v>169</v>
      </c>
      <c r="F20" s="22">
        <v>56</v>
      </c>
      <c r="G20" s="22">
        <v>40</v>
      </c>
      <c r="H20" s="21">
        <f t="shared" si="1"/>
        <v>2240</v>
      </c>
      <c r="I20" s="177">
        <f t="shared" si="2"/>
        <v>24111.135999999999</v>
      </c>
      <c r="J20" s="13">
        <v>25.6</v>
      </c>
      <c r="K20" s="13">
        <f t="shared" si="3"/>
        <v>83.989504000000011</v>
      </c>
      <c r="L20" s="17">
        <v>2007</v>
      </c>
      <c r="M20" s="19">
        <v>2024</v>
      </c>
      <c r="N20" s="19">
        <f t="shared" si="0"/>
        <v>17</v>
      </c>
      <c r="O20" s="19">
        <v>40</v>
      </c>
      <c r="P20" s="19">
        <v>0.05</v>
      </c>
      <c r="Q20" s="20">
        <f t="shared" si="10"/>
        <v>2.375E-2</v>
      </c>
      <c r="R20" s="177">
        <v>1800</v>
      </c>
      <c r="S20" s="177">
        <f t="shared" si="5"/>
        <v>19375.02</v>
      </c>
      <c r="T20" s="177">
        <f t="shared" si="9"/>
        <v>43400044.800000004</v>
      </c>
      <c r="U20" s="177">
        <f t="shared" si="6"/>
        <v>17522768.088000003</v>
      </c>
      <c r="V20" s="177">
        <f t="shared" si="7"/>
        <v>25877276.712000001</v>
      </c>
      <c r="W20" s="177">
        <v>0</v>
      </c>
      <c r="X20" s="177">
        <f t="shared" si="8"/>
        <v>25877276.712000001</v>
      </c>
    </row>
    <row r="21" spans="2:24" x14ac:dyDescent="0.25">
      <c r="B21" s="17">
        <v>18</v>
      </c>
      <c r="C21" s="12" t="s">
        <v>29</v>
      </c>
      <c r="D21" s="12" t="s">
        <v>64</v>
      </c>
      <c r="E21" s="19" t="s">
        <v>169</v>
      </c>
      <c r="F21" s="22">
        <v>16</v>
      </c>
      <c r="G21" s="22">
        <v>30</v>
      </c>
      <c r="H21" s="21">
        <f t="shared" si="1"/>
        <v>480</v>
      </c>
      <c r="I21" s="177">
        <f t="shared" si="2"/>
        <v>5166.6719999999996</v>
      </c>
      <c r="J21" s="13">
        <v>9.6</v>
      </c>
      <c r="K21" s="13">
        <f t="shared" si="3"/>
        <v>31.496063999999997</v>
      </c>
      <c r="L21" s="17">
        <v>2007</v>
      </c>
      <c r="M21" s="19">
        <v>2024</v>
      </c>
      <c r="N21" s="19">
        <f t="shared" si="0"/>
        <v>17</v>
      </c>
      <c r="O21" s="19">
        <v>40</v>
      </c>
      <c r="P21" s="19">
        <v>0.05</v>
      </c>
      <c r="Q21" s="20">
        <f t="shared" si="10"/>
        <v>2.375E-2</v>
      </c>
      <c r="R21" s="177">
        <v>1300</v>
      </c>
      <c r="S21" s="177">
        <f t="shared" si="5"/>
        <v>13993.07</v>
      </c>
      <c r="T21" s="177">
        <f t="shared" si="9"/>
        <v>6716673.5999999996</v>
      </c>
      <c r="U21" s="177">
        <f t="shared" si="6"/>
        <v>2711856.966</v>
      </c>
      <c r="V21" s="177">
        <f t="shared" si="7"/>
        <v>4004816.6339999996</v>
      </c>
      <c r="W21" s="177">
        <v>0</v>
      </c>
      <c r="X21" s="177">
        <f t="shared" si="8"/>
        <v>4004816.6339999996</v>
      </c>
    </row>
    <row r="22" spans="2:24" x14ac:dyDescent="0.25">
      <c r="B22" s="17">
        <v>19</v>
      </c>
      <c r="C22" s="12" t="s">
        <v>30</v>
      </c>
      <c r="D22" s="12" t="s">
        <v>72</v>
      </c>
      <c r="E22" s="19" t="s">
        <v>169</v>
      </c>
      <c r="F22" s="22">
        <v>200</v>
      </c>
      <c r="G22" s="22">
        <v>60</v>
      </c>
      <c r="H22" s="21">
        <f t="shared" si="1"/>
        <v>12000</v>
      </c>
      <c r="I22" s="177">
        <f t="shared" si="2"/>
        <v>129166.79999999999</v>
      </c>
      <c r="J22" s="13">
        <v>11</v>
      </c>
      <c r="K22" s="13">
        <f t="shared" si="3"/>
        <v>36.089239999999997</v>
      </c>
      <c r="L22" s="17">
        <v>2007</v>
      </c>
      <c r="M22" s="19">
        <v>2024</v>
      </c>
      <c r="N22" s="19">
        <f t="shared" si="0"/>
        <v>17</v>
      </c>
      <c r="O22" s="19">
        <v>40</v>
      </c>
      <c r="P22" s="19">
        <v>0.05</v>
      </c>
      <c r="Q22" s="20">
        <f t="shared" si="10"/>
        <v>2.375E-2</v>
      </c>
      <c r="R22" s="177">
        <v>1300</v>
      </c>
      <c r="S22" s="177">
        <f t="shared" si="5"/>
        <v>13993.07</v>
      </c>
      <c r="T22" s="177">
        <f t="shared" si="9"/>
        <v>167916840</v>
      </c>
      <c r="U22" s="177">
        <f t="shared" si="6"/>
        <v>67796424.150000006</v>
      </c>
      <c r="V22" s="177">
        <f t="shared" si="7"/>
        <v>100120415.84999999</v>
      </c>
      <c r="W22" s="177">
        <v>0</v>
      </c>
      <c r="X22" s="177">
        <f t="shared" si="8"/>
        <v>100120415.84999999</v>
      </c>
    </row>
    <row r="23" spans="2:24" x14ac:dyDescent="0.25">
      <c r="B23" s="17">
        <v>20</v>
      </c>
      <c r="C23" s="12" t="s">
        <v>31</v>
      </c>
      <c r="D23" s="12" t="s">
        <v>73</v>
      </c>
      <c r="E23" s="19" t="s">
        <v>169</v>
      </c>
      <c r="F23" s="22">
        <v>24</v>
      </c>
      <c r="G23" s="22">
        <v>21</v>
      </c>
      <c r="H23" s="21">
        <f t="shared" si="1"/>
        <v>504</v>
      </c>
      <c r="I23" s="177">
        <f t="shared" si="2"/>
        <v>5425.0055999999995</v>
      </c>
      <c r="J23" s="13">
        <v>9.59</v>
      </c>
      <c r="K23" s="13">
        <f t="shared" si="3"/>
        <v>31.4632556</v>
      </c>
      <c r="L23" s="17">
        <v>2007</v>
      </c>
      <c r="M23" s="19">
        <v>2024</v>
      </c>
      <c r="N23" s="19">
        <f t="shared" si="0"/>
        <v>17</v>
      </c>
      <c r="O23" s="19">
        <v>60</v>
      </c>
      <c r="P23" s="19">
        <v>0.05</v>
      </c>
      <c r="Q23" s="20">
        <f t="shared" si="10"/>
        <v>1.5833333333333331E-2</v>
      </c>
      <c r="R23" s="177">
        <v>1200</v>
      </c>
      <c r="S23" s="177">
        <f t="shared" si="5"/>
        <v>12916.68</v>
      </c>
      <c r="T23" s="177">
        <f t="shared" si="9"/>
        <v>6510006.7199999997</v>
      </c>
      <c r="U23" s="177">
        <f t="shared" si="6"/>
        <v>1752276.8087999995</v>
      </c>
      <c r="V23" s="177">
        <f t="shared" si="7"/>
        <v>4757729.9112</v>
      </c>
      <c r="W23" s="177">
        <v>0</v>
      </c>
      <c r="X23" s="177">
        <f t="shared" si="8"/>
        <v>4757729.9112</v>
      </c>
    </row>
    <row r="24" spans="2:24" x14ac:dyDescent="0.25">
      <c r="B24" s="17">
        <v>21</v>
      </c>
      <c r="C24" s="12" t="s">
        <v>32</v>
      </c>
      <c r="D24" s="12" t="s">
        <v>73</v>
      </c>
      <c r="E24" s="19" t="s">
        <v>169</v>
      </c>
      <c r="F24" s="22">
        <v>63</v>
      </c>
      <c r="G24" s="22">
        <v>23</v>
      </c>
      <c r="H24" s="21">
        <f t="shared" si="1"/>
        <v>1449</v>
      </c>
      <c r="I24" s="177">
        <f t="shared" si="2"/>
        <v>15596.891099999999</v>
      </c>
      <c r="J24" s="13">
        <v>9.59</v>
      </c>
      <c r="K24" s="13">
        <f t="shared" si="3"/>
        <v>31.4632556</v>
      </c>
      <c r="L24" s="17">
        <v>2007</v>
      </c>
      <c r="M24" s="19">
        <v>2024</v>
      </c>
      <c r="N24" s="19">
        <f t="shared" si="0"/>
        <v>17</v>
      </c>
      <c r="O24" s="19">
        <v>60</v>
      </c>
      <c r="P24" s="19">
        <v>0.05</v>
      </c>
      <c r="Q24" s="20">
        <f t="shared" si="10"/>
        <v>1.5833333333333331E-2</v>
      </c>
      <c r="R24" s="177">
        <v>1200</v>
      </c>
      <c r="S24" s="177">
        <f t="shared" si="5"/>
        <v>12916.68</v>
      </c>
      <c r="T24" s="177">
        <f t="shared" si="9"/>
        <v>18716269.32</v>
      </c>
      <c r="U24" s="177">
        <f t="shared" si="6"/>
        <v>5037795.8252999997</v>
      </c>
      <c r="V24" s="177">
        <f t="shared" si="7"/>
        <v>13678473.4947</v>
      </c>
      <c r="W24" s="177">
        <v>0</v>
      </c>
      <c r="X24" s="177">
        <f t="shared" si="8"/>
        <v>13678473.4947</v>
      </c>
    </row>
    <row r="25" spans="2:24" x14ac:dyDescent="0.25">
      <c r="B25" s="17">
        <v>22</v>
      </c>
      <c r="C25" s="12" t="s">
        <v>38</v>
      </c>
      <c r="D25" s="12" t="s">
        <v>71</v>
      </c>
      <c r="E25" s="19" t="s">
        <v>169</v>
      </c>
      <c r="F25" s="22">
        <v>8</v>
      </c>
      <c r="G25" s="22">
        <v>4</v>
      </c>
      <c r="H25" s="21">
        <f t="shared" si="1"/>
        <v>32</v>
      </c>
      <c r="I25" s="177">
        <f t="shared" si="2"/>
        <v>344.44479999999999</v>
      </c>
      <c r="J25" s="13">
        <v>3</v>
      </c>
      <c r="K25" s="13">
        <f t="shared" si="3"/>
        <v>9.8425200000000004</v>
      </c>
      <c r="L25" s="17">
        <v>2007</v>
      </c>
      <c r="M25" s="19">
        <v>2024</v>
      </c>
      <c r="N25" s="19">
        <f t="shared" si="0"/>
        <v>17</v>
      </c>
      <c r="O25" s="19">
        <v>60</v>
      </c>
      <c r="P25" s="19">
        <v>0.05</v>
      </c>
      <c r="Q25" s="20">
        <f t="shared" si="10"/>
        <v>1.5833333333333331E-2</v>
      </c>
      <c r="R25" s="177">
        <v>1000</v>
      </c>
      <c r="S25" s="177">
        <f t="shared" si="5"/>
        <v>10763.9</v>
      </c>
      <c r="T25" s="177">
        <f t="shared" si="9"/>
        <v>344444.8</v>
      </c>
      <c r="U25" s="177">
        <f t="shared" si="6"/>
        <v>92713.05866666665</v>
      </c>
      <c r="V25" s="177">
        <f t="shared" si="7"/>
        <v>251731.74133333334</v>
      </c>
      <c r="W25" s="177">
        <v>0</v>
      </c>
      <c r="X25" s="177">
        <f t="shared" si="8"/>
        <v>251731.74133333334</v>
      </c>
    </row>
    <row r="26" spans="2:24" x14ac:dyDescent="0.25">
      <c r="B26" s="17">
        <v>23</v>
      </c>
      <c r="C26" s="12" t="s">
        <v>39</v>
      </c>
      <c r="D26" s="12" t="s">
        <v>71</v>
      </c>
      <c r="E26" s="19" t="s">
        <v>169</v>
      </c>
      <c r="F26" s="22">
        <v>16.7</v>
      </c>
      <c r="G26" s="22">
        <v>6.2</v>
      </c>
      <c r="H26" s="21">
        <f t="shared" si="1"/>
        <v>103.53999999999999</v>
      </c>
      <c r="I26" s="177">
        <f t="shared" si="2"/>
        <v>1114.4942059999998</v>
      </c>
      <c r="J26" s="13">
        <v>3</v>
      </c>
      <c r="K26" s="13">
        <f t="shared" si="3"/>
        <v>9.8425200000000004</v>
      </c>
      <c r="L26" s="17">
        <v>2007</v>
      </c>
      <c r="M26" s="19">
        <v>2024</v>
      </c>
      <c r="N26" s="19">
        <f t="shared" si="0"/>
        <v>17</v>
      </c>
      <c r="O26" s="19">
        <v>40</v>
      </c>
      <c r="P26" s="19">
        <v>0.05</v>
      </c>
      <c r="Q26" s="20">
        <f t="shared" si="10"/>
        <v>2.375E-2</v>
      </c>
      <c r="R26" s="177">
        <v>1000</v>
      </c>
      <c r="S26" s="177">
        <f t="shared" si="5"/>
        <v>10763.9</v>
      </c>
      <c r="T26" s="177">
        <f t="shared" si="9"/>
        <v>1114494.2059999998</v>
      </c>
      <c r="U26" s="177">
        <f t="shared" si="6"/>
        <v>449977.03567249991</v>
      </c>
      <c r="V26" s="177">
        <f t="shared" si="7"/>
        <v>664517.17032749986</v>
      </c>
      <c r="W26" s="177">
        <v>0</v>
      </c>
      <c r="X26" s="177">
        <f t="shared" si="8"/>
        <v>664517.17032749986</v>
      </c>
    </row>
    <row r="27" spans="2:24" x14ac:dyDescent="0.25">
      <c r="B27" s="17">
        <v>24</v>
      </c>
      <c r="C27" s="12" t="s">
        <v>40</v>
      </c>
      <c r="D27" s="12" t="s">
        <v>71</v>
      </c>
      <c r="E27" s="19" t="s">
        <v>169</v>
      </c>
      <c r="F27" s="22">
        <v>10</v>
      </c>
      <c r="G27" s="22">
        <v>21</v>
      </c>
      <c r="H27" s="21">
        <f t="shared" si="1"/>
        <v>210</v>
      </c>
      <c r="I27" s="177">
        <f t="shared" si="2"/>
        <v>2260.4189999999999</v>
      </c>
      <c r="J27" s="13">
        <v>4.5</v>
      </c>
      <c r="K27" s="13">
        <f t="shared" si="3"/>
        <v>14.763780000000001</v>
      </c>
      <c r="L27" s="17">
        <v>2007</v>
      </c>
      <c r="M27" s="19">
        <v>2024</v>
      </c>
      <c r="N27" s="19">
        <f t="shared" si="0"/>
        <v>17</v>
      </c>
      <c r="O27" s="19">
        <v>60</v>
      </c>
      <c r="P27" s="19">
        <v>0.05</v>
      </c>
      <c r="Q27" s="20">
        <f t="shared" si="10"/>
        <v>1.5833333333333331E-2</v>
      </c>
      <c r="R27" s="177">
        <v>1100</v>
      </c>
      <c r="S27" s="177">
        <f t="shared" si="5"/>
        <v>11840.289999999999</v>
      </c>
      <c r="T27" s="177">
        <f t="shared" si="9"/>
        <v>2486460.9</v>
      </c>
      <c r="U27" s="177">
        <f t="shared" si="6"/>
        <v>669272.3922499998</v>
      </c>
      <c r="V27" s="177">
        <f t="shared" si="7"/>
        <v>1817188.5077500001</v>
      </c>
      <c r="W27" s="177">
        <v>0</v>
      </c>
      <c r="X27" s="177">
        <f t="shared" si="8"/>
        <v>1817188.5077500001</v>
      </c>
    </row>
    <row r="28" spans="2:24" x14ac:dyDescent="0.25">
      <c r="B28" s="17">
        <v>25</v>
      </c>
      <c r="C28" s="12" t="s">
        <v>41</v>
      </c>
      <c r="D28" s="12" t="s">
        <v>76</v>
      </c>
      <c r="E28" s="19" t="s">
        <v>169</v>
      </c>
      <c r="F28" s="22">
        <v>10</v>
      </c>
      <c r="G28" s="22">
        <v>21</v>
      </c>
      <c r="H28" s="21">
        <f t="shared" si="1"/>
        <v>210</v>
      </c>
      <c r="I28" s="177">
        <f t="shared" si="2"/>
        <v>2260.4189999999999</v>
      </c>
      <c r="J28" s="13">
        <v>4.5</v>
      </c>
      <c r="K28" s="13">
        <f t="shared" si="3"/>
        <v>14.763780000000001</v>
      </c>
      <c r="L28" s="17">
        <v>2007</v>
      </c>
      <c r="M28" s="19">
        <v>2024</v>
      </c>
      <c r="N28" s="19">
        <f t="shared" si="0"/>
        <v>17</v>
      </c>
      <c r="O28" s="19">
        <v>60</v>
      </c>
      <c r="P28" s="19">
        <v>0.05</v>
      </c>
      <c r="Q28" s="20">
        <f t="shared" si="10"/>
        <v>1.5833333333333331E-2</v>
      </c>
      <c r="R28" s="177">
        <v>1100</v>
      </c>
      <c r="S28" s="177">
        <f t="shared" si="5"/>
        <v>11840.289999999999</v>
      </c>
      <c r="T28" s="177">
        <f t="shared" si="9"/>
        <v>2486460.9</v>
      </c>
      <c r="U28" s="177">
        <f t="shared" si="6"/>
        <v>669272.3922499998</v>
      </c>
      <c r="V28" s="177">
        <f t="shared" si="7"/>
        <v>1817188.5077500001</v>
      </c>
      <c r="W28" s="177">
        <v>0</v>
      </c>
      <c r="X28" s="177">
        <f t="shared" si="8"/>
        <v>1817188.5077500001</v>
      </c>
    </row>
    <row r="29" spans="2:24" x14ac:dyDescent="0.25">
      <c r="B29" s="17">
        <v>26</v>
      </c>
      <c r="C29" s="12" t="s">
        <v>42</v>
      </c>
      <c r="D29" s="12" t="s">
        <v>71</v>
      </c>
      <c r="E29" s="19" t="s">
        <v>169</v>
      </c>
      <c r="F29" s="22">
        <v>10</v>
      </c>
      <c r="G29" s="22">
        <v>21</v>
      </c>
      <c r="H29" s="21">
        <f t="shared" si="1"/>
        <v>210</v>
      </c>
      <c r="I29" s="177">
        <f t="shared" si="2"/>
        <v>2260.4189999999999</v>
      </c>
      <c r="J29" s="13">
        <v>4.5</v>
      </c>
      <c r="K29" s="13">
        <f t="shared" si="3"/>
        <v>14.763780000000001</v>
      </c>
      <c r="L29" s="17">
        <v>2007</v>
      </c>
      <c r="M29" s="19">
        <v>2024</v>
      </c>
      <c r="N29" s="19">
        <f t="shared" si="0"/>
        <v>17</v>
      </c>
      <c r="O29" s="19">
        <v>60</v>
      </c>
      <c r="P29" s="19">
        <v>0.05</v>
      </c>
      <c r="Q29" s="20">
        <f t="shared" si="10"/>
        <v>1.5833333333333331E-2</v>
      </c>
      <c r="R29" s="177">
        <v>1200</v>
      </c>
      <c r="S29" s="177">
        <f t="shared" si="5"/>
        <v>12916.68</v>
      </c>
      <c r="T29" s="177">
        <f t="shared" si="9"/>
        <v>2712502.8000000003</v>
      </c>
      <c r="U29" s="177">
        <f t="shared" si="6"/>
        <v>730115.33699999994</v>
      </c>
      <c r="V29" s="177">
        <f t="shared" si="7"/>
        <v>1982387.4630000005</v>
      </c>
      <c r="W29" s="177">
        <v>0</v>
      </c>
      <c r="X29" s="177">
        <f t="shared" si="8"/>
        <v>1982387.4630000005</v>
      </c>
    </row>
    <row r="30" spans="2:24" x14ac:dyDescent="0.25">
      <c r="B30" s="17">
        <v>27</v>
      </c>
      <c r="C30" s="12" t="s">
        <v>43</v>
      </c>
      <c r="D30" s="12" t="s">
        <v>73</v>
      </c>
      <c r="E30" s="19" t="s">
        <v>169</v>
      </c>
      <c r="F30" s="22">
        <v>975</v>
      </c>
      <c r="G30" s="22">
        <v>1.5</v>
      </c>
      <c r="H30" s="21">
        <f t="shared" si="1"/>
        <v>1462.5</v>
      </c>
      <c r="I30" s="177">
        <f t="shared" si="2"/>
        <v>15742.203749999999</v>
      </c>
      <c r="J30" s="13">
        <v>1.25</v>
      </c>
      <c r="K30" s="13">
        <f t="shared" si="3"/>
        <v>4.1010499999999999</v>
      </c>
      <c r="L30" s="17">
        <v>2007</v>
      </c>
      <c r="M30" s="19">
        <v>2024</v>
      </c>
      <c r="N30" s="19">
        <f t="shared" si="0"/>
        <v>17</v>
      </c>
      <c r="O30" s="19">
        <v>60</v>
      </c>
      <c r="P30" s="19">
        <v>0.05</v>
      </c>
      <c r="Q30" s="20">
        <f t="shared" si="10"/>
        <v>1.5833333333333331E-2</v>
      </c>
      <c r="R30" s="177">
        <v>400</v>
      </c>
      <c r="S30" s="177">
        <f t="shared" si="5"/>
        <v>4305.5599999999995</v>
      </c>
      <c r="T30" s="177">
        <f t="shared" si="9"/>
        <v>6296881.4999999991</v>
      </c>
      <c r="U30" s="177">
        <f t="shared" si="6"/>
        <v>1694910.6037499995</v>
      </c>
      <c r="V30" s="177">
        <f t="shared" si="7"/>
        <v>4601970.8962499993</v>
      </c>
      <c r="W30" s="177">
        <v>0</v>
      </c>
      <c r="X30" s="177">
        <f t="shared" si="8"/>
        <v>4601970.8962499993</v>
      </c>
    </row>
    <row r="31" spans="2:24" x14ac:dyDescent="0.25">
      <c r="B31" s="17">
        <v>28</v>
      </c>
      <c r="C31" s="12" t="s">
        <v>46</v>
      </c>
      <c r="D31" s="12" t="s">
        <v>64</v>
      </c>
      <c r="E31" s="19" t="s">
        <v>169</v>
      </c>
      <c r="F31" s="22">
        <v>30</v>
      </c>
      <c r="G31" s="22">
        <v>19</v>
      </c>
      <c r="H31" s="21">
        <f t="shared" si="1"/>
        <v>570</v>
      </c>
      <c r="I31" s="177">
        <f t="shared" si="2"/>
        <v>6135.4229999999998</v>
      </c>
      <c r="J31" s="13">
        <v>10.130000000000001</v>
      </c>
      <c r="K31" s="13">
        <f t="shared" si="3"/>
        <v>33.234909200000004</v>
      </c>
      <c r="L31" s="17">
        <v>2007</v>
      </c>
      <c r="M31" s="19">
        <v>2024</v>
      </c>
      <c r="N31" s="19">
        <f t="shared" si="0"/>
        <v>17</v>
      </c>
      <c r="O31" s="19">
        <v>40</v>
      </c>
      <c r="P31" s="19">
        <v>0.05</v>
      </c>
      <c r="Q31" s="20">
        <f t="shared" si="10"/>
        <v>2.375E-2</v>
      </c>
      <c r="R31" s="177">
        <v>1200</v>
      </c>
      <c r="S31" s="177">
        <f t="shared" si="5"/>
        <v>12916.68</v>
      </c>
      <c r="T31" s="177">
        <f t="shared" si="9"/>
        <v>7362507.6000000006</v>
      </c>
      <c r="U31" s="177">
        <f t="shared" si="6"/>
        <v>2972612.4435000001</v>
      </c>
      <c r="V31" s="177">
        <f t="shared" si="7"/>
        <v>4389895.1565000005</v>
      </c>
      <c r="W31" s="177">
        <v>0</v>
      </c>
      <c r="X31" s="177">
        <f t="shared" si="8"/>
        <v>4389895.1565000005</v>
      </c>
    </row>
    <row r="32" spans="2:24" x14ac:dyDescent="0.25">
      <c r="B32" s="17">
        <v>29</v>
      </c>
      <c r="C32" s="12" t="s">
        <v>47</v>
      </c>
      <c r="D32" s="12" t="s">
        <v>77</v>
      </c>
      <c r="E32" s="19" t="s">
        <v>169</v>
      </c>
      <c r="F32" s="22">
        <v>36</v>
      </c>
      <c r="G32" s="22">
        <v>12</v>
      </c>
      <c r="H32" s="21">
        <f t="shared" si="1"/>
        <v>432</v>
      </c>
      <c r="I32" s="177">
        <f t="shared" si="2"/>
        <v>4650.0047999999997</v>
      </c>
      <c r="J32" s="13">
        <v>6.9</v>
      </c>
      <c r="K32" s="13">
        <f t="shared" si="3"/>
        <v>22.637796000000002</v>
      </c>
      <c r="L32" s="17">
        <v>2007</v>
      </c>
      <c r="M32" s="19">
        <v>2024</v>
      </c>
      <c r="N32" s="19">
        <f t="shared" si="0"/>
        <v>17</v>
      </c>
      <c r="O32" s="19">
        <v>60</v>
      </c>
      <c r="P32" s="19">
        <v>0.05</v>
      </c>
      <c r="Q32" s="20">
        <f t="shared" si="10"/>
        <v>1.5833333333333331E-2</v>
      </c>
      <c r="R32" s="177">
        <v>1200</v>
      </c>
      <c r="S32" s="177">
        <f t="shared" si="5"/>
        <v>12916.68</v>
      </c>
      <c r="T32" s="177">
        <f t="shared" si="9"/>
        <v>5580005.7599999998</v>
      </c>
      <c r="U32" s="177">
        <f t="shared" si="6"/>
        <v>1501951.5503999996</v>
      </c>
      <c r="V32" s="177">
        <f t="shared" si="7"/>
        <v>4078054.2096000002</v>
      </c>
      <c r="W32" s="177">
        <v>0</v>
      </c>
      <c r="X32" s="177">
        <f t="shared" si="8"/>
        <v>4078054.2096000002</v>
      </c>
    </row>
    <row r="33" spans="2:24" x14ac:dyDescent="0.25">
      <c r="B33" s="17">
        <v>30</v>
      </c>
      <c r="C33" s="12" t="s">
        <v>48</v>
      </c>
      <c r="D33" s="12" t="s">
        <v>78</v>
      </c>
      <c r="E33" s="19" t="s">
        <v>169</v>
      </c>
      <c r="F33" s="22">
        <v>54</v>
      </c>
      <c r="G33" s="22">
        <v>18</v>
      </c>
      <c r="H33" s="21">
        <f t="shared" si="1"/>
        <v>972</v>
      </c>
      <c r="I33" s="177">
        <f t="shared" si="2"/>
        <v>10462.5108</v>
      </c>
      <c r="J33" s="13">
        <v>4.5</v>
      </c>
      <c r="K33" s="13">
        <f t="shared" si="3"/>
        <v>14.763780000000001</v>
      </c>
      <c r="L33" s="17">
        <v>2007</v>
      </c>
      <c r="M33" s="19">
        <v>2024</v>
      </c>
      <c r="N33" s="19">
        <f t="shared" si="0"/>
        <v>17</v>
      </c>
      <c r="O33" s="19">
        <v>40</v>
      </c>
      <c r="P33" s="19">
        <v>0.05</v>
      </c>
      <c r="Q33" s="20">
        <f t="shared" si="10"/>
        <v>2.375E-2</v>
      </c>
      <c r="R33" s="177">
        <v>1200</v>
      </c>
      <c r="S33" s="177">
        <f t="shared" si="5"/>
        <v>12916.68</v>
      </c>
      <c r="T33" s="177">
        <f t="shared" si="9"/>
        <v>12555012.960000001</v>
      </c>
      <c r="U33" s="177">
        <f t="shared" si="6"/>
        <v>5069086.4825999998</v>
      </c>
      <c r="V33" s="177">
        <f t="shared" si="7"/>
        <v>7485926.4774000011</v>
      </c>
      <c r="W33" s="177">
        <v>0</v>
      </c>
      <c r="X33" s="177">
        <f t="shared" si="8"/>
        <v>7485926.4774000011</v>
      </c>
    </row>
    <row r="34" spans="2:24" x14ac:dyDescent="0.25">
      <c r="B34" s="17">
        <v>31</v>
      </c>
      <c r="C34" s="12" t="s">
        <v>49</v>
      </c>
      <c r="D34" s="12" t="s">
        <v>77</v>
      </c>
      <c r="E34" s="19" t="s">
        <v>169</v>
      </c>
      <c r="F34" s="22">
        <v>54</v>
      </c>
      <c r="G34" s="22">
        <v>18</v>
      </c>
      <c r="H34" s="21">
        <f t="shared" si="1"/>
        <v>972</v>
      </c>
      <c r="I34" s="177">
        <f t="shared" si="2"/>
        <v>10462.5108</v>
      </c>
      <c r="J34" s="13">
        <v>4.5</v>
      </c>
      <c r="K34" s="13">
        <f t="shared" si="3"/>
        <v>14.763780000000001</v>
      </c>
      <c r="L34" s="17">
        <v>2007</v>
      </c>
      <c r="M34" s="19">
        <v>2024</v>
      </c>
      <c r="N34" s="19">
        <f t="shared" si="0"/>
        <v>17</v>
      </c>
      <c r="O34" s="11">
        <v>60</v>
      </c>
      <c r="P34" s="19">
        <v>0.05</v>
      </c>
      <c r="Q34" s="20">
        <f t="shared" si="10"/>
        <v>1.5833333333333331E-2</v>
      </c>
      <c r="R34" s="178">
        <v>1200</v>
      </c>
      <c r="S34" s="178">
        <f t="shared" si="5"/>
        <v>12916.68</v>
      </c>
      <c r="T34" s="178">
        <f t="shared" si="9"/>
        <v>12555012.960000001</v>
      </c>
      <c r="U34" s="177">
        <f t="shared" si="6"/>
        <v>3379390.9884000001</v>
      </c>
      <c r="V34" s="177">
        <f t="shared" si="7"/>
        <v>9175621.9715999998</v>
      </c>
      <c r="W34" s="177">
        <v>0</v>
      </c>
      <c r="X34" s="177">
        <f t="shared" si="8"/>
        <v>9175621.9715999998</v>
      </c>
    </row>
    <row r="35" spans="2:24" x14ac:dyDescent="0.25">
      <c r="B35" s="17">
        <v>34</v>
      </c>
      <c r="C35" s="12" t="s">
        <v>52</v>
      </c>
      <c r="D35" s="12" t="s">
        <v>73</v>
      </c>
      <c r="E35" s="19" t="s">
        <v>169</v>
      </c>
      <c r="F35" s="22">
        <v>4</v>
      </c>
      <c r="G35" s="22">
        <v>5</v>
      </c>
      <c r="H35" s="21">
        <f t="shared" si="1"/>
        <v>20</v>
      </c>
      <c r="I35" s="177">
        <f t="shared" si="2"/>
        <v>215.27799999999999</v>
      </c>
      <c r="J35" s="13">
        <v>4</v>
      </c>
      <c r="K35" s="13">
        <f t="shared" si="3"/>
        <v>13.12336</v>
      </c>
      <c r="L35" s="17">
        <v>2007</v>
      </c>
      <c r="M35" s="19">
        <v>2024</v>
      </c>
      <c r="N35" s="19">
        <f t="shared" si="0"/>
        <v>17</v>
      </c>
      <c r="O35" s="11">
        <v>60</v>
      </c>
      <c r="P35" s="19">
        <v>0.05</v>
      </c>
      <c r="Q35" s="20">
        <f t="shared" si="10"/>
        <v>1.5833333333333331E-2</v>
      </c>
      <c r="R35" s="178">
        <v>1200</v>
      </c>
      <c r="S35" s="178">
        <f t="shared" si="5"/>
        <v>12916.68</v>
      </c>
      <c r="T35" s="178">
        <f t="shared" si="9"/>
        <v>258333.6</v>
      </c>
      <c r="U35" s="177">
        <f t="shared" si="6"/>
        <v>69534.793999999994</v>
      </c>
      <c r="V35" s="177">
        <f t="shared" si="7"/>
        <v>188798.80600000001</v>
      </c>
      <c r="W35" s="177">
        <v>0</v>
      </c>
      <c r="X35" s="177">
        <f t="shared" si="8"/>
        <v>188798.80600000001</v>
      </c>
    </row>
    <row r="36" spans="2:24" ht="30" x14ac:dyDescent="0.25">
      <c r="B36" s="17">
        <v>35</v>
      </c>
      <c r="C36" s="12" t="s">
        <v>57</v>
      </c>
      <c r="D36" s="12" t="s">
        <v>81</v>
      </c>
      <c r="E36" s="19" t="s">
        <v>169</v>
      </c>
      <c r="F36" s="22">
        <v>4</v>
      </c>
      <c r="G36" s="22">
        <v>4</v>
      </c>
      <c r="H36" s="21">
        <f t="shared" si="1"/>
        <v>16</v>
      </c>
      <c r="I36" s="177">
        <f t="shared" si="2"/>
        <v>172.22239999999999</v>
      </c>
      <c r="J36" s="13">
        <v>4</v>
      </c>
      <c r="K36" s="13">
        <f t="shared" si="3"/>
        <v>13.12336</v>
      </c>
      <c r="L36" s="17">
        <v>2007</v>
      </c>
      <c r="M36" s="19">
        <v>2024</v>
      </c>
      <c r="N36" s="19">
        <f t="shared" si="0"/>
        <v>17</v>
      </c>
      <c r="O36" s="11">
        <v>60</v>
      </c>
      <c r="P36" s="19">
        <v>0.05</v>
      </c>
      <c r="Q36" s="20">
        <f t="shared" si="10"/>
        <v>1.5833333333333331E-2</v>
      </c>
      <c r="R36" s="178">
        <v>1000</v>
      </c>
      <c r="S36" s="178">
        <f t="shared" si="5"/>
        <v>10763.9</v>
      </c>
      <c r="T36" s="178">
        <f t="shared" si="9"/>
        <v>172222.4</v>
      </c>
      <c r="U36" s="177">
        <f t="shared" si="6"/>
        <v>46356.529333333325</v>
      </c>
      <c r="V36" s="177">
        <f t="shared" si="7"/>
        <v>125865.87066666667</v>
      </c>
      <c r="W36" s="177">
        <v>0</v>
      </c>
      <c r="X36" s="177">
        <f t="shared" si="8"/>
        <v>125865.87066666667</v>
      </c>
    </row>
    <row r="37" spans="2:24" ht="30" x14ac:dyDescent="0.25">
      <c r="B37" s="17">
        <v>36</v>
      </c>
      <c r="C37" s="12" t="s">
        <v>58</v>
      </c>
      <c r="D37" s="12" t="s">
        <v>73</v>
      </c>
      <c r="E37" s="19" t="s">
        <v>169</v>
      </c>
      <c r="F37" s="22">
        <v>4</v>
      </c>
      <c r="G37" s="22">
        <v>4</v>
      </c>
      <c r="H37" s="21">
        <f t="shared" si="1"/>
        <v>16</v>
      </c>
      <c r="I37" s="177">
        <f t="shared" si="2"/>
        <v>172.22239999999999</v>
      </c>
      <c r="J37" s="13">
        <v>4</v>
      </c>
      <c r="K37" s="13">
        <f t="shared" si="3"/>
        <v>13.12336</v>
      </c>
      <c r="L37" s="17">
        <v>2007</v>
      </c>
      <c r="M37" s="19">
        <v>2024</v>
      </c>
      <c r="N37" s="19">
        <f t="shared" si="0"/>
        <v>17</v>
      </c>
      <c r="O37" s="11">
        <v>60</v>
      </c>
      <c r="P37" s="19">
        <v>0.05</v>
      </c>
      <c r="Q37" s="20">
        <f t="shared" si="10"/>
        <v>1.5833333333333331E-2</v>
      </c>
      <c r="R37" s="178">
        <v>1000</v>
      </c>
      <c r="S37" s="178">
        <f t="shared" si="5"/>
        <v>10763.9</v>
      </c>
      <c r="T37" s="178">
        <f t="shared" si="9"/>
        <v>172222.4</v>
      </c>
      <c r="U37" s="177">
        <f t="shared" si="6"/>
        <v>46356.529333333325</v>
      </c>
      <c r="V37" s="177">
        <f t="shared" si="7"/>
        <v>125865.87066666667</v>
      </c>
      <c r="W37" s="177">
        <v>0</v>
      </c>
      <c r="X37" s="177">
        <f t="shared" si="8"/>
        <v>125865.87066666667</v>
      </c>
    </row>
    <row r="38" spans="2:24" x14ac:dyDescent="0.25">
      <c r="B38" s="17">
        <v>37</v>
      </c>
      <c r="C38" s="12" t="s">
        <v>59</v>
      </c>
      <c r="D38" s="12" t="s">
        <v>73</v>
      </c>
      <c r="E38" s="19" t="s">
        <v>169</v>
      </c>
      <c r="F38" s="22">
        <v>4</v>
      </c>
      <c r="G38" s="22">
        <v>4</v>
      </c>
      <c r="H38" s="21">
        <f t="shared" si="1"/>
        <v>16</v>
      </c>
      <c r="I38" s="177">
        <f t="shared" si="2"/>
        <v>172.22239999999999</v>
      </c>
      <c r="J38" s="13">
        <v>3</v>
      </c>
      <c r="K38" s="13">
        <f t="shared" si="3"/>
        <v>9.8425200000000004</v>
      </c>
      <c r="L38" s="17">
        <v>2007</v>
      </c>
      <c r="M38" s="19">
        <v>2024</v>
      </c>
      <c r="N38" s="19">
        <f t="shared" si="0"/>
        <v>17</v>
      </c>
      <c r="O38" s="11">
        <v>60</v>
      </c>
      <c r="P38" s="19">
        <v>0.05</v>
      </c>
      <c r="Q38" s="20">
        <f t="shared" si="10"/>
        <v>1.5833333333333331E-2</v>
      </c>
      <c r="R38" s="178">
        <v>1000</v>
      </c>
      <c r="S38" s="178">
        <f t="shared" si="5"/>
        <v>10763.9</v>
      </c>
      <c r="T38" s="178">
        <f t="shared" si="9"/>
        <v>172222.4</v>
      </c>
      <c r="U38" s="177">
        <f t="shared" si="6"/>
        <v>46356.529333333325</v>
      </c>
      <c r="V38" s="177">
        <f t="shared" si="7"/>
        <v>125865.87066666667</v>
      </c>
      <c r="W38" s="177">
        <v>0</v>
      </c>
      <c r="X38" s="177">
        <f t="shared" si="8"/>
        <v>125865.87066666667</v>
      </c>
    </row>
    <row r="39" spans="2:24" x14ac:dyDescent="0.25">
      <c r="B39" s="17">
        <v>38</v>
      </c>
      <c r="C39" s="12" t="s">
        <v>88</v>
      </c>
      <c r="D39" s="12" t="s">
        <v>71</v>
      </c>
      <c r="E39" s="19" t="s">
        <v>169</v>
      </c>
      <c r="F39" s="22">
        <v>23.5</v>
      </c>
      <c r="G39" s="22">
        <v>18.5</v>
      </c>
      <c r="H39" s="21">
        <f t="shared" si="1"/>
        <v>434.75</v>
      </c>
      <c r="I39" s="177">
        <f t="shared" si="2"/>
        <v>4679.6055249999999</v>
      </c>
      <c r="J39" s="13">
        <v>4</v>
      </c>
      <c r="K39" s="13">
        <f t="shared" si="3"/>
        <v>13.12336</v>
      </c>
      <c r="L39" s="17">
        <v>2010</v>
      </c>
      <c r="M39" s="19">
        <v>2024</v>
      </c>
      <c r="N39" s="19">
        <f t="shared" si="0"/>
        <v>14</v>
      </c>
      <c r="O39" s="11">
        <v>60</v>
      </c>
      <c r="P39" s="19">
        <v>0.05</v>
      </c>
      <c r="Q39" s="20">
        <f t="shared" si="10"/>
        <v>1.5833333333333331E-2</v>
      </c>
      <c r="R39" s="178">
        <v>1400</v>
      </c>
      <c r="S39" s="178">
        <f t="shared" si="5"/>
        <v>15069.46</v>
      </c>
      <c r="T39" s="178">
        <f t="shared" si="9"/>
        <v>6551447.7349999994</v>
      </c>
      <c r="U39" s="177">
        <f t="shared" si="6"/>
        <v>1452237.5812583331</v>
      </c>
      <c r="V39" s="177">
        <f t="shared" si="7"/>
        <v>5099210.1537416661</v>
      </c>
      <c r="W39" s="177">
        <v>0</v>
      </c>
      <c r="X39" s="177">
        <f t="shared" si="8"/>
        <v>5099210.1537416661</v>
      </c>
    </row>
    <row r="40" spans="2:24" x14ac:dyDescent="0.25">
      <c r="B40" s="17">
        <v>39</v>
      </c>
      <c r="C40" s="12" t="s">
        <v>89</v>
      </c>
      <c r="D40" s="12" t="s">
        <v>71</v>
      </c>
      <c r="E40" s="19" t="s">
        <v>169</v>
      </c>
      <c r="F40" s="22">
        <v>23.5</v>
      </c>
      <c r="G40" s="22">
        <v>18.5</v>
      </c>
      <c r="H40" s="21">
        <f t="shared" si="1"/>
        <v>434.75</v>
      </c>
      <c r="I40" s="177">
        <f t="shared" si="2"/>
        <v>4679.6055249999999</v>
      </c>
      <c r="J40" s="13">
        <v>4</v>
      </c>
      <c r="K40" s="13">
        <f t="shared" si="3"/>
        <v>13.12336</v>
      </c>
      <c r="L40" s="17">
        <v>2010</v>
      </c>
      <c r="M40" s="19">
        <v>2024</v>
      </c>
      <c r="N40" s="19">
        <f t="shared" si="0"/>
        <v>14</v>
      </c>
      <c r="O40" s="11">
        <v>60</v>
      </c>
      <c r="P40" s="19">
        <v>0.05</v>
      </c>
      <c r="Q40" s="20">
        <f t="shared" si="10"/>
        <v>1.5833333333333331E-2</v>
      </c>
      <c r="R40" s="178">
        <v>1400</v>
      </c>
      <c r="S40" s="178">
        <f t="shared" si="5"/>
        <v>15069.46</v>
      </c>
      <c r="T40" s="178">
        <f t="shared" si="9"/>
        <v>6551447.7349999994</v>
      </c>
      <c r="U40" s="177">
        <f t="shared" si="6"/>
        <v>1452237.5812583331</v>
      </c>
      <c r="V40" s="177">
        <f t="shared" si="7"/>
        <v>5099210.1537416661</v>
      </c>
      <c r="W40" s="177">
        <v>0</v>
      </c>
      <c r="X40" s="177">
        <f t="shared" si="8"/>
        <v>5099210.1537416661</v>
      </c>
    </row>
    <row r="41" spans="2:24" x14ac:dyDescent="0.25">
      <c r="B41" s="17">
        <v>40</v>
      </c>
      <c r="C41" s="12" t="s">
        <v>90</v>
      </c>
      <c r="D41" s="12" t="s">
        <v>77</v>
      </c>
      <c r="E41" s="19" t="s">
        <v>169</v>
      </c>
      <c r="F41" s="22">
        <v>21.63</v>
      </c>
      <c r="G41" s="22">
        <v>26.11</v>
      </c>
      <c r="H41" s="21">
        <f t="shared" si="1"/>
        <v>564.75929999999994</v>
      </c>
      <c r="I41" s="177">
        <f t="shared" si="2"/>
        <v>6079.0126292699988</v>
      </c>
      <c r="J41" s="13">
        <v>5.25</v>
      </c>
      <c r="K41" s="13">
        <f t="shared" si="3"/>
        <v>17.224409999999999</v>
      </c>
      <c r="L41" s="17">
        <v>2007</v>
      </c>
      <c r="M41" s="19">
        <v>2024</v>
      </c>
      <c r="N41" s="19">
        <f t="shared" si="0"/>
        <v>17</v>
      </c>
      <c r="O41" s="11">
        <v>60</v>
      </c>
      <c r="P41" s="19">
        <v>0.05</v>
      </c>
      <c r="Q41" s="20">
        <f t="shared" si="10"/>
        <v>1.5833333333333331E-2</v>
      </c>
      <c r="R41" s="178">
        <v>1200</v>
      </c>
      <c r="S41" s="178">
        <f t="shared" si="5"/>
        <v>12916.68</v>
      </c>
      <c r="T41" s="178">
        <f t="shared" si="9"/>
        <v>7294815.1551239993</v>
      </c>
      <c r="U41" s="177">
        <f t="shared" si="6"/>
        <v>1963521.0792542095</v>
      </c>
      <c r="V41" s="177">
        <f t="shared" si="7"/>
        <v>5331294.0758697893</v>
      </c>
      <c r="W41" s="177">
        <v>0</v>
      </c>
      <c r="X41" s="177">
        <f t="shared" si="8"/>
        <v>5331294.0758697893</v>
      </c>
    </row>
    <row r="42" spans="2:24" x14ac:dyDescent="0.25">
      <c r="B42" s="17">
        <v>41</v>
      </c>
      <c r="C42" s="12" t="s">
        <v>91</v>
      </c>
      <c r="D42" s="12" t="s">
        <v>81</v>
      </c>
      <c r="E42" s="19" t="s">
        <v>169</v>
      </c>
      <c r="F42" s="22">
        <v>30</v>
      </c>
      <c r="G42" s="22">
        <v>4.5</v>
      </c>
      <c r="H42" s="21">
        <f t="shared" si="1"/>
        <v>135</v>
      </c>
      <c r="I42" s="177">
        <f t="shared" si="2"/>
        <v>1453.1264999999999</v>
      </c>
      <c r="J42" s="13">
        <v>3.2</v>
      </c>
      <c r="K42" s="13">
        <f t="shared" si="3"/>
        <v>10.498688000000001</v>
      </c>
      <c r="L42" s="17">
        <v>2007</v>
      </c>
      <c r="M42" s="19">
        <v>2024</v>
      </c>
      <c r="N42" s="19">
        <f t="shared" si="0"/>
        <v>17</v>
      </c>
      <c r="O42" s="11">
        <v>60</v>
      </c>
      <c r="P42" s="19">
        <v>0.05</v>
      </c>
      <c r="Q42" s="20">
        <f t="shared" si="10"/>
        <v>1.5833333333333331E-2</v>
      </c>
      <c r="R42" s="178">
        <v>1100</v>
      </c>
      <c r="S42" s="178">
        <f t="shared" si="5"/>
        <v>11840.289999999999</v>
      </c>
      <c r="T42" s="178">
        <f t="shared" si="9"/>
        <v>1598439.15</v>
      </c>
      <c r="U42" s="177">
        <f t="shared" si="6"/>
        <v>430246.53787499992</v>
      </c>
      <c r="V42" s="177">
        <f t="shared" si="7"/>
        <v>1168192.612125</v>
      </c>
      <c r="W42" s="177">
        <v>0</v>
      </c>
      <c r="X42" s="177">
        <f t="shared" si="8"/>
        <v>1168192.612125</v>
      </c>
    </row>
    <row r="43" spans="2:24" x14ac:dyDescent="0.25">
      <c r="B43" s="17">
        <v>42</v>
      </c>
      <c r="C43" s="12" t="s">
        <v>92</v>
      </c>
      <c r="D43" s="12" t="s">
        <v>81</v>
      </c>
      <c r="E43" s="19" t="s">
        <v>169</v>
      </c>
      <c r="F43" s="22">
        <v>4</v>
      </c>
      <c r="G43" s="22">
        <v>4</v>
      </c>
      <c r="H43" s="21">
        <f t="shared" si="1"/>
        <v>16</v>
      </c>
      <c r="I43" s="177">
        <f t="shared" si="2"/>
        <v>172.22239999999999</v>
      </c>
      <c r="J43" s="13">
        <v>3.2</v>
      </c>
      <c r="K43" s="13">
        <f t="shared" si="3"/>
        <v>10.498688000000001</v>
      </c>
      <c r="L43" s="17">
        <v>2007</v>
      </c>
      <c r="M43" s="19">
        <v>2024</v>
      </c>
      <c r="N43" s="19">
        <f t="shared" si="0"/>
        <v>17</v>
      </c>
      <c r="O43" s="11">
        <v>60</v>
      </c>
      <c r="P43" s="19">
        <v>0.05</v>
      </c>
      <c r="Q43" s="20">
        <f t="shared" si="10"/>
        <v>1.5833333333333331E-2</v>
      </c>
      <c r="R43" s="178">
        <v>1100</v>
      </c>
      <c r="S43" s="178">
        <f t="shared" si="5"/>
        <v>11840.289999999999</v>
      </c>
      <c r="T43" s="178">
        <f t="shared" si="9"/>
        <v>189444.63999999998</v>
      </c>
      <c r="U43" s="177">
        <f t="shared" si="6"/>
        <v>50992.182266666656</v>
      </c>
      <c r="V43" s="177">
        <f t="shared" si="7"/>
        <v>138452.45773333334</v>
      </c>
      <c r="W43" s="177">
        <v>0</v>
      </c>
      <c r="X43" s="177">
        <f t="shared" si="8"/>
        <v>138452.45773333334</v>
      </c>
    </row>
    <row r="44" spans="2:24" x14ac:dyDescent="0.25">
      <c r="B44" s="17">
        <v>43</v>
      </c>
      <c r="C44" s="12" t="s">
        <v>93</v>
      </c>
      <c r="D44" s="12" t="s">
        <v>78</v>
      </c>
      <c r="E44" s="19" t="s">
        <v>169</v>
      </c>
      <c r="F44" s="22">
        <v>12</v>
      </c>
      <c r="G44" s="22">
        <v>11</v>
      </c>
      <c r="H44" s="21">
        <f t="shared" si="1"/>
        <v>132</v>
      </c>
      <c r="I44" s="177">
        <f t="shared" si="2"/>
        <v>1420.8347999999999</v>
      </c>
      <c r="J44" s="13">
        <v>4</v>
      </c>
      <c r="K44" s="13">
        <f t="shared" si="3"/>
        <v>13.12336</v>
      </c>
      <c r="L44" s="17">
        <v>2007</v>
      </c>
      <c r="M44" s="19">
        <v>2024</v>
      </c>
      <c r="N44" s="19">
        <f t="shared" si="0"/>
        <v>17</v>
      </c>
      <c r="O44" s="11">
        <v>60</v>
      </c>
      <c r="P44" s="19">
        <v>0.05</v>
      </c>
      <c r="Q44" s="20">
        <f t="shared" si="10"/>
        <v>1.5833333333333331E-2</v>
      </c>
      <c r="R44" s="178">
        <v>1200</v>
      </c>
      <c r="S44" s="178">
        <f t="shared" si="5"/>
        <v>12916.68</v>
      </c>
      <c r="T44" s="178">
        <f t="shared" si="9"/>
        <v>1705001.76</v>
      </c>
      <c r="U44" s="177">
        <f t="shared" si="6"/>
        <v>458929.64039999992</v>
      </c>
      <c r="V44" s="177">
        <f t="shared" si="7"/>
        <v>1246072.1196000001</v>
      </c>
      <c r="W44" s="177">
        <v>0</v>
      </c>
      <c r="X44" s="177">
        <f t="shared" si="8"/>
        <v>1246072.1196000001</v>
      </c>
    </row>
    <row r="45" spans="2:24" x14ac:dyDescent="0.25">
      <c r="B45" s="17">
        <v>44</v>
      </c>
      <c r="C45" s="12" t="s">
        <v>94</v>
      </c>
      <c r="D45" s="12" t="s">
        <v>143</v>
      </c>
      <c r="E45" s="19" t="s">
        <v>169</v>
      </c>
      <c r="F45" s="22">
        <v>4.6500000000000004</v>
      </c>
      <c r="G45" s="22">
        <v>9.99</v>
      </c>
      <c r="H45" s="21">
        <f t="shared" si="1"/>
        <v>46.453500000000005</v>
      </c>
      <c r="I45" s="177">
        <f t="shared" si="2"/>
        <v>500.02082865000006</v>
      </c>
      <c r="J45" s="13">
        <v>4</v>
      </c>
      <c r="K45" s="13">
        <f t="shared" si="3"/>
        <v>13.12336</v>
      </c>
      <c r="L45" s="17">
        <v>2007</v>
      </c>
      <c r="M45" s="19">
        <v>2024</v>
      </c>
      <c r="N45" s="19">
        <f t="shared" si="0"/>
        <v>17</v>
      </c>
      <c r="O45" s="11">
        <v>60</v>
      </c>
      <c r="P45" s="19">
        <v>0.05</v>
      </c>
      <c r="Q45" s="20">
        <f t="shared" si="10"/>
        <v>1.5833333333333331E-2</v>
      </c>
      <c r="R45" s="178">
        <v>1200</v>
      </c>
      <c r="S45" s="178">
        <f t="shared" si="5"/>
        <v>12916.68</v>
      </c>
      <c r="T45" s="178">
        <f t="shared" si="9"/>
        <v>600024.99438000005</v>
      </c>
      <c r="U45" s="177">
        <f t="shared" si="6"/>
        <v>161506.72765395002</v>
      </c>
      <c r="V45" s="177">
        <f t="shared" si="7"/>
        <v>438518.26672605006</v>
      </c>
      <c r="W45" s="177">
        <v>0</v>
      </c>
      <c r="X45" s="177">
        <f t="shared" si="8"/>
        <v>438518.26672605006</v>
      </c>
    </row>
    <row r="46" spans="2:24" x14ac:dyDescent="0.25">
      <c r="B46" s="17">
        <v>45</v>
      </c>
      <c r="C46" s="12" t="s">
        <v>95</v>
      </c>
      <c r="D46" s="12" t="s">
        <v>78</v>
      </c>
      <c r="E46" s="19" t="s">
        <v>169</v>
      </c>
      <c r="F46" s="22">
        <v>24</v>
      </c>
      <c r="G46" s="22">
        <v>4</v>
      </c>
      <c r="H46" s="21">
        <f t="shared" si="1"/>
        <v>96</v>
      </c>
      <c r="I46" s="177">
        <f t="shared" si="2"/>
        <v>1033.3344</v>
      </c>
      <c r="J46" s="13">
        <v>4</v>
      </c>
      <c r="K46" s="13">
        <f t="shared" si="3"/>
        <v>13.12336</v>
      </c>
      <c r="L46" s="17">
        <v>2007</v>
      </c>
      <c r="M46" s="19">
        <v>2024</v>
      </c>
      <c r="N46" s="19">
        <f t="shared" si="0"/>
        <v>17</v>
      </c>
      <c r="O46" s="11">
        <v>60</v>
      </c>
      <c r="P46" s="19">
        <v>0.05</v>
      </c>
      <c r="Q46" s="20">
        <f t="shared" si="10"/>
        <v>1.5833333333333331E-2</v>
      </c>
      <c r="R46" s="178">
        <v>1200</v>
      </c>
      <c r="S46" s="178">
        <f t="shared" si="5"/>
        <v>12916.68</v>
      </c>
      <c r="T46" s="178">
        <f t="shared" si="9"/>
        <v>1240001.28</v>
      </c>
      <c r="U46" s="177">
        <f t="shared" si="6"/>
        <v>333767.01119999995</v>
      </c>
      <c r="V46" s="177">
        <f t="shared" si="7"/>
        <v>906234.26880000008</v>
      </c>
      <c r="W46" s="177">
        <v>0</v>
      </c>
      <c r="X46" s="177">
        <f t="shared" si="8"/>
        <v>906234.26880000008</v>
      </c>
    </row>
    <row r="47" spans="2:24" x14ac:dyDescent="0.25">
      <c r="B47" s="17">
        <v>46</v>
      </c>
      <c r="C47" s="12" t="s">
        <v>96</v>
      </c>
      <c r="D47" s="12" t="s">
        <v>81</v>
      </c>
      <c r="E47" s="19" t="s">
        <v>169</v>
      </c>
      <c r="F47" s="22">
        <v>6</v>
      </c>
      <c r="G47" s="22">
        <v>4</v>
      </c>
      <c r="H47" s="21">
        <f t="shared" si="1"/>
        <v>24</v>
      </c>
      <c r="I47" s="179">
        <f t="shared" si="2"/>
        <v>258.33359999999999</v>
      </c>
      <c r="J47" s="13">
        <v>3</v>
      </c>
      <c r="K47" s="13">
        <f t="shared" si="3"/>
        <v>9.8425200000000004</v>
      </c>
      <c r="L47" s="17">
        <v>2007</v>
      </c>
      <c r="M47" s="19">
        <v>2024</v>
      </c>
      <c r="N47" s="19">
        <f t="shared" si="0"/>
        <v>17</v>
      </c>
      <c r="O47" s="11">
        <v>60</v>
      </c>
      <c r="P47" s="19">
        <v>0.05</v>
      </c>
      <c r="Q47" s="20">
        <f t="shared" si="10"/>
        <v>1.5833333333333331E-2</v>
      </c>
      <c r="R47" s="178">
        <v>1000</v>
      </c>
      <c r="S47" s="178">
        <f t="shared" si="5"/>
        <v>10763.9</v>
      </c>
      <c r="T47" s="178">
        <f t="shared" si="9"/>
        <v>258333.59999999998</v>
      </c>
      <c r="U47" s="177">
        <f t="shared" si="6"/>
        <v>69534.793999999994</v>
      </c>
      <c r="V47" s="177">
        <f t="shared" si="7"/>
        <v>188798.80599999998</v>
      </c>
      <c r="W47" s="177">
        <v>0</v>
      </c>
      <c r="X47" s="177">
        <f t="shared" si="8"/>
        <v>188798.80599999998</v>
      </c>
    </row>
    <row r="48" spans="2:24" ht="30" x14ac:dyDescent="0.25">
      <c r="B48" s="17">
        <v>47</v>
      </c>
      <c r="C48" s="12" t="s">
        <v>100</v>
      </c>
      <c r="D48" s="12" t="s">
        <v>144</v>
      </c>
      <c r="E48" s="19" t="s">
        <v>169</v>
      </c>
      <c r="F48" s="13">
        <v>15</v>
      </c>
      <c r="G48" s="13">
        <v>5</v>
      </c>
      <c r="H48" s="23">
        <f t="shared" si="1"/>
        <v>75</v>
      </c>
      <c r="I48" s="179">
        <f t="shared" si="2"/>
        <v>807.29250000000002</v>
      </c>
      <c r="J48" s="13">
        <v>3.2</v>
      </c>
      <c r="K48" s="13">
        <f t="shared" si="3"/>
        <v>10.498688000000001</v>
      </c>
      <c r="L48" s="17">
        <v>2007</v>
      </c>
      <c r="M48" s="19">
        <v>2024</v>
      </c>
      <c r="N48" s="19">
        <f t="shared" si="0"/>
        <v>17</v>
      </c>
      <c r="O48" s="11">
        <v>60</v>
      </c>
      <c r="P48" s="19">
        <v>0.05</v>
      </c>
      <c r="Q48" s="20">
        <f t="shared" si="10"/>
        <v>1.5833333333333331E-2</v>
      </c>
      <c r="R48" s="178">
        <v>1000</v>
      </c>
      <c r="S48" s="178">
        <f t="shared" si="5"/>
        <v>10763.9</v>
      </c>
      <c r="T48" s="178">
        <f t="shared" si="9"/>
        <v>807292.5</v>
      </c>
      <c r="U48" s="177">
        <f t="shared" si="6"/>
        <v>217296.23124999998</v>
      </c>
      <c r="V48" s="177">
        <f t="shared" si="7"/>
        <v>589996.26875000005</v>
      </c>
      <c r="W48" s="177">
        <v>0</v>
      </c>
      <c r="X48" s="177">
        <f t="shared" si="8"/>
        <v>589996.26875000005</v>
      </c>
    </row>
    <row r="49" spans="2:24" x14ac:dyDescent="0.25">
      <c r="B49" s="17">
        <v>48</v>
      </c>
      <c r="C49" s="12" t="s">
        <v>101</v>
      </c>
      <c r="D49" s="12" t="s">
        <v>144</v>
      </c>
      <c r="E49" s="19" t="s">
        <v>169</v>
      </c>
      <c r="F49" s="13">
        <v>6</v>
      </c>
      <c r="G49" s="13">
        <v>3</v>
      </c>
      <c r="H49" s="23">
        <f t="shared" si="1"/>
        <v>18</v>
      </c>
      <c r="I49" s="179">
        <f t="shared" si="2"/>
        <v>193.75020000000001</v>
      </c>
      <c r="J49" s="13">
        <v>3.2</v>
      </c>
      <c r="K49" s="13">
        <f t="shared" si="3"/>
        <v>10.498688000000001</v>
      </c>
      <c r="L49" s="17">
        <v>2007</v>
      </c>
      <c r="M49" s="19">
        <v>2024</v>
      </c>
      <c r="N49" s="19">
        <f t="shared" si="0"/>
        <v>17</v>
      </c>
      <c r="O49" s="11">
        <v>60</v>
      </c>
      <c r="P49" s="19">
        <v>0.05</v>
      </c>
      <c r="Q49" s="20">
        <f t="shared" si="10"/>
        <v>1.5833333333333331E-2</v>
      </c>
      <c r="R49" s="178">
        <v>1000</v>
      </c>
      <c r="S49" s="178">
        <f t="shared" si="5"/>
        <v>10763.9</v>
      </c>
      <c r="T49" s="178">
        <f t="shared" si="9"/>
        <v>193750.19999999998</v>
      </c>
      <c r="U49" s="177">
        <f t="shared" si="6"/>
        <v>52151.095499999989</v>
      </c>
      <c r="V49" s="177">
        <f t="shared" si="7"/>
        <v>141599.10449999999</v>
      </c>
      <c r="W49" s="177">
        <v>0</v>
      </c>
      <c r="X49" s="177">
        <f t="shared" si="8"/>
        <v>141599.10449999999</v>
      </c>
    </row>
    <row r="50" spans="2:24" ht="30" x14ac:dyDescent="0.25">
      <c r="B50" s="17">
        <v>53</v>
      </c>
      <c r="C50" s="12" t="s">
        <v>114</v>
      </c>
      <c r="D50" s="12" t="s">
        <v>65</v>
      </c>
      <c r="E50" s="19" t="s">
        <v>169</v>
      </c>
      <c r="F50" s="13">
        <v>18.22</v>
      </c>
      <c r="G50" s="13">
        <v>15.31</v>
      </c>
      <c r="H50" s="23">
        <f t="shared" ref="H50:H62" si="11">F50*G50</f>
        <v>278.94819999999999</v>
      </c>
      <c r="I50" s="179">
        <f t="shared" ref="I50:I63" si="12">H50*10.7639</f>
        <v>3002.5705299799997</v>
      </c>
      <c r="J50" s="13">
        <v>3.5</v>
      </c>
      <c r="K50" s="13">
        <f t="shared" si="3"/>
        <v>11.482939999999999</v>
      </c>
      <c r="L50" s="17">
        <v>2010</v>
      </c>
      <c r="M50" s="19">
        <v>2024</v>
      </c>
      <c r="N50" s="19">
        <f t="shared" si="0"/>
        <v>14</v>
      </c>
      <c r="O50" s="11">
        <v>60</v>
      </c>
      <c r="P50" s="19">
        <v>0.05</v>
      </c>
      <c r="Q50" s="20">
        <f t="shared" si="10"/>
        <v>1.5833333333333331E-2</v>
      </c>
      <c r="R50" s="178">
        <v>1300</v>
      </c>
      <c r="S50" s="178">
        <f t="shared" si="5"/>
        <v>13993.07</v>
      </c>
      <c r="T50" s="178">
        <f t="shared" si="9"/>
        <v>3903341.6889739996</v>
      </c>
      <c r="U50" s="177">
        <f t="shared" si="6"/>
        <v>865240.74105590302</v>
      </c>
      <c r="V50" s="177">
        <f t="shared" si="7"/>
        <v>3038100.9479180966</v>
      </c>
      <c r="W50" s="177">
        <v>0</v>
      </c>
      <c r="X50" s="177">
        <f t="shared" si="8"/>
        <v>3038100.9479180966</v>
      </c>
    </row>
    <row r="51" spans="2:24" ht="30" x14ac:dyDescent="0.25">
      <c r="B51" s="17">
        <v>54</v>
      </c>
      <c r="C51" s="12" t="s">
        <v>115</v>
      </c>
      <c r="D51" s="12" t="s">
        <v>65</v>
      </c>
      <c r="E51" s="19" t="s">
        <v>169</v>
      </c>
      <c r="F51" s="13">
        <v>18.22</v>
      </c>
      <c r="G51" s="13">
        <v>15.31</v>
      </c>
      <c r="H51" s="23">
        <f t="shared" si="11"/>
        <v>278.94819999999999</v>
      </c>
      <c r="I51" s="179">
        <f t="shared" si="12"/>
        <v>3002.5705299799997</v>
      </c>
      <c r="J51" s="13">
        <v>3.5</v>
      </c>
      <c r="K51" s="13">
        <f t="shared" si="3"/>
        <v>11.482939999999999</v>
      </c>
      <c r="L51" s="17">
        <v>2010</v>
      </c>
      <c r="M51" s="19">
        <v>2024</v>
      </c>
      <c r="N51" s="19">
        <f t="shared" si="0"/>
        <v>14</v>
      </c>
      <c r="O51" s="11">
        <v>60</v>
      </c>
      <c r="P51" s="19">
        <v>0.05</v>
      </c>
      <c r="Q51" s="20">
        <f t="shared" si="10"/>
        <v>1.5833333333333331E-2</v>
      </c>
      <c r="R51" s="178">
        <v>1300</v>
      </c>
      <c r="S51" s="178">
        <f t="shared" si="5"/>
        <v>13993.07</v>
      </c>
      <c r="T51" s="178">
        <f t="shared" si="9"/>
        <v>3903341.6889739996</v>
      </c>
      <c r="U51" s="177">
        <f t="shared" si="6"/>
        <v>865240.74105590302</v>
      </c>
      <c r="V51" s="177">
        <f t="shared" si="7"/>
        <v>3038100.9479180966</v>
      </c>
      <c r="W51" s="177">
        <v>0</v>
      </c>
      <c r="X51" s="177">
        <f t="shared" si="8"/>
        <v>3038100.9479180966</v>
      </c>
    </row>
    <row r="52" spans="2:24" ht="30" x14ac:dyDescent="0.25">
      <c r="B52" s="17">
        <v>55</v>
      </c>
      <c r="C52" s="12" t="s">
        <v>116</v>
      </c>
      <c r="D52" s="12" t="s">
        <v>65</v>
      </c>
      <c r="E52" s="19" t="s">
        <v>169</v>
      </c>
      <c r="F52" s="13">
        <v>23.9</v>
      </c>
      <c r="G52" s="13">
        <v>21.48</v>
      </c>
      <c r="H52" s="23">
        <f t="shared" si="11"/>
        <v>513.37199999999996</v>
      </c>
      <c r="I52" s="179">
        <f t="shared" si="12"/>
        <v>5525.8848707999996</v>
      </c>
      <c r="J52" s="13">
        <v>3.5</v>
      </c>
      <c r="K52" s="13">
        <f t="shared" si="3"/>
        <v>11.482939999999999</v>
      </c>
      <c r="L52" s="17">
        <v>2010</v>
      </c>
      <c r="M52" s="19">
        <v>2024</v>
      </c>
      <c r="N52" s="19">
        <f t="shared" si="0"/>
        <v>14</v>
      </c>
      <c r="O52" s="11">
        <v>60</v>
      </c>
      <c r="P52" s="19">
        <v>0.05</v>
      </c>
      <c r="Q52" s="20">
        <f t="shared" si="10"/>
        <v>1.5833333333333331E-2</v>
      </c>
      <c r="R52" s="178">
        <v>1300</v>
      </c>
      <c r="S52" s="178">
        <f t="shared" si="5"/>
        <v>13993.07</v>
      </c>
      <c r="T52" s="178">
        <f t="shared" si="9"/>
        <v>7183650.3320399988</v>
      </c>
      <c r="U52" s="177">
        <f t="shared" si="6"/>
        <v>1592375.8236021996</v>
      </c>
      <c r="V52" s="177">
        <f t="shared" si="7"/>
        <v>5591274.5084377993</v>
      </c>
      <c r="W52" s="177">
        <v>0</v>
      </c>
      <c r="X52" s="177">
        <f t="shared" si="8"/>
        <v>5591274.5084377993</v>
      </c>
    </row>
    <row r="53" spans="2:24" ht="30" x14ac:dyDescent="0.25">
      <c r="B53" s="17">
        <v>56</v>
      </c>
      <c r="C53" s="12" t="s">
        <v>117</v>
      </c>
      <c r="D53" s="12" t="s">
        <v>65</v>
      </c>
      <c r="E53" s="19" t="s">
        <v>169</v>
      </c>
      <c r="F53" s="13">
        <v>23.9</v>
      </c>
      <c r="G53" s="13">
        <v>21.48</v>
      </c>
      <c r="H53" s="23">
        <f t="shared" si="11"/>
        <v>513.37199999999996</v>
      </c>
      <c r="I53" s="179">
        <f t="shared" si="12"/>
        <v>5525.8848707999996</v>
      </c>
      <c r="J53" s="13">
        <v>3.5</v>
      </c>
      <c r="K53" s="13">
        <f t="shared" si="3"/>
        <v>11.482939999999999</v>
      </c>
      <c r="L53" s="17">
        <v>2010</v>
      </c>
      <c r="M53" s="19">
        <v>2024</v>
      </c>
      <c r="N53" s="19">
        <f t="shared" si="0"/>
        <v>14</v>
      </c>
      <c r="O53" s="11">
        <v>60</v>
      </c>
      <c r="P53" s="19">
        <v>0.05</v>
      </c>
      <c r="Q53" s="20">
        <f t="shared" si="10"/>
        <v>1.5833333333333331E-2</v>
      </c>
      <c r="R53" s="178">
        <v>1300</v>
      </c>
      <c r="S53" s="178">
        <f t="shared" si="5"/>
        <v>13993.07</v>
      </c>
      <c r="T53" s="178">
        <f t="shared" si="9"/>
        <v>7183650.3320399988</v>
      </c>
      <c r="U53" s="177">
        <f t="shared" si="6"/>
        <v>1592375.8236021996</v>
      </c>
      <c r="V53" s="177">
        <f t="shared" si="7"/>
        <v>5591274.5084377993</v>
      </c>
      <c r="W53" s="177">
        <v>0</v>
      </c>
      <c r="X53" s="177">
        <f t="shared" si="8"/>
        <v>5591274.5084377993</v>
      </c>
    </row>
    <row r="54" spans="2:24" ht="30" x14ac:dyDescent="0.25">
      <c r="B54" s="17">
        <v>57</v>
      </c>
      <c r="C54" s="12" t="s">
        <v>118</v>
      </c>
      <c r="D54" s="12" t="s">
        <v>65</v>
      </c>
      <c r="E54" s="19" t="s">
        <v>169</v>
      </c>
      <c r="F54" s="13">
        <v>23.9</v>
      </c>
      <c r="G54" s="13">
        <v>21.48</v>
      </c>
      <c r="H54" s="23">
        <f t="shared" si="11"/>
        <v>513.37199999999996</v>
      </c>
      <c r="I54" s="179">
        <f t="shared" si="12"/>
        <v>5525.8848707999996</v>
      </c>
      <c r="J54" s="13">
        <v>3.5</v>
      </c>
      <c r="K54" s="13">
        <f t="shared" si="3"/>
        <v>11.482939999999999</v>
      </c>
      <c r="L54" s="17">
        <v>2010</v>
      </c>
      <c r="M54" s="19">
        <v>2024</v>
      </c>
      <c r="N54" s="19">
        <f t="shared" si="0"/>
        <v>14</v>
      </c>
      <c r="O54" s="11">
        <v>60</v>
      </c>
      <c r="P54" s="19">
        <v>0.05</v>
      </c>
      <c r="Q54" s="20">
        <f t="shared" si="10"/>
        <v>1.5833333333333331E-2</v>
      </c>
      <c r="R54" s="178">
        <v>1300</v>
      </c>
      <c r="S54" s="178">
        <f t="shared" si="5"/>
        <v>13993.07</v>
      </c>
      <c r="T54" s="178">
        <f t="shared" si="9"/>
        <v>7183650.3320399988</v>
      </c>
      <c r="U54" s="177">
        <f t="shared" si="6"/>
        <v>1592375.8236021996</v>
      </c>
      <c r="V54" s="177">
        <f t="shared" si="7"/>
        <v>5591274.5084377993</v>
      </c>
      <c r="W54" s="177">
        <v>0</v>
      </c>
      <c r="X54" s="177">
        <f t="shared" si="8"/>
        <v>5591274.5084377993</v>
      </c>
    </row>
    <row r="55" spans="2:24" ht="30" x14ac:dyDescent="0.25">
      <c r="B55" s="17">
        <v>58</v>
      </c>
      <c r="C55" s="12" t="s">
        <v>119</v>
      </c>
      <c r="D55" s="12" t="s">
        <v>65</v>
      </c>
      <c r="E55" s="19" t="s">
        <v>169</v>
      </c>
      <c r="F55" s="13">
        <v>23.9</v>
      </c>
      <c r="G55" s="13">
        <v>21.48</v>
      </c>
      <c r="H55" s="23">
        <f t="shared" si="11"/>
        <v>513.37199999999996</v>
      </c>
      <c r="I55" s="179">
        <f t="shared" si="12"/>
        <v>5525.8848707999996</v>
      </c>
      <c r="J55" s="13">
        <v>3.5</v>
      </c>
      <c r="K55" s="13">
        <f t="shared" si="3"/>
        <v>11.482939999999999</v>
      </c>
      <c r="L55" s="17">
        <v>2010</v>
      </c>
      <c r="M55" s="19">
        <v>2024</v>
      </c>
      <c r="N55" s="19">
        <f t="shared" si="0"/>
        <v>14</v>
      </c>
      <c r="O55" s="11">
        <v>60</v>
      </c>
      <c r="P55" s="19">
        <v>0.05</v>
      </c>
      <c r="Q55" s="20">
        <f t="shared" si="10"/>
        <v>1.5833333333333331E-2</v>
      </c>
      <c r="R55" s="178">
        <v>1300</v>
      </c>
      <c r="S55" s="178">
        <f t="shared" si="5"/>
        <v>13993.07</v>
      </c>
      <c r="T55" s="178">
        <f t="shared" si="9"/>
        <v>7183650.3320399988</v>
      </c>
      <c r="U55" s="177">
        <f t="shared" si="6"/>
        <v>1592375.8236021996</v>
      </c>
      <c r="V55" s="177">
        <f t="shared" si="7"/>
        <v>5591274.5084377993</v>
      </c>
      <c r="W55" s="177">
        <v>0</v>
      </c>
      <c r="X55" s="177">
        <f t="shared" si="8"/>
        <v>5591274.5084377993</v>
      </c>
    </row>
    <row r="56" spans="2:24" ht="30" x14ac:dyDescent="0.25">
      <c r="B56" s="17">
        <v>59</v>
      </c>
      <c r="C56" s="12" t="s">
        <v>120</v>
      </c>
      <c r="D56" s="12" t="s">
        <v>65</v>
      </c>
      <c r="E56" s="19" t="s">
        <v>169</v>
      </c>
      <c r="F56" s="13">
        <v>52</v>
      </c>
      <c r="G56" s="13">
        <v>26</v>
      </c>
      <c r="H56" s="23">
        <f t="shared" si="11"/>
        <v>1352</v>
      </c>
      <c r="I56" s="179">
        <f t="shared" si="12"/>
        <v>14552.792799999999</v>
      </c>
      <c r="J56" s="13">
        <v>3.5</v>
      </c>
      <c r="K56" s="13">
        <f t="shared" si="3"/>
        <v>11.482939999999999</v>
      </c>
      <c r="L56" s="17">
        <v>2010</v>
      </c>
      <c r="M56" s="19">
        <v>2024</v>
      </c>
      <c r="N56" s="19">
        <f t="shared" si="0"/>
        <v>14</v>
      </c>
      <c r="O56" s="11">
        <v>60</v>
      </c>
      <c r="P56" s="19">
        <v>0.05</v>
      </c>
      <c r="Q56" s="20">
        <f t="shared" si="10"/>
        <v>1.5833333333333331E-2</v>
      </c>
      <c r="R56" s="178">
        <v>1300</v>
      </c>
      <c r="S56" s="178">
        <f t="shared" si="5"/>
        <v>13993.07</v>
      </c>
      <c r="T56" s="178">
        <f t="shared" si="9"/>
        <v>18918630.640000001</v>
      </c>
      <c r="U56" s="177">
        <f t="shared" si="6"/>
        <v>4193629.7918666662</v>
      </c>
      <c r="V56" s="177">
        <f t="shared" si="7"/>
        <v>14725000.848133335</v>
      </c>
      <c r="W56" s="177">
        <v>0</v>
      </c>
      <c r="X56" s="177">
        <f t="shared" si="8"/>
        <v>14725000.848133335</v>
      </c>
    </row>
    <row r="57" spans="2:24" x14ac:dyDescent="0.25">
      <c r="B57" s="17">
        <v>60</v>
      </c>
      <c r="C57" s="12" t="s">
        <v>121</v>
      </c>
      <c r="D57" s="12" t="s">
        <v>65</v>
      </c>
      <c r="E57" s="19" t="s">
        <v>169</v>
      </c>
      <c r="F57" s="13">
        <v>42</v>
      </c>
      <c r="G57" s="13">
        <v>26</v>
      </c>
      <c r="H57" s="23">
        <f t="shared" si="11"/>
        <v>1092</v>
      </c>
      <c r="I57" s="179">
        <f t="shared" si="12"/>
        <v>11754.1788</v>
      </c>
      <c r="J57" s="13">
        <v>3.5</v>
      </c>
      <c r="K57" s="13">
        <f t="shared" si="3"/>
        <v>11.482939999999999</v>
      </c>
      <c r="L57" s="17">
        <v>2010</v>
      </c>
      <c r="M57" s="19">
        <v>2024</v>
      </c>
      <c r="N57" s="19">
        <f t="shared" si="0"/>
        <v>14</v>
      </c>
      <c r="O57" s="11">
        <v>60</v>
      </c>
      <c r="P57" s="19">
        <v>0.05</v>
      </c>
      <c r="Q57" s="20">
        <f t="shared" si="10"/>
        <v>1.5833333333333331E-2</v>
      </c>
      <c r="R57" s="178">
        <v>1300</v>
      </c>
      <c r="S57" s="178">
        <f t="shared" si="5"/>
        <v>13993.07</v>
      </c>
      <c r="T57" s="178">
        <f t="shared" si="9"/>
        <v>15280432.439999999</v>
      </c>
      <c r="U57" s="177">
        <f t="shared" si="6"/>
        <v>3387162.5241999994</v>
      </c>
      <c r="V57" s="177">
        <f t="shared" si="7"/>
        <v>11893269.9158</v>
      </c>
      <c r="W57" s="177">
        <v>0</v>
      </c>
      <c r="X57" s="177">
        <f t="shared" si="8"/>
        <v>11893269.9158</v>
      </c>
    </row>
    <row r="58" spans="2:24" x14ac:dyDescent="0.25">
      <c r="B58" s="17">
        <v>61</v>
      </c>
      <c r="C58" s="12" t="s">
        <v>122</v>
      </c>
      <c r="D58" s="12" t="s">
        <v>65</v>
      </c>
      <c r="E58" s="19" t="s">
        <v>169</v>
      </c>
      <c r="F58" s="13">
        <v>14</v>
      </c>
      <c r="G58" s="13">
        <v>15.2</v>
      </c>
      <c r="H58" s="23">
        <f t="shared" si="11"/>
        <v>212.79999999999998</v>
      </c>
      <c r="I58" s="179">
        <f t="shared" si="12"/>
        <v>2290.5579199999997</v>
      </c>
      <c r="J58" s="13">
        <v>3.5</v>
      </c>
      <c r="K58" s="13">
        <f t="shared" si="3"/>
        <v>11.482939999999999</v>
      </c>
      <c r="L58" s="17">
        <v>2010</v>
      </c>
      <c r="M58" s="19">
        <v>2024</v>
      </c>
      <c r="N58" s="19">
        <f t="shared" ref="N58:N62" si="13">M58-L58</f>
        <v>14</v>
      </c>
      <c r="O58" s="11">
        <v>60</v>
      </c>
      <c r="P58" s="19">
        <v>0.05</v>
      </c>
      <c r="Q58" s="20">
        <f t="shared" si="10"/>
        <v>1.5833333333333331E-2</v>
      </c>
      <c r="R58" s="178">
        <v>1300</v>
      </c>
      <c r="S58" s="178">
        <f t="shared" si="5"/>
        <v>13993.07</v>
      </c>
      <c r="T58" s="178">
        <f t="shared" si="9"/>
        <v>2977725.2959999996</v>
      </c>
      <c r="U58" s="177">
        <f t="shared" si="6"/>
        <v>660062.44061333314</v>
      </c>
      <c r="V58" s="177">
        <f t="shared" si="7"/>
        <v>2317662.8553866665</v>
      </c>
      <c r="W58" s="177">
        <v>0</v>
      </c>
      <c r="X58" s="177">
        <f t="shared" si="8"/>
        <v>2317662.8553866665</v>
      </c>
    </row>
    <row r="59" spans="2:24" x14ac:dyDescent="0.25">
      <c r="B59" s="17">
        <v>62</v>
      </c>
      <c r="C59" s="12" t="s">
        <v>123</v>
      </c>
      <c r="D59" s="12" t="s">
        <v>65</v>
      </c>
      <c r="E59" s="19" t="s">
        <v>169</v>
      </c>
      <c r="F59" s="13">
        <v>14</v>
      </c>
      <c r="G59" s="13">
        <v>15.2</v>
      </c>
      <c r="H59" s="23">
        <f t="shared" si="11"/>
        <v>212.79999999999998</v>
      </c>
      <c r="I59" s="179">
        <f t="shared" si="12"/>
        <v>2290.5579199999997</v>
      </c>
      <c r="J59" s="13">
        <v>3.5</v>
      </c>
      <c r="K59" s="13">
        <f t="shared" ref="K59:K62" si="14">J59*3.28084</f>
        <v>11.482939999999999</v>
      </c>
      <c r="L59" s="17">
        <v>2010</v>
      </c>
      <c r="M59" s="19">
        <v>2024</v>
      </c>
      <c r="N59" s="19">
        <f t="shared" si="13"/>
        <v>14</v>
      </c>
      <c r="O59" s="11">
        <v>60</v>
      </c>
      <c r="P59" s="19">
        <v>0.05</v>
      </c>
      <c r="Q59" s="20">
        <f t="shared" si="10"/>
        <v>1.5833333333333331E-2</v>
      </c>
      <c r="R59" s="178">
        <v>1300</v>
      </c>
      <c r="S59" s="178">
        <f t="shared" si="5"/>
        <v>13993.07</v>
      </c>
      <c r="T59" s="178">
        <f t="shared" si="9"/>
        <v>2977725.2959999996</v>
      </c>
      <c r="U59" s="177">
        <f t="shared" si="6"/>
        <v>660062.44061333314</v>
      </c>
      <c r="V59" s="177">
        <f t="shared" si="7"/>
        <v>2317662.8553866665</v>
      </c>
      <c r="W59" s="177">
        <v>0</v>
      </c>
      <c r="X59" s="177">
        <f t="shared" si="8"/>
        <v>2317662.8553866665</v>
      </c>
    </row>
    <row r="60" spans="2:24" x14ac:dyDescent="0.25">
      <c r="B60" s="17">
        <v>63</v>
      </c>
      <c r="C60" s="12" t="s">
        <v>124</v>
      </c>
      <c r="D60" s="12" t="s">
        <v>65</v>
      </c>
      <c r="E60" s="19" t="s">
        <v>169</v>
      </c>
      <c r="F60" s="13">
        <v>14</v>
      </c>
      <c r="G60" s="13">
        <v>15.2</v>
      </c>
      <c r="H60" s="23">
        <f t="shared" si="11"/>
        <v>212.79999999999998</v>
      </c>
      <c r="I60" s="179">
        <f t="shared" si="12"/>
        <v>2290.5579199999997</v>
      </c>
      <c r="J60" s="13">
        <v>3.5</v>
      </c>
      <c r="K60" s="13">
        <f t="shared" si="14"/>
        <v>11.482939999999999</v>
      </c>
      <c r="L60" s="17">
        <v>2010</v>
      </c>
      <c r="M60" s="19">
        <v>2024</v>
      </c>
      <c r="N60" s="19">
        <f t="shared" si="13"/>
        <v>14</v>
      </c>
      <c r="O60" s="11">
        <v>60</v>
      </c>
      <c r="P60" s="19">
        <v>0.05</v>
      </c>
      <c r="Q60" s="20">
        <f t="shared" si="10"/>
        <v>1.5833333333333331E-2</v>
      </c>
      <c r="R60" s="178">
        <v>1300</v>
      </c>
      <c r="S60" s="178">
        <f t="shared" si="5"/>
        <v>13993.07</v>
      </c>
      <c r="T60" s="178">
        <f t="shared" si="9"/>
        <v>2977725.2959999996</v>
      </c>
      <c r="U60" s="177">
        <f t="shared" si="6"/>
        <v>660062.44061333314</v>
      </c>
      <c r="V60" s="177">
        <f t="shared" si="7"/>
        <v>2317662.8553866665</v>
      </c>
      <c r="W60" s="177">
        <v>0</v>
      </c>
      <c r="X60" s="177">
        <f t="shared" si="8"/>
        <v>2317662.8553866665</v>
      </c>
    </row>
    <row r="61" spans="2:24" x14ac:dyDescent="0.25">
      <c r="B61" s="17">
        <v>64</v>
      </c>
      <c r="C61" s="12" t="s">
        <v>125</v>
      </c>
      <c r="D61" s="12" t="s">
        <v>81</v>
      </c>
      <c r="E61" s="19" t="s">
        <v>169</v>
      </c>
      <c r="F61" s="13">
        <v>185</v>
      </c>
      <c r="G61" s="13">
        <v>3.8</v>
      </c>
      <c r="H61" s="23">
        <f t="shared" si="11"/>
        <v>703</v>
      </c>
      <c r="I61" s="179">
        <f t="shared" si="12"/>
        <v>7567.0216999999993</v>
      </c>
      <c r="J61" s="13">
        <v>3</v>
      </c>
      <c r="K61" s="13">
        <f t="shared" si="14"/>
        <v>9.8425200000000004</v>
      </c>
      <c r="L61" s="17">
        <v>2010</v>
      </c>
      <c r="M61" s="19">
        <v>2024</v>
      </c>
      <c r="N61" s="19">
        <f t="shared" si="13"/>
        <v>14</v>
      </c>
      <c r="O61" s="11">
        <v>60</v>
      </c>
      <c r="P61" s="19">
        <v>0.05</v>
      </c>
      <c r="Q61" s="20">
        <f t="shared" si="10"/>
        <v>1.5833333333333331E-2</v>
      </c>
      <c r="R61" s="178">
        <v>1200</v>
      </c>
      <c r="S61" s="178">
        <f t="shared" si="5"/>
        <v>12916.68</v>
      </c>
      <c r="T61" s="178">
        <f t="shared" si="9"/>
        <v>9080426.040000001</v>
      </c>
      <c r="U61" s="177">
        <f t="shared" si="6"/>
        <v>2012827.7722</v>
      </c>
      <c r="V61" s="177">
        <f t="shared" si="7"/>
        <v>7067598.2678000014</v>
      </c>
      <c r="W61" s="177">
        <v>0</v>
      </c>
      <c r="X61" s="177">
        <f t="shared" si="8"/>
        <v>7067598.2678000014</v>
      </c>
    </row>
    <row r="62" spans="2:24" x14ac:dyDescent="0.25">
      <c r="B62" s="17">
        <v>65</v>
      </c>
      <c r="C62" s="12" t="s">
        <v>126</v>
      </c>
      <c r="D62" s="12" t="s">
        <v>81</v>
      </c>
      <c r="E62" s="19" t="s">
        <v>169</v>
      </c>
      <c r="F62" s="13">
        <v>105</v>
      </c>
      <c r="G62" s="13">
        <v>3.8</v>
      </c>
      <c r="H62" s="23">
        <f t="shared" si="11"/>
        <v>399</v>
      </c>
      <c r="I62" s="179">
        <f t="shared" si="12"/>
        <v>4294.7960999999996</v>
      </c>
      <c r="J62" s="13">
        <v>3</v>
      </c>
      <c r="K62" s="13">
        <f t="shared" si="14"/>
        <v>9.8425200000000004</v>
      </c>
      <c r="L62" s="17">
        <v>2010</v>
      </c>
      <c r="M62" s="19">
        <v>2024</v>
      </c>
      <c r="N62" s="19">
        <f t="shared" si="13"/>
        <v>14</v>
      </c>
      <c r="O62" s="11">
        <v>60</v>
      </c>
      <c r="P62" s="19">
        <v>0.05</v>
      </c>
      <c r="Q62" s="20">
        <f t="shared" si="10"/>
        <v>1.5833333333333331E-2</v>
      </c>
      <c r="R62" s="178">
        <v>1200</v>
      </c>
      <c r="S62" s="178">
        <f t="shared" ref="S62" si="15">R62*10.7639</f>
        <v>12916.68</v>
      </c>
      <c r="T62" s="178">
        <f t="shared" si="9"/>
        <v>5153755.32</v>
      </c>
      <c r="U62" s="177">
        <f t="shared" si="6"/>
        <v>1142415.7626</v>
      </c>
      <c r="V62" s="177">
        <f t="shared" si="7"/>
        <v>4011339.5574000003</v>
      </c>
      <c r="W62" s="177">
        <v>0</v>
      </c>
      <c r="X62" s="177">
        <f t="shared" si="8"/>
        <v>4011339.5574000003</v>
      </c>
    </row>
    <row r="63" spans="2:24" x14ac:dyDescent="0.25">
      <c r="B63" s="180" t="s">
        <v>170</v>
      </c>
      <c r="C63" s="181"/>
      <c r="D63" s="182"/>
      <c r="E63" s="182"/>
      <c r="F63" s="182"/>
      <c r="G63" s="182"/>
      <c r="H63" s="183">
        <f>SUM(H4:H62)</f>
        <v>50751.917200000025</v>
      </c>
      <c r="I63" s="184">
        <f t="shared" si="12"/>
        <v>546288.5615490803</v>
      </c>
      <c r="J63" s="182"/>
      <c r="K63" s="182"/>
      <c r="L63" s="182"/>
      <c r="M63" s="182"/>
      <c r="N63" s="182"/>
      <c r="O63" s="182"/>
      <c r="P63" s="182"/>
      <c r="Q63" s="182"/>
      <c r="R63" s="184"/>
      <c r="S63" s="184"/>
      <c r="T63" s="185">
        <f>SUM(T4:T62)</f>
        <v>707799329.75581193</v>
      </c>
      <c r="U63" s="186"/>
      <c r="V63" s="186"/>
      <c r="W63" s="186"/>
      <c r="X63" s="185">
        <f>SUM(X4:X62)</f>
        <v>453370667.8674987</v>
      </c>
    </row>
  </sheetData>
  <autoFilter ref="B3:X62" xr:uid="{00000000-0009-0000-0000-000001000000}"/>
  <mergeCells count="1">
    <mergeCell ref="B63:C63"/>
  </mergeCells>
  <dataValidations disablePrompts="1" count="2">
    <dataValidation type="list" allowBlank="1" showInputMessage="1" showErrorMessage="1" promptTitle="Condition of Structure" prompt="Condition of Structure" sqref="E4:G33 E34:E62" xr:uid="{00000000-0002-0000-0100-000000000000}">
      <formula1>"Poor, Average, Ordinary, Good, Very Good, Excellent"</formula1>
    </dataValidation>
    <dataValidation type="list" allowBlank="1" showErrorMessage="1" sqref="D11 D19:D22 D4:D7 D24" xr:uid="{00000000-0002-0000-0100-000001000000}">
      <formula1>0</formula1>
      <formula2>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I14"/>
  <sheetViews>
    <sheetView workbookViewId="0">
      <selection activeCell="H8" sqref="H8"/>
    </sheetView>
  </sheetViews>
  <sheetFormatPr defaultRowHeight="15" x14ac:dyDescent="0.25"/>
  <cols>
    <col min="9" max="9" width="13" customWidth="1"/>
  </cols>
  <sheetData>
    <row r="5" spans="2:9" ht="15.75" x14ac:dyDescent="0.25">
      <c r="B5" s="110" t="s">
        <v>173</v>
      </c>
      <c r="C5" s="110"/>
      <c r="D5" s="110"/>
      <c r="E5" s="110"/>
      <c r="F5" s="110"/>
      <c r="G5" s="110"/>
      <c r="H5" s="110"/>
      <c r="I5" s="110"/>
    </row>
    <row r="6" spans="2:9" ht="45" x14ac:dyDescent="0.25">
      <c r="B6" s="24" t="s">
        <v>174</v>
      </c>
      <c r="C6" s="111" t="s">
        <v>175</v>
      </c>
      <c r="D6" s="112"/>
      <c r="E6" s="113"/>
      <c r="F6" s="24" t="s">
        <v>176</v>
      </c>
      <c r="G6" s="24" t="s">
        <v>177</v>
      </c>
      <c r="H6" s="24" t="s">
        <v>178</v>
      </c>
      <c r="I6" s="24" t="s">
        <v>179</v>
      </c>
    </row>
    <row r="7" spans="2:9" x14ac:dyDescent="0.25">
      <c r="B7" s="25">
        <v>1</v>
      </c>
      <c r="C7" s="114" t="s">
        <v>34</v>
      </c>
      <c r="D7" s="115"/>
      <c r="E7" s="116"/>
      <c r="F7" s="26">
        <v>810</v>
      </c>
      <c r="G7" s="27">
        <f>F7*10.7639</f>
        <v>8718.759</v>
      </c>
      <c r="H7" s="28">
        <v>200</v>
      </c>
      <c r="I7" s="29">
        <f>H7*F7</f>
        <v>162000</v>
      </c>
    </row>
    <row r="8" spans="2:9" x14ac:dyDescent="0.25">
      <c r="B8" s="25">
        <v>3</v>
      </c>
      <c r="C8" s="106" t="s">
        <v>51</v>
      </c>
      <c r="D8" s="107"/>
      <c r="E8" s="108"/>
      <c r="F8" s="26">
        <v>42500</v>
      </c>
      <c r="G8" s="27">
        <f t="shared" ref="G8:G13" si="0">F8*10.7639</f>
        <v>457465.75</v>
      </c>
      <c r="H8" s="28">
        <v>500</v>
      </c>
      <c r="I8" s="29">
        <f t="shared" ref="I8:I12" si="1">(F8*H8)</f>
        <v>21250000</v>
      </c>
    </row>
    <row r="9" spans="2:9" x14ac:dyDescent="0.25">
      <c r="B9" s="25">
        <v>4</v>
      </c>
      <c r="C9" s="106" t="s">
        <v>50</v>
      </c>
      <c r="D9" s="107"/>
      <c r="E9" s="108"/>
      <c r="F9" s="26">
        <v>1080</v>
      </c>
      <c r="G9" s="27">
        <f t="shared" si="0"/>
        <v>11625.011999999999</v>
      </c>
      <c r="H9" s="28">
        <v>700</v>
      </c>
      <c r="I9" s="29">
        <f t="shared" si="1"/>
        <v>756000</v>
      </c>
    </row>
    <row r="10" spans="2:9" x14ac:dyDescent="0.25">
      <c r="B10" s="25">
        <v>5</v>
      </c>
      <c r="C10" s="106" t="s">
        <v>60</v>
      </c>
      <c r="D10" s="107"/>
      <c r="E10" s="108"/>
      <c r="F10" s="26">
        <v>20900</v>
      </c>
      <c r="G10" s="27">
        <f t="shared" si="0"/>
        <v>224965.50999999998</v>
      </c>
      <c r="H10" s="28">
        <v>700</v>
      </c>
      <c r="I10" s="29">
        <f t="shared" si="1"/>
        <v>14630000</v>
      </c>
    </row>
    <row r="11" spans="2:9" x14ac:dyDescent="0.25">
      <c r="B11" s="25">
        <v>6</v>
      </c>
      <c r="C11" s="106" t="s">
        <v>62</v>
      </c>
      <c r="D11" s="107"/>
      <c r="E11" s="108"/>
      <c r="F11" s="26">
        <v>19440</v>
      </c>
      <c r="G11" s="27">
        <f t="shared" si="0"/>
        <v>209250.21599999999</v>
      </c>
      <c r="H11" s="28">
        <v>500</v>
      </c>
      <c r="I11" s="29">
        <f t="shared" si="1"/>
        <v>9720000</v>
      </c>
    </row>
    <row r="12" spans="2:9" x14ac:dyDescent="0.25">
      <c r="B12" s="25">
        <v>8</v>
      </c>
      <c r="C12" s="106" t="s">
        <v>61</v>
      </c>
      <c r="D12" s="107"/>
      <c r="E12" s="108"/>
      <c r="F12" s="26">
        <v>21000</v>
      </c>
      <c r="G12" s="27">
        <f t="shared" si="0"/>
        <v>226041.9</v>
      </c>
      <c r="H12" s="28">
        <v>700</v>
      </c>
      <c r="I12" s="29">
        <f t="shared" si="1"/>
        <v>14700000</v>
      </c>
    </row>
    <row r="13" spans="2:9" x14ac:dyDescent="0.25">
      <c r="B13" s="25">
        <v>4</v>
      </c>
      <c r="C13" s="106" t="s">
        <v>35</v>
      </c>
      <c r="D13" s="107"/>
      <c r="E13" s="108"/>
      <c r="F13" s="27">
        <v>1400</v>
      </c>
      <c r="G13" s="27">
        <f t="shared" si="0"/>
        <v>15069.46</v>
      </c>
      <c r="H13" s="28">
        <v>500</v>
      </c>
      <c r="I13" s="29">
        <f>H13*F13</f>
        <v>700000</v>
      </c>
    </row>
    <row r="14" spans="2:9" x14ac:dyDescent="0.25">
      <c r="B14" s="109" t="s">
        <v>180</v>
      </c>
      <c r="C14" s="109"/>
      <c r="D14" s="109"/>
      <c r="E14" s="109"/>
      <c r="F14" s="30">
        <f>SUM(F7:F13)</f>
        <v>107130</v>
      </c>
      <c r="G14" s="30">
        <f>SUM(G7:G13)</f>
        <v>1153136.6069999998</v>
      </c>
      <c r="H14" s="31"/>
      <c r="I14" s="32">
        <f>SUM(I7:I13)</f>
        <v>61918000</v>
      </c>
    </row>
  </sheetData>
  <mergeCells count="10">
    <mergeCell ref="B5:I5"/>
    <mergeCell ref="C6:E6"/>
    <mergeCell ref="C7:E7"/>
    <mergeCell ref="C8:E8"/>
    <mergeCell ref="C9:E9"/>
    <mergeCell ref="C10:E10"/>
    <mergeCell ref="C11:E11"/>
    <mergeCell ref="C12:E12"/>
    <mergeCell ref="C13:E13"/>
    <mergeCell ref="B14:E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J6"/>
  <sheetViews>
    <sheetView workbookViewId="0">
      <selection activeCell="K5" sqref="K5"/>
    </sheetView>
  </sheetViews>
  <sheetFormatPr defaultRowHeight="15" x14ac:dyDescent="0.25"/>
  <cols>
    <col min="3" max="3" width="17.28515625" customWidth="1"/>
    <col min="10" max="10" width="10.5703125" bestFit="1" customWidth="1"/>
  </cols>
  <sheetData>
    <row r="3" spans="2:10" ht="75" x14ac:dyDescent="0.25">
      <c r="B3" s="15" t="s">
        <v>148</v>
      </c>
      <c r="C3" s="16" t="s">
        <v>149</v>
      </c>
      <c r="D3" s="15" t="s">
        <v>150</v>
      </c>
      <c r="E3" s="15" t="s">
        <v>171</v>
      </c>
      <c r="F3" s="15" t="s">
        <v>172</v>
      </c>
      <c r="G3" s="15" t="s">
        <v>227</v>
      </c>
      <c r="H3" s="15" t="s">
        <v>229</v>
      </c>
      <c r="I3" s="15" t="s">
        <v>230</v>
      </c>
      <c r="J3" s="15" t="s">
        <v>228</v>
      </c>
    </row>
    <row r="4" spans="2:10" ht="45" x14ac:dyDescent="0.25">
      <c r="B4" s="37">
        <v>1</v>
      </c>
      <c r="C4" s="12" t="s">
        <v>109</v>
      </c>
      <c r="D4" s="12" t="s">
        <v>145</v>
      </c>
      <c r="E4" s="74">
        <v>30</v>
      </c>
      <c r="F4" s="74">
        <v>15</v>
      </c>
      <c r="G4" s="37">
        <v>3</v>
      </c>
      <c r="H4" s="37">
        <f>G4*F4*E4</f>
        <v>1350</v>
      </c>
      <c r="I4" s="83">
        <v>120</v>
      </c>
      <c r="J4" s="84">
        <f>I4*H4</f>
        <v>162000</v>
      </c>
    </row>
    <row r="5" spans="2:10" ht="45" x14ac:dyDescent="0.25">
      <c r="B5" s="37">
        <v>2</v>
      </c>
      <c r="C5" s="12" t="s">
        <v>110</v>
      </c>
      <c r="D5" s="12" t="s">
        <v>145</v>
      </c>
      <c r="E5" s="74">
        <v>35</v>
      </c>
      <c r="F5" s="74">
        <v>20</v>
      </c>
      <c r="G5" s="37">
        <v>3</v>
      </c>
      <c r="H5" s="37">
        <f>G5*F5*E5</f>
        <v>2100</v>
      </c>
      <c r="I5" s="83">
        <v>120</v>
      </c>
      <c r="J5" s="84">
        <f>I5*H5</f>
        <v>252000</v>
      </c>
    </row>
    <row r="6" spans="2:10" x14ac:dyDescent="0.25">
      <c r="B6" s="109" t="s">
        <v>170</v>
      </c>
      <c r="C6" s="109"/>
      <c r="D6" s="109"/>
      <c r="E6" s="109"/>
      <c r="F6" s="109"/>
      <c r="G6" s="109"/>
      <c r="H6" s="109"/>
      <c r="I6" s="109"/>
      <c r="J6" s="85">
        <f>J5+J4</f>
        <v>414000</v>
      </c>
    </row>
  </sheetData>
  <mergeCells count="1">
    <mergeCell ref="B6:I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I8"/>
  <sheetViews>
    <sheetView workbookViewId="0">
      <selection activeCell="I8" sqref="I8"/>
    </sheetView>
  </sheetViews>
  <sheetFormatPr defaultRowHeight="15" x14ac:dyDescent="0.25"/>
  <cols>
    <col min="9" max="9" width="13.28515625" bestFit="1" customWidth="1"/>
  </cols>
  <sheetData>
    <row r="3" spans="3:9" ht="15.75" x14ac:dyDescent="0.25">
      <c r="C3" s="110" t="s">
        <v>181</v>
      </c>
      <c r="D3" s="110"/>
      <c r="E3" s="110"/>
      <c r="F3" s="110"/>
      <c r="G3" s="110"/>
      <c r="H3" s="110"/>
      <c r="I3" s="110"/>
    </row>
    <row r="4" spans="3:9" ht="75" x14ac:dyDescent="0.25">
      <c r="C4" s="33" t="s">
        <v>174</v>
      </c>
      <c r="D4" s="117" t="s">
        <v>175</v>
      </c>
      <c r="E4" s="117"/>
      <c r="F4" s="117"/>
      <c r="G4" s="33" t="s">
        <v>182</v>
      </c>
      <c r="H4" s="33" t="s">
        <v>178</v>
      </c>
      <c r="I4" s="33" t="s">
        <v>179</v>
      </c>
    </row>
    <row r="5" spans="3:9" x14ac:dyDescent="0.25">
      <c r="C5" s="11">
        <v>1</v>
      </c>
      <c r="D5" s="118" t="s">
        <v>183</v>
      </c>
      <c r="E5" s="118"/>
      <c r="F5" s="118"/>
      <c r="G5" s="23">
        <f>Sheet1!C96+Sheet1!C97+Sheet1!C98</f>
        <v>3880</v>
      </c>
      <c r="H5" s="34">
        <v>2500</v>
      </c>
      <c r="I5" s="35">
        <f>H5*G5</f>
        <v>9700000</v>
      </c>
    </row>
    <row r="6" spans="3:9" x14ac:dyDescent="0.25">
      <c r="C6" s="11">
        <v>2</v>
      </c>
      <c r="D6" s="118" t="s">
        <v>184</v>
      </c>
      <c r="E6" s="118"/>
      <c r="F6" s="118"/>
      <c r="G6" s="23">
        <f>Sheet1!C103+Sheet1!C104+Sheet1!C105+Sheet1!C106</f>
        <v>3364</v>
      </c>
      <c r="H6" s="34">
        <v>1800</v>
      </c>
      <c r="I6" s="35">
        <f>H6*G6</f>
        <v>6055200</v>
      </c>
    </row>
    <row r="7" spans="3:9" x14ac:dyDescent="0.25">
      <c r="C7" s="11">
        <v>3</v>
      </c>
      <c r="D7" s="118" t="s">
        <v>185</v>
      </c>
      <c r="E7" s="118"/>
      <c r="F7" s="118"/>
      <c r="G7" s="23">
        <f>Sheet1!C100+Sheet1!C101</f>
        <v>6540</v>
      </c>
      <c r="H7" s="34">
        <v>1600</v>
      </c>
      <c r="I7" s="35">
        <f>H7*G7</f>
        <v>10464000</v>
      </c>
    </row>
    <row r="8" spans="3:9" x14ac:dyDescent="0.25">
      <c r="C8" s="109" t="s">
        <v>170</v>
      </c>
      <c r="D8" s="109"/>
      <c r="E8" s="109"/>
      <c r="F8" s="109"/>
      <c r="G8" s="109"/>
      <c r="H8" s="109"/>
      <c r="I8" s="36">
        <f>SUM(I5:I7)</f>
        <v>26219200</v>
      </c>
    </row>
  </sheetData>
  <mergeCells count="6">
    <mergeCell ref="C8:H8"/>
    <mergeCell ref="C3:I3"/>
    <mergeCell ref="D4:F4"/>
    <mergeCell ref="D5:F5"/>
    <mergeCell ref="D6:F6"/>
    <mergeCell ref="D7:F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4:G13"/>
  <sheetViews>
    <sheetView workbookViewId="0">
      <selection activeCell="M11" sqref="M11"/>
    </sheetView>
  </sheetViews>
  <sheetFormatPr defaultRowHeight="15" x14ac:dyDescent="0.25"/>
  <cols>
    <col min="4" max="4" width="30.140625" bestFit="1" customWidth="1"/>
    <col min="6" max="6" width="15.85546875" customWidth="1"/>
    <col min="7" max="7" width="14.28515625" customWidth="1"/>
  </cols>
  <sheetData>
    <row r="4" spans="3:7" ht="15.75" thickBot="1" x14ac:dyDescent="0.3"/>
    <row r="5" spans="3:7" ht="42.75" customHeight="1" x14ac:dyDescent="0.25">
      <c r="C5" s="122" t="s">
        <v>231</v>
      </c>
      <c r="D5" s="123"/>
      <c r="E5" s="123"/>
      <c r="F5" s="123"/>
      <c r="G5" s="124"/>
    </row>
    <row r="6" spans="3:7" ht="31.5" x14ac:dyDescent="0.25">
      <c r="C6" s="75" t="s">
        <v>148</v>
      </c>
      <c r="D6" s="76" t="s">
        <v>232</v>
      </c>
      <c r="E6" s="76" t="s">
        <v>233</v>
      </c>
      <c r="F6" s="77" t="s">
        <v>234</v>
      </c>
      <c r="G6" s="78" t="s">
        <v>235</v>
      </c>
    </row>
    <row r="7" spans="3:7" x14ac:dyDescent="0.25">
      <c r="C7" s="51">
        <v>1</v>
      </c>
      <c r="D7" s="79" t="s">
        <v>236</v>
      </c>
      <c r="E7" s="37" t="s">
        <v>10</v>
      </c>
      <c r="F7" s="101">
        <f>Building_working!T63</f>
        <v>707799329.75581193</v>
      </c>
      <c r="G7" s="80">
        <f>Building_working!X63</f>
        <v>453370667.8674987</v>
      </c>
    </row>
    <row r="8" spans="3:7" x14ac:dyDescent="0.25">
      <c r="C8" s="51">
        <v>2</v>
      </c>
      <c r="D8" s="79" t="s">
        <v>237</v>
      </c>
      <c r="E8" s="37" t="s">
        <v>44</v>
      </c>
      <c r="F8" s="101">
        <f>Roads!I8+Underground_tank!J6+Yards!I14</f>
        <v>88551200</v>
      </c>
      <c r="G8" s="80">
        <f>Roads!I8+Underground_tank!J6+Yards!I14</f>
        <v>88551200</v>
      </c>
    </row>
    <row r="9" spans="3:7" x14ac:dyDescent="0.25">
      <c r="C9" s="125" t="s">
        <v>180</v>
      </c>
      <c r="D9" s="105"/>
      <c r="E9" s="105"/>
      <c r="F9" s="81">
        <f>SUM(F7:F8)</f>
        <v>796350529.75581193</v>
      </c>
      <c r="G9" s="82">
        <f>SUM(G7:G8)</f>
        <v>541921867.86749864</v>
      </c>
    </row>
    <row r="10" spans="3:7" x14ac:dyDescent="0.25">
      <c r="C10" s="126" t="s">
        <v>213</v>
      </c>
      <c r="D10" s="127"/>
      <c r="E10" s="127"/>
      <c r="F10" s="127"/>
      <c r="G10" s="128"/>
    </row>
    <row r="11" spans="3:7" ht="30.75" customHeight="1" x14ac:dyDescent="0.25">
      <c r="C11" s="129" t="s">
        <v>238</v>
      </c>
      <c r="D11" s="130"/>
      <c r="E11" s="130"/>
      <c r="F11" s="130"/>
      <c r="G11" s="131"/>
    </row>
    <row r="12" spans="3:7" ht="25.5" customHeight="1" x14ac:dyDescent="0.25">
      <c r="C12" s="129" t="s">
        <v>239</v>
      </c>
      <c r="D12" s="130"/>
      <c r="E12" s="130"/>
      <c r="F12" s="130"/>
      <c r="G12" s="131"/>
    </row>
    <row r="13" spans="3:7" ht="28.5" customHeight="1" thickBot="1" x14ac:dyDescent="0.3">
      <c r="C13" s="119" t="s">
        <v>240</v>
      </c>
      <c r="D13" s="120"/>
      <c r="E13" s="120"/>
      <c r="F13" s="120"/>
      <c r="G13" s="121"/>
    </row>
  </sheetData>
  <mergeCells count="6">
    <mergeCell ref="C13:G13"/>
    <mergeCell ref="C5:G5"/>
    <mergeCell ref="C9:E9"/>
    <mergeCell ref="C10:G10"/>
    <mergeCell ref="C11:G11"/>
    <mergeCell ref="C12:G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3:F18"/>
  <sheetViews>
    <sheetView workbookViewId="0">
      <selection activeCell="G17" sqref="G17"/>
    </sheetView>
  </sheetViews>
  <sheetFormatPr defaultRowHeight="15" x14ac:dyDescent="0.25"/>
  <cols>
    <col min="3" max="3" width="19.42578125" customWidth="1"/>
    <col min="4" max="4" width="21.5703125" customWidth="1"/>
    <col min="5" max="5" width="21.28515625" customWidth="1"/>
    <col min="6" max="6" width="25.7109375" customWidth="1"/>
  </cols>
  <sheetData>
    <row r="3" spans="3:6" ht="15.75" thickBot="1" x14ac:dyDescent="0.3"/>
    <row r="4" spans="3:6" x14ac:dyDescent="0.25">
      <c r="C4" s="139" t="s">
        <v>186</v>
      </c>
      <c r="D4" s="140"/>
      <c r="E4" s="140"/>
      <c r="F4" s="141"/>
    </row>
    <row r="5" spans="3:6" ht="42.75" x14ac:dyDescent="0.25">
      <c r="C5" s="38" t="s">
        <v>187</v>
      </c>
      <c r="D5" s="39" t="s">
        <v>188</v>
      </c>
      <c r="E5" s="39" t="s">
        <v>189</v>
      </c>
      <c r="F5" s="40" t="s">
        <v>190</v>
      </c>
    </row>
    <row r="6" spans="3:6" x14ac:dyDescent="0.25">
      <c r="C6" s="41" t="s">
        <v>191</v>
      </c>
      <c r="D6" s="42">
        <v>46.134100000000018</v>
      </c>
      <c r="E6" s="43">
        <v>2900000</v>
      </c>
      <c r="F6" s="44">
        <f>(D6*E6)</f>
        <v>133788890.00000004</v>
      </c>
    </row>
    <row r="7" spans="3:6" x14ac:dyDescent="0.25">
      <c r="C7" s="41" t="s">
        <v>192</v>
      </c>
      <c r="D7" s="42">
        <v>17.901955281262648</v>
      </c>
      <c r="E7" s="43">
        <v>2900000</v>
      </c>
      <c r="F7" s="44">
        <f t="shared" ref="F7:F8" si="0">(D7*E7)</f>
        <v>51915670.315661676</v>
      </c>
    </row>
    <row r="8" spans="3:6" x14ac:dyDescent="0.25">
      <c r="C8" s="41" t="s">
        <v>193</v>
      </c>
      <c r="D8" s="42">
        <v>1.8354999999999999</v>
      </c>
      <c r="E8" s="43">
        <v>3100000</v>
      </c>
      <c r="F8" s="44">
        <f t="shared" si="0"/>
        <v>5690050</v>
      </c>
    </row>
    <row r="9" spans="3:6" x14ac:dyDescent="0.25">
      <c r="C9" s="45" t="s">
        <v>180</v>
      </c>
      <c r="D9" s="46">
        <f>SUM(D6:D8)</f>
        <v>65.871555281262658</v>
      </c>
      <c r="E9" s="7"/>
      <c r="F9" s="47">
        <f>SUM(F6:F8)</f>
        <v>191394610.31566173</v>
      </c>
    </row>
    <row r="10" spans="3:6" x14ac:dyDescent="0.25">
      <c r="C10" s="142" t="s">
        <v>194</v>
      </c>
      <c r="D10" s="143"/>
      <c r="E10" s="18" t="s">
        <v>195</v>
      </c>
      <c r="F10" s="48">
        <f>2*F9</f>
        <v>382789220.63132346</v>
      </c>
    </row>
    <row r="11" spans="3:6" x14ac:dyDescent="0.25">
      <c r="C11" s="132"/>
      <c r="D11" s="133"/>
      <c r="E11" s="133"/>
      <c r="F11" s="134"/>
    </row>
    <row r="12" spans="3:6" x14ac:dyDescent="0.25">
      <c r="C12" s="132" t="s">
        <v>196</v>
      </c>
      <c r="D12" s="133"/>
      <c r="E12" s="37"/>
      <c r="F12" s="49">
        <v>0</v>
      </c>
    </row>
    <row r="13" spans="3:6" x14ac:dyDescent="0.25">
      <c r="C13" s="132"/>
      <c r="D13" s="133"/>
      <c r="E13" s="133"/>
      <c r="F13" s="134"/>
    </row>
    <row r="14" spans="3:6" x14ac:dyDescent="0.25">
      <c r="C14" s="125" t="s">
        <v>197</v>
      </c>
      <c r="D14" s="105"/>
      <c r="E14" s="105"/>
      <c r="F14" s="48">
        <f>F12+F10</f>
        <v>382789220.63132346</v>
      </c>
    </row>
    <row r="15" spans="3:6" x14ac:dyDescent="0.25">
      <c r="C15" s="132"/>
      <c r="D15" s="133"/>
      <c r="E15" s="133"/>
      <c r="F15" s="134"/>
    </row>
    <row r="16" spans="3:6" x14ac:dyDescent="0.25">
      <c r="C16" s="132" t="s">
        <v>198</v>
      </c>
      <c r="D16" s="133"/>
      <c r="E16" s="37" t="s">
        <v>199</v>
      </c>
      <c r="F16" s="44">
        <f>F14*100%</f>
        <v>382789220.63132346</v>
      </c>
    </row>
    <row r="17" spans="3:6" ht="15.75" thickBot="1" x14ac:dyDescent="0.3">
      <c r="C17" s="135"/>
      <c r="D17" s="136"/>
      <c r="E17" s="136"/>
      <c r="F17" s="137"/>
    </row>
    <row r="18" spans="3:6" x14ac:dyDescent="0.25">
      <c r="C18" s="138" t="s">
        <v>200</v>
      </c>
      <c r="D18" s="138"/>
      <c r="E18" s="138"/>
      <c r="F18" s="50">
        <f>F16+F14</f>
        <v>765578441.26264691</v>
      </c>
    </row>
  </sheetData>
  <mergeCells count="10">
    <mergeCell ref="C15:F15"/>
    <mergeCell ref="C16:D16"/>
    <mergeCell ref="C17:F17"/>
    <mergeCell ref="C18:E18"/>
    <mergeCell ref="C4:F4"/>
    <mergeCell ref="C10:D10"/>
    <mergeCell ref="C11:F11"/>
    <mergeCell ref="C12:D12"/>
    <mergeCell ref="C13:F13"/>
    <mergeCell ref="C14:E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J19"/>
  <sheetViews>
    <sheetView workbookViewId="0">
      <selection activeCell="G20" sqref="G20"/>
    </sheetView>
  </sheetViews>
  <sheetFormatPr defaultRowHeight="15" x14ac:dyDescent="0.25"/>
  <cols>
    <col min="2" max="2" width="6.42578125" bestFit="1" customWidth="1"/>
    <col min="3" max="3" width="39.140625" customWidth="1"/>
    <col min="4" max="4" width="11.140625" customWidth="1"/>
    <col min="5" max="5" width="10.42578125" customWidth="1"/>
    <col min="6" max="6" width="21.85546875" bestFit="1" customWidth="1"/>
    <col min="7" max="7" width="21.85546875" customWidth="1"/>
    <col min="8" max="8" width="14.28515625" bestFit="1" customWidth="1"/>
    <col min="9" max="9" width="13.28515625" bestFit="1" customWidth="1"/>
    <col min="10" max="10" width="14.28515625" bestFit="1" customWidth="1"/>
  </cols>
  <sheetData>
    <row r="3" spans="2:10" ht="15.75" thickBot="1" x14ac:dyDescent="0.3"/>
    <row r="4" spans="2:10" ht="32.25" customHeight="1" x14ac:dyDescent="0.25">
      <c r="B4" s="122" t="s">
        <v>201</v>
      </c>
      <c r="C4" s="123"/>
      <c r="D4" s="123"/>
      <c r="E4" s="123"/>
      <c r="F4" s="124"/>
      <c r="G4" s="97"/>
    </row>
    <row r="5" spans="2:10" x14ac:dyDescent="0.25">
      <c r="B5" s="147" t="s">
        <v>202</v>
      </c>
      <c r="C5" s="148" t="s">
        <v>203</v>
      </c>
      <c r="D5" s="150" t="s">
        <v>204</v>
      </c>
      <c r="E5" s="151"/>
      <c r="F5" s="152" t="s">
        <v>205</v>
      </c>
      <c r="G5" s="98"/>
    </row>
    <row r="6" spans="2:10" x14ac:dyDescent="0.25">
      <c r="B6" s="147"/>
      <c r="C6" s="149"/>
      <c r="D6" s="52" t="s">
        <v>206</v>
      </c>
      <c r="E6" s="52" t="s">
        <v>207</v>
      </c>
      <c r="F6" s="152"/>
      <c r="G6" s="98"/>
    </row>
    <row r="7" spans="2:10" x14ac:dyDescent="0.25">
      <c r="B7" s="53">
        <v>1</v>
      </c>
      <c r="C7" s="54" t="s">
        <v>208</v>
      </c>
      <c r="D7" s="37">
        <v>162.77000000000001</v>
      </c>
      <c r="E7" s="55">
        <v>65.87</v>
      </c>
      <c r="F7" s="86">
        <f>D7*J7</f>
        <v>781296000</v>
      </c>
      <c r="G7" s="99">
        <f>F7/D7</f>
        <v>4800000</v>
      </c>
      <c r="J7" s="58">
        <v>4800000</v>
      </c>
    </row>
    <row r="8" spans="2:10" x14ac:dyDescent="0.25">
      <c r="B8" s="53"/>
      <c r="C8" s="54" t="s">
        <v>241</v>
      </c>
      <c r="D8" s="89"/>
      <c r="E8" s="90"/>
      <c r="F8" s="86">
        <f>0.8*F7</f>
        <v>625036800</v>
      </c>
      <c r="G8" s="93"/>
      <c r="H8" s="91">
        <f>F8/D7</f>
        <v>3839999.9999999995</v>
      </c>
      <c r="I8" s="92">
        <f>H8/4.84</f>
        <v>793388.42975206603</v>
      </c>
      <c r="J8" s="58">
        <f>J7/4.84</f>
        <v>991735.53719008272</v>
      </c>
    </row>
    <row r="9" spans="2:10" x14ac:dyDescent="0.25">
      <c r="B9" s="53">
        <v>2</v>
      </c>
      <c r="C9" s="56" t="s">
        <v>209</v>
      </c>
      <c r="D9" s="153">
        <v>0.05</v>
      </c>
      <c r="E9" s="154"/>
      <c r="F9" s="87">
        <f>F8*5%</f>
        <v>31251840</v>
      </c>
      <c r="G9" s="94"/>
    </row>
    <row r="10" spans="2:10" ht="45" x14ac:dyDescent="0.25">
      <c r="B10" s="53">
        <v>3</v>
      </c>
      <c r="C10" s="56" t="s">
        <v>242</v>
      </c>
      <c r="D10" s="153">
        <v>0.05</v>
      </c>
      <c r="E10" s="154"/>
      <c r="F10" s="87">
        <f>F8*D10</f>
        <v>31251840</v>
      </c>
      <c r="G10" s="94"/>
      <c r="H10" s="91">
        <f>F8*5%</f>
        <v>31251840</v>
      </c>
      <c r="I10" s="91">
        <f>F8/D7</f>
        <v>3839999.9999999995</v>
      </c>
    </row>
    <row r="11" spans="2:10" ht="30" x14ac:dyDescent="0.25">
      <c r="B11" s="53">
        <v>4</v>
      </c>
      <c r="C11" s="57" t="s">
        <v>210</v>
      </c>
      <c r="D11" s="155" t="s">
        <v>211</v>
      </c>
      <c r="E11" s="156"/>
      <c r="F11" s="87">
        <f>D7*250000</f>
        <v>40692500</v>
      </c>
      <c r="G11" s="94"/>
    </row>
    <row r="12" spans="2:10" x14ac:dyDescent="0.25">
      <c r="B12" s="157" t="s">
        <v>212</v>
      </c>
      <c r="C12" s="158"/>
      <c r="D12" s="158"/>
      <c r="E12" s="159"/>
      <c r="F12" s="88">
        <f>SUM(F8:F11)</f>
        <v>728232980</v>
      </c>
      <c r="G12" s="100"/>
      <c r="H12" s="85">
        <f>F11+H10+F8+F9</f>
        <v>728232980</v>
      </c>
      <c r="I12" s="91">
        <f>F12/D7</f>
        <v>4474000</v>
      </c>
      <c r="J12" s="92">
        <f>I12/4.84</f>
        <v>924380.16528925626</v>
      </c>
    </row>
    <row r="13" spans="2:10" x14ac:dyDescent="0.25">
      <c r="B13" s="160" t="s">
        <v>213</v>
      </c>
      <c r="C13" s="161"/>
      <c r="D13" s="161"/>
      <c r="E13" s="161"/>
      <c r="F13" s="162"/>
      <c r="G13" s="95"/>
    </row>
    <row r="14" spans="2:10" x14ac:dyDescent="0.25">
      <c r="B14" s="163" t="s">
        <v>214</v>
      </c>
      <c r="C14" s="164"/>
      <c r="D14" s="164"/>
      <c r="E14" s="164"/>
      <c r="F14" s="165"/>
      <c r="G14" s="96"/>
    </row>
    <row r="15" spans="2:10" ht="30" customHeight="1" thickBot="1" x14ac:dyDescent="0.3">
      <c r="B15" s="144" t="s">
        <v>243</v>
      </c>
      <c r="C15" s="145"/>
      <c r="D15" s="145"/>
      <c r="E15" s="145"/>
      <c r="F15" s="146"/>
      <c r="G15" s="96"/>
      <c r="I15" s="91">
        <f>F12/D7</f>
        <v>4474000</v>
      </c>
      <c r="J15" s="59">
        <f>F12/D7</f>
        <v>4474000</v>
      </c>
    </row>
    <row r="19" spans="7:7" x14ac:dyDescent="0.25">
      <c r="G19" s="91">
        <f>F7/D7</f>
        <v>4800000</v>
      </c>
    </row>
  </sheetData>
  <mergeCells count="12">
    <mergeCell ref="B15:F15"/>
    <mergeCell ref="B4:F4"/>
    <mergeCell ref="B5:B6"/>
    <mergeCell ref="C5:C6"/>
    <mergeCell ref="D5:E5"/>
    <mergeCell ref="F5:F6"/>
    <mergeCell ref="D9:E9"/>
    <mergeCell ref="D10:E10"/>
    <mergeCell ref="D11:E11"/>
    <mergeCell ref="B12:E12"/>
    <mergeCell ref="B13:F13"/>
    <mergeCell ref="B14:F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J12"/>
  <sheetViews>
    <sheetView zoomScale="85" zoomScaleNormal="85" workbookViewId="0">
      <selection activeCell="I21" sqref="I21"/>
    </sheetView>
  </sheetViews>
  <sheetFormatPr defaultRowHeight="15" x14ac:dyDescent="0.25"/>
  <cols>
    <col min="3" max="3" width="14.7109375" bestFit="1" customWidth="1"/>
    <col min="6" max="6" width="11.5703125" bestFit="1" customWidth="1"/>
    <col min="7" max="7" width="15.85546875" bestFit="1" customWidth="1"/>
    <col min="8" max="8" width="11.5703125" bestFit="1" customWidth="1"/>
    <col min="9" max="10" width="15.85546875" bestFit="1" customWidth="1"/>
  </cols>
  <sheetData>
    <row r="3" spans="2:10" ht="15.75" thickBot="1" x14ac:dyDescent="0.3"/>
    <row r="4" spans="2:10" x14ac:dyDescent="0.25">
      <c r="B4" s="166" t="s">
        <v>215</v>
      </c>
      <c r="C4" s="167"/>
      <c r="D4" s="167"/>
      <c r="E4" s="167"/>
      <c r="F4" s="167"/>
      <c r="G4" s="167"/>
      <c r="H4" s="167"/>
      <c r="I4" s="167"/>
      <c r="J4" s="168"/>
    </row>
    <row r="5" spans="2:10" ht="75" x14ac:dyDescent="0.25">
      <c r="B5" s="60" t="s">
        <v>216</v>
      </c>
      <c r="C5" s="61" t="s">
        <v>187</v>
      </c>
      <c r="D5" s="61" t="s">
        <v>217</v>
      </c>
      <c r="E5" s="61" t="s">
        <v>218</v>
      </c>
      <c r="F5" s="61" t="s">
        <v>219</v>
      </c>
      <c r="G5" s="62" t="s">
        <v>220</v>
      </c>
      <c r="H5" s="62" t="s">
        <v>221</v>
      </c>
      <c r="I5" s="63" t="s">
        <v>222</v>
      </c>
      <c r="J5" s="64" t="s">
        <v>223</v>
      </c>
    </row>
    <row r="6" spans="2:10" x14ac:dyDescent="0.25">
      <c r="B6" s="65">
        <v>1</v>
      </c>
      <c r="C6" s="66" t="s">
        <v>191</v>
      </c>
      <c r="D6" s="67">
        <v>46.134100000000018</v>
      </c>
      <c r="E6" s="68">
        <f>D6*2.471</f>
        <v>113.99736110000005</v>
      </c>
      <c r="F6" s="68">
        <f>(E6*4046.85)</f>
        <v>461330.22076753521</v>
      </c>
      <c r="G6" s="43">
        <v>2900000</v>
      </c>
      <c r="H6" s="43">
        <v>7500</v>
      </c>
      <c r="I6" s="69">
        <f>(D6*G6)</f>
        <v>133788890.00000004</v>
      </c>
      <c r="J6" s="70">
        <f>(H6*F6)</f>
        <v>3459976655.7565141</v>
      </c>
    </row>
    <row r="7" spans="2:10" x14ac:dyDescent="0.25">
      <c r="B7" s="65">
        <v>2</v>
      </c>
      <c r="C7" s="66" t="s">
        <v>192</v>
      </c>
      <c r="D7" s="67">
        <v>17.901955281262648</v>
      </c>
      <c r="E7" s="68">
        <f t="shared" ref="E7:E8" si="0">D7*2.471</f>
        <v>44.235731500000007</v>
      </c>
      <c r="F7" s="68">
        <f t="shared" ref="F7:F8" si="1">(E7*4046.85)</f>
        <v>179015.37002077504</v>
      </c>
      <c r="G7" s="43">
        <v>2900000</v>
      </c>
      <c r="H7" s="43">
        <v>6000</v>
      </c>
      <c r="I7" s="69">
        <f t="shared" ref="I7:I8" si="2">(D7*G7)</f>
        <v>51915670.315661676</v>
      </c>
      <c r="J7" s="70">
        <f t="shared" ref="J7:J8" si="3">(H7*F7)</f>
        <v>1074092220.1246502</v>
      </c>
    </row>
    <row r="8" spans="2:10" x14ac:dyDescent="0.25">
      <c r="B8" s="65">
        <v>3</v>
      </c>
      <c r="C8" s="66" t="s">
        <v>193</v>
      </c>
      <c r="D8" s="67">
        <v>1.8354999999999999</v>
      </c>
      <c r="E8" s="68">
        <f t="shared" si="0"/>
        <v>4.5355204999999996</v>
      </c>
      <c r="F8" s="68">
        <f t="shared" si="1"/>
        <v>18354.571135424998</v>
      </c>
      <c r="G8" s="43">
        <v>3100000</v>
      </c>
      <c r="H8" s="43">
        <v>6500</v>
      </c>
      <c r="I8" s="69">
        <f t="shared" si="2"/>
        <v>5690050</v>
      </c>
      <c r="J8" s="70">
        <f t="shared" si="3"/>
        <v>119304712.38026248</v>
      </c>
    </row>
    <row r="9" spans="2:10" x14ac:dyDescent="0.25">
      <c r="B9" s="169" t="s">
        <v>180</v>
      </c>
      <c r="C9" s="118"/>
      <c r="D9" s="46">
        <f>SUM(D6:D8)</f>
        <v>65.871555281262658</v>
      </c>
      <c r="E9" s="46">
        <f>SUM(E6:E8)</f>
        <v>162.76861310000004</v>
      </c>
      <c r="F9" s="46">
        <f>SUM(F6:F8)</f>
        <v>658700.16192373529</v>
      </c>
      <c r="G9" s="71"/>
      <c r="H9" s="71"/>
      <c r="I9" s="72">
        <f>SUM(I6:I8)</f>
        <v>191394610.31566173</v>
      </c>
      <c r="J9" s="73">
        <f>SUM(J6:J8)</f>
        <v>4653373588.2614269</v>
      </c>
    </row>
    <row r="10" spans="2:10" x14ac:dyDescent="0.25">
      <c r="B10" s="170" t="s">
        <v>224</v>
      </c>
      <c r="C10" s="171"/>
      <c r="D10" s="171"/>
      <c r="E10" s="171"/>
      <c r="F10" s="171"/>
      <c r="G10" s="171"/>
      <c r="H10" s="171"/>
      <c r="I10" s="171"/>
      <c r="J10" s="172"/>
    </row>
    <row r="11" spans="2:10" x14ac:dyDescent="0.25">
      <c r="B11" s="170" t="s">
        <v>225</v>
      </c>
      <c r="C11" s="171"/>
      <c r="D11" s="171"/>
      <c r="E11" s="171"/>
      <c r="F11" s="171"/>
      <c r="G11" s="171"/>
      <c r="H11" s="171"/>
      <c r="I11" s="171"/>
      <c r="J11" s="172"/>
    </row>
    <row r="12" spans="2:10" ht="48.75" customHeight="1" thickBot="1" x14ac:dyDescent="0.3">
      <c r="B12" s="173" t="s">
        <v>226</v>
      </c>
      <c r="C12" s="174"/>
      <c r="D12" s="174"/>
      <c r="E12" s="174"/>
      <c r="F12" s="174"/>
      <c r="G12" s="174"/>
      <c r="H12" s="174"/>
      <c r="I12" s="174"/>
      <c r="J12" s="175"/>
    </row>
  </sheetData>
  <mergeCells count="5">
    <mergeCell ref="B4:J4"/>
    <mergeCell ref="B9:C9"/>
    <mergeCell ref="B10:J10"/>
    <mergeCell ref="B11:J11"/>
    <mergeCell ref="B12:J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Sheet1</vt:lpstr>
      <vt:lpstr>Building_working</vt:lpstr>
      <vt:lpstr>Yards</vt:lpstr>
      <vt:lpstr>Underground_tank</vt:lpstr>
      <vt:lpstr>Roads</vt:lpstr>
      <vt:lpstr>Summary</vt:lpstr>
      <vt:lpstr>Land_acquisition</vt:lpstr>
      <vt:lpstr>Land_calculation</vt:lpstr>
      <vt:lpstr>Circle_rate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Jitendra Malhotra</dc:creator>
  <cp:lastModifiedBy>Abhinav Chaturvedi</cp:lastModifiedBy>
  <dcterms:created xsi:type="dcterms:W3CDTF">2022-06-23T06:45:19Z</dcterms:created>
  <dcterms:modified xsi:type="dcterms:W3CDTF">2024-09-06T11:59:18Z</dcterms:modified>
</cp:coreProperties>
</file>