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Yash Bhatnagar\BHSL Report\New Data\FAR Working\Land\"/>
    </mc:Choice>
  </mc:AlternateContent>
  <bookViews>
    <workbookView xWindow="0" yWindow="0" windowWidth="24000" windowHeight="9735" activeTab="1"/>
  </bookViews>
  <sheets>
    <sheet name="Circle Rates" sheetId="6" r:id="rId1"/>
    <sheet name="Appr_1_Valuation LD" sheetId="5"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6" l="1"/>
  <c r="J18" i="6"/>
  <c r="K17" i="6"/>
  <c r="J17" i="6"/>
  <c r="K16" i="6"/>
  <c r="J16" i="6"/>
  <c r="K15" i="6"/>
  <c r="J15" i="6"/>
  <c r="K14" i="6"/>
  <c r="J14" i="6"/>
  <c r="K13" i="6"/>
  <c r="J13" i="6"/>
  <c r="K12" i="6"/>
  <c r="J12" i="6"/>
  <c r="K11" i="6"/>
  <c r="J11" i="6"/>
  <c r="K10" i="6"/>
  <c r="J10" i="6"/>
  <c r="K9" i="6"/>
  <c r="J9" i="6"/>
  <c r="K8" i="6"/>
  <c r="J8" i="6"/>
  <c r="E18" i="6"/>
  <c r="E17" i="6"/>
  <c r="E16" i="6"/>
  <c r="E15" i="6"/>
  <c r="E14" i="6"/>
  <c r="E13" i="6"/>
  <c r="E12" i="6"/>
  <c r="E11" i="6"/>
  <c r="E10" i="6"/>
  <c r="E9" i="6"/>
  <c r="E8" i="6"/>
  <c r="E7" i="6"/>
  <c r="E19" i="6" s="1"/>
  <c r="G19" i="6"/>
  <c r="G18" i="6"/>
  <c r="G17" i="6"/>
  <c r="G16" i="6"/>
  <c r="G15" i="6"/>
  <c r="G14" i="6"/>
  <c r="G13" i="6"/>
  <c r="G12" i="6"/>
  <c r="G11" i="6"/>
  <c r="G10" i="6"/>
  <c r="G9" i="6"/>
  <c r="G8" i="6"/>
  <c r="F19" i="6"/>
  <c r="J7" i="6"/>
  <c r="J19" i="6" s="1"/>
  <c r="G7" i="6"/>
  <c r="K7" i="6" s="1"/>
  <c r="K19" i="6" l="1"/>
  <c r="C3" i="5"/>
  <c r="B16" i="5" l="1"/>
  <c r="R40" i="5" l="1"/>
  <c r="N43" i="5" s="1"/>
  <c r="N37" i="5" l="1"/>
  <c r="F4" i="5" l="1"/>
  <c r="J48" i="5"/>
  <c r="N8" i="5" l="1"/>
  <c r="J7" i="5" l="1"/>
  <c r="G7" i="5"/>
  <c r="K7" i="5"/>
  <c r="H7" i="5"/>
  <c r="I7" i="5"/>
  <c r="P34" i="5" l="1"/>
  <c r="G9" i="5" l="1"/>
  <c r="H9" i="5" s="1"/>
  <c r="H10" i="5" s="1"/>
  <c r="H15" i="5" s="1"/>
  <c r="I9" i="5" l="1"/>
  <c r="J9" i="5" l="1"/>
  <c r="K9" i="5" s="1"/>
  <c r="K10" i="5" l="1"/>
  <c r="F8" i="5"/>
  <c r="G4" i="5"/>
  <c r="H4" i="5" s="1"/>
  <c r="I4" i="5" s="1"/>
  <c r="J4" i="5" s="1"/>
  <c r="K4" i="5" s="1"/>
  <c r="K15" i="5" l="1"/>
  <c r="K16" i="5"/>
  <c r="K13" i="5"/>
  <c r="K18" i="5" l="1"/>
  <c r="B4" i="5"/>
  <c r="B11" i="5" s="1"/>
  <c r="G14" i="5" l="1"/>
  <c r="F14" i="5"/>
  <c r="G10" i="5"/>
  <c r="G15" i="5" s="1"/>
  <c r="J10" i="5"/>
  <c r="H16" i="5"/>
  <c r="F7" i="5"/>
  <c r="F10" i="5" s="1"/>
  <c r="I10" i="5"/>
  <c r="A13" i="5" l="1"/>
  <c r="A23" i="5"/>
  <c r="F16" i="5"/>
  <c r="F15" i="5"/>
  <c r="J16" i="5"/>
  <c r="J15" i="5"/>
  <c r="I16" i="5"/>
  <c r="I15" i="5"/>
  <c r="G16" i="5"/>
  <c r="F13" i="5"/>
  <c r="I13" i="5"/>
  <c r="H13" i="5"/>
  <c r="G13" i="5"/>
  <c r="J13" i="5"/>
  <c r="F18" i="5" l="1"/>
  <c r="H18" i="5"/>
  <c r="G18" i="5"/>
  <c r="I18" i="5"/>
  <c r="J18" i="5"/>
  <c r="D31" i="5" l="1"/>
  <c r="F20" i="5"/>
  <c r="G31" i="5" s="1"/>
  <c r="G32" i="5" l="1"/>
  <c r="F21" i="5"/>
  <c r="F33" i="5"/>
  <c r="F31" i="5"/>
  <c r="L20" i="5"/>
  <c r="F34" i="5" l="1"/>
</calcChain>
</file>

<file path=xl/sharedStrings.xml><?xml version="1.0" encoding="utf-8"?>
<sst xmlns="http://schemas.openxmlformats.org/spreadsheetml/2006/main" count="79" uniqueCount="71">
  <si>
    <t>Expenses</t>
  </si>
  <si>
    <t>Noc's &amp; Approval</t>
  </si>
  <si>
    <t>Net revenue</t>
  </si>
  <si>
    <t>Present Value</t>
  </si>
  <si>
    <t>Particulars</t>
  </si>
  <si>
    <t>Expected % wise sale of the property</t>
  </si>
  <si>
    <t>Revenue</t>
  </si>
  <si>
    <t>Unit</t>
  </si>
  <si>
    <t>%</t>
  </si>
  <si>
    <t>Net Saleable Area</t>
  </si>
  <si>
    <t>Sq.Yards</t>
  </si>
  <si>
    <t>Rate of Inflation</t>
  </si>
  <si>
    <t>Market Rate of Residential Plots</t>
  </si>
  <si>
    <t>INR/Sq.Yards</t>
  </si>
  <si>
    <r>
      <t xml:space="preserve">Pre Operative &amp; Admin </t>
    </r>
    <r>
      <rPr>
        <sz val="10"/>
        <color theme="1"/>
        <rFont val="Calibri"/>
        <family val="2"/>
        <scheme val="minor"/>
      </rPr>
      <t>[5%*Revenue]</t>
    </r>
  </si>
  <si>
    <t>INR</t>
  </si>
  <si>
    <t>Important Notes:</t>
  </si>
  <si>
    <t>3. A lump-sump amount of expenses has been considered in the above projections. These expenses amount are based on the  available historical data.</t>
  </si>
  <si>
    <r>
      <t xml:space="preserve">Brokerage </t>
    </r>
    <r>
      <rPr>
        <sz val="10"/>
        <color theme="1"/>
        <rFont val="Calibri"/>
        <family val="2"/>
        <scheme val="minor"/>
      </rPr>
      <t>[1%*Revenue]</t>
    </r>
  </si>
  <si>
    <r>
      <t>Internal &amp; External development</t>
    </r>
    <r>
      <rPr>
        <sz val="10"/>
        <color theme="1"/>
        <rFont val="Calibri"/>
        <family val="2"/>
        <scheme val="minor"/>
      </rPr>
      <t xml:space="preserve"> </t>
    </r>
  </si>
  <si>
    <t>ke</t>
  </si>
  <si>
    <t>kd</t>
  </si>
  <si>
    <t>wd</t>
  </si>
  <si>
    <t>we</t>
  </si>
  <si>
    <t>rf</t>
  </si>
  <si>
    <t>rm</t>
  </si>
  <si>
    <t>beta</t>
  </si>
  <si>
    <t>WACC</t>
  </si>
  <si>
    <t>Risk Free rate(RF)</t>
  </si>
  <si>
    <t>Market Return(RM)</t>
  </si>
  <si>
    <t>Cost of Equity (KE)</t>
  </si>
  <si>
    <t>Cost of Debt (KD)</t>
  </si>
  <si>
    <t>Part of Equity(WE)</t>
  </si>
  <si>
    <t>5. A discount rate of 14% has been considered while arriving on the present value of subject project land.</t>
  </si>
  <si>
    <t>Land Area in Acre</t>
  </si>
  <si>
    <t>Land Area in Sq.Yds.</t>
  </si>
  <si>
    <t>GOLA UNIT VALUATION OF LAND (THROUGH LAND DEVELOPMENT METHOD)</t>
  </si>
  <si>
    <t>RESIDENTIAL PLOT RATE</t>
  </si>
  <si>
    <t>8000 PER SQ.MTR.</t>
  </si>
  <si>
    <t>Part of Debt(WD)</t>
  </si>
  <si>
    <t>1. 70% of the total land area has been considered as net sellable area. Remaining land area is assumed to be used in providing common infrastructure and green belt.</t>
  </si>
  <si>
    <t>4. 20% discount has been considered since th e subject land is an industrial land.</t>
  </si>
  <si>
    <t>5. Complete Project land is assumed to be transacted with in 5 years period.</t>
  </si>
  <si>
    <t>Present Value (20% discount for industrial land)</t>
  </si>
  <si>
    <t>VALUATION AS PER GOVT. GUIDELINE RATES</t>
  </si>
  <si>
    <t>S.No</t>
  </si>
  <si>
    <t>Village Name</t>
  </si>
  <si>
    <r>
      <t xml:space="preserve">Area  </t>
    </r>
    <r>
      <rPr>
        <i/>
        <sz val="11"/>
        <color theme="1"/>
        <rFont val="Calibri"/>
        <family val="2"/>
        <scheme val="minor"/>
      </rPr>
      <t>(Hectare)</t>
    </r>
  </si>
  <si>
    <r>
      <t xml:space="preserve">Area </t>
    </r>
    <r>
      <rPr>
        <i/>
        <sz val="11"/>
        <color theme="1"/>
        <rFont val="Calibri"/>
        <family val="2"/>
        <scheme val="minor"/>
      </rPr>
      <t>(Acre)</t>
    </r>
  </si>
  <si>
    <r>
      <t xml:space="preserve">Area
</t>
    </r>
    <r>
      <rPr>
        <i/>
        <sz val="11"/>
        <color theme="1"/>
        <rFont val="Calibri"/>
        <family val="2"/>
        <scheme val="minor"/>
      </rPr>
      <t>(sq. mtr.)</t>
    </r>
  </si>
  <si>
    <r>
      <t xml:space="preserve">Govt. Guidelines Rates 
</t>
    </r>
    <r>
      <rPr>
        <i/>
        <sz val="11"/>
        <color theme="1"/>
        <rFont val="Calibri"/>
        <family val="2"/>
        <scheme val="minor"/>
      </rPr>
      <t>(in Hectare)</t>
    </r>
    <r>
      <rPr>
        <b/>
        <sz val="11"/>
        <color theme="1"/>
        <rFont val="Calibri"/>
        <family val="2"/>
        <scheme val="minor"/>
      </rPr>
      <t xml:space="preserve">
</t>
    </r>
  </si>
  <si>
    <r>
      <t xml:space="preserve">Govt. Guidelines Rates 
</t>
    </r>
    <r>
      <rPr>
        <i/>
        <sz val="11"/>
        <color theme="1"/>
        <rFont val="Calibri"/>
        <family val="2"/>
        <scheme val="minor"/>
      </rPr>
      <t>(in sq. mtr.)</t>
    </r>
    <r>
      <rPr>
        <b/>
        <sz val="11"/>
        <color theme="1"/>
        <rFont val="Calibri"/>
        <family val="2"/>
        <scheme val="minor"/>
      </rPr>
      <t xml:space="preserve">
</t>
    </r>
  </si>
  <si>
    <t>Agricultural  Govt. Guideline Value</t>
  </si>
  <si>
    <t>Non- Agricultural  Govt. Guideline Value</t>
  </si>
  <si>
    <t>Total</t>
  </si>
  <si>
    <t>Remarks:</t>
  </si>
  <si>
    <t>1. The above mentioned land area has been taken on the basis of information/ data provided by the company.</t>
  </si>
  <si>
    <t>2. These circle rates gives only the indicative values. However, actually this value has no reference to the real market transaction value which is much less for this kind of land considering the land used for Industrial purpose comparing it with non-agricultural land. Hence no reference can be derived out of the Circle Guideline Value</t>
  </si>
  <si>
    <t>Vazirnagar ZA</t>
  </si>
  <si>
    <t>Gola Bahar</t>
  </si>
  <si>
    <t>Grant 10 (ZA Abadi)</t>
  </si>
  <si>
    <t>punar Bhu Grant</t>
  </si>
  <si>
    <t>Gola Za Ander</t>
  </si>
  <si>
    <t>Barkatpur Azizpur</t>
  </si>
  <si>
    <t>Barkatpur Mazidpur</t>
  </si>
  <si>
    <t>Hafizpur Irshadpur</t>
  </si>
  <si>
    <t>Barkatpur Irshadpur</t>
  </si>
  <si>
    <t>Hafizpur Mazidpur</t>
  </si>
  <si>
    <t>Hafizpur Azizpur</t>
  </si>
  <si>
    <t>Mathura Nagar</t>
  </si>
  <si>
    <t xml:space="preserve">2. A favorable Rate of Rs.10,500/- per Sq.yrds has been adopted for the small Residential plots which are assumed to be developed on the subject land.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</si>
</sst>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Red]&quot;₹&quot;\ \-#,##0"/>
    <numFmt numFmtId="44" formatCode="_ &quot;₹&quot;\ * #,##0.00_ ;_ &quot;₹&quot;\ * \-#,##0.00_ ;_ &quot;₹&quot;\ * &quot;-&quot;??_ ;_ @_ "/>
    <numFmt numFmtId="43" formatCode="_ * #,##0.00_ ;_ * \-#,##0.00_ ;_ * &quot;-&quot;??_ ;_ @_ "/>
    <numFmt numFmtId="164" formatCode="_(* #,##0.00_);_(* \(#,##0.00\);_(* &quot;-&quot;??_);_(@_)"/>
    <numFmt numFmtId="165" formatCode="&quot;FY&quot;\ 0\ &quot;P&quot;"/>
    <numFmt numFmtId="166" formatCode="_ * #,##0_ ;_ * \-#,##0_ ;_ * &quot;-&quot;??_ ;_ @_ "/>
    <numFmt numFmtId="167" formatCode="_ &quot;₹&quot;\ * #,##0_ ;_ &quot;₹&quot;\ * \-#,##0_ ;_ &quot;₹&quot;\ * &quot;-&quot;??_ ;_ @_ "/>
    <numFmt numFmtId="168" formatCode="_ [$₹-4009]\ * #,##0.00_ ;_ [$₹-4009]\ * \-#,##0.00_ ;_ [$₹-4009]\ * &quot;-&quot;??_ ;_ @_ "/>
  </numFmts>
  <fonts count="12" x14ac:knownFonts="1">
    <font>
      <sz val="11"/>
      <color theme="1"/>
      <name val="Calibri"/>
      <family val="2"/>
      <scheme val="minor"/>
    </font>
    <font>
      <b/>
      <sz val="11"/>
      <color theme="1"/>
      <name val="Calibri"/>
      <family val="2"/>
      <scheme val="minor"/>
    </font>
    <font>
      <sz val="11"/>
      <color theme="1"/>
      <name val="Calibri"/>
      <family val="2"/>
      <scheme val="minor"/>
    </font>
    <font>
      <i/>
      <sz val="10"/>
      <color theme="1"/>
      <name val="Calibri"/>
      <family val="2"/>
      <scheme val="minor"/>
    </font>
    <font>
      <b/>
      <i/>
      <sz val="10"/>
      <color theme="1"/>
      <name val="Calibri"/>
      <family val="2"/>
      <scheme val="minor"/>
    </font>
    <font>
      <sz val="10"/>
      <color theme="1"/>
      <name val="Calibri"/>
      <family val="2"/>
      <scheme val="minor"/>
    </font>
    <font>
      <b/>
      <sz val="14"/>
      <color theme="1"/>
      <name val="Calibri"/>
      <family val="2"/>
      <scheme val="minor"/>
    </font>
    <font>
      <b/>
      <sz val="14"/>
      <color theme="0"/>
      <name val="Calibri"/>
      <family val="2"/>
      <scheme val="minor"/>
    </font>
    <font>
      <b/>
      <sz val="11"/>
      <color theme="0"/>
      <name val="Calibri"/>
      <family val="2"/>
      <scheme val="minor"/>
    </font>
    <font>
      <i/>
      <sz val="11"/>
      <color theme="1"/>
      <name val="Calibri"/>
      <family val="2"/>
      <scheme val="minor"/>
    </font>
    <font>
      <sz val="10"/>
      <color theme="1"/>
      <name val="Arial"/>
      <family val="2"/>
    </font>
    <font>
      <b/>
      <i/>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8" tint="-0.49998474074526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8"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84">
    <xf numFmtId="0" fontId="0" fillId="0" borderId="0" xfId="0"/>
    <xf numFmtId="0" fontId="1" fillId="0" borderId="1" xfId="0" applyFont="1" applyBorder="1" applyAlignment="1">
      <alignment horizontal="left" vertical="center"/>
    </xf>
    <xf numFmtId="1" fontId="0" fillId="0" borderId="0" xfId="0" applyNumberFormat="1"/>
    <xf numFmtId="44" fontId="0" fillId="0" borderId="0" xfId="0" applyNumberFormat="1"/>
    <xf numFmtId="0" fontId="0" fillId="0" borderId="0" xfId="0"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xf>
    <xf numFmtId="10" fontId="0" fillId="0" borderId="1" xfId="0" applyNumberFormat="1" applyBorder="1" applyAlignment="1">
      <alignment horizontal="center"/>
    </xf>
    <xf numFmtId="0" fontId="0" fillId="0" borderId="8" xfId="0" applyBorder="1"/>
    <xf numFmtId="0" fontId="1" fillId="0" borderId="8" xfId="0" applyFont="1" applyBorder="1"/>
    <xf numFmtId="0" fontId="0" fillId="0" borderId="1" xfId="0" applyBorder="1" applyAlignment="1">
      <alignment horizontal="center" wrapText="1"/>
    </xf>
    <xf numFmtId="164" fontId="0" fillId="0" borderId="0" xfId="0" applyNumberFormat="1"/>
    <xf numFmtId="10" fontId="0" fillId="0" borderId="2" xfId="0" applyNumberFormat="1" applyBorder="1" applyAlignment="1">
      <alignment horizontal="center"/>
    </xf>
    <xf numFmtId="9" fontId="0" fillId="0" borderId="2" xfId="1" applyFont="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165" fontId="1" fillId="2" borderId="1" xfId="0" applyNumberFormat="1" applyFont="1" applyFill="1" applyBorder="1" applyAlignment="1">
      <alignment horizontal="center" vertical="center"/>
    </xf>
    <xf numFmtId="14" fontId="1" fillId="2" borderId="4" xfId="0" applyNumberFormat="1" applyFont="1" applyFill="1" applyBorder="1" applyAlignment="1">
      <alignment horizontal="center" vertical="center"/>
    </xf>
    <xf numFmtId="14" fontId="1" fillId="2" borderId="14" xfId="0" applyNumberFormat="1"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xf numFmtId="9" fontId="0" fillId="0" borderId="1" xfId="0" applyNumberFormat="1" applyBorder="1"/>
    <xf numFmtId="9" fontId="0" fillId="0" borderId="1" xfId="1" applyFont="1" applyBorder="1"/>
    <xf numFmtId="10" fontId="0" fillId="0" borderId="1" xfId="0" applyNumberFormat="1" applyBorder="1"/>
    <xf numFmtId="0" fontId="0" fillId="4" borderId="0" xfId="0" applyFill="1"/>
    <xf numFmtId="0" fontId="1" fillId="4" borderId="1" xfId="0" applyFont="1" applyFill="1" applyBorder="1"/>
    <xf numFmtId="0" fontId="1" fillId="0" borderId="1" xfId="0" applyFont="1" applyBorder="1"/>
    <xf numFmtId="9" fontId="0" fillId="5" borderId="0" xfId="0" applyNumberFormat="1" applyFill="1"/>
    <xf numFmtId="10" fontId="0" fillId="5" borderId="0" xfId="0" applyNumberFormat="1" applyFill="1"/>
    <xf numFmtId="10" fontId="0" fillId="5" borderId="0" xfId="1" applyNumberFormat="1" applyFont="1" applyFill="1"/>
    <xf numFmtId="0" fontId="0" fillId="5" borderId="0" xfId="0" applyFill="1"/>
    <xf numFmtId="0" fontId="1" fillId="2" borderId="1" xfId="0" applyFont="1" applyFill="1" applyBorder="1"/>
    <xf numFmtId="0" fontId="1" fillId="2" borderId="1" xfId="0" applyFont="1" applyFill="1" applyBorder="1" applyAlignment="1">
      <alignment horizontal="center" vertical="center"/>
    </xf>
    <xf numFmtId="9" fontId="1" fillId="2" borderId="1" xfId="1" applyFont="1" applyFill="1" applyBorder="1"/>
    <xf numFmtId="0" fontId="1" fillId="0" borderId="0" xfId="0" applyFont="1"/>
    <xf numFmtId="44" fontId="1" fillId="0" borderId="0" xfId="0" applyNumberFormat="1" applyFont="1"/>
    <xf numFmtId="0" fontId="0" fillId="0" borderId="6" xfId="0" applyBorder="1" applyAlignment="1">
      <alignment horizontal="center" wrapText="1"/>
    </xf>
    <xf numFmtId="0" fontId="1" fillId="2" borderId="1" xfId="0" applyFont="1" applyFill="1" applyBorder="1" applyAlignment="1">
      <alignment horizontal="center"/>
    </xf>
    <xf numFmtId="0" fontId="0" fillId="0" borderId="9" xfId="0" applyBorder="1"/>
    <xf numFmtId="0" fontId="0" fillId="0" borderId="3" xfId="0" applyBorder="1" applyAlignment="1">
      <alignment horizontal="center" vertical="center"/>
    </xf>
    <xf numFmtId="166" fontId="1" fillId="0" borderId="0" xfId="3" applyNumberFormat="1" applyFont="1" applyAlignment="1">
      <alignment horizontal="center"/>
    </xf>
    <xf numFmtId="166" fontId="1" fillId="0" borderId="0" xfId="3" applyNumberFormat="1" applyFont="1"/>
    <xf numFmtId="43" fontId="1" fillId="0" borderId="0" xfId="3" applyFont="1" applyAlignment="1">
      <alignment horizontal="center" vertical="center"/>
    </xf>
    <xf numFmtId="1" fontId="0" fillId="0" borderId="1" xfId="3" applyNumberFormat="1" applyFont="1" applyBorder="1" applyAlignment="1">
      <alignment horizontal="center" vertical="center"/>
    </xf>
    <xf numFmtId="6" fontId="0" fillId="0" borderId="0" xfId="0" applyNumberFormat="1"/>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1" xfId="0" applyNumberFormat="1" applyBorder="1"/>
    <xf numFmtId="167" fontId="1" fillId="0" borderId="3" xfId="0" applyNumberFormat="1" applyFont="1" applyBorder="1"/>
    <xf numFmtId="0" fontId="1" fillId="2" borderId="1" xfId="0" applyFont="1" applyFill="1" applyBorder="1" applyAlignment="1">
      <alignment horizontal="center" vertical="center" wrapText="1"/>
    </xf>
    <xf numFmtId="2" fontId="0" fillId="0" borderId="1" xfId="0" applyNumberFormat="1" applyBorder="1" applyAlignment="1">
      <alignment horizontal="center" vertical="center"/>
    </xf>
    <xf numFmtId="168" fontId="10" fillId="0" borderId="1" xfId="0" applyNumberFormat="1" applyFont="1" applyBorder="1" applyAlignment="1">
      <alignment horizontal="center" vertical="center"/>
    </xf>
    <xf numFmtId="44" fontId="0" fillId="0" borderId="1" xfId="0" applyNumberFormat="1" applyBorder="1" applyAlignment="1">
      <alignment vertical="center"/>
    </xf>
    <xf numFmtId="168" fontId="0" fillId="0" borderId="1" xfId="0" applyNumberFormat="1" applyBorder="1" applyAlignment="1">
      <alignment vertical="center"/>
    </xf>
    <xf numFmtId="44" fontId="1" fillId="0" borderId="1" xfId="0" applyNumberFormat="1" applyFont="1" applyBorder="1" applyAlignment="1">
      <alignment vertical="center"/>
    </xf>
    <xf numFmtId="168" fontId="1" fillId="0" borderId="1" xfId="0" applyNumberFormat="1" applyFont="1" applyBorder="1" applyAlignment="1">
      <alignment vertical="center"/>
    </xf>
    <xf numFmtId="0" fontId="0" fillId="0" borderId="0" xfId="0" applyAlignment="1">
      <alignment wrapText="1"/>
    </xf>
    <xf numFmtId="1" fontId="0" fillId="0" borderId="1" xfId="0" applyNumberFormat="1" applyBorder="1" applyAlignment="1">
      <alignment horizontal="center" vertical="center"/>
    </xf>
    <xf numFmtId="0" fontId="8" fillId="6" borderId="1" xfId="0" applyFont="1" applyFill="1" applyBorder="1" applyAlignment="1">
      <alignment horizontal="center"/>
    </xf>
    <xf numFmtId="0" fontId="1" fillId="0" borderId="1" xfId="0" applyFont="1" applyBorder="1" applyAlignment="1">
      <alignment horizontal="center"/>
    </xf>
    <xf numFmtId="0" fontId="11" fillId="0" borderId="1" xfId="0" applyFont="1" applyBorder="1" applyAlignment="1">
      <alignment horizontal="left" vertical="center"/>
    </xf>
    <xf numFmtId="0" fontId="11" fillId="0" borderId="1" xfId="0" applyFont="1" applyBorder="1" applyAlignment="1">
      <alignment horizontal="left" wrapText="1"/>
    </xf>
    <xf numFmtId="0" fontId="1" fillId="0" borderId="9" xfId="0" applyFont="1" applyBorder="1" applyAlignment="1">
      <alignment horizontal="center"/>
    </xf>
    <xf numFmtId="0" fontId="1" fillId="0" borderId="3" xfId="0" applyFont="1"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7"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 fillId="0" borderId="9" xfId="0" applyFont="1" applyBorder="1" applyAlignment="1">
      <alignment horizontal="left" vertical="center"/>
    </xf>
    <xf numFmtId="0" fontId="1" fillId="0" borderId="3" xfId="0" applyFont="1" applyBorder="1" applyAlignment="1">
      <alignment horizontal="left" vertical="center"/>
    </xf>
    <xf numFmtId="0" fontId="0" fillId="0" borderId="5" xfId="0" applyBorder="1" applyAlignment="1">
      <alignment horizontal="center" wrapText="1"/>
    </xf>
    <xf numFmtId="0" fontId="0" fillId="0" borderId="6" xfId="0" applyBorder="1" applyAlignment="1">
      <alignment horizontal="center" wrapText="1"/>
    </xf>
    <xf numFmtId="0" fontId="4" fillId="0" borderId="9" xfId="0" applyFont="1" applyBorder="1" applyAlignment="1">
      <alignment horizontal="left" vertical="center"/>
    </xf>
    <xf numFmtId="0" fontId="4" fillId="0" borderId="3"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xf>
  </cellXfs>
  <cellStyles count="4">
    <cellStyle name="Comma" xfId="3" builtinId="3"/>
    <cellStyle name="Currency 4" xfId="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R22"/>
  <sheetViews>
    <sheetView workbookViewId="0">
      <selection activeCell="D12" sqref="D12"/>
    </sheetView>
  </sheetViews>
  <sheetFormatPr defaultRowHeight="15" x14ac:dyDescent="0.25"/>
  <cols>
    <col min="4" max="4" width="18.28515625" bestFit="1" customWidth="1"/>
    <col min="6" max="6" width="9.5703125" bestFit="1" customWidth="1"/>
    <col min="7" max="7" width="11.85546875" customWidth="1"/>
    <col min="8" max="8" width="14.5703125" customWidth="1"/>
    <col min="9" max="9" width="11.7109375" customWidth="1"/>
    <col min="10" max="10" width="23.5703125" customWidth="1"/>
    <col min="11" max="11" width="18.5703125" bestFit="1" customWidth="1"/>
  </cols>
  <sheetData>
    <row r="5" spans="3:11" x14ac:dyDescent="0.25">
      <c r="C5" s="58" t="s">
        <v>44</v>
      </c>
      <c r="D5" s="58"/>
      <c r="E5" s="58"/>
      <c r="F5" s="58"/>
      <c r="G5" s="58"/>
      <c r="H5" s="58"/>
      <c r="I5" s="58"/>
      <c r="J5" s="58"/>
      <c r="K5" s="58"/>
    </row>
    <row r="6" spans="3:11" ht="75" x14ac:dyDescent="0.25">
      <c r="C6" s="49" t="s">
        <v>45</v>
      </c>
      <c r="D6" s="49" t="s">
        <v>46</v>
      </c>
      <c r="E6" s="49" t="s">
        <v>47</v>
      </c>
      <c r="F6" s="49" t="s">
        <v>48</v>
      </c>
      <c r="G6" s="49" t="s">
        <v>49</v>
      </c>
      <c r="H6" s="49" t="s">
        <v>50</v>
      </c>
      <c r="I6" s="49" t="s">
        <v>51</v>
      </c>
      <c r="J6" s="49" t="s">
        <v>52</v>
      </c>
      <c r="K6" s="49" t="s">
        <v>53</v>
      </c>
    </row>
    <row r="7" spans="3:11" x14ac:dyDescent="0.25">
      <c r="C7" s="5">
        <v>1</v>
      </c>
      <c r="D7" s="5" t="s">
        <v>58</v>
      </c>
      <c r="E7" s="50">
        <f>F7/2.471</f>
        <v>4.9534601375961147</v>
      </c>
      <c r="F7" s="50">
        <v>12.24</v>
      </c>
      <c r="G7" s="57">
        <f>(F7*4046.86)</f>
        <v>49533.566400000003</v>
      </c>
      <c r="H7" s="51"/>
      <c r="I7" s="51"/>
      <c r="J7" s="52">
        <f>(E7*H7)</f>
        <v>0</v>
      </c>
      <c r="K7" s="53">
        <f>(G7*I7)</f>
        <v>0</v>
      </c>
    </row>
    <row r="8" spans="3:11" x14ac:dyDescent="0.25">
      <c r="C8" s="5">
        <v>2</v>
      </c>
      <c r="D8" s="5" t="s">
        <v>59</v>
      </c>
      <c r="E8" s="50">
        <f t="shared" ref="E8:E18" si="0">F8/2.471</f>
        <v>9.3686766491299061</v>
      </c>
      <c r="F8" s="50">
        <v>23.15</v>
      </c>
      <c r="G8" s="57">
        <f t="shared" ref="G8:G18" si="1">(F8*4046.86)</f>
        <v>93684.808999999994</v>
      </c>
      <c r="H8" s="51"/>
      <c r="I8" s="51"/>
      <c r="J8" s="52">
        <f t="shared" ref="J8:J18" si="2">(E8*H8)</f>
        <v>0</v>
      </c>
      <c r="K8" s="53">
        <f t="shared" ref="K8:K18" si="3">(G8*I8)</f>
        <v>0</v>
      </c>
    </row>
    <row r="9" spans="3:11" x14ac:dyDescent="0.25">
      <c r="C9" s="5">
        <v>3</v>
      </c>
      <c r="D9" s="5" t="s">
        <v>60</v>
      </c>
      <c r="E9" s="50">
        <f t="shared" si="0"/>
        <v>0.35208417644678269</v>
      </c>
      <c r="F9" s="50">
        <v>0.87</v>
      </c>
      <c r="G9" s="57">
        <f t="shared" si="1"/>
        <v>3520.7682</v>
      </c>
      <c r="H9" s="51">
        <v>2100000</v>
      </c>
      <c r="I9" s="51">
        <v>3700</v>
      </c>
      <c r="J9" s="52">
        <f t="shared" si="2"/>
        <v>739376.7705382437</v>
      </c>
      <c r="K9" s="53">
        <f t="shared" si="3"/>
        <v>13026842.34</v>
      </c>
    </row>
    <row r="10" spans="3:11" x14ac:dyDescent="0.25">
      <c r="C10" s="5">
        <v>4</v>
      </c>
      <c r="D10" s="5" t="s">
        <v>61</v>
      </c>
      <c r="E10" s="50">
        <f t="shared" si="0"/>
        <v>11.68757588021044</v>
      </c>
      <c r="F10" s="50">
        <v>28.88</v>
      </c>
      <c r="G10" s="57">
        <f t="shared" si="1"/>
        <v>116873.3168</v>
      </c>
      <c r="H10" s="51"/>
      <c r="I10" s="51"/>
      <c r="J10" s="52">
        <f t="shared" si="2"/>
        <v>0</v>
      </c>
      <c r="K10" s="53">
        <f t="shared" si="3"/>
        <v>0</v>
      </c>
    </row>
    <row r="11" spans="3:11" x14ac:dyDescent="0.25">
      <c r="C11" s="5">
        <v>5</v>
      </c>
      <c r="D11" s="5" t="s">
        <v>62</v>
      </c>
      <c r="E11" s="50">
        <f t="shared" si="0"/>
        <v>6.4872521246458925</v>
      </c>
      <c r="F11" s="50">
        <v>16.03</v>
      </c>
      <c r="G11" s="57">
        <f t="shared" si="1"/>
        <v>64871.16580000001</v>
      </c>
      <c r="H11" s="51"/>
      <c r="I11" s="51"/>
      <c r="J11" s="52">
        <f t="shared" si="2"/>
        <v>0</v>
      </c>
      <c r="K11" s="53">
        <f t="shared" si="3"/>
        <v>0</v>
      </c>
    </row>
    <row r="12" spans="3:11" x14ac:dyDescent="0.25">
      <c r="C12" s="5">
        <v>6</v>
      </c>
      <c r="D12" s="5" t="s">
        <v>63</v>
      </c>
      <c r="E12" s="50">
        <f t="shared" si="0"/>
        <v>6.9283690813435861</v>
      </c>
      <c r="F12" s="50">
        <v>17.12</v>
      </c>
      <c r="G12" s="57">
        <f t="shared" si="1"/>
        <v>69282.243200000012</v>
      </c>
      <c r="H12" s="51"/>
      <c r="I12" s="51"/>
      <c r="J12" s="52">
        <f t="shared" si="2"/>
        <v>0</v>
      </c>
      <c r="K12" s="53">
        <f t="shared" si="3"/>
        <v>0</v>
      </c>
    </row>
    <row r="13" spans="3:11" x14ac:dyDescent="0.25">
      <c r="C13" s="5">
        <v>7</v>
      </c>
      <c r="D13" s="5" t="s">
        <v>64</v>
      </c>
      <c r="E13" s="50">
        <f t="shared" si="0"/>
        <v>1.1169566976932415</v>
      </c>
      <c r="F13" s="50">
        <v>2.76</v>
      </c>
      <c r="G13" s="57">
        <f t="shared" si="1"/>
        <v>11169.3336</v>
      </c>
      <c r="H13" s="51"/>
      <c r="I13" s="51"/>
      <c r="J13" s="52">
        <f t="shared" si="2"/>
        <v>0</v>
      </c>
      <c r="K13" s="53">
        <f t="shared" si="3"/>
        <v>0</v>
      </c>
    </row>
    <row r="14" spans="3:11" x14ac:dyDescent="0.25">
      <c r="C14" s="5">
        <v>8</v>
      </c>
      <c r="D14" s="5" t="s">
        <v>65</v>
      </c>
      <c r="E14" s="50">
        <f t="shared" si="0"/>
        <v>11.574261432618373</v>
      </c>
      <c r="F14" s="50">
        <v>28.6</v>
      </c>
      <c r="G14" s="57">
        <f t="shared" si="1"/>
        <v>115740.19600000001</v>
      </c>
      <c r="H14" s="51"/>
      <c r="I14" s="51"/>
      <c r="J14" s="52">
        <f t="shared" si="2"/>
        <v>0</v>
      </c>
      <c r="K14" s="53">
        <f t="shared" si="3"/>
        <v>0</v>
      </c>
    </row>
    <row r="15" spans="3:11" x14ac:dyDescent="0.25">
      <c r="C15" s="5">
        <v>9</v>
      </c>
      <c r="D15" s="5" t="s">
        <v>66</v>
      </c>
      <c r="E15" s="50">
        <f t="shared" si="0"/>
        <v>3.7636584378794011</v>
      </c>
      <c r="F15" s="50">
        <v>9.3000000000000007</v>
      </c>
      <c r="G15" s="57">
        <f t="shared" si="1"/>
        <v>37635.798000000003</v>
      </c>
      <c r="H15" s="51"/>
      <c r="I15" s="51"/>
      <c r="J15" s="52">
        <f t="shared" si="2"/>
        <v>0</v>
      </c>
      <c r="K15" s="53">
        <f t="shared" si="3"/>
        <v>0</v>
      </c>
    </row>
    <row r="16" spans="3:11" x14ac:dyDescent="0.25">
      <c r="C16" s="5">
        <v>10</v>
      </c>
      <c r="D16" s="5" t="s">
        <v>67</v>
      </c>
      <c r="E16" s="50">
        <f t="shared" si="0"/>
        <v>12.743828409550789</v>
      </c>
      <c r="F16" s="50">
        <v>31.49</v>
      </c>
      <c r="G16" s="57">
        <f t="shared" si="1"/>
        <v>127435.6214</v>
      </c>
      <c r="H16" s="51"/>
      <c r="I16" s="51"/>
      <c r="J16" s="52">
        <f t="shared" si="2"/>
        <v>0</v>
      </c>
      <c r="K16" s="53">
        <f t="shared" si="3"/>
        <v>0</v>
      </c>
    </row>
    <row r="17" spans="3:18" x14ac:dyDescent="0.25">
      <c r="C17" s="5">
        <v>11</v>
      </c>
      <c r="D17" s="5" t="s">
        <v>68</v>
      </c>
      <c r="E17" s="50">
        <f t="shared" si="0"/>
        <v>3.8648320518008905</v>
      </c>
      <c r="F17" s="50">
        <v>9.5500000000000007</v>
      </c>
      <c r="G17" s="57">
        <f t="shared" si="1"/>
        <v>38647.513000000006</v>
      </c>
      <c r="H17" s="51"/>
      <c r="I17" s="51"/>
      <c r="J17" s="52">
        <f t="shared" si="2"/>
        <v>0</v>
      </c>
      <c r="K17" s="53">
        <f t="shared" si="3"/>
        <v>0</v>
      </c>
    </row>
    <row r="18" spans="3:18" x14ac:dyDescent="0.25">
      <c r="C18" s="5">
        <v>12</v>
      </c>
      <c r="D18" s="5" t="s">
        <v>69</v>
      </c>
      <c r="E18" s="50">
        <f t="shared" si="0"/>
        <v>1.8049372723593686</v>
      </c>
      <c r="F18" s="50">
        <v>4.46</v>
      </c>
      <c r="G18" s="57">
        <f t="shared" si="1"/>
        <v>18048.995600000002</v>
      </c>
      <c r="H18" s="51"/>
      <c r="I18" s="51"/>
      <c r="J18" s="52">
        <f t="shared" si="2"/>
        <v>0</v>
      </c>
      <c r="K18" s="53">
        <f t="shared" si="3"/>
        <v>0</v>
      </c>
    </row>
    <row r="19" spans="3:18" x14ac:dyDescent="0.25">
      <c r="C19" s="59" t="s">
        <v>54</v>
      </c>
      <c r="D19" s="59"/>
      <c r="E19" s="50">
        <f>SUM(E7:E18)</f>
        <v>74.645892351274782</v>
      </c>
      <c r="F19" s="50">
        <f>SUM(F7:F18)</f>
        <v>184.45000000000005</v>
      </c>
      <c r="G19" s="57">
        <f>SUM(G7:G18)</f>
        <v>746443.32700000005</v>
      </c>
      <c r="H19" s="15"/>
      <c r="I19" s="15"/>
      <c r="J19" s="54">
        <f>SUM(J7:J18)</f>
        <v>739376.7705382437</v>
      </c>
      <c r="K19" s="55">
        <f>SUM(K7:K18)</f>
        <v>13026842.34</v>
      </c>
    </row>
    <row r="20" spans="3:18" x14ac:dyDescent="0.25">
      <c r="C20" s="60" t="s">
        <v>55</v>
      </c>
      <c r="D20" s="60"/>
      <c r="E20" s="60"/>
      <c r="F20" s="60"/>
      <c r="G20" s="60"/>
      <c r="H20" s="60"/>
      <c r="I20" s="60"/>
      <c r="J20" s="60"/>
      <c r="K20" s="60"/>
    </row>
    <row r="21" spans="3:18" ht="15" customHeight="1" x14ac:dyDescent="0.25">
      <c r="C21" s="60" t="s">
        <v>56</v>
      </c>
      <c r="D21" s="60"/>
      <c r="E21" s="60"/>
      <c r="F21" s="60"/>
      <c r="G21" s="60"/>
      <c r="H21" s="60"/>
      <c r="I21" s="60"/>
      <c r="J21" s="60"/>
      <c r="K21" s="60"/>
    </row>
    <row r="22" spans="3:18" ht="44.25" customHeight="1" x14ac:dyDescent="0.25">
      <c r="C22" s="61" t="s">
        <v>57</v>
      </c>
      <c r="D22" s="61"/>
      <c r="E22" s="61"/>
      <c r="F22" s="61"/>
      <c r="G22" s="61"/>
      <c r="H22" s="61"/>
      <c r="I22" s="61"/>
      <c r="J22" s="61"/>
      <c r="K22" s="61"/>
      <c r="L22" s="56"/>
      <c r="M22" s="56"/>
      <c r="N22" s="56"/>
      <c r="O22" s="56"/>
      <c r="P22" s="56"/>
      <c r="Q22" s="56"/>
      <c r="R22" s="56"/>
    </row>
  </sheetData>
  <mergeCells count="5">
    <mergeCell ref="C5:K5"/>
    <mergeCell ref="C19:D19"/>
    <mergeCell ref="C20:K20"/>
    <mergeCell ref="C21:K21"/>
    <mergeCell ref="C22:K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1"/>
  <sheetViews>
    <sheetView tabSelected="1" zoomScale="85" zoomScaleNormal="85" workbookViewId="0">
      <selection activeCell="C36" sqref="C36"/>
    </sheetView>
  </sheetViews>
  <sheetFormatPr defaultRowHeight="15" x14ac:dyDescent="0.25"/>
  <cols>
    <col min="1" max="1" width="22.28515625" bestFit="1" customWidth="1"/>
    <col min="2" max="2" width="16.7109375" bestFit="1" customWidth="1"/>
    <col min="3" max="3" width="12.140625" customWidth="1"/>
    <col min="4" max="4" width="46.42578125" bestFit="1" customWidth="1"/>
    <col min="5" max="5" width="11.85546875" style="4" customWidth="1"/>
    <col min="6" max="6" width="24" bestFit="1" customWidth="1"/>
    <col min="7" max="7" width="20" customWidth="1"/>
    <col min="8" max="8" width="18.85546875" customWidth="1"/>
    <col min="9" max="9" width="20.42578125" customWidth="1"/>
    <col min="10" max="10" width="19.5703125" bestFit="1" customWidth="1"/>
    <col min="11" max="11" width="19.140625" bestFit="1" customWidth="1"/>
    <col min="12" max="12" width="17.140625" bestFit="1" customWidth="1"/>
    <col min="18" max="18" width="11.85546875" bestFit="1" customWidth="1"/>
  </cols>
  <sheetData>
    <row r="2" spans="1:14" ht="15.75" thickBot="1" x14ac:dyDescent="0.3"/>
    <row r="3" spans="1:14" ht="19.5" thickBot="1" x14ac:dyDescent="0.3">
      <c r="A3" s="37" t="s">
        <v>35</v>
      </c>
      <c r="B3" s="40">
        <v>832239</v>
      </c>
      <c r="C3" s="41">
        <f>B3*70%</f>
        <v>582567.29999999993</v>
      </c>
      <c r="D3" s="70" t="s">
        <v>36</v>
      </c>
      <c r="E3" s="71"/>
      <c r="F3" s="71"/>
      <c r="G3" s="71"/>
      <c r="H3" s="71"/>
      <c r="I3" s="71"/>
      <c r="J3" s="71"/>
      <c r="K3" s="71"/>
    </row>
    <row r="4" spans="1:14" s="4" customFormat="1" x14ac:dyDescent="0.25">
      <c r="A4" s="32" t="s">
        <v>34</v>
      </c>
      <c r="B4" s="42">
        <f>B3/4840</f>
        <v>171.95020661157025</v>
      </c>
      <c r="D4" s="68" t="s">
        <v>4</v>
      </c>
      <c r="E4" s="66" t="s">
        <v>7</v>
      </c>
      <c r="F4" s="17">
        <f>DATE(2022,2,31)</f>
        <v>44623</v>
      </c>
      <c r="G4" s="17">
        <f t="shared" ref="G4:K4" si="0">EDATE(F4,12)</f>
        <v>44988</v>
      </c>
      <c r="H4" s="17">
        <f t="shared" si="0"/>
        <v>45354</v>
      </c>
      <c r="I4" s="17">
        <f t="shared" si="0"/>
        <v>45719</v>
      </c>
      <c r="J4" s="18">
        <f t="shared" si="0"/>
        <v>46084</v>
      </c>
      <c r="K4" s="18">
        <f t="shared" si="0"/>
        <v>46449</v>
      </c>
    </row>
    <row r="5" spans="1:14" s="4" customFormat="1" ht="15.75" customHeight="1" x14ac:dyDescent="0.25">
      <c r="D5" s="69"/>
      <c r="E5" s="67"/>
      <c r="F5" s="16">
        <v>20</v>
      </c>
      <c r="G5" s="16">
        <v>21</v>
      </c>
      <c r="H5" s="16">
        <v>22</v>
      </c>
      <c r="I5" s="16">
        <v>23</v>
      </c>
      <c r="J5" s="16">
        <v>24</v>
      </c>
      <c r="K5" s="16">
        <v>25</v>
      </c>
    </row>
    <row r="6" spans="1:14" x14ac:dyDescent="0.25">
      <c r="D6" s="8" t="s">
        <v>5</v>
      </c>
      <c r="E6" s="5" t="s">
        <v>8</v>
      </c>
      <c r="F6" s="7">
        <v>0.2</v>
      </c>
      <c r="G6" s="7">
        <v>0.2</v>
      </c>
      <c r="H6" s="7">
        <v>0.2</v>
      </c>
      <c r="I6" s="7">
        <v>0.2</v>
      </c>
      <c r="J6" s="12">
        <v>0.1</v>
      </c>
      <c r="K6" s="7">
        <v>0.1</v>
      </c>
    </row>
    <row r="7" spans="1:14" x14ac:dyDescent="0.25">
      <c r="D7" s="8" t="s">
        <v>9</v>
      </c>
      <c r="E7" s="5" t="s">
        <v>10</v>
      </c>
      <c r="F7" s="43">
        <f t="shared" ref="F7:K7" si="1">F6*$C$3</f>
        <v>116513.45999999999</v>
      </c>
      <c r="G7" s="43">
        <f t="shared" si="1"/>
        <v>116513.45999999999</v>
      </c>
      <c r="H7" s="43">
        <f t="shared" si="1"/>
        <v>116513.45999999999</v>
      </c>
      <c r="I7" s="43">
        <f t="shared" si="1"/>
        <v>116513.45999999999</v>
      </c>
      <c r="J7" s="43">
        <f t="shared" si="1"/>
        <v>58256.729999999996</v>
      </c>
      <c r="K7" s="43">
        <f t="shared" si="1"/>
        <v>58256.729999999996</v>
      </c>
      <c r="L7" s="2"/>
    </row>
    <row r="8" spans="1:14" x14ac:dyDescent="0.25">
      <c r="D8" s="8" t="s">
        <v>11</v>
      </c>
      <c r="E8" s="5" t="s">
        <v>8</v>
      </c>
      <c r="F8" s="6">
        <f>0</f>
        <v>0</v>
      </c>
      <c r="G8" s="6">
        <v>0.05</v>
      </c>
      <c r="H8" s="6">
        <v>0.05</v>
      </c>
      <c r="I8" s="6">
        <v>0.05</v>
      </c>
      <c r="J8" s="13">
        <v>0.05</v>
      </c>
      <c r="K8" s="6">
        <v>0.05</v>
      </c>
      <c r="N8">
        <f>2300000/120</f>
        <v>19166.666666666668</v>
      </c>
    </row>
    <row r="9" spans="1:14" x14ac:dyDescent="0.25">
      <c r="A9" s="31" t="s">
        <v>37</v>
      </c>
      <c r="B9" s="34" t="s">
        <v>38</v>
      </c>
      <c r="D9" s="8" t="s">
        <v>12</v>
      </c>
      <c r="E9" s="5" t="s">
        <v>13</v>
      </c>
      <c r="F9" s="45">
        <v>10500</v>
      </c>
      <c r="G9" s="45">
        <f t="shared" ref="G9:K9" si="2">F9*(1+G8)</f>
        <v>11025</v>
      </c>
      <c r="H9" s="45">
        <f t="shared" si="2"/>
        <v>11576.25</v>
      </c>
      <c r="I9" s="45">
        <f t="shared" si="2"/>
        <v>12155.0625</v>
      </c>
      <c r="J9" s="46">
        <f t="shared" si="2"/>
        <v>12762.815625000001</v>
      </c>
      <c r="K9" s="46">
        <f t="shared" si="2"/>
        <v>13400.956406250001</v>
      </c>
    </row>
    <row r="10" spans="1:14" x14ac:dyDescent="0.25">
      <c r="D10" s="9" t="s">
        <v>6</v>
      </c>
      <c r="E10" s="19"/>
      <c r="F10" s="45">
        <f>F7*F9</f>
        <v>1223391330</v>
      </c>
      <c r="G10" s="45">
        <f t="shared" ref="G10:K10" si="3">G7*G9</f>
        <v>1284560896.5</v>
      </c>
      <c r="H10" s="45">
        <f>H7*H9</f>
        <v>1348788941.3249998</v>
      </c>
      <c r="I10" s="45">
        <f t="shared" si="3"/>
        <v>1416228388.3912499</v>
      </c>
      <c r="J10" s="46">
        <f t="shared" si="3"/>
        <v>743519903.90540624</v>
      </c>
      <c r="K10" s="46">
        <f t="shared" si="3"/>
        <v>780695899.10067654</v>
      </c>
    </row>
    <row r="11" spans="1:14" ht="9.75" customHeight="1" x14ac:dyDescent="0.25">
      <c r="B11">
        <f>9000*B4</f>
        <v>1547551.8595041323</v>
      </c>
      <c r="D11" s="62"/>
      <c r="E11" s="63"/>
      <c r="F11" s="63"/>
      <c r="G11" s="63"/>
      <c r="H11" s="63"/>
      <c r="I11" s="63"/>
      <c r="J11" s="63"/>
      <c r="K11" s="14"/>
    </row>
    <row r="12" spans="1:14" x14ac:dyDescent="0.25">
      <c r="D12" s="76" t="s">
        <v>0</v>
      </c>
      <c r="E12" s="77"/>
      <c r="F12" s="77"/>
      <c r="G12" s="77"/>
      <c r="H12" s="77"/>
      <c r="I12" s="77"/>
      <c r="J12" s="77"/>
      <c r="K12" s="1"/>
    </row>
    <row r="13" spans="1:14" x14ac:dyDescent="0.25">
      <c r="A13">
        <f>F14/F10</f>
        <v>0.10541406645302751</v>
      </c>
      <c r="D13" s="8" t="s">
        <v>14</v>
      </c>
      <c r="E13" s="5" t="s">
        <v>15</v>
      </c>
      <c r="F13" s="45">
        <f>F10*5%</f>
        <v>61169566.5</v>
      </c>
      <c r="G13" s="45">
        <f t="shared" ref="G13:K13" si="4">G10*5%</f>
        <v>64228044.825000003</v>
      </c>
      <c r="H13" s="45">
        <f t="shared" si="4"/>
        <v>67439447.066249996</v>
      </c>
      <c r="I13" s="45">
        <f t="shared" si="4"/>
        <v>70811419.419562504</v>
      </c>
      <c r="J13" s="46">
        <f t="shared" si="4"/>
        <v>37175995.195270315</v>
      </c>
      <c r="K13" s="46">
        <f t="shared" si="4"/>
        <v>39034794.955033831</v>
      </c>
    </row>
    <row r="14" spans="1:14" x14ac:dyDescent="0.25">
      <c r="D14" s="8" t="s">
        <v>1</v>
      </c>
      <c r="E14" s="5" t="s">
        <v>15</v>
      </c>
      <c r="F14" s="45">
        <f>1500000*$B$4/2</f>
        <v>128962654.95867769</v>
      </c>
      <c r="G14" s="45">
        <f>1500000*$B$4/2</f>
        <v>128962654.95867769</v>
      </c>
      <c r="H14" s="45"/>
      <c r="I14" s="45"/>
      <c r="J14" s="46"/>
      <c r="K14" s="45"/>
    </row>
    <row r="15" spans="1:14" x14ac:dyDescent="0.25">
      <c r="D15" s="8" t="s">
        <v>19</v>
      </c>
      <c r="E15" s="5" t="s">
        <v>15</v>
      </c>
      <c r="F15" s="45">
        <f>F10*7%</f>
        <v>85637393.100000009</v>
      </c>
      <c r="G15" s="45">
        <f>G10*7%</f>
        <v>89919262.75500001</v>
      </c>
      <c r="H15" s="45">
        <f t="shared" ref="H15:K15" si="5">H10*7%</f>
        <v>94415225.892749995</v>
      </c>
      <c r="I15" s="45">
        <f t="shared" si="5"/>
        <v>99135987.187387496</v>
      </c>
      <c r="J15" s="45">
        <f t="shared" si="5"/>
        <v>52046393.273378439</v>
      </c>
      <c r="K15" s="45">
        <f t="shared" si="5"/>
        <v>54648712.937047362</v>
      </c>
    </row>
    <row r="16" spans="1:14" x14ac:dyDescent="0.25">
      <c r="B16">
        <f>1500000/171.95</f>
        <v>8723.4661238732187</v>
      </c>
      <c r="D16" s="8" t="s">
        <v>18</v>
      </c>
      <c r="E16" s="5" t="s">
        <v>15</v>
      </c>
      <c r="F16" s="45">
        <f>F10*1%</f>
        <v>12233913.300000001</v>
      </c>
      <c r="G16" s="45">
        <f t="shared" ref="G16:K16" si="6">G10*1%</f>
        <v>12845608.965</v>
      </c>
      <c r="H16" s="45">
        <f t="shared" si="6"/>
        <v>13487889.413249999</v>
      </c>
      <c r="I16" s="45">
        <f t="shared" si="6"/>
        <v>14162283.8839125</v>
      </c>
      <c r="J16" s="45">
        <f t="shared" si="6"/>
        <v>7435199.0390540622</v>
      </c>
      <c r="K16" s="45">
        <f t="shared" si="6"/>
        <v>7806958.9910067655</v>
      </c>
    </row>
    <row r="17" spans="1:17" ht="5.25" customHeight="1" x14ac:dyDescent="0.25">
      <c r="D17" s="64"/>
      <c r="E17" s="65"/>
      <c r="F17" s="65"/>
      <c r="G17" s="65"/>
      <c r="H17" s="65"/>
      <c r="I17" s="65"/>
      <c r="J17" s="65"/>
      <c r="K17" s="15"/>
    </row>
    <row r="18" spans="1:17" x14ac:dyDescent="0.25">
      <c r="D18" s="9" t="s">
        <v>2</v>
      </c>
      <c r="E18" s="19" t="s">
        <v>15</v>
      </c>
      <c r="F18" s="45">
        <f>F10-SUM(F13:F16)</f>
        <v>935387802.14132226</v>
      </c>
      <c r="G18" s="45">
        <f t="shared" ref="G18:K18" si="7">G10-SUM(G13:G16)</f>
        <v>988605324.99632239</v>
      </c>
      <c r="H18" s="45">
        <f>H10-SUM(H13:H16)</f>
        <v>1173446378.9527497</v>
      </c>
      <c r="I18" s="45">
        <f t="shared" si="7"/>
        <v>1232118697.9003873</v>
      </c>
      <c r="J18" s="46">
        <f t="shared" si="7"/>
        <v>646862316.39770341</v>
      </c>
      <c r="K18" s="46">
        <f t="shared" si="7"/>
        <v>679205432.21758854</v>
      </c>
    </row>
    <row r="19" spans="1:17" ht="4.5" customHeight="1" x14ac:dyDescent="0.25">
      <c r="D19" s="62"/>
      <c r="E19" s="63"/>
      <c r="F19" s="63"/>
      <c r="G19" s="63"/>
      <c r="H19" s="63"/>
      <c r="I19" s="63"/>
      <c r="J19" s="63"/>
      <c r="K19" s="14"/>
    </row>
    <row r="20" spans="1:17" x14ac:dyDescent="0.25">
      <c r="D20" s="8" t="s">
        <v>3</v>
      </c>
      <c r="E20" s="5" t="s">
        <v>15</v>
      </c>
      <c r="F20" s="47">
        <f>XNPV(N43,F18:K18,F4:K4)</f>
        <v>4242530160.466466</v>
      </c>
      <c r="G20" s="78"/>
      <c r="H20" s="79"/>
      <c r="I20" s="79"/>
      <c r="J20" s="79"/>
      <c r="K20" s="10"/>
      <c r="L20" s="11">
        <f>F20/B4</f>
        <v>24673015.776306681</v>
      </c>
    </row>
    <row r="21" spans="1:17" x14ac:dyDescent="0.25">
      <c r="D21" s="38" t="s">
        <v>43</v>
      </c>
      <c r="E21" s="39" t="s">
        <v>15</v>
      </c>
      <c r="F21" s="48">
        <f>G31</f>
        <v>3394024128.3731728</v>
      </c>
      <c r="G21" s="36"/>
      <c r="H21" s="36"/>
      <c r="I21" s="36"/>
      <c r="J21" s="36"/>
      <c r="K21" s="10"/>
      <c r="L21" s="11"/>
    </row>
    <row r="22" spans="1:17" ht="6" customHeight="1" x14ac:dyDescent="0.25">
      <c r="D22" s="64"/>
      <c r="E22" s="65"/>
      <c r="F22" s="65"/>
      <c r="G22" s="65"/>
      <c r="H22" s="65"/>
      <c r="I22" s="65"/>
      <c r="J22" s="65"/>
      <c r="K22" s="15"/>
    </row>
    <row r="23" spans="1:17" x14ac:dyDescent="0.25">
      <c r="A23" s="3">
        <f>2%*F10</f>
        <v>24467826.600000001</v>
      </c>
      <c r="D23" s="80" t="s">
        <v>16</v>
      </c>
      <c r="E23" s="81"/>
      <c r="F23" s="81"/>
      <c r="G23" s="81"/>
      <c r="H23" s="81"/>
      <c r="I23" s="81"/>
      <c r="J23" s="81"/>
      <c r="K23" s="81"/>
    </row>
    <row r="24" spans="1:17" ht="20.25" customHeight="1" x14ac:dyDescent="0.25">
      <c r="D24" s="72" t="s">
        <v>40</v>
      </c>
      <c r="E24" s="73"/>
      <c r="F24" s="73"/>
      <c r="G24" s="73"/>
      <c r="H24" s="73"/>
      <c r="I24" s="73"/>
      <c r="J24" s="73"/>
      <c r="K24" s="73"/>
    </row>
    <row r="25" spans="1:17" ht="18" customHeight="1" x14ac:dyDescent="0.25">
      <c r="A25" s="3"/>
      <c r="D25" s="82" t="s">
        <v>70</v>
      </c>
      <c r="E25" s="83"/>
      <c r="F25" s="83"/>
      <c r="G25" s="83"/>
      <c r="H25" s="83"/>
      <c r="I25" s="83"/>
      <c r="J25" s="83"/>
      <c r="K25" s="83"/>
    </row>
    <row r="26" spans="1:17" ht="17.25" customHeight="1" x14ac:dyDescent="0.25">
      <c r="D26" s="72" t="s">
        <v>17</v>
      </c>
      <c r="E26" s="73"/>
      <c r="F26" s="73"/>
      <c r="G26" s="73"/>
      <c r="H26" s="73"/>
      <c r="I26" s="73"/>
      <c r="J26" s="73"/>
      <c r="K26" s="73"/>
    </row>
    <row r="27" spans="1:17" ht="17.25" customHeight="1" x14ac:dyDescent="0.25">
      <c r="D27" s="72" t="s">
        <v>41</v>
      </c>
      <c r="E27" s="73"/>
      <c r="F27" s="73"/>
      <c r="G27" s="73"/>
      <c r="H27" s="73"/>
      <c r="I27" s="73"/>
      <c r="J27" s="73"/>
      <c r="K27" s="73"/>
    </row>
    <row r="28" spans="1:17" ht="15" customHeight="1" x14ac:dyDescent="0.25">
      <c r="D28" s="72" t="s">
        <v>42</v>
      </c>
      <c r="E28" s="73"/>
      <c r="F28" s="73"/>
      <c r="G28" s="73"/>
      <c r="H28" s="73"/>
      <c r="I28" s="73"/>
      <c r="J28" s="73"/>
      <c r="K28" s="73"/>
    </row>
    <row r="29" spans="1:17" ht="15.75" hidden="1" thickBot="1" x14ac:dyDescent="0.3">
      <c r="D29" s="74" t="s">
        <v>33</v>
      </c>
      <c r="E29" s="75"/>
      <c r="F29" s="75"/>
      <c r="G29" s="75"/>
      <c r="H29" s="75"/>
      <c r="I29" s="75"/>
      <c r="J29" s="75"/>
      <c r="K29" s="75"/>
    </row>
    <row r="31" spans="1:17" x14ac:dyDescent="0.25">
      <c r="D31" s="44">
        <f>NPV(P34,F18:K18)</f>
        <v>3325260928.9255991</v>
      </c>
      <c r="F31" s="3">
        <f>F20/B4</f>
        <v>24673015.776306681</v>
      </c>
      <c r="G31" s="35">
        <f>F20*80%</f>
        <v>3394024128.3731728</v>
      </c>
    </row>
    <row r="32" spans="1:17" x14ac:dyDescent="0.25">
      <c r="G32" s="3">
        <f>G31/B3</f>
        <v>4078.1844258358151</v>
      </c>
      <c r="P32" s="27">
        <v>0.5</v>
      </c>
      <c r="Q32" s="28">
        <v>0.125</v>
      </c>
    </row>
    <row r="33" spans="6:18" x14ac:dyDescent="0.25">
      <c r="F33" s="11">
        <f>F20/36.63</f>
        <v>115821189.20192371</v>
      </c>
      <c r="P33" s="27">
        <v>0.5</v>
      </c>
      <c r="Q33" s="27">
        <v>0.25</v>
      </c>
    </row>
    <row r="34" spans="6:18" x14ac:dyDescent="0.25">
      <c r="F34" s="11">
        <f>F33/60.5</f>
        <v>1914399.8215194002</v>
      </c>
      <c r="J34">
        <v>56</v>
      </c>
      <c r="K34">
        <v>6</v>
      </c>
      <c r="P34" s="29">
        <f>SUMPRODUCT(Q32:Q33,P32:P33)</f>
        <v>0.1875</v>
      </c>
      <c r="Q34" s="30"/>
    </row>
    <row r="35" spans="6:18" x14ac:dyDescent="0.25">
      <c r="J35">
        <v>5</v>
      </c>
      <c r="K35">
        <v>6</v>
      </c>
    </row>
    <row r="36" spans="6:18" x14ac:dyDescent="0.25">
      <c r="J36">
        <v>5</v>
      </c>
      <c r="K36" s="24">
        <v>6</v>
      </c>
    </row>
    <row r="37" spans="6:18" x14ac:dyDescent="0.25">
      <c r="J37">
        <v>65</v>
      </c>
      <c r="K37">
        <v>6</v>
      </c>
      <c r="M37" s="25" t="s">
        <v>20</v>
      </c>
      <c r="N37" s="21">
        <f>R40</f>
        <v>0.13800000000000001</v>
      </c>
      <c r="O37" s="20"/>
      <c r="P37" s="20"/>
      <c r="Q37" s="25" t="s">
        <v>24</v>
      </c>
      <c r="R37" s="22">
        <v>0.06</v>
      </c>
    </row>
    <row r="38" spans="6:18" x14ac:dyDescent="0.25">
      <c r="J38">
        <v>6</v>
      </c>
      <c r="K38">
        <v>6</v>
      </c>
      <c r="M38" s="25" t="s">
        <v>21</v>
      </c>
      <c r="N38" s="23">
        <v>0.15</v>
      </c>
      <c r="O38" s="20"/>
      <c r="P38" s="20"/>
      <c r="Q38" s="25" t="s">
        <v>25</v>
      </c>
      <c r="R38" s="22">
        <v>0.12</v>
      </c>
    </row>
    <row r="39" spans="6:18" x14ac:dyDescent="0.25">
      <c r="J39">
        <v>5</v>
      </c>
      <c r="K39">
        <v>6</v>
      </c>
      <c r="M39" s="25" t="s">
        <v>23</v>
      </c>
      <c r="N39" s="21">
        <v>0.5</v>
      </c>
      <c r="O39" s="20"/>
      <c r="P39" s="20"/>
      <c r="Q39" s="25" t="s">
        <v>26</v>
      </c>
      <c r="R39" s="20">
        <v>1.3</v>
      </c>
    </row>
    <row r="40" spans="6:18" x14ac:dyDescent="0.25">
      <c r="J40">
        <v>5</v>
      </c>
      <c r="K40">
        <v>6</v>
      </c>
      <c r="M40" s="25" t="s">
        <v>22</v>
      </c>
      <c r="N40" s="21">
        <v>0.5</v>
      </c>
      <c r="O40" s="20"/>
      <c r="P40" s="20"/>
      <c r="Q40" s="25" t="s">
        <v>20</v>
      </c>
      <c r="R40" s="21">
        <f>R37+R39*(R38-R37)</f>
        <v>0.13800000000000001</v>
      </c>
    </row>
    <row r="41" spans="6:18" x14ac:dyDescent="0.25">
      <c r="J41">
        <v>5</v>
      </c>
      <c r="K41">
        <v>6</v>
      </c>
      <c r="M41" s="26"/>
      <c r="N41" s="20"/>
      <c r="O41" s="20"/>
      <c r="P41" s="20"/>
      <c r="Q41" s="20"/>
      <c r="R41" s="20"/>
    </row>
    <row r="42" spans="6:18" x14ac:dyDescent="0.25">
      <c r="J42">
        <v>5</v>
      </c>
      <c r="K42">
        <v>6</v>
      </c>
      <c r="M42" s="26"/>
      <c r="N42" s="20"/>
      <c r="O42" s="20"/>
      <c r="P42" s="20"/>
      <c r="Q42" s="20"/>
      <c r="R42" s="20"/>
    </row>
    <row r="43" spans="6:18" x14ac:dyDescent="0.25">
      <c r="J43">
        <v>5</v>
      </c>
      <c r="K43">
        <v>6</v>
      </c>
      <c r="M43" s="25" t="s">
        <v>27</v>
      </c>
      <c r="N43" s="33">
        <f>((R40*N39)+(N38*N40))</f>
        <v>0.14400000000000002</v>
      </c>
      <c r="O43" s="20"/>
      <c r="P43" s="20"/>
      <c r="Q43" s="20"/>
      <c r="R43" s="20"/>
    </row>
    <row r="44" spans="6:18" x14ac:dyDescent="0.25">
      <c r="J44">
        <v>5</v>
      </c>
      <c r="K44">
        <v>6</v>
      </c>
    </row>
    <row r="45" spans="6:18" x14ac:dyDescent="0.25">
      <c r="J45">
        <v>5</v>
      </c>
      <c r="K45">
        <v>6</v>
      </c>
    </row>
    <row r="46" spans="6:18" x14ac:dyDescent="0.25">
      <c r="J46">
        <v>5</v>
      </c>
      <c r="K46">
        <v>6</v>
      </c>
      <c r="O46" s="25" t="s">
        <v>28</v>
      </c>
      <c r="P46" s="25"/>
    </row>
    <row r="47" spans="6:18" x14ac:dyDescent="0.25">
      <c r="O47" s="25" t="s">
        <v>29</v>
      </c>
      <c r="P47" s="25"/>
    </row>
    <row r="48" spans="6:18" x14ac:dyDescent="0.25">
      <c r="J48" t="e">
        <f ca="1">beta(J34:K46)</f>
        <v>#NAME?</v>
      </c>
      <c r="O48" s="25" t="s">
        <v>30</v>
      </c>
      <c r="P48" s="25"/>
    </row>
    <row r="49" spans="15:16" x14ac:dyDescent="0.25">
      <c r="O49" s="25" t="s">
        <v>31</v>
      </c>
      <c r="P49" s="25"/>
    </row>
    <row r="50" spans="15:16" x14ac:dyDescent="0.25">
      <c r="O50" s="25" t="s">
        <v>32</v>
      </c>
      <c r="P50" s="25"/>
    </row>
    <row r="51" spans="15:16" x14ac:dyDescent="0.25">
      <c r="O51" s="25" t="s">
        <v>39</v>
      </c>
      <c r="P51" s="25"/>
    </row>
  </sheetData>
  <mergeCells count="16">
    <mergeCell ref="D28:K28"/>
    <mergeCell ref="D29:K29"/>
    <mergeCell ref="D19:J19"/>
    <mergeCell ref="D12:J12"/>
    <mergeCell ref="G20:J20"/>
    <mergeCell ref="D22:J22"/>
    <mergeCell ref="D23:K23"/>
    <mergeCell ref="D24:K24"/>
    <mergeCell ref="D25:K25"/>
    <mergeCell ref="D26:K26"/>
    <mergeCell ref="D27:K27"/>
    <mergeCell ref="D11:J11"/>
    <mergeCell ref="D17:J17"/>
    <mergeCell ref="E4:E5"/>
    <mergeCell ref="D4:D5"/>
    <mergeCell ref="D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Circle Rates</vt:lpstr>
      <vt:lpstr>Appr_1_Valuation LD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sharma</dc:creator>
  <cp:lastModifiedBy>Abhinav Chaturvedi</cp:lastModifiedBy>
  <cp:lastPrinted>2022-05-05T07:01:01Z</cp:lastPrinted>
  <dcterms:created xsi:type="dcterms:W3CDTF">2019-09-02T06:45:51Z</dcterms:created>
  <dcterms:modified xsi:type="dcterms:W3CDTF">2024-04-29T12:32:59Z</dcterms:modified>
</cp:coreProperties>
</file>