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Yash Bhatnagar\BHSL Report\New Data\FAR Working\Building Valuation\"/>
    </mc:Choice>
  </mc:AlternateContent>
  <bookViews>
    <workbookView xWindow="0" yWindow="0" windowWidth="24000" windowHeight="9735" firstSheet="3" activeTab="8"/>
  </bookViews>
  <sheets>
    <sheet name="Factory" sheetId="1" r:id="rId1"/>
    <sheet name="Distillery" sheetId="3" r:id="rId2"/>
    <sheet name="Residential" sheetId="2" r:id="rId3"/>
    <sheet name="Factory_working" sheetId="4" r:id="rId4"/>
    <sheet name="Residential_Working" sheetId="5" r:id="rId5"/>
    <sheet name="Distillery_working" sheetId="6" r:id="rId6"/>
    <sheet name="Road_&amp;_other_structures" sheetId="7" r:id="rId7"/>
    <sheet name="Boundary_Wall" sheetId="8" r:id="rId8"/>
    <sheet name="Summary" sheetId="9" r:id="rId9"/>
  </sheets>
  <definedNames>
    <definedName name="_xlnm._FilterDatabase" localSheetId="3" hidden="1">Factory_working!$B$4:$W$50</definedName>
    <definedName name="_xlnm._FilterDatabase" localSheetId="4" hidden="1">Residential_Working!$B$4:$W$37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6" l="1"/>
  <c r="G23" i="6"/>
  <c r="G38" i="5"/>
  <c r="G50" i="4"/>
  <c r="W38" i="5" l="1"/>
  <c r="W23" i="6"/>
  <c r="W50" i="4"/>
  <c r="S50" i="4"/>
  <c r="I6" i="7"/>
  <c r="F6" i="7"/>
  <c r="G6" i="7" s="1"/>
  <c r="R22" i="6"/>
  <c r="S22" i="6" s="1"/>
  <c r="R21" i="6"/>
  <c r="S21" i="6" s="1"/>
  <c r="S36" i="5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R37" i="5"/>
  <c r="S37" i="5" s="1"/>
  <c r="R33" i="4"/>
  <c r="R34" i="4"/>
  <c r="S34" i="4" s="1"/>
  <c r="R35" i="4"/>
  <c r="R36" i="4"/>
  <c r="S36" i="4" s="1"/>
  <c r="R37" i="4"/>
  <c r="R38" i="4"/>
  <c r="R39" i="4"/>
  <c r="R40" i="4"/>
  <c r="S40" i="4" s="1"/>
  <c r="R41" i="4"/>
  <c r="R42" i="4"/>
  <c r="S42" i="4" s="1"/>
  <c r="R43" i="4"/>
  <c r="S43" i="4" s="1"/>
  <c r="R44" i="4"/>
  <c r="S44" i="4" s="1"/>
  <c r="R45" i="4"/>
  <c r="R46" i="4"/>
  <c r="R47" i="4"/>
  <c r="S47" i="4" s="1"/>
  <c r="R48" i="4"/>
  <c r="S48" i="4" s="1"/>
  <c r="R49" i="4"/>
  <c r="S33" i="4"/>
  <c r="S35" i="4"/>
  <c r="S37" i="4"/>
  <c r="S38" i="4"/>
  <c r="S39" i="4"/>
  <c r="S41" i="4"/>
  <c r="S45" i="4"/>
  <c r="S46" i="4"/>
  <c r="S49" i="4"/>
  <c r="R32" i="4"/>
  <c r="S32" i="4" s="1"/>
  <c r="R31" i="4"/>
  <c r="S31" i="4" s="1"/>
  <c r="R30" i="4"/>
  <c r="S30" i="4" s="1"/>
  <c r="R29" i="4"/>
  <c r="S29" i="4" s="1"/>
  <c r="R28" i="4"/>
  <c r="S28" i="4" s="1"/>
  <c r="K9" i="8"/>
  <c r="K8" i="8"/>
  <c r="K7" i="8"/>
  <c r="K6" i="8"/>
  <c r="K10" i="8" s="1"/>
  <c r="F10" i="9" s="1"/>
  <c r="O12" i="7"/>
  <c r="Q6" i="7"/>
  <c r="H21" i="6"/>
  <c r="J21" i="6"/>
  <c r="M21" i="6"/>
  <c r="P21" i="6"/>
  <c r="E10" i="9" l="1"/>
  <c r="T21" i="6"/>
  <c r="U21" i="6" s="1"/>
  <c r="W21" i="6" s="1"/>
  <c r="I26" i="6" l="1"/>
  <c r="F9" i="7"/>
  <c r="I9" i="7" s="1"/>
  <c r="F7" i="7"/>
  <c r="G7" i="7" s="1"/>
  <c r="S6" i="7"/>
  <c r="P22" i="6"/>
  <c r="M22" i="6"/>
  <c r="J22" i="6"/>
  <c r="H22" i="6"/>
  <c r="T22" i="6" l="1"/>
  <c r="U22" i="6" s="1"/>
  <c r="W22" i="6" s="1"/>
  <c r="G9" i="7"/>
  <c r="F10" i="7"/>
  <c r="G8" i="7"/>
  <c r="I7" i="7"/>
  <c r="I8" i="7"/>
  <c r="I10" i="7" l="1"/>
  <c r="I9" i="6"/>
  <c r="I8" i="6"/>
  <c r="J8" i="6" s="1"/>
  <c r="I6" i="6"/>
  <c r="J6" i="6" s="1"/>
  <c r="I7" i="6"/>
  <c r="J7" i="6" s="1"/>
  <c r="J9" i="6"/>
  <c r="I5" i="6"/>
  <c r="J5" i="6" s="1"/>
  <c r="I10" i="6"/>
  <c r="J10" i="6" s="1"/>
  <c r="R20" i="6"/>
  <c r="S20" i="6" s="1"/>
  <c r="P20" i="6"/>
  <c r="M20" i="6"/>
  <c r="J20" i="6"/>
  <c r="H20" i="6"/>
  <c r="R19" i="6"/>
  <c r="S19" i="6" s="1"/>
  <c r="P19" i="6"/>
  <c r="M19" i="6"/>
  <c r="J19" i="6"/>
  <c r="H19" i="6"/>
  <c r="R25" i="6"/>
  <c r="S25" i="6" s="1"/>
  <c r="P25" i="6"/>
  <c r="M25" i="6"/>
  <c r="J25" i="6"/>
  <c r="H25" i="6"/>
  <c r="R18" i="6"/>
  <c r="S18" i="6" s="1"/>
  <c r="P18" i="6"/>
  <c r="M18" i="6"/>
  <c r="J18" i="6"/>
  <c r="H18" i="6"/>
  <c r="R17" i="6"/>
  <c r="S17" i="6" s="1"/>
  <c r="P17" i="6"/>
  <c r="M17" i="6"/>
  <c r="J17" i="6"/>
  <c r="H17" i="6"/>
  <c r="R16" i="6"/>
  <c r="S16" i="6" s="1"/>
  <c r="P16" i="6"/>
  <c r="M16" i="6"/>
  <c r="J16" i="6"/>
  <c r="H16" i="6"/>
  <c r="R15" i="6"/>
  <c r="S15" i="6" s="1"/>
  <c r="P15" i="6"/>
  <c r="M15" i="6"/>
  <c r="J15" i="6"/>
  <c r="H15" i="6"/>
  <c r="R14" i="6"/>
  <c r="S14" i="6" s="1"/>
  <c r="P14" i="6"/>
  <c r="M14" i="6"/>
  <c r="J14" i="6"/>
  <c r="H14" i="6"/>
  <c r="R13" i="6"/>
  <c r="S13" i="6" s="1"/>
  <c r="P13" i="6"/>
  <c r="M13" i="6"/>
  <c r="J13" i="6"/>
  <c r="H13" i="6"/>
  <c r="R12" i="6"/>
  <c r="S12" i="6" s="1"/>
  <c r="P12" i="6"/>
  <c r="M12" i="6"/>
  <c r="J12" i="6"/>
  <c r="H12" i="6"/>
  <c r="R11" i="6"/>
  <c r="S11" i="6" s="1"/>
  <c r="P11" i="6"/>
  <c r="M11" i="6"/>
  <c r="J11" i="6"/>
  <c r="H11" i="6"/>
  <c r="R10" i="6"/>
  <c r="S10" i="6" s="1"/>
  <c r="P10" i="6"/>
  <c r="M10" i="6"/>
  <c r="H10" i="6"/>
  <c r="R9" i="6"/>
  <c r="S9" i="6" s="1"/>
  <c r="P9" i="6"/>
  <c r="M9" i="6"/>
  <c r="H9" i="6"/>
  <c r="Z9" i="6" s="1"/>
  <c r="R8" i="6"/>
  <c r="S8" i="6" s="1"/>
  <c r="P8" i="6"/>
  <c r="M8" i="6"/>
  <c r="H8" i="6"/>
  <c r="Z8" i="6" s="1"/>
  <c r="R7" i="6"/>
  <c r="S7" i="6" s="1"/>
  <c r="P7" i="6"/>
  <c r="M7" i="6"/>
  <c r="H7" i="6"/>
  <c r="Z7" i="6" s="1"/>
  <c r="R6" i="6"/>
  <c r="S6" i="6" s="1"/>
  <c r="P6" i="6"/>
  <c r="M6" i="6"/>
  <c r="H6" i="6"/>
  <c r="Z6" i="6" s="1"/>
  <c r="Z5" i="6"/>
  <c r="R5" i="6"/>
  <c r="S5" i="6" s="1"/>
  <c r="P5" i="6"/>
  <c r="M5" i="6"/>
  <c r="H5" i="6"/>
  <c r="I29" i="5"/>
  <c r="I28" i="5"/>
  <c r="J28" i="5" s="1"/>
  <c r="I27" i="5"/>
  <c r="J27" i="5" s="1"/>
  <c r="I23" i="5"/>
  <c r="J23" i="5" s="1"/>
  <c r="I17" i="5"/>
  <c r="I16" i="5"/>
  <c r="J16" i="5" s="1"/>
  <c r="P37" i="5"/>
  <c r="M37" i="5"/>
  <c r="T37" i="5" s="1"/>
  <c r="U37" i="5" s="1"/>
  <c r="W37" i="5" s="1"/>
  <c r="J37" i="5"/>
  <c r="H37" i="5"/>
  <c r="P36" i="5"/>
  <c r="M36" i="5"/>
  <c r="T36" i="5" s="1"/>
  <c r="U36" i="5" s="1"/>
  <c r="W36" i="5" s="1"/>
  <c r="J36" i="5"/>
  <c r="H36" i="5"/>
  <c r="P35" i="5"/>
  <c r="M35" i="5"/>
  <c r="T35" i="5" s="1"/>
  <c r="U35" i="5" s="1"/>
  <c r="W35" i="5" s="1"/>
  <c r="J35" i="5"/>
  <c r="H35" i="5"/>
  <c r="P34" i="5"/>
  <c r="M34" i="5"/>
  <c r="T34" i="5" s="1"/>
  <c r="U34" i="5" s="1"/>
  <c r="W34" i="5" s="1"/>
  <c r="J34" i="5"/>
  <c r="H34" i="5"/>
  <c r="P33" i="5"/>
  <c r="M33" i="5"/>
  <c r="T33" i="5" s="1"/>
  <c r="U33" i="5" s="1"/>
  <c r="W33" i="5" s="1"/>
  <c r="J33" i="5"/>
  <c r="H33" i="5"/>
  <c r="P32" i="5"/>
  <c r="M32" i="5"/>
  <c r="T32" i="5" s="1"/>
  <c r="U32" i="5" s="1"/>
  <c r="W32" i="5" s="1"/>
  <c r="J32" i="5"/>
  <c r="H32" i="5"/>
  <c r="P31" i="5"/>
  <c r="M31" i="5"/>
  <c r="T31" i="5" s="1"/>
  <c r="U31" i="5" s="1"/>
  <c r="W31" i="5" s="1"/>
  <c r="J31" i="5"/>
  <c r="H31" i="5"/>
  <c r="P30" i="5"/>
  <c r="M30" i="5"/>
  <c r="T30" i="5" s="1"/>
  <c r="U30" i="5" s="1"/>
  <c r="W30" i="5" s="1"/>
  <c r="J30" i="5"/>
  <c r="H30" i="5"/>
  <c r="P29" i="5"/>
  <c r="M29" i="5"/>
  <c r="T29" i="5" s="1"/>
  <c r="U29" i="5" s="1"/>
  <c r="W29" i="5" s="1"/>
  <c r="J29" i="5"/>
  <c r="H29" i="5"/>
  <c r="R28" i="5"/>
  <c r="S28" i="5" s="1"/>
  <c r="P28" i="5"/>
  <c r="M28" i="5"/>
  <c r="H28" i="5"/>
  <c r="R27" i="5"/>
  <c r="S27" i="5" s="1"/>
  <c r="P27" i="5"/>
  <c r="M27" i="5"/>
  <c r="H27" i="5"/>
  <c r="R26" i="5"/>
  <c r="S26" i="5" s="1"/>
  <c r="P26" i="5"/>
  <c r="M26" i="5"/>
  <c r="J26" i="5"/>
  <c r="H26" i="5"/>
  <c r="R25" i="5"/>
  <c r="S25" i="5" s="1"/>
  <c r="P25" i="5"/>
  <c r="M25" i="5"/>
  <c r="J25" i="5"/>
  <c r="H25" i="5"/>
  <c r="R24" i="5"/>
  <c r="S24" i="5" s="1"/>
  <c r="P24" i="5"/>
  <c r="M24" i="5"/>
  <c r="J24" i="5"/>
  <c r="H24" i="5"/>
  <c r="R23" i="5"/>
  <c r="S23" i="5" s="1"/>
  <c r="P23" i="5"/>
  <c r="M23" i="5"/>
  <c r="H23" i="5"/>
  <c r="R22" i="5"/>
  <c r="S22" i="5" s="1"/>
  <c r="P22" i="5"/>
  <c r="M22" i="5"/>
  <c r="J22" i="5"/>
  <c r="H22" i="5"/>
  <c r="R21" i="5"/>
  <c r="S21" i="5" s="1"/>
  <c r="P21" i="5"/>
  <c r="M21" i="5"/>
  <c r="J21" i="5"/>
  <c r="H21" i="5"/>
  <c r="R20" i="5"/>
  <c r="S20" i="5" s="1"/>
  <c r="P20" i="5"/>
  <c r="M20" i="5"/>
  <c r="J20" i="5"/>
  <c r="H20" i="5"/>
  <c r="R19" i="5"/>
  <c r="S19" i="5" s="1"/>
  <c r="P19" i="5"/>
  <c r="M19" i="5"/>
  <c r="J19" i="5"/>
  <c r="H19" i="5"/>
  <c r="R18" i="5"/>
  <c r="S18" i="5" s="1"/>
  <c r="P18" i="5"/>
  <c r="M18" i="5"/>
  <c r="J18" i="5"/>
  <c r="H18" i="5"/>
  <c r="R17" i="5"/>
  <c r="S17" i="5" s="1"/>
  <c r="P17" i="5"/>
  <c r="M17" i="5"/>
  <c r="J17" i="5"/>
  <c r="H17" i="5"/>
  <c r="R16" i="5"/>
  <c r="S16" i="5" s="1"/>
  <c r="P16" i="5"/>
  <c r="M16" i="5"/>
  <c r="H16" i="5"/>
  <c r="R15" i="5"/>
  <c r="S15" i="5" s="1"/>
  <c r="P15" i="5"/>
  <c r="M15" i="5"/>
  <c r="J15" i="5"/>
  <c r="H15" i="5"/>
  <c r="R14" i="5"/>
  <c r="S14" i="5" s="1"/>
  <c r="P14" i="5"/>
  <c r="M14" i="5"/>
  <c r="J14" i="5"/>
  <c r="H14" i="5"/>
  <c r="R13" i="5"/>
  <c r="S13" i="5" s="1"/>
  <c r="P13" i="5"/>
  <c r="M13" i="5"/>
  <c r="J13" i="5"/>
  <c r="H13" i="5"/>
  <c r="R12" i="5"/>
  <c r="S12" i="5" s="1"/>
  <c r="P12" i="5"/>
  <c r="M12" i="5"/>
  <c r="J12" i="5"/>
  <c r="H12" i="5"/>
  <c r="R11" i="5"/>
  <c r="S11" i="5" s="1"/>
  <c r="P11" i="5"/>
  <c r="M11" i="5"/>
  <c r="J11" i="5"/>
  <c r="H11" i="5"/>
  <c r="R10" i="5"/>
  <c r="S10" i="5" s="1"/>
  <c r="P10" i="5"/>
  <c r="M10" i="5"/>
  <c r="J10" i="5"/>
  <c r="H10" i="5"/>
  <c r="R9" i="5"/>
  <c r="S9" i="5" s="1"/>
  <c r="P9" i="5"/>
  <c r="M9" i="5"/>
  <c r="J9" i="5"/>
  <c r="H9" i="5"/>
  <c r="Z9" i="5" s="1"/>
  <c r="R8" i="5"/>
  <c r="S8" i="5" s="1"/>
  <c r="P8" i="5"/>
  <c r="M8" i="5"/>
  <c r="J8" i="5"/>
  <c r="H8" i="5"/>
  <c r="Z8" i="5" s="1"/>
  <c r="R7" i="5"/>
  <c r="S7" i="5" s="1"/>
  <c r="P7" i="5"/>
  <c r="M7" i="5"/>
  <c r="J7" i="5"/>
  <c r="H7" i="5"/>
  <c r="Z7" i="5" s="1"/>
  <c r="R6" i="5"/>
  <c r="S6" i="5" s="1"/>
  <c r="P6" i="5"/>
  <c r="M6" i="5"/>
  <c r="J6" i="5"/>
  <c r="H6" i="5"/>
  <c r="Z6" i="5" s="1"/>
  <c r="Z5" i="5"/>
  <c r="R5" i="5"/>
  <c r="S5" i="5" s="1"/>
  <c r="P5" i="5"/>
  <c r="M5" i="5"/>
  <c r="J5" i="5"/>
  <c r="H5" i="5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" i="4"/>
  <c r="H6" i="4"/>
  <c r="Z6" i="4" s="1"/>
  <c r="H7" i="4"/>
  <c r="Z7" i="4" s="1"/>
  <c r="H8" i="4"/>
  <c r="Z8" i="4" s="1"/>
  <c r="H9" i="4"/>
  <c r="Z9" i="4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" i="4"/>
  <c r="R27" i="4"/>
  <c r="S27" i="4" s="1"/>
  <c r="P27" i="4"/>
  <c r="M27" i="4"/>
  <c r="R26" i="4"/>
  <c r="S26" i="4" s="1"/>
  <c r="P26" i="4"/>
  <c r="M26" i="4"/>
  <c r="R25" i="4"/>
  <c r="S25" i="4" s="1"/>
  <c r="P25" i="4"/>
  <c r="M25" i="4"/>
  <c r="R24" i="4"/>
  <c r="S24" i="4" s="1"/>
  <c r="P24" i="4"/>
  <c r="M24" i="4"/>
  <c r="R23" i="4"/>
  <c r="S23" i="4" s="1"/>
  <c r="P23" i="4"/>
  <c r="M23" i="4"/>
  <c r="R22" i="4"/>
  <c r="S22" i="4" s="1"/>
  <c r="P22" i="4"/>
  <c r="M22" i="4"/>
  <c r="R21" i="4"/>
  <c r="S21" i="4" s="1"/>
  <c r="P21" i="4"/>
  <c r="M21" i="4"/>
  <c r="R20" i="4"/>
  <c r="S20" i="4" s="1"/>
  <c r="P20" i="4"/>
  <c r="M20" i="4"/>
  <c r="R19" i="4"/>
  <c r="S19" i="4" s="1"/>
  <c r="P19" i="4"/>
  <c r="M19" i="4"/>
  <c r="R18" i="4"/>
  <c r="S18" i="4" s="1"/>
  <c r="P18" i="4"/>
  <c r="M18" i="4"/>
  <c r="R17" i="4"/>
  <c r="S17" i="4" s="1"/>
  <c r="P17" i="4"/>
  <c r="M17" i="4"/>
  <c r="R16" i="4"/>
  <c r="S16" i="4" s="1"/>
  <c r="P16" i="4"/>
  <c r="M16" i="4"/>
  <c r="R15" i="4"/>
  <c r="S15" i="4" s="1"/>
  <c r="P15" i="4"/>
  <c r="M15" i="4"/>
  <c r="R14" i="4"/>
  <c r="S14" i="4" s="1"/>
  <c r="P14" i="4"/>
  <c r="M14" i="4"/>
  <c r="R13" i="4"/>
  <c r="S13" i="4" s="1"/>
  <c r="P13" i="4"/>
  <c r="M13" i="4"/>
  <c r="R12" i="4"/>
  <c r="S12" i="4" s="1"/>
  <c r="P12" i="4"/>
  <c r="M12" i="4"/>
  <c r="R11" i="4"/>
  <c r="S11" i="4" s="1"/>
  <c r="P11" i="4"/>
  <c r="M11" i="4"/>
  <c r="R10" i="4"/>
  <c r="S10" i="4" s="1"/>
  <c r="P10" i="4"/>
  <c r="M10" i="4"/>
  <c r="R9" i="4"/>
  <c r="S9" i="4" s="1"/>
  <c r="P9" i="4"/>
  <c r="M9" i="4"/>
  <c r="R8" i="4"/>
  <c r="S8" i="4" s="1"/>
  <c r="P8" i="4"/>
  <c r="M8" i="4"/>
  <c r="R7" i="4"/>
  <c r="S7" i="4" s="1"/>
  <c r="P7" i="4"/>
  <c r="M7" i="4"/>
  <c r="R6" i="4"/>
  <c r="S6" i="4" s="1"/>
  <c r="P6" i="4"/>
  <c r="M6" i="4"/>
  <c r="Z5" i="4"/>
  <c r="R5" i="4"/>
  <c r="S5" i="4" s="1"/>
  <c r="P5" i="4"/>
  <c r="M5" i="4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5" i="2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4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" i="1"/>
  <c r="T48" i="4" l="1"/>
  <c r="U48" i="4" s="1"/>
  <c r="W48" i="4" s="1"/>
  <c r="T44" i="4"/>
  <c r="U44" i="4" s="1"/>
  <c r="W44" i="4" s="1"/>
  <c r="T40" i="4"/>
  <c r="U40" i="4" s="1"/>
  <c r="W40" i="4" s="1"/>
  <c r="T36" i="4"/>
  <c r="U36" i="4" s="1"/>
  <c r="W36" i="4" s="1"/>
  <c r="T32" i="4"/>
  <c r="U32" i="4" s="1"/>
  <c r="W32" i="4" s="1"/>
  <c r="T28" i="4"/>
  <c r="U28" i="4" s="1"/>
  <c r="W28" i="4" s="1"/>
  <c r="F9" i="9"/>
  <c r="E9" i="9" s="1"/>
  <c r="R12" i="7"/>
  <c r="T46" i="4"/>
  <c r="U46" i="4" s="1"/>
  <c r="W46" i="4" s="1"/>
  <c r="T42" i="4"/>
  <c r="U42" i="4" s="1"/>
  <c r="W42" i="4" s="1"/>
  <c r="T38" i="4"/>
  <c r="U38" i="4" s="1"/>
  <c r="W38" i="4" s="1"/>
  <c r="T34" i="4"/>
  <c r="U34" i="4" s="1"/>
  <c r="W34" i="4" s="1"/>
  <c r="E6" i="9"/>
  <c r="T49" i="4"/>
  <c r="U49" i="4" s="1"/>
  <c r="W49" i="4" s="1"/>
  <c r="T45" i="4"/>
  <c r="U45" i="4" s="1"/>
  <c r="W45" i="4" s="1"/>
  <c r="T41" i="4"/>
  <c r="U41" i="4" s="1"/>
  <c r="W41" i="4" s="1"/>
  <c r="T37" i="4"/>
  <c r="U37" i="4" s="1"/>
  <c r="W37" i="4" s="1"/>
  <c r="T33" i="4"/>
  <c r="U33" i="4" s="1"/>
  <c r="W33" i="4" s="1"/>
  <c r="T47" i="4"/>
  <c r="U47" i="4" s="1"/>
  <c r="W47" i="4" s="1"/>
  <c r="T43" i="4"/>
  <c r="U43" i="4" s="1"/>
  <c r="W43" i="4" s="1"/>
  <c r="T39" i="4"/>
  <c r="U39" i="4" s="1"/>
  <c r="W39" i="4" s="1"/>
  <c r="T35" i="4"/>
  <c r="U35" i="4" s="1"/>
  <c r="W35" i="4" s="1"/>
  <c r="T31" i="4"/>
  <c r="U31" i="4" s="1"/>
  <c r="W31" i="4" s="1"/>
  <c r="H16" i="7"/>
  <c r="S23" i="6"/>
  <c r="E7" i="9" s="1"/>
  <c r="T14" i="6"/>
  <c r="S38" i="5"/>
  <c r="E8" i="9" s="1"/>
  <c r="T30" i="4"/>
  <c r="U30" i="4" s="1"/>
  <c r="W30" i="4" s="1"/>
  <c r="T29" i="4"/>
  <c r="U29" i="4" s="1"/>
  <c r="W29" i="4" s="1"/>
  <c r="T9" i="4"/>
  <c r="U9" i="4" s="1"/>
  <c r="W9" i="4" s="1"/>
  <c r="T11" i="5"/>
  <c r="U11" i="5" s="1"/>
  <c r="W11" i="5" s="1"/>
  <c r="T19" i="5"/>
  <c r="U19" i="5" s="1"/>
  <c r="W19" i="5" s="1"/>
  <c r="T8" i="6"/>
  <c r="U8" i="6" s="1"/>
  <c r="W8" i="6" s="1"/>
  <c r="T6" i="6"/>
  <c r="T19" i="6"/>
  <c r="U19" i="6" s="1"/>
  <c r="W19" i="6" s="1"/>
  <c r="T17" i="6"/>
  <c r="U17" i="6" s="1"/>
  <c r="W17" i="6" s="1"/>
  <c r="T5" i="6"/>
  <c r="U5" i="6" s="1"/>
  <c r="W5" i="6" s="1"/>
  <c r="T11" i="6"/>
  <c r="U11" i="6" s="1"/>
  <c r="W11" i="6" s="1"/>
  <c r="T18" i="6"/>
  <c r="U18" i="6" s="1"/>
  <c r="W18" i="6" s="1"/>
  <c r="T20" i="6"/>
  <c r="U20" i="6" s="1"/>
  <c r="W20" i="6" s="1"/>
  <c r="T13" i="6"/>
  <c r="U13" i="6" s="1"/>
  <c r="W13" i="6" s="1"/>
  <c r="T16" i="6"/>
  <c r="U16" i="6" s="1"/>
  <c r="W16" i="6" s="1"/>
  <c r="T7" i="6"/>
  <c r="U7" i="6" s="1"/>
  <c r="W7" i="6" s="1"/>
  <c r="T9" i="6"/>
  <c r="T12" i="6"/>
  <c r="U12" i="6" s="1"/>
  <c r="W12" i="6" s="1"/>
  <c r="T15" i="6"/>
  <c r="U15" i="6" s="1"/>
  <c r="W15" i="6" s="1"/>
  <c r="T25" i="6"/>
  <c r="U25" i="6" s="1"/>
  <c r="W25" i="6" s="1"/>
  <c r="T10" i="6"/>
  <c r="U10" i="6" s="1"/>
  <c r="W10" i="6" s="1"/>
  <c r="U6" i="6"/>
  <c r="W6" i="6" s="1"/>
  <c r="U14" i="6"/>
  <c r="W14" i="6" s="1"/>
  <c r="T26" i="5"/>
  <c r="U26" i="5" s="1"/>
  <c r="W26" i="5" s="1"/>
  <c r="T15" i="5"/>
  <c r="U15" i="5" s="1"/>
  <c r="W15" i="5" s="1"/>
  <c r="T22" i="5"/>
  <c r="U22" i="5" s="1"/>
  <c r="W22" i="5" s="1"/>
  <c r="T27" i="5"/>
  <c r="U27" i="5" s="1"/>
  <c r="W27" i="5" s="1"/>
  <c r="T23" i="5"/>
  <c r="U23" i="5" s="1"/>
  <c r="W23" i="5" s="1"/>
  <c r="T17" i="5"/>
  <c r="U17" i="5" s="1"/>
  <c r="W17" i="5" s="1"/>
  <c r="T18" i="5"/>
  <c r="U18" i="5" s="1"/>
  <c r="W18" i="5" s="1"/>
  <c r="T25" i="5"/>
  <c r="U25" i="5" s="1"/>
  <c r="W25" i="5" s="1"/>
  <c r="T13" i="5"/>
  <c r="U13" i="5" s="1"/>
  <c r="W13" i="5" s="1"/>
  <c r="T21" i="5"/>
  <c r="U21" i="5" s="1"/>
  <c r="W21" i="5" s="1"/>
  <c r="T6" i="5"/>
  <c r="U6" i="5" s="1"/>
  <c r="W6" i="5" s="1"/>
  <c r="T8" i="5"/>
  <c r="U8" i="5" s="1"/>
  <c r="W8" i="5" s="1"/>
  <c r="T10" i="5"/>
  <c r="U10" i="5" s="1"/>
  <c r="W10" i="5" s="1"/>
  <c r="T14" i="5"/>
  <c r="U14" i="5" s="1"/>
  <c r="W14" i="5" s="1"/>
  <c r="T5" i="5"/>
  <c r="T7" i="5"/>
  <c r="U7" i="5" s="1"/>
  <c r="W7" i="5" s="1"/>
  <c r="T9" i="5"/>
  <c r="U9" i="5" s="1"/>
  <c r="W9" i="5" s="1"/>
  <c r="T12" i="5"/>
  <c r="U12" i="5" s="1"/>
  <c r="W12" i="5" s="1"/>
  <c r="T16" i="5"/>
  <c r="U16" i="5" s="1"/>
  <c r="W16" i="5" s="1"/>
  <c r="T20" i="5"/>
  <c r="U20" i="5" s="1"/>
  <c r="W20" i="5" s="1"/>
  <c r="T24" i="5"/>
  <c r="U24" i="5" s="1"/>
  <c r="W24" i="5" s="1"/>
  <c r="T28" i="5"/>
  <c r="U28" i="5" s="1"/>
  <c r="W28" i="5" s="1"/>
  <c r="T13" i="4"/>
  <c r="U13" i="4" s="1"/>
  <c r="W13" i="4" s="1"/>
  <c r="T21" i="4"/>
  <c r="U21" i="4" s="1"/>
  <c r="W21" i="4" s="1"/>
  <c r="T25" i="4"/>
  <c r="U25" i="4" s="1"/>
  <c r="W25" i="4" s="1"/>
  <c r="T16" i="4"/>
  <c r="U16" i="4" s="1"/>
  <c r="W16" i="4" s="1"/>
  <c r="T20" i="4"/>
  <c r="U20" i="4" s="1"/>
  <c r="W20" i="4" s="1"/>
  <c r="T15" i="4"/>
  <c r="U15" i="4" s="1"/>
  <c r="W15" i="4" s="1"/>
  <c r="T19" i="4"/>
  <c r="U19" i="4" s="1"/>
  <c r="W19" i="4" s="1"/>
  <c r="T18" i="4"/>
  <c r="U18" i="4" s="1"/>
  <c r="W18" i="4" s="1"/>
  <c r="T22" i="4"/>
  <c r="U22" i="4" s="1"/>
  <c r="W22" i="4" s="1"/>
  <c r="T26" i="4"/>
  <c r="U26" i="4" s="1"/>
  <c r="W26" i="4" s="1"/>
  <c r="T5" i="4"/>
  <c r="T6" i="4"/>
  <c r="U6" i="4" s="1"/>
  <c r="W6" i="4" s="1"/>
  <c r="T7" i="4"/>
  <c r="U7" i="4" s="1"/>
  <c r="W7" i="4" s="1"/>
  <c r="T8" i="4"/>
  <c r="U8" i="4" s="1"/>
  <c r="W8" i="4" s="1"/>
  <c r="T10" i="4"/>
  <c r="U10" i="4" s="1"/>
  <c r="W10" i="4" s="1"/>
  <c r="T11" i="4"/>
  <c r="U11" i="4" s="1"/>
  <c r="W11" i="4" s="1"/>
  <c r="T12" i="4"/>
  <c r="U12" i="4" s="1"/>
  <c r="W12" i="4" s="1"/>
  <c r="T14" i="4"/>
  <c r="U14" i="4" s="1"/>
  <c r="W14" i="4" s="1"/>
  <c r="T17" i="4"/>
  <c r="U17" i="4" s="1"/>
  <c r="W17" i="4" s="1"/>
  <c r="T23" i="4"/>
  <c r="U23" i="4" s="1"/>
  <c r="W23" i="4" s="1"/>
  <c r="T24" i="4"/>
  <c r="U24" i="4" s="1"/>
  <c r="W24" i="4" s="1"/>
  <c r="T27" i="4"/>
  <c r="U27" i="4" s="1"/>
  <c r="W27" i="4" s="1"/>
  <c r="E11" i="9" l="1"/>
  <c r="AA5" i="6"/>
  <c r="T50" i="4"/>
  <c r="U5" i="4"/>
  <c r="U9" i="6"/>
  <c r="T23" i="6"/>
  <c r="U5" i="5"/>
  <c r="T38" i="5"/>
  <c r="W5" i="4" l="1"/>
  <c r="U50" i="4"/>
  <c r="W9" i="6"/>
  <c r="F7" i="9" s="1"/>
  <c r="U23" i="6"/>
  <c r="W5" i="5"/>
  <c r="F8" i="9" s="1"/>
  <c r="U38" i="5"/>
  <c r="AA5" i="4" l="1"/>
  <c r="F6" i="9" l="1"/>
  <c r="F11" i="9" s="1"/>
</calcChain>
</file>

<file path=xl/sharedStrings.xml><?xml version="1.0" encoding="utf-8"?>
<sst xmlns="http://schemas.openxmlformats.org/spreadsheetml/2006/main" count="999" uniqueCount="240">
  <si>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</si>
  <si>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</si>
  <si>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</si>
  <si>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</si>
  <si>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</si>
  <si>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</si>
  <si>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Structure condition</t>
  </si>
  <si>
    <t>Area (in sq. mtr.)</t>
  </si>
  <si>
    <t>Area (sq. fts.)</t>
  </si>
  <si>
    <t xml:space="preserve">Mill House Old </t>
  </si>
  <si>
    <t>G+1</t>
  </si>
  <si>
    <t>3 Mtr</t>
  </si>
  <si>
    <t>GI shed roof mounted on iron pillars, trusses frame structure</t>
  </si>
  <si>
    <t xml:space="preserve">Mill House New </t>
  </si>
  <si>
    <t>4 Mtr</t>
  </si>
  <si>
    <t>Old Boiler House no.1 &amp;  11</t>
  </si>
  <si>
    <t>AC sheet roofed building mounted on steel trusses resting on RCC column</t>
  </si>
  <si>
    <t>Boiler No.8</t>
  </si>
  <si>
    <t>Boiler No.9</t>
  </si>
  <si>
    <t>Boiler No.10</t>
  </si>
  <si>
    <t xml:space="preserve">New Power House </t>
  </si>
  <si>
    <t xml:space="preserve">Old Power House </t>
  </si>
  <si>
    <t>3.5 Mtr</t>
  </si>
  <si>
    <t xml:space="preserve">Transformer Room </t>
  </si>
  <si>
    <t>G</t>
  </si>
  <si>
    <t xml:space="preserve">Load Bearing wall with AC sheet roof </t>
  </si>
  <si>
    <t xml:space="preserve">Generator Room </t>
  </si>
  <si>
    <t>12 Mtr</t>
  </si>
  <si>
    <t xml:space="preserve">Old Drier House </t>
  </si>
  <si>
    <t>15 Mtr</t>
  </si>
  <si>
    <t xml:space="preserve">New Drier House </t>
  </si>
  <si>
    <t>17 Mtr</t>
  </si>
  <si>
    <t xml:space="preserve">Clarification House </t>
  </si>
  <si>
    <t>7 Mtr</t>
  </si>
  <si>
    <t xml:space="preserve">Evaporator House </t>
  </si>
  <si>
    <t>Pan House House Old</t>
  </si>
  <si>
    <t>G+2</t>
  </si>
  <si>
    <t>3 Mtr&amp; 14 Mtr</t>
  </si>
  <si>
    <t xml:space="preserve">Pan House New </t>
  </si>
  <si>
    <t>3.5 Mtr &amp; 14 Mtr</t>
  </si>
  <si>
    <t>Alum. Sheet roofed building mounted on steel trusses</t>
  </si>
  <si>
    <t>Laboratory</t>
  </si>
  <si>
    <t xml:space="preserve">Load Bearing wall with RCC roof  </t>
  </si>
  <si>
    <t>Work Shop</t>
  </si>
  <si>
    <t>6 Mtr</t>
  </si>
  <si>
    <t xml:space="preserve">AC sheet roof  with load bearing brick wall, MS column &amp; trusses. </t>
  </si>
  <si>
    <t xml:space="preserve">Store Building </t>
  </si>
  <si>
    <t xml:space="preserve">Store Yard/Shed </t>
  </si>
  <si>
    <t>AC sheet roof with load bearing wall and MS Column</t>
  </si>
  <si>
    <t xml:space="preserve">Lime Godown </t>
  </si>
  <si>
    <t>Load Bearing wall with RCC Slab</t>
  </si>
  <si>
    <t xml:space="preserve">Sulpher Godown </t>
  </si>
  <si>
    <t>AC Sheet roof with load bearing wall</t>
  </si>
  <si>
    <t xml:space="preserve">12 MW Building </t>
  </si>
  <si>
    <t>G+3</t>
  </si>
  <si>
    <t>7Mtr,4Mtr &amp; 4 Mtr</t>
  </si>
  <si>
    <t>GI sheet roofing with RCC frame &amp; MS Column &amp; Trusses</t>
  </si>
  <si>
    <t xml:space="preserve">Switch Yard </t>
  </si>
  <si>
    <t>Open to Sky</t>
  </si>
  <si>
    <t>Gunney Bag Godown</t>
  </si>
  <si>
    <t>8 Mtr</t>
  </si>
  <si>
    <t xml:space="preserve">AC sheet roof with load bearing wall and MS trusses </t>
  </si>
  <si>
    <t>Godown NO.1</t>
  </si>
  <si>
    <t>9 Mtr</t>
  </si>
  <si>
    <t>1971-72</t>
  </si>
  <si>
    <t>Godown NO.2</t>
  </si>
  <si>
    <t>Godown NO.3</t>
  </si>
  <si>
    <t>Godown NO.5</t>
  </si>
  <si>
    <t xml:space="preserve">GI sheet roof with load bearing wall and MS trusses </t>
  </si>
  <si>
    <t>Godown NO.6</t>
  </si>
  <si>
    <t>Godown NO.7</t>
  </si>
  <si>
    <t>Godown NO.8</t>
  </si>
  <si>
    <t>11 Mtr</t>
  </si>
  <si>
    <t>Godown NO.9</t>
  </si>
  <si>
    <t>1997-98</t>
  </si>
  <si>
    <t>Godown NO.10</t>
  </si>
  <si>
    <t>Godown NO.11</t>
  </si>
  <si>
    <t>1998-99</t>
  </si>
  <si>
    <t>Godown NO.12</t>
  </si>
  <si>
    <t>2000-01</t>
  </si>
  <si>
    <t>Godown NO.13</t>
  </si>
  <si>
    <t>2003-04</t>
  </si>
  <si>
    <t>UGR</t>
  </si>
  <si>
    <t>UG+1</t>
  </si>
  <si>
    <t>2.5 Mtr</t>
  </si>
  <si>
    <t xml:space="preserve">Under ground Tank with RCC wall &amp; slab </t>
  </si>
  <si>
    <t xml:space="preserve">Kishan Shed </t>
  </si>
  <si>
    <t>3.60 Mtr</t>
  </si>
  <si>
    <t>Spray Pump Room</t>
  </si>
  <si>
    <t xml:space="preserve"> Bagasse Yard </t>
  </si>
  <si>
    <t>Cane Yard</t>
  </si>
  <si>
    <t xml:space="preserve">Weigh Bridge </t>
  </si>
  <si>
    <t>3.25 Mtr</t>
  </si>
  <si>
    <t>Admin Building(Double Story)</t>
  </si>
  <si>
    <t xml:space="preserve">Old General Office(Double Story) </t>
  </si>
  <si>
    <t>Time Office (Double Stores)</t>
  </si>
  <si>
    <t xml:space="preserve">Excise Office </t>
  </si>
  <si>
    <t xml:space="preserve">Security Office </t>
  </si>
  <si>
    <t>Road Area</t>
  </si>
  <si>
    <t xml:space="preserve">CMD Kothi </t>
  </si>
  <si>
    <t xml:space="preserve">MDF Cothi </t>
  </si>
  <si>
    <t>Unit Head &amp; Kothi No.2</t>
  </si>
  <si>
    <t>Manager Bungalow</t>
  </si>
  <si>
    <t>Manager Bungalow(Double Story)</t>
  </si>
  <si>
    <t>Manager Bungalow (Double Story)</t>
  </si>
  <si>
    <t xml:space="preserve">A- Type </t>
  </si>
  <si>
    <t>B-Type</t>
  </si>
  <si>
    <t>A-Type (750)</t>
  </si>
  <si>
    <t>A-Type (Four Story)</t>
  </si>
  <si>
    <t>A- Type(Triple Story)</t>
  </si>
  <si>
    <t xml:space="preserve">B- Type </t>
  </si>
  <si>
    <t xml:space="preserve">B-Type </t>
  </si>
  <si>
    <t>B-Type (550)</t>
  </si>
  <si>
    <t>C-Type</t>
  </si>
  <si>
    <t>C-Type (Double Story)</t>
  </si>
  <si>
    <t>D-Type</t>
  </si>
  <si>
    <t>E-Type</t>
  </si>
  <si>
    <t xml:space="preserve">ACC sheet roof with load bearing wall </t>
  </si>
  <si>
    <t>F-Type</t>
  </si>
  <si>
    <t>Truck Union Colony (Double Story)</t>
  </si>
  <si>
    <t xml:space="preserve">RCC frame structure with slab &amp; brick wall </t>
  </si>
  <si>
    <t>330 Colony (Triple Story)</t>
  </si>
  <si>
    <t>330 Colony (Four Story)</t>
  </si>
  <si>
    <t xml:space="preserve">Guest House Building </t>
  </si>
  <si>
    <t>3.65 Mtr</t>
  </si>
  <si>
    <t xml:space="preserve">Canteen Building </t>
  </si>
  <si>
    <t>AC sheet roof with load bearing wall &amp; RCC slab.</t>
  </si>
  <si>
    <t xml:space="preserve">Hospital </t>
  </si>
  <si>
    <t>SBI</t>
  </si>
  <si>
    <t xml:space="preserve">School </t>
  </si>
  <si>
    <t xml:space="preserve">Officer Club </t>
  </si>
  <si>
    <t xml:space="preserve">Marriage Hall </t>
  </si>
  <si>
    <t>5 Mtr</t>
  </si>
  <si>
    <t>ACC sheet roof with load bearing wall MS Trusses.</t>
  </si>
  <si>
    <t xml:space="preserve">Garage </t>
  </si>
  <si>
    <t>ACC sheet roof with load bearing wall 10 Nos &amp; RCC slab with load bearing wall 12 Nos.</t>
  </si>
  <si>
    <t xml:space="preserve">Road Area </t>
  </si>
  <si>
    <t>Office Building First (Double Story)</t>
  </si>
  <si>
    <t>Office Building Second (Double Stores)</t>
  </si>
  <si>
    <t>Lab Building (Double Stores)</t>
  </si>
  <si>
    <t xml:space="preserve">Fermentation Section </t>
  </si>
  <si>
    <t xml:space="preserve">PCC Room </t>
  </si>
  <si>
    <t>Distillation Section (Nine Stores)</t>
  </si>
  <si>
    <t>G+8</t>
  </si>
  <si>
    <t xml:space="preserve">Receiver Section </t>
  </si>
  <si>
    <t xml:space="preserve">Loading Shed </t>
  </si>
  <si>
    <t>Engineering Store</t>
  </si>
  <si>
    <t xml:space="preserve">AC sheet roof with load bearing wall </t>
  </si>
  <si>
    <t>Weigh Bridge Room</t>
  </si>
  <si>
    <t xml:space="preserve">Under Ground Tank </t>
  </si>
  <si>
    <t>UG</t>
  </si>
  <si>
    <t>ETP Lab</t>
  </si>
  <si>
    <t xml:space="preserve">Scrap Yard </t>
  </si>
  <si>
    <t xml:space="preserve">Bottling Plant </t>
  </si>
  <si>
    <t xml:space="preserve">GI shed roof mounted on iron pillars, trusses frame structure &amp; Brick wall </t>
  </si>
  <si>
    <t xml:space="preserve">Store </t>
  </si>
  <si>
    <t xml:space="preserve"> Type of construction                     (select from drop down)</t>
  </si>
  <si>
    <t>Sr. No.</t>
  </si>
  <si>
    <t>Floor</t>
  </si>
  <si>
    <t xml:space="preserve">Block Name </t>
  </si>
  <si>
    <t>Construction Category</t>
  </si>
  <si>
    <t>Condition of Structure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</si>
  <si>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</si>
  <si>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</si>
  <si>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t>Height (in ft.)</t>
  </si>
  <si>
    <t>Year of Construction</t>
  </si>
  <si>
    <t xml:space="preserve">Year of Valuation </t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</si>
  <si>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</si>
  <si>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</si>
  <si>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</si>
  <si>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</si>
  <si>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</si>
  <si>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</si>
  <si>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</si>
  <si>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</si>
  <si>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</si>
  <si>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</si>
  <si>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</si>
  <si>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</si>
  <si>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t>Age Factor</t>
  </si>
  <si>
    <t>Total Govt. Guideline value</t>
  </si>
  <si>
    <t>Good</t>
  </si>
  <si>
    <t xml:space="preserve"> </t>
  </si>
  <si>
    <t>Height (in mtr.)</t>
  </si>
  <si>
    <t>Boiler No.2</t>
  </si>
  <si>
    <t>Boiler No.3</t>
  </si>
  <si>
    <t>Boiler No.4</t>
  </si>
  <si>
    <t>MEE Plant</t>
  </si>
  <si>
    <t>Mee Panel Room</t>
  </si>
  <si>
    <t>RCC frame structure with slab and brick wall</t>
  </si>
  <si>
    <t>Open to sky</t>
  </si>
  <si>
    <t>Description</t>
  </si>
  <si>
    <t xml:space="preserve">Type of construction  </t>
  </si>
  <si>
    <r>
      <t xml:space="preserve">Area 
</t>
    </r>
    <r>
      <rPr>
        <i/>
        <sz val="11"/>
        <color indexed="8"/>
        <rFont val="Calibri"/>
        <family val="2"/>
      </rPr>
      <t>(in running mtr.)</t>
    </r>
  </si>
  <si>
    <t>Rates adopted</t>
  </si>
  <si>
    <t>Depreciated Replacement Cost</t>
  </si>
  <si>
    <t xml:space="preserve">Govt. Guidelines Rates 
(in sq. mtr.)
</t>
  </si>
  <si>
    <t xml:space="preserve"> Govt. Guideline Value</t>
  </si>
  <si>
    <t>Average</t>
  </si>
  <si>
    <t>Total</t>
  </si>
  <si>
    <t>Bagasse Yard</t>
  </si>
  <si>
    <t>Switch Yard</t>
  </si>
  <si>
    <t>Road Length (meter)</t>
  </si>
  <si>
    <r>
      <t xml:space="preserve">Area 
</t>
    </r>
    <r>
      <rPr>
        <i/>
        <sz val="11"/>
        <color indexed="8"/>
        <rFont val="Calibri"/>
        <family val="2"/>
      </rPr>
      <t>(sq.mtr.)</t>
    </r>
  </si>
  <si>
    <r>
      <t xml:space="preserve">Area
</t>
    </r>
    <r>
      <rPr>
        <i/>
        <sz val="11"/>
        <color indexed="8"/>
        <rFont val="Calibri"/>
        <family val="2"/>
      </rPr>
      <t xml:space="preserve"> ( sq.fts.)</t>
    </r>
  </si>
  <si>
    <t>Brick Work</t>
  </si>
  <si>
    <r>
      <t xml:space="preserve">4618 
</t>
    </r>
    <r>
      <rPr>
        <i/>
        <sz val="11"/>
        <color indexed="8"/>
        <rFont val="Times New Roman"/>
        <family val="1"/>
      </rPr>
      <t>(in running mtr.)</t>
    </r>
  </si>
  <si>
    <r>
      <t xml:space="preserve">4719
</t>
    </r>
    <r>
      <rPr>
        <i/>
        <sz val="11"/>
        <color indexed="8"/>
        <rFont val="Times New Roman"/>
        <family val="1"/>
      </rPr>
      <t>(in running mtr.)</t>
    </r>
  </si>
  <si>
    <r>
      <t>18227</t>
    </r>
    <r>
      <rPr>
        <i/>
        <sz val="11"/>
        <color indexed="8"/>
        <rFont val="Times New Roman"/>
        <family val="1"/>
      </rPr>
      <t xml:space="preserve"> (sq.mtr)</t>
    </r>
  </si>
  <si>
    <r>
      <t xml:space="preserve">69.30
</t>
    </r>
    <r>
      <rPr>
        <i/>
        <sz val="11"/>
        <color indexed="8"/>
        <rFont val="Times New Roman"/>
        <family val="1"/>
      </rPr>
      <t>(in running mtr.)</t>
    </r>
  </si>
  <si>
    <r>
      <t xml:space="preserve">Area
</t>
    </r>
    <r>
      <rPr>
        <i/>
        <sz val="11"/>
        <color indexed="8"/>
        <rFont val="Calibri"/>
        <family val="2"/>
      </rPr>
      <t xml:space="preserve"> (sq. fts.)</t>
    </r>
  </si>
  <si>
    <t>Boundary Wall</t>
  </si>
  <si>
    <t>Out Side Colony</t>
  </si>
  <si>
    <t>Brick Wall with RCC Column</t>
  </si>
  <si>
    <t>Inside Colony</t>
  </si>
  <si>
    <t>Plant Area</t>
  </si>
  <si>
    <t>Distillery Area</t>
  </si>
  <si>
    <t>Old Boiler House no.1 &amp;  5</t>
  </si>
  <si>
    <t>TOTAL</t>
  </si>
  <si>
    <t>Load bearing wall with RCC slab</t>
  </si>
  <si>
    <t>AC sheet roof with load bearing wall and MS column</t>
  </si>
  <si>
    <t>Underground tank with RCC wall and slab</t>
  </si>
  <si>
    <t>Scrap Yard</t>
  </si>
  <si>
    <t>BUILDING/ CIVIL STRUCTURE | BAJAJ HINDUSTHAN SUGAR LIMITED | PALIYA, LAKHIMPUR KHERI</t>
  </si>
  <si>
    <t>Gross Block</t>
  </si>
  <si>
    <t>Depreciated Fair Market Value</t>
  </si>
  <si>
    <t>Sugar Unit</t>
  </si>
  <si>
    <t>Distellary Area</t>
  </si>
  <si>
    <t>Residential Building</t>
  </si>
  <si>
    <t>Other  Structures</t>
  </si>
  <si>
    <t>Remarks:</t>
  </si>
  <si>
    <t>1.The covered area statement of the subject project has been taken on the basis of information/ data provided by the company.</t>
  </si>
  <si>
    <t>2. The condition of the structure is average and maintained by the company.</t>
  </si>
  <si>
    <t>3. The Valuation of the building/ civil structures has been done on the basis of 'Depreciated Replacement cost approach'</t>
  </si>
  <si>
    <t>EXTRA AMENITIES BOUNDARY WALLS</t>
  </si>
  <si>
    <t xml:space="preserve"> VALUATION  OF OTHER STRUCTURES</t>
  </si>
  <si>
    <t xml:space="preserve"> VALUATION  OF OTHER STRUCTURES (ROADS)</t>
  </si>
  <si>
    <t xml:space="preserve"> MARKET VALUE OF STRUCTURES OF M/S. BAJAJ HINDUSTHAN SUGAR LIMITED.| PROPERTY OF INDUSTRIAL PROPERTY | SITUATED AT: VILLAGE- PALIA, DISTRICT- LAKHIMPURKHIRI, U.P</t>
  </si>
  <si>
    <t xml:space="preserve">  MARKET VALUE OF STRUCTURES OF M/S. BAJAJ HINDUSTHAN SUGAR LIMITED.| PROPERTY OF INDUSTRIAL PROPERTY | SITUATED AT: VILLAGE- PALIA, DISTRICT- LAKHIMPURKHIRI, U.P</t>
  </si>
  <si>
    <t>Roads/yard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</si>
</sst>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[$₹-4009]\ * #,##0.00_ ;_ [$₹-4009]\ * \-#,##0.00_ ;_ [$₹-4009]\ * &quot;-&quot;??_ ;_ @_ "/>
    <numFmt numFmtId="166" formatCode="_ [$₹-4009]\ * #,##0_ ;_ [$₹-4009]\ * \-#,##0_ ;_ [$₹-4009]\ * &quot;-&quot;??_ ;_ @_ "/>
    <numFmt numFmtId="167" formatCode="_ &quot;₹&quot;\ * #,##0_ ;_ &quot;₹&quot;\ * \-#,##0_ ;_ &quot;₹&quot;\ * &quot;-&quot;??_ ;_ @_ "/>
    <numFmt numFmtId="168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4" tint="-0.499984740745262"/>
        <bgColor indexed="62"/>
      </patternFill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6"/>
        <bgColor indexed="63"/>
      </patternFill>
    </fill>
    <fill>
      <patternFill patternType="solid">
        <fgColor theme="4" tint="0.59999389629810485"/>
        <bgColor indexed="24"/>
      </patternFill>
    </fill>
    <fill>
      <patternFill patternType="solid">
        <fgColor indexed="44"/>
        <bgColor indexed="2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1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1" xfId="0" applyBorder="1"/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6" fontId="12" fillId="0" borderId="0" xfId="0" applyNumberFormat="1" applyFont="1" applyAlignment="1">
      <alignment horizontal="center" vertical="center" wrapText="1"/>
    </xf>
    <xf numFmtId="0" fontId="15" fillId="8" borderId="9" xfId="5" applyFont="1" applyFill="1" applyBorder="1" applyAlignment="1">
      <alignment horizontal="center" vertical="center" wrapText="1"/>
    </xf>
    <xf numFmtId="0" fontId="15" fillId="9" borderId="9" xfId="5" applyFont="1" applyFill="1" applyBorder="1" applyAlignment="1">
      <alignment horizontal="center" vertical="center" wrapText="1"/>
    </xf>
    <xf numFmtId="0" fontId="15" fillId="9" borderId="1" xfId="5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/>
    </xf>
    <xf numFmtId="2" fontId="17" fillId="0" borderId="3" xfId="5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7" fontId="0" fillId="0" borderId="1" xfId="4" applyNumberFormat="1" applyFont="1" applyBorder="1"/>
    <xf numFmtId="1" fontId="11" fillId="0" borderId="3" xfId="5" applyNumberFormat="1" applyFont="1" applyBorder="1" applyAlignment="1">
      <alignment horizontal="center" vertical="center"/>
    </xf>
    <xf numFmtId="1" fontId="17" fillId="0" borderId="3" xfId="5" applyNumberFormat="1" applyFont="1" applyBorder="1" applyAlignment="1">
      <alignment horizontal="center" vertical="center"/>
    </xf>
    <xf numFmtId="166" fontId="7" fillId="0" borderId="1" xfId="0" applyNumberFormat="1" applyFont="1" applyBorder="1"/>
    <xf numFmtId="166" fontId="1" fillId="0" borderId="1" xfId="0" applyNumberFormat="1" applyFont="1" applyBorder="1" applyAlignment="1">
      <alignment vertical="center"/>
    </xf>
    <xf numFmtId="167" fontId="1" fillId="0" borderId="1" xfId="4" applyNumberFormat="1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horizontal="center" vertical="center" wrapText="1"/>
    </xf>
    <xf numFmtId="167" fontId="7" fillId="0" borderId="1" xfId="0" applyNumberFormat="1" applyFont="1" applyBorder="1"/>
    <xf numFmtId="0" fontId="0" fillId="0" borderId="7" xfId="0" applyBorder="1"/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right" vertical="center"/>
    </xf>
    <xf numFmtId="43" fontId="0" fillId="0" borderId="0" xfId="3" applyFont="1"/>
    <xf numFmtId="0" fontId="20" fillId="5" borderId="1" xfId="5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6" fontId="0" fillId="0" borderId="0" xfId="0" applyNumberFormat="1"/>
    <xf numFmtId="166" fontId="11" fillId="0" borderId="1" xfId="0" applyNumberFormat="1" applyFont="1" applyBorder="1"/>
    <xf numFmtId="166" fontId="22" fillId="0" borderId="1" xfId="0" applyNumberFormat="1" applyFont="1" applyBorder="1" applyAlignment="1">
      <alignment vertical="center"/>
    </xf>
    <xf numFmtId="165" fontId="0" fillId="0" borderId="0" xfId="0" applyNumberFormat="1"/>
    <xf numFmtId="165" fontId="12" fillId="0" borderId="2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44" fontId="12" fillId="0" borderId="1" xfId="4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6" fontId="23" fillId="0" borderId="0" xfId="0" applyNumberFormat="1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7" fontId="8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8" fillId="0" borderId="2" xfId="0" applyNumberFormat="1" applyFont="1" applyBorder="1" applyAlignment="1">
      <alignment horizontal="center" vertical="center"/>
    </xf>
    <xf numFmtId="167" fontId="0" fillId="0" borderId="0" xfId="0" applyNumberFormat="1"/>
    <xf numFmtId="167" fontId="8" fillId="0" borderId="1" xfId="0" applyNumberFormat="1" applyFont="1" applyBorder="1" applyAlignment="1">
      <alignment vertical="center"/>
    </xf>
    <xf numFmtId="0" fontId="7" fillId="5" borderId="1" xfId="0" applyFont="1" applyFill="1" applyBorder="1" applyAlignment="1"/>
    <xf numFmtId="168" fontId="23" fillId="0" borderId="1" xfId="3" applyNumberFormat="1" applyFont="1" applyBorder="1" applyAlignment="1">
      <alignment horizontal="center" vertical="center" wrapText="1"/>
    </xf>
    <xf numFmtId="168" fontId="7" fillId="0" borderId="1" xfId="3" applyNumberFormat="1" applyFont="1" applyBorder="1"/>
    <xf numFmtId="0" fontId="4" fillId="5" borderId="12" xfId="0" applyFont="1" applyFill="1" applyBorder="1" applyAlignment="1">
      <alignment vertical="center"/>
    </xf>
    <xf numFmtId="168" fontId="23" fillId="0" borderId="0" xfId="3" applyNumberFormat="1" applyFont="1" applyAlignment="1">
      <alignment horizontal="center" vertical="center" wrapText="1"/>
    </xf>
    <xf numFmtId="168" fontId="5" fillId="0" borderId="0" xfId="3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5" fillId="8" borderId="1" xfId="5" applyFont="1" applyFill="1" applyBorder="1" applyAlignment="1">
      <alignment horizontal="center" vertical="center" wrapText="1"/>
    </xf>
    <xf numFmtId="0" fontId="14" fillId="7" borderId="8" xfId="5" applyFont="1" applyFill="1" applyBorder="1" applyAlignment="1">
      <alignment horizontal="center" vertical="center"/>
    </xf>
    <xf numFmtId="0" fontId="14" fillId="7" borderId="0" xfId="5" applyFont="1" applyFill="1" applyAlignment="1">
      <alignment horizontal="center" vertical="center"/>
    </xf>
    <xf numFmtId="0" fontId="15" fillId="8" borderId="10" xfId="5" applyFont="1" applyFill="1" applyBorder="1" applyAlignment="1">
      <alignment horizontal="center" vertical="center" wrapText="1"/>
    </xf>
    <xf numFmtId="0" fontId="15" fillId="8" borderId="11" xfId="5" applyFont="1" applyFill="1" applyBorder="1" applyAlignment="1">
      <alignment horizontal="center" vertical="center" wrapText="1"/>
    </xf>
    <xf numFmtId="0" fontId="15" fillId="8" borderId="5" xfId="5" applyFont="1" applyFill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14" fillId="7" borderId="1" xfId="5" applyFont="1" applyFill="1" applyBorder="1" applyAlignment="1">
      <alignment horizontal="center" vertical="center"/>
    </xf>
    <xf numFmtId="0" fontId="20" fillId="5" borderId="6" xfId="5" applyFont="1" applyFill="1" applyBorder="1" applyAlignment="1">
      <alignment horizontal="center" vertical="center" wrapText="1"/>
    </xf>
    <xf numFmtId="0" fontId="20" fillId="5" borderId="2" xfId="5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5" fillId="0" borderId="6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4" fillId="7" borderId="1" xfId="5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6">
    <cellStyle name="Comma" xfId="3" builtinId="3"/>
    <cellStyle name="Comma 2" xfId="1"/>
    <cellStyle name="Currency" xfId="4" builtinId="4"/>
    <cellStyle name="Excel Built-in Normal" xfId="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53"/>
  <sheetViews>
    <sheetView topLeftCell="A46" workbookViewId="0">
      <selection activeCell="F4" sqref="F4"/>
    </sheetView>
  </sheetViews>
  <sheetFormatPr defaultRowHeight="15" x14ac:dyDescent="0.25"/>
  <cols>
    <col min="2" max="2" width="6" bestFit="1" customWidth="1"/>
    <col min="3" max="3" width="21.140625" style="8" customWidth="1"/>
    <col min="4" max="4" width="14.7109375" customWidth="1"/>
    <col min="5" max="5" width="16.42578125" customWidth="1"/>
    <col min="6" max="6" width="14.28515625" customWidth="1"/>
    <col min="7" max="7" width="18" style="8" customWidth="1"/>
    <col min="8" max="9" width="13.42578125" customWidth="1"/>
    <col min="10" max="10" width="14.28515625" customWidth="1"/>
  </cols>
  <sheetData>
    <row r="3" spans="2:12" ht="15.75" x14ac:dyDescent="0.25">
      <c r="B3" s="89" t="s">
        <v>0</v>
      </c>
      <c r="C3" s="89"/>
      <c r="D3" s="89"/>
      <c r="E3" s="89"/>
      <c r="F3" s="89"/>
      <c r="G3" s="89"/>
      <c r="H3" s="89"/>
      <c r="I3" s="89"/>
      <c r="J3" s="89"/>
    </row>
    <row r="4" spans="2:12" ht="57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156</v>
      </c>
      <c r="H4" s="1" t="s">
        <v>6</v>
      </c>
      <c r="I4" s="2" t="s">
        <v>7</v>
      </c>
      <c r="J4" s="1" t="s">
        <v>8</v>
      </c>
    </row>
    <row r="5" spans="2:12" ht="60" x14ac:dyDescent="0.25">
      <c r="B5" s="3">
        <v>1</v>
      </c>
      <c r="C5" s="4" t="s">
        <v>9</v>
      </c>
      <c r="D5" s="4" t="s">
        <v>10</v>
      </c>
      <c r="E5" s="3" t="s">
        <v>11</v>
      </c>
      <c r="F5" s="3">
        <v>1971</v>
      </c>
      <c r="G5" s="4" t="s">
        <v>12</v>
      </c>
      <c r="H5" s="3"/>
      <c r="I5" s="5">
        <v>1100</v>
      </c>
      <c r="J5" s="5">
        <f>I5*10.7639</f>
        <v>11840.289999999999</v>
      </c>
    </row>
    <row r="6" spans="2:12" ht="60" x14ac:dyDescent="0.25">
      <c r="B6" s="3">
        <v>2</v>
      </c>
      <c r="C6" s="4" t="s">
        <v>13</v>
      </c>
      <c r="D6" s="4" t="s">
        <v>10</v>
      </c>
      <c r="E6" s="3" t="s">
        <v>14</v>
      </c>
      <c r="F6" s="3">
        <v>1993</v>
      </c>
      <c r="G6" s="4" t="s">
        <v>12</v>
      </c>
      <c r="H6" s="3"/>
      <c r="I6" s="5">
        <v>3064</v>
      </c>
      <c r="J6" s="5">
        <f t="shared" ref="J6:J53" si="0">I6*10.7639</f>
        <v>32980.589599999999</v>
      </c>
      <c r="L6" t="s">
        <v>182</v>
      </c>
    </row>
    <row r="7" spans="2:12" ht="60" x14ac:dyDescent="0.25">
      <c r="B7" s="3">
        <v>3</v>
      </c>
      <c r="C7" s="4" t="s">
        <v>15</v>
      </c>
      <c r="D7" s="4" t="s">
        <v>10</v>
      </c>
      <c r="E7" s="3" t="s">
        <v>14</v>
      </c>
      <c r="F7" s="3">
        <v>1971</v>
      </c>
      <c r="G7" s="4" t="s">
        <v>16</v>
      </c>
      <c r="H7" s="3"/>
      <c r="I7" s="5">
        <v>1320</v>
      </c>
      <c r="J7" s="5">
        <f t="shared" si="0"/>
        <v>14208.348</v>
      </c>
    </row>
    <row r="8" spans="2:12" ht="60" x14ac:dyDescent="0.25">
      <c r="B8" s="3">
        <v>4</v>
      </c>
      <c r="C8" s="4" t="s">
        <v>17</v>
      </c>
      <c r="D8" s="4" t="s">
        <v>10</v>
      </c>
      <c r="E8" s="3" t="s">
        <v>14</v>
      </c>
      <c r="F8" s="3">
        <v>1993</v>
      </c>
      <c r="G8" s="4" t="s">
        <v>12</v>
      </c>
      <c r="H8" s="3"/>
      <c r="I8" s="5">
        <v>1076</v>
      </c>
      <c r="J8" s="5">
        <f t="shared" si="0"/>
        <v>11581.956399999999</v>
      </c>
    </row>
    <row r="9" spans="2:12" x14ac:dyDescent="0.25">
      <c r="B9" s="3">
        <v>5</v>
      </c>
      <c r="C9" s="4" t="s">
        <v>18</v>
      </c>
      <c r="D9" s="4" t="s">
        <v>10</v>
      </c>
      <c r="E9" s="3" t="s">
        <v>14</v>
      </c>
      <c r="F9" s="3">
        <v>1994</v>
      </c>
      <c r="G9" s="4"/>
      <c r="H9" s="3"/>
      <c r="I9" s="5">
        <v>1076</v>
      </c>
      <c r="J9" s="5">
        <f t="shared" si="0"/>
        <v>11581.956399999999</v>
      </c>
    </row>
    <row r="10" spans="2:12" x14ac:dyDescent="0.25">
      <c r="B10" s="3">
        <v>6</v>
      </c>
      <c r="C10" s="4" t="s">
        <v>19</v>
      </c>
      <c r="D10" s="4" t="s">
        <v>10</v>
      </c>
      <c r="E10" s="3" t="s">
        <v>14</v>
      </c>
      <c r="F10" s="3">
        <v>1996</v>
      </c>
      <c r="G10" s="4"/>
      <c r="H10" s="3"/>
      <c r="I10" s="5">
        <v>974</v>
      </c>
      <c r="J10" s="5">
        <f t="shared" si="0"/>
        <v>10484.0386</v>
      </c>
    </row>
    <row r="11" spans="2:12" ht="60" x14ac:dyDescent="0.25">
      <c r="B11" s="3">
        <v>7</v>
      </c>
      <c r="C11" s="7" t="s">
        <v>20</v>
      </c>
      <c r="D11" s="4" t="s">
        <v>10</v>
      </c>
      <c r="E11" s="3" t="s">
        <v>14</v>
      </c>
      <c r="F11" s="3">
        <v>1994</v>
      </c>
      <c r="G11" s="4" t="s">
        <v>12</v>
      </c>
      <c r="H11" s="3"/>
      <c r="I11" s="5">
        <v>1100</v>
      </c>
      <c r="J11" s="5">
        <f t="shared" si="0"/>
        <v>11840.289999999999</v>
      </c>
    </row>
    <row r="12" spans="2:12" ht="60" x14ac:dyDescent="0.25">
      <c r="B12" s="6">
        <v>8</v>
      </c>
      <c r="C12" s="4" t="s">
        <v>21</v>
      </c>
      <c r="D12" s="4" t="s">
        <v>10</v>
      </c>
      <c r="E12" s="3" t="s">
        <v>22</v>
      </c>
      <c r="F12" s="3">
        <v>1997</v>
      </c>
      <c r="G12" s="4" t="s">
        <v>16</v>
      </c>
      <c r="H12" s="3"/>
      <c r="I12" s="5">
        <v>375</v>
      </c>
      <c r="J12" s="5">
        <f t="shared" si="0"/>
        <v>4036.4624999999996</v>
      </c>
    </row>
    <row r="13" spans="2:12" x14ac:dyDescent="0.25">
      <c r="B13" s="6">
        <v>9</v>
      </c>
      <c r="C13" s="4" t="s">
        <v>23</v>
      </c>
      <c r="D13" s="3" t="s">
        <v>24</v>
      </c>
      <c r="E13" s="3" t="s">
        <v>14</v>
      </c>
      <c r="F13" s="3">
        <v>1990</v>
      </c>
      <c r="G13" s="9" t="s">
        <v>25</v>
      </c>
      <c r="H13" s="3"/>
      <c r="I13" s="5">
        <v>68</v>
      </c>
      <c r="J13" s="5">
        <f t="shared" si="0"/>
        <v>731.9452</v>
      </c>
    </row>
    <row r="14" spans="2:12" ht="60" x14ac:dyDescent="0.25">
      <c r="B14" s="6">
        <v>10</v>
      </c>
      <c r="C14" s="4" t="s">
        <v>26</v>
      </c>
      <c r="D14" s="3" t="s">
        <v>24</v>
      </c>
      <c r="E14" s="3" t="s">
        <v>27</v>
      </c>
      <c r="F14" s="3">
        <v>1994</v>
      </c>
      <c r="G14" s="4" t="s">
        <v>12</v>
      </c>
      <c r="H14" s="3"/>
      <c r="I14" s="5">
        <v>376</v>
      </c>
      <c r="J14" s="5">
        <f t="shared" si="0"/>
        <v>4047.2264</v>
      </c>
    </row>
    <row r="15" spans="2:12" ht="60" x14ac:dyDescent="0.25">
      <c r="B15" s="6">
        <v>11</v>
      </c>
      <c r="C15" s="4" t="s">
        <v>28</v>
      </c>
      <c r="D15" s="3" t="s">
        <v>24</v>
      </c>
      <c r="E15" s="3" t="s">
        <v>29</v>
      </c>
      <c r="F15" s="3">
        <v>1971</v>
      </c>
      <c r="G15" s="4" t="s">
        <v>12</v>
      </c>
      <c r="H15" s="3"/>
      <c r="I15" s="5">
        <v>625</v>
      </c>
      <c r="J15" s="5">
        <f t="shared" si="0"/>
        <v>6727.4375</v>
      </c>
    </row>
    <row r="16" spans="2:12" ht="60" x14ac:dyDescent="0.25">
      <c r="B16" s="6">
        <v>12</v>
      </c>
      <c r="C16" s="4" t="s">
        <v>30</v>
      </c>
      <c r="D16" s="3" t="s">
        <v>24</v>
      </c>
      <c r="E16" s="3" t="s">
        <v>31</v>
      </c>
      <c r="F16" s="3">
        <v>1993</v>
      </c>
      <c r="G16" s="4" t="s">
        <v>12</v>
      </c>
      <c r="H16" s="3"/>
      <c r="I16" s="5">
        <v>1104</v>
      </c>
      <c r="J16" s="5">
        <f t="shared" si="0"/>
        <v>11883.345599999999</v>
      </c>
    </row>
    <row r="17" spans="2:10" ht="60" x14ac:dyDescent="0.25">
      <c r="B17" s="6">
        <v>13</v>
      </c>
      <c r="C17" s="4" t="s">
        <v>32</v>
      </c>
      <c r="D17" s="3" t="s">
        <v>10</v>
      </c>
      <c r="E17" s="3" t="s">
        <v>33</v>
      </c>
      <c r="F17" s="3">
        <v>1993</v>
      </c>
      <c r="G17" s="4" t="s">
        <v>16</v>
      </c>
      <c r="H17" s="3"/>
      <c r="I17" s="5">
        <v>1728</v>
      </c>
      <c r="J17" s="5">
        <f t="shared" si="0"/>
        <v>18600.019199999999</v>
      </c>
    </row>
    <row r="18" spans="2:10" ht="60" x14ac:dyDescent="0.25">
      <c r="B18" s="6">
        <v>14</v>
      </c>
      <c r="C18" s="4" t="s">
        <v>34</v>
      </c>
      <c r="D18" s="3" t="s">
        <v>10</v>
      </c>
      <c r="E18" s="3" t="s">
        <v>33</v>
      </c>
      <c r="F18" s="3">
        <v>1993</v>
      </c>
      <c r="G18" s="4" t="s">
        <v>16</v>
      </c>
      <c r="H18" s="3"/>
      <c r="I18" s="5">
        <v>1152</v>
      </c>
      <c r="J18" s="5">
        <f t="shared" si="0"/>
        <v>12400.0128</v>
      </c>
    </row>
    <row r="19" spans="2:10" ht="60" x14ac:dyDescent="0.25">
      <c r="B19" s="6">
        <v>15</v>
      </c>
      <c r="C19" s="4" t="s">
        <v>35</v>
      </c>
      <c r="D19" s="3" t="s">
        <v>36</v>
      </c>
      <c r="E19" s="3" t="s">
        <v>37</v>
      </c>
      <c r="F19" s="3">
        <v>1971</v>
      </c>
      <c r="G19" s="4" t="s">
        <v>16</v>
      </c>
      <c r="H19" s="3"/>
      <c r="I19" s="5">
        <v>1750</v>
      </c>
      <c r="J19" s="5">
        <f t="shared" si="0"/>
        <v>18836.825000000001</v>
      </c>
    </row>
    <row r="20" spans="2:10" ht="45" x14ac:dyDescent="0.25">
      <c r="B20" s="6">
        <v>16</v>
      </c>
      <c r="C20" s="4" t="s">
        <v>38</v>
      </c>
      <c r="D20" s="3" t="s">
        <v>36</v>
      </c>
      <c r="E20" s="3" t="s">
        <v>39</v>
      </c>
      <c r="F20" s="3">
        <v>1993</v>
      </c>
      <c r="G20" s="4" t="s">
        <v>40</v>
      </c>
      <c r="H20" s="3"/>
      <c r="I20" s="5">
        <v>1728</v>
      </c>
      <c r="J20" s="5">
        <f t="shared" si="0"/>
        <v>18600.019199999999</v>
      </c>
    </row>
    <row r="21" spans="2:10" ht="30" x14ac:dyDescent="0.25">
      <c r="B21" s="6">
        <v>17</v>
      </c>
      <c r="C21" s="4" t="s">
        <v>41</v>
      </c>
      <c r="D21" s="3" t="s">
        <v>24</v>
      </c>
      <c r="E21" s="3" t="s">
        <v>14</v>
      </c>
      <c r="F21" s="3">
        <v>1971</v>
      </c>
      <c r="G21" s="4" t="s">
        <v>42</v>
      </c>
      <c r="H21" s="3"/>
      <c r="I21" s="5">
        <v>183</v>
      </c>
      <c r="J21" s="5">
        <f t="shared" si="0"/>
        <v>1969.7936999999999</v>
      </c>
    </row>
    <row r="22" spans="2:10" ht="60" x14ac:dyDescent="0.25">
      <c r="B22" s="6">
        <v>18</v>
      </c>
      <c r="C22" s="4" t="s">
        <v>43</v>
      </c>
      <c r="D22" s="3" t="s">
        <v>24</v>
      </c>
      <c r="E22" s="3" t="s">
        <v>44</v>
      </c>
      <c r="F22" s="3">
        <v>1971</v>
      </c>
      <c r="G22" s="4" t="s">
        <v>45</v>
      </c>
      <c r="H22" s="3"/>
      <c r="I22" s="5">
        <v>1715</v>
      </c>
      <c r="J22" s="5">
        <f t="shared" si="0"/>
        <v>18460.088499999998</v>
      </c>
    </row>
    <row r="23" spans="2:10" ht="60" x14ac:dyDescent="0.25">
      <c r="B23" s="6">
        <v>19</v>
      </c>
      <c r="C23" s="4" t="s">
        <v>46</v>
      </c>
      <c r="D23" s="3" t="s">
        <v>10</v>
      </c>
      <c r="E23" s="3" t="s">
        <v>14</v>
      </c>
      <c r="F23" s="3">
        <v>1971</v>
      </c>
      <c r="G23" s="4" t="s">
        <v>45</v>
      </c>
      <c r="H23" s="3"/>
      <c r="I23" s="5">
        <v>762</v>
      </c>
      <c r="J23" s="5">
        <f t="shared" si="0"/>
        <v>8202.0918000000001</v>
      </c>
    </row>
    <row r="24" spans="2:10" ht="45" x14ac:dyDescent="0.25">
      <c r="B24" s="6">
        <v>20</v>
      </c>
      <c r="C24" s="4" t="s">
        <v>47</v>
      </c>
      <c r="D24" s="3" t="s">
        <v>24</v>
      </c>
      <c r="E24" s="3" t="s">
        <v>22</v>
      </c>
      <c r="F24" s="3">
        <v>1971</v>
      </c>
      <c r="G24" s="4" t="s">
        <v>48</v>
      </c>
      <c r="H24" s="3"/>
      <c r="I24" s="5">
        <v>812</v>
      </c>
      <c r="J24" s="5">
        <f t="shared" si="0"/>
        <v>8740.2867999999999</v>
      </c>
    </row>
    <row r="25" spans="2:10" ht="30" x14ac:dyDescent="0.25">
      <c r="B25" s="6">
        <v>21</v>
      </c>
      <c r="C25" s="4" t="s">
        <v>49</v>
      </c>
      <c r="D25" s="3" t="s">
        <v>24</v>
      </c>
      <c r="E25" s="3" t="s">
        <v>14</v>
      </c>
      <c r="F25" s="3">
        <v>1994</v>
      </c>
      <c r="G25" s="4" t="s">
        <v>50</v>
      </c>
      <c r="H25" s="3"/>
      <c r="I25" s="5">
        <v>221</v>
      </c>
      <c r="J25" s="5">
        <f t="shared" si="0"/>
        <v>2378.8218999999999</v>
      </c>
    </row>
    <row r="26" spans="2:10" ht="30" x14ac:dyDescent="0.25">
      <c r="B26" s="6">
        <v>22</v>
      </c>
      <c r="C26" s="4" t="s">
        <v>51</v>
      </c>
      <c r="D26" s="3" t="s">
        <v>24</v>
      </c>
      <c r="E26" s="3" t="s">
        <v>44</v>
      </c>
      <c r="F26" s="3">
        <v>1971</v>
      </c>
      <c r="G26" s="4" t="s">
        <v>52</v>
      </c>
      <c r="H26" s="3"/>
      <c r="I26" s="5">
        <v>200</v>
      </c>
      <c r="J26" s="5">
        <f t="shared" si="0"/>
        <v>2152.7799999999997</v>
      </c>
    </row>
    <row r="27" spans="2:10" ht="60" x14ac:dyDescent="0.25">
      <c r="B27" s="6">
        <v>23</v>
      </c>
      <c r="C27" s="4" t="s">
        <v>53</v>
      </c>
      <c r="D27" s="3" t="s">
        <v>54</v>
      </c>
      <c r="E27" s="3" t="s">
        <v>55</v>
      </c>
      <c r="F27" s="3">
        <v>2005</v>
      </c>
      <c r="G27" s="4" t="s">
        <v>56</v>
      </c>
      <c r="H27" s="3"/>
      <c r="I27" s="5">
        <v>764</v>
      </c>
      <c r="J27" s="5">
        <f t="shared" si="0"/>
        <v>8223.6196</v>
      </c>
    </row>
    <row r="28" spans="2:10" x14ac:dyDescent="0.25">
      <c r="B28" s="6">
        <v>24</v>
      </c>
      <c r="C28" s="4" t="s">
        <v>57</v>
      </c>
      <c r="D28" s="3" t="s">
        <v>24</v>
      </c>
      <c r="E28" s="3"/>
      <c r="F28" s="3">
        <v>2007</v>
      </c>
      <c r="G28" s="4" t="s">
        <v>58</v>
      </c>
      <c r="H28" s="3"/>
      <c r="I28" s="5">
        <v>917</v>
      </c>
      <c r="J28" s="5">
        <f t="shared" si="0"/>
        <v>9870.4962999999989</v>
      </c>
    </row>
    <row r="29" spans="2:10" ht="45" x14ac:dyDescent="0.25">
      <c r="B29" s="6">
        <v>25</v>
      </c>
      <c r="C29" s="4" t="s">
        <v>59</v>
      </c>
      <c r="D29" s="3" t="s">
        <v>24</v>
      </c>
      <c r="E29" s="3" t="s">
        <v>60</v>
      </c>
      <c r="F29" s="3">
        <v>1997</v>
      </c>
      <c r="G29" s="4" t="s">
        <v>61</v>
      </c>
      <c r="H29" s="3"/>
      <c r="I29" s="5">
        <v>420</v>
      </c>
      <c r="J29" s="5">
        <f t="shared" si="0"/>
        <v>4520.8379999999997</v>
      </c>
    </row>
    <row r="30" spans="2:10" ht="45" x14ac:dyDescent="0.25">
      <c r="B30" s="6">
        <v>26</v>
      </c>
      <c r="C30" s="4" t="s">
        <v>62</v>
      </c>
      <c r="D30" s="3" t="s">
        <v>24</v>
      </c>
      <c r="E30" s="3" t="s">
        <v>63</v>
      </c>
      <c r="F30" s="3" t="s">
        <v>64</v>
      </c>
      <c r="G30" s="4" t="s">
        <v>61</v>
      </c>
      <c r="H30" s="3"/>
      <c r="I30" s="5">
        <v>965</v>
      </c>
      <c r="J30" s="5">
        <f t="shared" si="0"/>
        <v>10387.163499999999</v>
      </c>
    </row>
    <row r="31" spans="2:10" ht="45" x14ac:dyDescent="0.25">
      <c r="B31" s="6">
        <v>27</v>
      </c>
      <c r="C31" s="4" t="s">
        <v>65</v>
      </c>
      <c r="D31" s="3" t="s">
        <v>24</v>
      </c>
      <c r="E31" s="3" t="s">
        <v>63</v>
      </c>
      <c r="F31" s="3" t="s">
        <v>64</v>
      </c>
      <c r="G31" s="4" t="s">
        <v>61</v>
      </c>
      <c r="H31" s="3"/>
      <c r="I31" s="5">
        <v>965</v>
      </c>
      <c r="J31" s="5">
        <f t="shared" si="0"/>
        <v>10387.163499999999</v>
      </c>
    </row>
    <row r="32" spans="2:10" ht="45" x14ac:dyDescent="0.25">
      <c r="B32" s="6">
        <v>28</v>
      </c>
      <c r="C32" s="4" t="s">
        <v>66</v>
      </c>
      <c r="D32" s="3" t="s">
        <v>24</v>
      </c>
      <c r="E32" s="3" t="s">
        <v>63</v>
      </c>
      <c r="F32" s="3" t="s">
        <v>64</v>
      </c>
      <c r="G32" s="4" t="s">
        <v>61</v>
      </c>
      <c r="H32" s="3"/>
      <c r="I32" s="5">
        <v>965</v>
      </c>
      <c r="J32" s="5">
        <f t="shared" si="0"/>
        <v>10387.163499999999</v>
      </c>
    </row>
    <row r="33" spans="2:10" ht="45" x14ac:dyDescent="0.25">
      <c r="B33" s="6">
        <v>29</v>
      </c>
      <c r="C33" s="4" t="s">
        <v>67</v>
      </c>
      <c r="D33" s="3" t="s">
        <v>24</v>
      </c>
      <c r="E33" s="3" t="s">
        <v>63</v>
      </c>
      <c r="F33" s="3" t="s">
        <v>64</v>
      </c>
      <c r="G33" s="4" t="s">
        <v>68</v>
      </c>
      <c r="H33" s="3"/>
      <c r="I33" s="5">
        <v>765</v>
      </c>
      <c r="J33" s="5">
        <f t="shared" si="0"/>
        <v>8234.3834999999999</v>
      </c>
    </row>
    <row r="34" spans="2:10" ht="45" x14ac:dyDescent="0.25">
      <c r="B34" s="6">
        <v>30</v>
      </c>
      <c r="C34" s="4" t="s">
        <v>69</v>
      </c>
      <c r="D34" s="3" t="s">
        <v>24</v>
      </c>
      <c r="E34" s="3" t="s">
        <v>63</v>
      </c>
      <c r="F34" s="3" t="s">
        <v>64</v>
      </c>
      <c r="G34" s="4" t="s">
        <v>61</v>
      </c>
      <c r="H34" s="3"/>
      <c r="I34" s="5">
        <v>765</v>
      </c>
      <c r="J34" s="5">
        <f t="shared" si="0"/>
        <v>8234.3834999999999</v>
      </c>
    </row>
    <row r="35" spans="2:10" ht="45" x14ac:dyDescent="0.25">
      <c r="B35" s="6">
        <v>31</v>
      </c>
      <c r="C35" s="4" t="s">
        <v>70</v>
      </c>
      <c r="D35" s="3" t="s">
        <v>24</v>
      </c>
      <c r="E35" s="3" t="s">
        <v>63</v>
      </c>
      <c r="F35" s="3" t="s">
        <v>64</v>
      </c>
      <c r="G35" s="4" t="s">
        <v>61</v>
      </c>
      <c r="H35" s="3"/>
      <c r="I35" s="5">
        <v>1727</v>
      </c>
      <c r="J35" s="5">
        <f t="shared" si="0"/>
        <v>18589.255300000001</v>
      </c>
    </row>
    <row r="36" spans="2:10" ht="45" x14ac:dyDescent="0.25">
      <c r="B36" s="6">
        <v>32</v>
      </c>
      <c r="C36" s="4" t="s">
        <v>71</v>
      </c>
      <c r="D36" s="3" t="s">
        <v>24</v>
      </c>
      <c r="E36" s="3" t="s">
        <v>72</v>
      </c>
      <c r="F36" s="3">
        <v>1990</v>
      </c>
      <c r="G36" s="4" t="s">
        <v>68</v>
      </c>
      <c r="H36" s="3"/>
      <c r="I36" s="5">
        <v>1694</v>
      </c>
      <c r="J36" s="5">
        <f t="shared" si="0"/>
        <v>18234.046599999998</v>
      </c>
    </row>
    <row r="37" spans="2:10" ht="45" x14ac:dyDescent="0.25">
      <c r="B37" s="6">
        <v>33</v>
      </c>
      <c r="C37" s="4" t="s">
        <v>73</v>
      </c>
      <c r="D37" s="3" t="s">
        <v>24</v>
      </c>
      <c r="E37" s="3" t="s">
        <v>72</v>
      </c>
      <c r="F37" s="3" t="s">
        <v>74</v>
      </c>
      <c r="G37" s="4" t="s">
        <v>61</v>
      </c>
      <c r="H37" s="3"/>
      <c r="I37" s="5">
        <v>1694</v>
      </c>
      <c r="J37" s="5">
        <f t="shared" si="0"/>
        <v>18234.046599999998</v>
      </c>
    </row>
    <row r="38" spans="2:10" ht="45" x14ac:dyDescent="0.25">
      <c r="B38" s="6">
        <v>34</v>
      </c>
      <c r="C38" s="4" t="s">
        <v>75</v>
      </c>
      <c r="D38" s="3" t="s">
        <v>24</v>
      </c>
      <c r="E38" s="3" t="s">
        <v>72</v>
      </c>
      <c r="F38" s="3" t="s">
        <v>74</v>
      </c>
      <c r="G38" s="4" t="s">
        <v>61</v>
      </c>
      <c r="H38" s="3"/>
      <c r="I38" s="5">
        <v>1662</v>
      </c>
      <c r="J38" s="5">
        <f t="shared" si="0"/>
        <v>17889.6018</v>
      </c>
    </row>
    <row r="39" spans="2:10" ht="45" x14ac:dyDescent="0.25">
      <c r="B39" s="6">
        <v>35</v>
      </c>
      <c r="C39" s="4" t="s">
        <v>76</v>
      </c>
      <c r="D39" s="3" t="s">
        <v>24</v>
      </c>
      <c r="E39" s="3" t="s">
        <v>72</v>
      </c>
      <c r="F39" s="3" t="s">
        <v>77</v>
      </c>
      <c r="G39" s="4" t="s">
        <v>61</v>
      </c>
      <c r="H39" s="3"/>
      <c r="I39" s="5">
        <v>1552</v>
      </c>
      <c r="J39" s="5">
        <f t="shared" si="0"/>
        <v>16705.572799999998</v>
      </c>
    </row>
    <row r="40" spans="2:10" ht="45" x14ac:dyDescent="0.25">
      <c r="B40" s="6">
        <v>36</v>
      </c>
      <c r="C40" s="4" t="s">
        <v>78</v>
      </c>
      <c r="D40" s="3" t="s">
        <v>24</v>
      </c>
      <c r="E40" s="3" t="s">
        <v>72</v>
      </c>
      <c r="F40" s="3" t="s">
        <v>79</v>
      </c>
      <c r="G40" s="4" t="s">
        <v>61</v>
      </c>
      <c r="H40" s="3"/>
      <c r="I40" s="5">
        <v>1651</v>
      </c>
      <c r="J40" s="5">
        <f t="shared" si="0"/>
        <v>17771.198899999999</v>
      </c>
    </row>
    <row r="41" spans="2:10" ht="45" x14ac:dyDescent="0.25">
      <c r="B41" s="6">
        <v>37</v>
      </c>
      <c r="C41" s="4" t="s">
        <v>80</v>
      </c>
      <c r="D41" s="3" t="s">
        <v>24</v>
      </c>
      <c r="E41" s="3" t="s">
        <v>72</v>
      </c>
      <c r="F41" s="3" t="s">
        <v>81</v>
      </c>
      <c r="G41" s="4" t="s">
        <v>68</v>
      </c>
      <c r="H41" s="3"/>
      <c r="I41" s="5">
        <v>4515</v>
      </c>
      <c r="J41" s="5">
        <f t="shared" si="0"/>
        <v>48599.008499999996</v>
      </c>
    </row>
    <row r="42" spans="2:10" ht="45" x14ac:dyDescent="0.25">
      <c r="B42" s="6">
        <v>38</v>
      </c>
      <c r="C42" s="4" t="s">
        <v>82</v>
      </c>
      <c r="D42" s="3" t="s">
        <v>83</v>
      </c>
      <c r="E42" s="3" t="s">
        <v>84</v>
      </c>
      <c r="F42" s="3">
        <v>1994</v>
      </c>
      <c r="G42" s="4" t="s">
        <v>85</v>
      </c>
      <c r="H42" s="3"/>
      <c r="I42" s="5">
        <v>537</v>
      </c>
      <c r="J42" s="5">
        <f t="shared" si="0"/>
        <v>5780.2142999999996</v>
      </c>
    </row>
    <row r="43" spans="2:10" ht="45" x14ac:dyDescent="0.25">
      <c r="B43" s="6">
        <v>39</v>
      </c>
      <c r="C43" s="4" t="s">
        <v>86</v>
      </c>
      <c r="D43" s="3" t="s">
        <v>24</v>
      </c>
      <c r="E43" s="3" t="s">
        <v>87</v>
      </c>
      <c r="F43" s="3">
        <v>1991</v>
      </c>
      <c r="G43" s="4" t="s">
        <v>61</v>
      </c>
      <c r="H43" s="3"/>
      <c r="I43" s="5">
        <v>368</v>
      </c>
      <c r="J43" s="5">
        <f t="shared" si="0"/>
        <v>3961.1151999999997</v>
      </c>
    </row>
    <row r="44" spans="2:10" ht="45" x14ac:dyDescent="0.25">
      <c r="B44" s="6">
        <v>40</v>
      </c>
      <c r="C44" s="4" t="s">
        <v>88</v>
      </c>
      <c r="D44" s="3" t="s">
        <v>24</v>
      </c>
      <c r="E44" s="3" t="s">
        <v>22</v>
      </c>
      <c r="F44" s="3">
        <v>1974</v>
      </c>
      <c r="G44" s="4" t="s">
        <v>61</v>
      </c>
      <c r="H44" s="3"/>
      <c r="I44" s="5">
        <v>112</v>
      </c>
      <c r="J44" s="5">
        <f t="shared" si="0"/>
        <v>1205.5567999999998</v>
      </c>
    </row>
    <row r="45" spans="2:10" x14ac:dyDescent="0.25">
      <c r="B45" s="6">
        <v>41</v>
      </c>
      <c r="C45" s="4" t="s">
        <v>89</v>
      </c>
      <c r="D45" s="3" t="s">
        <v>24</v>
      </c>
      <c r="E45" s="3"/>
      <c r="F45" s="3">
        <v>1971</v>
      </c>
      <c r="G45" s="4" t="s">
        <v>58</v>
      </c>
      <c r="H45" s="3"/>
      <c r="I45" s="5">
        <v>18227</v>
      </c>
      <c r="J45" s="5">
        <f t="shared" si="0"/>
        <v>196193.6053</v>
      </c>
    </row>
    <row r="46" spans="2:10" x14ac:dyDescent="0.25">
      <c r="B46" s="6">
        <v>42</v>
      </c>
      <c r="C46" s="4" t="s">
        <v>90</v>
      </c>
      <c r="D46" s="3" t="s">
        <v>24</v>
      </c>
      <c r="E46" s="3"/>
      <c r="F46" s="3">
        <v>1971</v>
      </c>
      <c r="G46" s="4" t="s">
        <v>58</v>
      </c>
      <c r="H46" s="3"/>
      <c r="I46" s="5">
        <v>40000</v>
      </c>
      <c r="J46" s="5">
        <f t="shared" si="0"/>
        <v>430556</v>
      </c>
    </row>
    <row r="47" spans="2:10" ht="30" x14ac:dyDescent="0.25">
      <c r="B47" s="6">
        <v>43</v>
      </c>
      <c r="C47" s="4" t="s">
        <v>91</v>
      </c>
      <c r="D47" s="3" t="s">
        <v>10</v>
      </c>
      <c r="E47" s="3" t="s">
        <v>92</v>
      </c>
      <c r="F47" s="3">
        <v>1993</v>
      </c>
      <c r="G47" s="4" t="s">
        <v>50</v>
      </c>
      <c r="H47" s="3"/>
      <c r="I47" s="5">
        <v>192</v>
      </c>
      <c r="J47" s="5">
        <f t="shared" si="0"/>
        <v>2066.6687999999999</v>
      </c>
    </row>
    <row r="48" spans="2:10" ht="30" x14ac:dyDescent="0.25">
      <c r="B48" s="6">
        <v>44</v>
      </c>
      <c r="C48" s="4" t="s">
        <v>93</v>
      </c>
      <c r="D48" s="3" t="s">
        <v>10</v>
      </c>
      <c r="E48" s="3" t="s">
        <v>22</v>
      </c>
      <c r="F48" s="3">
        <v>1991</v>
      </c>
      <c r="G48" s="4" t="s">
        <v>50</v>
      </c>
      <c r="H48" s="3"/>
      <c r="I48" s="5">
        <v>870</v>
      </c>
      <c r="J48" s="5">
        <f t="shared" si="0"/>
        <v>9364.5929999999989</v>
      </c>
    </row>
    <row r="49" spans="2:10" ht="30" x14ac:dyDescent="0.25">
      <c r="B49" s="6">
        <v>45</v>
      </c>
      <c r="C49" s="4" t="s">
        <v>94</v>
      </c>
      <c r="D49" s="3" t="s">
        <v>10</v>
      </c>
      <c r="E49" s="3" t="s">
        <v>11</v>
      </c>
      <c r="F49" s="3">
        <v>1971</v>
      </c>
      <c r="G49" s="4" t="s">
        <v>50</v>
      </c>
      <c r="H49" s="3"/>
      <c r="I49" s="5">
        <v>662</v>
      </c>
      <c r="J49" s="5">
        <f t="shared" si="0"/>
        <v>7125.7017999999998</v>
      </c>
    </row>
    <row r="50" spans="2:10" ht="30" x14ac:dyDescent="0.25">
      <c r="B50" s="6">
        <v>46</v>
      </c>
      <c r="C50" s="4" t="s">
        <v>95</v>
      </c>
      <c r="D50" s="3" t="s">
        <v>10</v>
      </c>
      <c r="E50" s="3" t="s">
        <v>11</v>
      </c>
      <c r="F50" s="3">
        <v>1971</v>
      </c>
      <c r="G50" s="4" t="s">
        <v>50</v>
      </c>
      <c r="H50" s="3"/>
      <c r="I50" s="5">
        <v>300</v>
      </c>
      <c r="J50" s="5">
        <f t="shared" si="0"/>
        <v>3229.17</v>
      </c>
    </row>
    <row r="51" spans="2:10" ht="30" x14ac:dyDescent="0.25">
      <c r="B51" s="6">
        <v>47</v>
      </c>
      <c r="C51" s="4" t="s">
        <v>96</v>
      </c>
      <c r="D51" s="3" t="s">
        <v>24</v>
      </c>
      <c r="E51" s="3" t="s">
        <v>11</v>
      </c>
      <c r="F51" s="3">
        <v>1971</v>
      </c>
      <c r="G51" s="4" t="s">
        <v>50</v>
      </c>
      <c r="H51" s="3"/>
      <c r="I51" s="5">
        <v>50</v>
      </c>
      <c r="J51" s="5">
        <f t="shared" si="0"/>
        <v>538.19499999999994</v>
      </c>
    </row>
    <row r="52" spans="2:10" ht="30" x14ac:dyDescent="0.25">
      <c r="B52" s="6">
        <v>48</v>
      </c>
      <c r="C52" s="4" t="s">
        <v>97</v>
      </c>
      <c r="D52" s="3" t="s">
        <v>24</v>
      </c>
      <c r="E52" s="3" t="s">
        <v>11</v>
      </c>
      <c r="F52" s="3">
        <v>2000</v>
      </c>
      <c r="G52" s="4" t="s">
        <v>50</v>
      </c>
      <c r="H52" s="3"/>
      <c r="I52" s="5">
        <v>60</v>
      </c>
      <c r="J52" s="5">
        <f t="shared" si="0"/>
        <v>645.83399999999995</v>
      </c>
    </row>
    <row r="53" spans="2:10" x14ac:dyDescent="0.25">
      <c r="B53" s="6">
        <v>49</v>
      </c>
      <c r="C53" s="4" t="s">
        <v>98</v>
      </c>
      <c r="D53" s="3" t="s">
        <v>24</v>
      </c>
      <c r="E53" s="3"/>
      <c r="F53" s="3">
        <v>1971</v>
      </c>
      <c r="G53" s="4" t="s">
        <v>58</v>
      </c>
      <c r="H53" s="3"/>
      <c r="I53" s="5">
        <v>69.3</v>
      </c>
      <c r="J53" s="5">
        <f t="shared" si="0"/>
        <v>745.93826999999999</v>
      </c>
    </row>
  </sheetData>
  <mergeCells count="1">
    <mergeCell ref="B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topLeftCell="A5" workbookViewId="0">
      <selection activeCell="I4" sqref="I4:I21"/>
    </sheetView>
  </sheetViews>
  <sheetFormatPr defaultRowHeight="15" x14ac:dyDescent="0.25"/>
  <sheetData>
    <row r="2" spans="2:10" ht="15.75" x14ac:dyDescent="0.25">
      <c r="B2" s="89" t="s">
        <v>0</v>
      </c>
      <c r="C2" s="89"/>
      <c r="D2" s="89"/>
      <c r="E2" s="89"/>
      <c r="F2" s="89"/>
      <c r="G2" s="89"/>
      <c r="H2" s="89"/>
      <c r="I2" s="89"/>
      <c r="J2" s="89"/>
    </row>
    <row r="3" spans="2:10" ht="99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156</v>
      </c>
      <c r="H3" s="1" t="s">
        <v>6</v>
      </c>
      <c r="I3" s="2" t="s">
        <v>7</v>
      </c>
      <c r="J3" s="1" t="s">
        <v>8</v>
      </c>
    </row>
    <row r="4" spans="2:10" ht="90" x14ac:dyDescent="0.25">
      <c r="B4" s="6">
        <v>1</v>
      </c>
      <c r="C4" s="4" t="s">
        <v>137</v>
      </c>
      <c r="D4" s="3" t="s">
        <v>10</v>
      </c>
      <c r="E4" s="3" t="s">
        <v>124</v>
      </c>
      <c r="F4" s="3">
        <v>2003</v>
      </c>
      <c r="G4" s="4" t="s">
        <v>120</v>
      </c>
      <c r="H4" s="3"/>
      <c r="I4" s="5">
        <v>358</v>
      </c>
      <c r="J4" s="5">
        <f>I4*10.7639</f>
        <v>3853.4762000000001</v>
      </c>
    </row>
    <row r="5" spans="2:10" ht="90" x14ac:dyDescent="0.25">
      <c r="B5" s="6">
        <v>2</v>
      </c>
      <c r="C5" s="4" t="s">
        <v>138</v>
      </c>
      <c r="D5" s="3" t="s">
        <v>10</v>
      </c>
      <c r="E5" s="3" t="s">
        <v>124</v>
      </c>
      <c r="F5" s="3">
        <v>2006</v>
      </c>
      <c r="G5" s="4" t="s">
        <v>120</v>
      </c>
      <c r="H5" s="3"/>
      <c r="I5" s="5">
        <v>358</v>
      </c>
      <c r="J5" s="5">
        <f t="shared" ref="J5:J21" si="0">I5*10.7639</f>
        <v>3853.4762000000001</v>
      </c>
    </row>
    <row r="6" spans="2:10" ht="90" x14ac:dyDescent="0.25">
      <c r="B6" s="6">
        <v>3</v>
      </c>
      <c r="C6" s="4" t="s">
        <v>139</v>
      </c>
      <c r="D6" s="3" t="s">
        <v>10</v>
      </c>
      <c r="E6" s="3" t="s">
        <v>124</v>
      </c>
      <c r="F6" s="3">
        <v>2003</v>
      </c>
      <c r="G6" s="4" t="s">
        <v>120</v>
      </c>
      <c r="H6" s="3"/>
      <c r="I6" s="5">
        <v>276</v>
      </c>
      <c r="J6" s="5">
        <f t="shared" si="0"/>
        <v>2970.8363999999997</v>
      </c>
    </row>
    <row r="7" spans="2:10" ht="120" x14ac:dyDescent="0.25">
      <c r="B7" s="6">
        <v>4</v>
      </c>
      <c r="C7" s="4" t="s">
        <v>140</v>
      </c>
      <c r="D7" s="3" t="s">
        <v>24</v>
      </c>
      <c r="E7" s="3" t="s">
        <v>124</v>
      </c>
      <c r="F7" s="3">
        <v>2003</v>
      </c>
      <c r="G7" s="4" t="s">
        <v>12</v>
      </c>
      <c r="H7" s="3"/>
      <c r="I7" s="5">
        <v>1104</v>
      </c>
      <c r="J7" s="5">
        <f t="shared" si="0"/>
        <v>11883.345599999999</v>
      </c>
    </row>
    <row r="8" spans="2:10" ht="75" x14ac:dyDescent="0.25">
      <c r="B8" s="6">
        <v>5</v>
      </c>
      <c r="C8" s="4" t="s">
        <v>141</v>
      </c>
      <c r="D8" s="3" t="s">
        <v>24</v>
      </c>
      <c r="E8" s="3" t="s">
        <v>124</v>
      </c>
      <c r="F8" s="3">
        <v>2003</v>
      </c>
      <c r="G8" s="4" t="s">
        <v>50</v>
      </c>
      <c r="H8" s="3"/>
      <c r="I8" s="5">
        <v>57</v>
      </c>
      <c r="J8" s="5">
        <f t="shared" si="0"/>
        <v>613.54229999999995</v>
      </c>
    </row>
    <row r="9" spans="2:10" ht="120" x14ac:dyDescent="0.25">
      <c r="B9" s="6">
        <v>6</v>
      </c>
      <c r="C9" s="4" t="s">
        <v>142</v>
      </c>
      <c r="D9" s="3" t="s">
        <v>143</v>
      </c>
      <c r="E9" s="3" t="s">
        <v>11</v>
      </c>
      <c r="F9" s="3">
        <v>2003</v>
      </c>
      <c r="G9" s="4" t="s">
        <v>12</v>
      </c>
      <c r="H9" s="3"/>
      <c r="I9" s="5">
        <v>279</v>
      </c>
      <c r="J9" s="5">
        <f t="shared" si="0"/>
        <v>3003.1280999999999</v>
      </c>
    </row>
    <row r="10" spans="2:10" ht="90" x14ac:dyDescent="0.25">
      <c r="B10" s="6">
        <v>7</v>
      </c>
      <c r="C10" s="4" t="s">
        <v>144</v>
      </c>
      <c r="D10" s="3" t="s">
        <v>24</v>
      </c>
      <c r="E10" s="3" t="s">
        <v>60</v>
      </c>
      <c r="F10" s="3">
        <v>2003</v>
      </c>
      <c r="G10" s="4" t="s">
        <v>52</v>
      </c>
      <c r="H10" s="3"/>
      <c r="I10" s="5">
        <v>863</v>
      </c>
      <c r="J10" s="5">
        <f t="shared" si="0"/>
        <v>9289.2456999999995</v>
      </c>
    </row>
    <row r="11" spans="2:10" ht="105" x14ac:dyDescent="0.25">
      <c r="B11" s="6">
        <v>8</v>
      </c>
      <c r="C11" s="4" t="s">
        <v>145</v>
      </c>
      <c r="D11" s="3" t="s">
        <v>24</v>
      </c>
      <c r="E11" s="3" t="s">
        <v>44</v>
      </c>
      <c r="F11" s="3">
        <v>2003</v>
      </c>
      <c r="G11" s="4" t="s">
        <v>48</v>
      </c>
      <c r="H11" s="3"/>
      <c r="I11" s="5">
        <v>222</v>
      </c>
      <c r="J11" s="5">
        <f t="shared" si="0"/>
        <v>2389.5857999999998</v>
      </c>
    </row>
    <row r="12" spans="2:10" ht="105" x14ac:dyDescent="0.25">
      <c r="B12" s="6">
        <v>9</v>
      </c>
      <c r="C12" s="4" t="s">
        <v>82</v>
      </c>
      <c r="D12" s="3" t="s">
        <v>83</v>
      </c>
      <c r="E12" s="3" t="s">
        <v>11</v>
      </c>
      <c r="F12" s="3">
        <v>2003</v>
      </c>
      <c r="G12" s="4" t="s">
        <v>85</v>
      </c>
      <c r="H12" s="3"/>
      <c r="I12" s="5">
        <v>844</v>
      </c>
      <c r="J12" s="5">
        <f t="shared" si="0"/>
        <v>9084.7315999999992</v>
      </c>
    </row>
    <row r="13" spans="2:10" ht="75" x14ac:dyDescent="0.25">
      <c r="B13" s="6">
        <v>10</v>
      </c>
      <c r="C13" s="4" t="s">
        <v>146</v>
      </c>
      <c r="D13" s="3" t="s">
        <v>24</v>
      </c>
      <c r="E13" s="3" t="s">
        <v>11</v>
      </c>
      <c r="F13" s="3">
        <v>2003</v>
      </c>
      <c r="G13" s="4" t="s">
        <v>147</v>
      </c>
      <c r="H13" s="3"/>
      <c r="I13" s="5">
        <v>139</v>
      </c>
      <c r="J13" s="5">
        <f t="shared" si="0"/>
        <v>1496.1821</v>
      </c>
    </row>
    <row r="14" spans="2:10" ht="90" x14ac:dyDescent="0.25">
      <c r="B14" s="6">
        <v>11</v>
      </c>
      <c r="C14" s="4" t="s">
        <v>148</v>
      </c>
      <c r="D14" s="3" t="s">
        <v>24</v>
      </c>
      <c r="E14" s="3" t="s">
        <v>11</v>
      </c>
      <c r="F14" s="3">
        <v>2014</v>
      </c>
      <c r="G14" s="4" t="s">
        <v>52</v>
      </c>
      <c r="H14" s="3"/>
      <c r="I14" s="5">
        <v>9</v>
      </c>
      <c r="J14" s="5">
        <f t="shared" si="0"/>
        <v>96.875100000000003</v>
      </c>
    </row>
    <row r="15" spans="2:10" ht="105" x14ac:dyDescent="0.25">
      <c r="B15" s="6">
        <v>12</v>
      </c>
      <c r="C15" s="4" t="s">
        <v>149</v>
      </c>
      <c r="D15" s="3" t="s">
        <v>150</v>
      </c>
      <c r="E15" s="3" t="s">
        <v>11</v>
      </c>
      <c r="F15" s="3">
        <v>2016</v>
      </c>
      <c r="G15" s="4" t="s">
        <v>85</v>
      </c>
      <c r="H15" s="3"/>
      <c r="I15" s="5">
        <v>143</v>
      </c>
      <c r="J15" s="5">
        <f t="shared" si="0"/>
        <v>1539.2376999999999</v>
      </c>
    </row>
    <row r="16" spans="2:10" ht="90" x14ac:dyDescent="0.25">
      <c r="B16" s="6">
        <v>13</v>
      </c>
      <c r="C16" s="4" t="s">
        <v>23</v>
      </c>
      <c r="D16" s="3" t="s">
        <v>24</v>
      </c>
      <c r="E16" s="3" t="s">
        <v>11</v>
      </c>
      <c r="F16" s="3">
        <v>2014</v>
      </c>
      <c r="G16" s="4" t="s">
        <v>52</v>
      </c>
      <c r="H16" s="3"/>
      <c r="I16" s="5">
        <v>27</v>
      </c>
      <c r="J16" s="5">
        <f t="shared" si="0"/>
        <v>290.62529999999998</v>
      </c>
    </row>
    <row r="17" spans="2:10" ht="75" x14ac:dyDescent="0.25">
      <c r="B17" s="6">
        <v>14</v>
      </c>
      <c r="C17" s="4" t="s">
        <v>151</v>
      </c>
      <c r="D17" s="3" t="s">
        <v>24</v>
      </c>
      <c r="E17" s="3" t="s">
        <v>14</v>
      </c>
      <c r="F17" s="3">
        <v>2003</v>
      </c>
      <c r="G17" s="4" t="s">
        <v>50</v>
      </c>
      <c r="H17" s="3"/>
      <c r="I17" s="5">
        <v>52</v>
      </c>
      <c r="J17" s="5">
        <f t="shared" si="0"/>
        <v>559.72280000000001</v>
      </c>
    </row>
    <row r="18" spans="2:10" ht="30" x14ac:dyDescent="0.25">
      <c r="B18" s="6">
        <v>15</v>
      </c>
      <c r="C18" s="4" t="s">
        <v>152</v>
      </c>
      <c r="D18" s="3" t="s">
        <v>24</v>
      </c>
      <c r="E18" s="3"/>
      <c r="F18" s="3">
        <v>2005</v>
      </c>
      <c r="G18" s="4" t="s">
        <v>58</v>
      </c>
      <c r="H18" s="3"/>
      <c r="I18" s="5">
        <v>520</v>
      </c>
      <c r="J18" s="5">
        <f t="shared" si="0"/>
        <v>5597.2280000000001</v>
      </c>
    </row>
    <row r="19" spans="2:10" ht="150" x14ac:dyDescent="0.25">
      <c r="B19" s="6">
        <v>16</v>
      </c>
      <c r="C19" s="4" t="s">
        <v>153</v>
      </c>
      <c r="D19" s="3" t="s">
        <v>24</v>
      </c>
      <c r="E19" s="3" t="s">
        <v>60</v>
      </c>
      <c r="F19" s="3">
        <v>2006</v>
      </c>
      <c r="G19" s="4" t="s">
        <v>154</v>
      </c>
      <c r="H19" s="3"/>
      <c r="I19" s="5">
        <v>3315</v>
      </c>
      <c r="J19" s="5">
        <f t="shared" si="0"/>
        <v>35682.328499999996</v>
      </c>
    </row>
    <row r="20" spans="2:10" ht="75" x14ac:dyDescent="0.25">
      <c r="B20" s="6">
        <v>17</v>
      </c>
      <c r="C20" s="4" t="s">
        <v>155</v>
      </c>
      <c r="D20" s="3" t="s">
        <v>10</v>
      </c>
      <c r="E20" s="3" t="s">
        <v>14</v>
      </c>
      <c r="F20" s="3">
        <v>2006</v>
      </c>
      <c r="G20" s="4" t="s">
        <v>50</v>
      </c>
      <c r="H20" s="3"/>
      <c r="I20" s="5">
        <v>383</v>
      </c>
      <c r="J20" s="5">
        <f t="shared" si="0"/>
        <v>4122.5736999999999</v>
      </c>
    </row>
    <row r="21" spans="2:10" ht="30" x14ac:dyDescent="0.25">
      <c r="B21" s="6">
        <v>18</v>
      </c>
      <c r="C21" s="4" t="s">
        <v>98</v>
      </c>
      <c r="D21" s="3" t="s">
        <v>24</v>
      </c>
      <c r="E21" s="3"/>
      <c r="F21" s="3">
        <v>2003</v>
      </c>
      <c r="G21" s="4" t="s">
        <v>58</v>
      </c>
      <c r="H21" s="3"/>
      <c r="I21" s="5">
        <v>4618</v>
      </c>
      <c r="J21" s="5">
        <f t="shared" si="0"/>
        <v>49707.690199999997</v>
      </c>
    </row>
  </sheetData>
  <mergeCells count="1"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8"/>
  <sheetViews>
    <sheetView topLeftCell="A15" workbookViewId="0">
      <selection activeCell="F44" sqref="F44"/>
    </sheetView>
  </sheetViews>
  <sheetFormatPr defaultRowHeight="15" x14ac:dyDescent="0.25"/>
  <cols>
    <col min="7" max="7" width="16.28515625" customWidth="1"/>
    <col min="8" max="8" width="18.42578125" customWidth="1"/>
  </cols>
  <sheetData>
    <row r="3" spans="2:10" ht="15.75" x14ac:dyDescent="0.25">
      <c r="B3" s="89" t="s">
        <v>0</v>
      </c>
      <c r="C3" s="89"/>
      <c r="D3" s="89"/>
      <c r="E3" s="89"/>
      <c r="F3" s="89"/>
      <c r="G3" s="89"/>
      <c r="H3" s="89"/>
      <c r="I3" s="89"/>
      <c r="J3" s="89"/>
    </row>
    <row r="4" spans="2:10" ht="99.75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156</v>
      </c>
      <c r="H4" s="1" t="s">
        <v>6</v>
      </c>
      <c r="I4" s="2" t="s">
        <v>7</v>
      </c>
      <c r="J4" s="1" t="s">
        <v>8</v>
      </c>
    </row>
    <row r="5" spans="2:10" ht="75" x14ac:dyDescent="0.25">
      <c r="B5" s="6">
        <v>1</v>
      </c>
      <c r="C5" s="4" t="s">
        <v>99</v>
      </c>
      <c r="D5" s="3" t="s">
        <v>24</v>
      </c>
      <c r="E5" s="3" t="s">
        <v>14</v>
      </c>
      <c r="F5" s="3">
        <v>1987</v>
      </c>
      <c r="G5" s="4" t="s">
        <v>50</v>
      </c>
      <c r="H5" s="3"/>
      <c r="I5" s="5">
        <v>279</v>
      </c>
      <c r="J5" s="5">
        <f>I5*10.7639</f>
        <v>3003.1280999999999</v>
      </c>
    </row>
    <row r="6" spans="2:10" ht="75" x14ac:dyDescent="0.25">
      <c r="B6" s="6">
        <v>2</v>
      </c>
      <c r="C6" s="4" t="s">
        <v>100</v>
      </c>
      <c r="D6" s="3" t="s">
        <v>24</v>
      </c>
      <c r="E6" s="3" t="s">
        <v>14</v>
      </c>
      <c r="F6" s="3">
        <v>1975</v>
      </c>
      <c r="G6" s="4" t="s">
        <v>50</v>
      </c>
      <c r="H6" s="3"/>
      <c r="I6" s="5">
        <v>335</v>
      </c>
      <c r="J6" s="5">
        <f t="shared" ref="J6:J38" si="0">I6*10.7639</f>
        <v>3605.9065000000001</v>
      </c>
    </row>
    <row r="7" spans="2:10" ht="75" x14ac:dyDescent="0.25">
      <c r="B7" s="6">
        <v>3</v>
      </c>
      <c r="C7" s="4" t="s">
        <v>101</v>
      </c>
      <c r="D7" s="3" t="s">
        <v>24</v>
      </c>
      <c r="E7" s="3" t="s">
        <v>14</v>
      </c>
      <c r="F7" s="3">
        <v>1975</v>
      </c>
      <c r="G7" s="4" t="s">
        <v>50</v>
      </c>
      <c r="H7" s="3"/>
      <c r="I7" s="5">
        <v>468</v>
      </c>
      <c r="J7" s="5">
        <f t="shared" si="0"/>
        <v>5037.5051999999996</v>
      </c>
    </row>
    <row r="8" spans="2:10" ht="75" x14ac:dyDescent="0.25">
      <c r="B8" s="6">
        <v>4</v>
      </c>
      <c r="C8" s="4" t="s">
        <v>102</v>
      </c>
      <c r="D8" s="3" t="s">
        <v>24</v>
      </c>
      <c r="E8" s="3" t="s">
        <v>22</v>
      </c>
      <c r="F8" s="3">
        <v>1971</v>
      </c>
      <c r="G8" s="4" t="s">
        <v>50</v>
      </c>
      <c r="H8" s="3"/>
      <c r="I8" s="5">
        <v>491</v>
      </c>
      <c r="J8" s="5">
        <f t="shared" si="0"/>
        <v>5285.0748999999996</v>
      </c>
    </row>
    <row r="9" spans="2:10" ht="45" x14ac:dyDescent="0.25">
      <c r="B9" s="6">
        <v>5</v>
      </c>
      <c r="C9" s="4" t="s">
        <v>102</v>
      </c>
      <c r="D9" s="3" t="s">
        <v>24</v>
      </c>
      <c r="E9" s="3" t="s">
        <v>22</v>
      </c>
      <c r="F9" s="3">
        <v>1984</v>
      </c>
      <c r="G9" s="4" t="s">
        <v>50</v>
      </c>
      <c r="H9" s="3"/>
      <c r="I9" s="5">
        <v>376</v>
      </c>
      <c r="J9" s="5">
        <f t="shared" si="0"/>
        <v>4047.2264</v>
      </c>
    </row>
    <row r="10" spans="2:10" ht="60" x14ac:dyDescent="0.25">
      <c r="B10" s="6">
        <v>6</v>
      </c>
      <c r="C10" s="4" t="s">
        <v>103</v>
      </c>
      <c r="D10" s="3" t="s">
        <v>10</v>
      </c>
      <c r="E10" s="3" t="s">
        <v>22</v>
      </c>
      <c r="F10" s="3">
        <v>1993</v>
      </c>
      <c r="G10" s="4" t="s">
        <v>50</v>
      </c>
      <c r="H10" s="3"/>
      <c r="I10" s="5">
        <v>1344</v>
      </c>
      <c r="J10" s="5">
        <f t="shared" si="0"/>
        <v>14466.6816</v>
      </c>
    </row>
    <row r="11" spans="2:10" ht="75" x14ac:dyDescent="0.25">
      <c r="B11" s="6">
        <v>7</v>
      </c>
      <c r="C11" s="4" t="s">
        <v>104</v>
      </c>
      <c r="D11" s="3" t="s">
        <v>10</v>
      </c>
      <c r="E11" s="3" t="s">
        <v>22</v>
      </c>
      <c r="F11" s="3">
        <v>2003</v>
      </c>
      <c r="G11" s="4" t="s">
        <v>50</v>
      </c>
      <c r="H11" s="3"/>
      <c r="I11" s="5">
        <v>456</v>
      </c>
      <c r="J11" s="5">
        <f t="shared" si="0"/>
        <v>4908.3383999999996</v>
      </c>
    </row>
    <row r="12" spans="2:10" ht="45" x14ac:dyDescent="0.25">
      <c r="B12" s="6">
        <v>8</v>
      </c>
      <c r="C12" s="4" t="s">
        <v>105</v>
      </c>
      <c r="D12" s="3" t="s">
        <v>24</v>
      </c>
      <c r="E12" s="3" t="s">
        <v>92</v>
      </c>
      <c r="F12" s="3">
        <v>1973</v>
      </c>
      <c r="G12" s="4" t="s">
        <v>50</v>
      </c>
      <c r="H12" s="3"/>
      <c r="I12" s="5">
        <v>699</v>
      </c>
      <c r="J12" s="5">
        <f t="shared" si="0"/>
        <v>7523.9660999999996</v>
      </c>
    </row>
    <row r="13" spans="2:10" ht="45" x14ac:dyDescent="0.25">
      <c r="B13" s="6">
        <v>9</v>
      </c>
      <c r="C13" s="4" t="s">
        <v>105</v>
      </c>
      <c r="D13" s="3" t="s">
        <v>24</v>
      </c>
      <c r="E13" s="3" t="s">
        <v>92</v>
      </c>
      <c r="F13" s="3">
        <v>1974</v>
      </c>
      <c r="G13" s="4" t="s">
        <v>50</v>
      </c>
      <c r="H13" s="3"/>
      <c r="I13" s="5">
        <v>828</v>
      </c>
      <c r="J13" s="5">
        <f t="shared" si="0"/>
        <v>8912.5092000000004</v>
      </c>
    </row>
    <row r="14" spans="2:10" ht="45" x14ac:dyDescent="0.25">
      <c r="B14" s="6">
        <v>10</v>
      </c>
      <c r="C14" s="4" t="s">
        <v>106</v>
      </c>
      <c r="D14" s="3" t="s">
        <v>24</v>
      </c>
      <c r="E14" s="3" t="s">
        <v>92</v>
      </c>
      <c r="F14" s="3">
        <v>1970</v>
      </c>
      <c r="G14" s="4" t="s">
        <v>50</v>
      </c>
      <c r="H14" s="3"/>
      <c r="I14" s="5">
        <v>357</v>
      </c>
      <c r="J14" s="5">
        <f t="shared" si="0"/>
        <v>3842.7122999999997</v>
      </c>
    </row>
    <row r="15" spans="2:10" ht="45" x14ac:dyDescent="0.25">
      <c r="B15" s="6">
        <v>11</v>
      </c>
      <c r="C15" s="4" t="s">
        <v>107</v>
      </c>
      <c r="D15" s="3" t="s">
        <v>24</v>
      </c>
      <c r="E15" s="3" t="s">
        <v>92</v>
      </c>
      <c r="F15" s="3">
        <v>1986</v>
      </c>
      <c r="G15" s="4" t="s">
        <v>50</v>
      </c>
      <c r="H15" s="3"/>
      <c r="I15" s="5">
        <v>279</v>
      </c>
      <c r="J15" s="5">
        <f t="shared" si="0"/>
        <v>3003.1280999999999</v>
      </c>
    </row>
    <row r="16" spans="2:10" ht="45" x14ac:dyDescent="0.25">
      <c r="B16" s="6">
        <v>12</v>
      </c>
      <c r="C16" s="4" t="s">
        <v>108</v>
      </c>
      <c r="D16" s="3" t="s">
        <v>54</v>
      </c>
      <c r="E16" s="3" t="s">
        <v>92</v>
      </c>
      <c r="F16" s="3">
        <v>2004</v>
      </c>
      <c r="G16" s="4" t="s">
        <v>50</v>
      </c>
      <c r="H16" s="3"/>
      <c r="I16" s="5">
        <v>2452</v>
      </c>
      <c r="J16" s="5">
        <f t="shared" si="0"/>
        <v>26393.0828</v>
      </c>
    </row>
    <row r="17" spans="2:10" ht="45" x14ac:dyDescent="0.25">
      <c r="B17" s="6">
        <v>13</v>
      </c>
      <c r="C17" s="4" t="s">
        <v>109</v>
      </c>
      <c r="D17" s="3" t="s">
        <v>36</v>
      </c>
      <c r="E17" s="3" t="s">
        <v>92</v>
      </c>
      <c r="F17" s="3">
        <v>2006</v>
      </c>
      <c r="G17" s="4" t="s">
        <v>50</v>
      </c>
      <c r="H17" s="3"/>
      <c r="I17" s="5">
        <v>789</v>
      </c>
      <c r="J17" s="5">
        <f t="shared" si="0"/>
        <v>8492.7170999999998</v>
      </c>
    </row>
    <row r="18" spans="2:10" ht="45" x14ac:dyDescent="0.25">
      <c r="B18" s="6">
        <v>14</v>
      </c>
      <c r="C18" s="4" t="s">
        <v>110</v>
      </c>
      <c r="D18" s="3" t="s">
        <v>24</v>
      </c>
      <c r="E18" s="3" t="s">
        <v>92</v>
      </c>
      <c r="F18" s="3">
        <v>1970</v>
      </c>
      <c r="G18" s="4" t="s">
        <v>50</v>
      </c>
      <c r="H18" s="3"/>
      <c r="I18" s="5">
        <v>440</v>
      </c>
      <c r="J18" s="5">
        <f t="shared" si="0"/>
        <v>4736.116</v>
      </c>
    </row>
    <row r="19" spans="2:10" ht="45" x14ac:dyDescent="0.25">
      <c r="B19" s="6">
        <v>15</v>
      </c>
      <c r="C19" s="4" t="s">
        <v>110</v>
      </c>
      <c r="D19" s="3" t="s">
        <v>24</v>
      </c>
      <c r="E19" s="3" t="s">
        <v>92</v>
      </c>
      <c r="F19" s="3">
        <v>1970</v>
      </c>
      <c r="G19" s="4" t="s">
        <v>50</v>
      </c>
      <c r="H19" s="3"/>
      <c r="I19" s="5">
        <v>792</v>
      </c>
      <c r="J19" s="5">
        <f t="shared" si="0"/>
        <v>8525.0087999999996</v>
      </c>
    </row>
    <row r="20" spans="2:10" ht="45" x14ac:dyDescent="0.25">
      <c r="B20" s="6">
        <v>16</v>
      </c>
      <c r="C20" s="4" t="s">
        <v>111</v>
      </c>
      <c r="D20" s="3" t="s">
        <v>24</v>
      </c>
      <c r="E20" s="3" t="s">
        <v>92</v>
      </c>
      <c r="F20" s="3">
        <v>2003</v>
      </c>
      <c r="G20" s="4" t="s">
        <v>50</v>
      </c>
      <c r="H20" s="3"/>
      <c r="I20" s="5">
        <v>132</v>
      </c>
      <c r="J20" s="5">
        <f t="shared" si="0"/>
        <v>1420.8347999999999</v>
      </c>
    </row>
    <row r="21" spans="2:10" ht="45" x14ac:dyDescent="0.25">
      <c r="B21" s="6">
        <v>17</v>
      </c>
      <c r="C21" s="4" t="s">
        <v>112</v>
      </c>
      <c r="D21" s="3" t="s">
        <v>24</v>
      </c>
      <c r="E21" s="3" t="s">
        <v>92</v>
      </c>
      <c r="F21" s="3">
        <v>1986</v>
      </c>
      <c r="G21" s="4" t="s">
        <v>50</v>
      </c>
      <c r="H21" s="3"/>
      <c r="I21" s="5">
        <v>204</v>
      </c>
      <c r="J21" s="5">
        <f t="shared" si="0"/>
        <v>2195.8355999999999</v>
      </c>
    </row>
    <row r="22" spans="2:10" ht="45" x14ac:dyDescent="0.25">
      <c r="B22" s="6">
        <v>18</v>
      </c>
      <c r="C22" s="4" t="s">
        <v>113</v>
      </c>
      <c r="D22" s="3" t="s">
        <v>24</v>
      </c>
      <c r="E22" s="3" t="s">
        <v>92</v>
      </c>
      <c r="F22" s="3">
        <v>1970</v>
      </c>
      <c r="G22" s="4" t="s">
        <v>50</v>
      </c>
      <c r="H22" s="3"/>
      <c r="I22" s="5">
        <v>679</v>
      </c>
      <c r="J22" s="5">
        <f t="shared" si="0"/>
        <v>7308.6880999999994</v>
      </c>
    </row>
    <row r="23" spans="2:10" ht="45" x14ac:dyDescent="0.25">
      <c r="B23" s="6">
        <v>19</v>
      </c>
      <c r="C23" s="4" t="s">
        <v>114</v>
      </c>
      <c r="D23" s="3" t="s">
        <v>10</v>
      </c>
      <c r="E23" s="3" t="s">
        <v>92</v>
      </c>
      <c r="F23" s="3">
        <v>1987</v>
      </c>
      <c r="G23" s="4" t="s">
        <v>50</v>
      </c>
      <c r="H23" s="3"/>
      <c r="I23" s="5">
        <v>260</v>
      </c>
      <c r="J23" s="5">
        <f t="shared" si="0"/>
        <v>2798.614</v>
      </c>
    </row>
    <row r="24" spans="2:10" ht="45" x14ac:dyDescent="0.25">
      <c r="B24" s="6">
        <v>20</v>
      </c>
      <c r="C24" s="4" t="s">
        <v>115</v>
      </c>
      <c r="D24" s="3" t="s">
        <v>24</v>
      </c>
      <c r="E24" s="3" t="s">
        <v>92</v>
      </c>
      <c r="F24" s="3">
        <v>1971</v>
      </c>
      <c r="G24" s="4" t="s">
        <v>50</v>
      </c>
      <c r="H24" s="3"/>
      <c r="I24" s="5">
        <v>3513</v>
      </c>
      <c r="J24" s="5">
        <f t="shared" si="0"/>
        <v>37813.580699999999</v>
      </c>
    </row>
    <row r="25" spans="2:10" ht="45" x14ac:dyDescent="0.25">
      <c r="B25" s="6">
        <v>21</v>
      </c>
      <c r="C25" s="4" t="s">
        <v>116</v>
      </c>
      <c r="D25" s="3" t="s">
        <v>24</v>
      </c>
      <c r="E25" s="3" t="s">
        <v>11</v>
      </c>
      <c r="F25" s="3">
        <v>1972</v>
      </c>
      <c r="G25" s="4" t="s">
        <v>117</v>
      </c>
      <c r="H25" s="3"/>
      <c r="I25" s="5">
        <v>2250</v>
      </c>
      <c r="J25" s="5">
        <f t="shared" si="0"/>
        <v>24218.774999999998</v>
      </c>
    </row>
    <row r="26" spans="2:10" ht="45" x14ac:dyDescent="0.25">
      <c r="B26" s="6">
        <v>22</v>
      </c>
      <c r="C26" s="4" t="s">
        <v>118</v>
      </c>
      <c r="D26" s="3" t="s">
        <v>24</v>
      </c>
      <c r="E26" s="3" t="s">
        <v>11</v>
      </c>
      <c r="F26" s="3">
        <v>1972</v>
      </c>
      <c r="G26" s="4" t="s">
        <v>117</v>
      </c>
      <c r="H26" s="3"/>
      <c r="I26" s="5">
        <v>600</v>
      </c>
      <c r="J26" s="5">
        <f t="shared" si="0"/>
        <v>6458.34</v>
      </c>
    </row>
    <row r="27" spans="2:10" ht="75" x14ac:dyDescent="0.25">
      <c r="B27" s="6">
        <v>23</v>
      </c>
      <c r="C27" s="4" t="s">
        <v>119</v>
      </c>
      <c r="D27" s="3" t="s">
        <v>10</v>
      </c>
      <c r="E27" s="3" t="s">
        <v>11</v>
      </c>
      <c r="F27" s="3">
        <v>2006</v>
      </c>
      <c r="G27" s="4" t="s">
        <v>120</v>
      </c>
      <c r="H27" s="3"/>
      <c r="I27" s="5">
        <v>1004</v>
      </c>
      <c r="J27" s="5">
        <f t="shared" si="0"/>
        <v>10806.955599999999</v>
      </c>
    </row>
    <row r="28" spans="2:10" ht="60" x14ac:dyDescent="0.25">
      <c r="B28" s="6">
        <v>24</v>
      </c>
      <c r="C28" s="4" t="s">
        <v>121</v>
      </c>
      <c r="D28" s="3" t="s">
        <v>36</v>
      </c>
      <c r="E28" s="3" t="s">
        <v>11</v>
      </c>
      <c r="F28" s="3">
        <v>1992</v>
      </c>
      <c r="G28" s="4" t="s">
        <v>120</v>
      </c>
      <c r="H28" s="3"/>
      <c r="I28" s="5">
        <v>7272</v>
      </c>
      <c r="J28" s="5">
        <f t="shared" si="0"/>
        <v>78275.080799999996</v>
      </c>
    </row>
    <row r="29" spans="2:10" ht="60" x14ac:dyDescent="0.25">
      <c r="B29" s="6">
        <v>25</v>
      </c>
      <c r="C29" s="4" t="s">
        <v>122</v>
      </c>
      <c r="D29" s="3" t="s">
        <v>54</v>
      </c>
      <c r="E29" s="3" t="s">
        <v>11</v>
      </c>
      <c r="F29" s="3">
        <v>2003</v>
      </c>
      <c r="G29" s="4" t="s">
        <v>120</v>
      </c>
      <c r="H29" s="3"/>
      <c r="I29" s="5">
        <v>1616</v>
      </c>
      <c r="J29" s="5">
        <f t="shared" si="0"/>
        <v>17394.4624</v>
      </c>
    </row>
    <row r="30" spans="2:10" ht="45" x14ac:dyDescent="0.25">
      <c r="B30" s="6">
        <v>26</v>
      </c>
      <c r="C30" s="4" t="s">
        <v>123</v>
      </c>
      <c r="D30" s="3" t="s">
        <v>24</v>
      </c>
      <c r="E30" s="3" t="s">
        <v>124</v>
      </c>
      <c r="F30" s="3">
        <v>1971</v>
      </c>
      <c r="G30" s="4" t="s">
        <v>50</v>
      </c>
      <c r="H30" s="3"/>
      <c r="I30" s="5">
        <v>630</v>
      </c>
      <c r="J30" s="5">
        <f t="shared" si="0"/>
        <v>6781.2569999999996</v>
      </c>
    </row>
    <row r="31" spans="2:10" ht="45" x14ac:dyDescent="0.25">
      <c r="B31" s="6">
        <v>27</v>
      </c>
      <c r="C31" s="4" t="s">
        <v>125</v>
      </c>
      <c r="D31" s="3" t="s">
        <v>24</v>
      </c>
      <c r="E31" s="3" t="s">
        <v>11</v>
      </c>
      <c r="F31" s="3">
        <v>1990</v>
      </c>
      <c r="G31" s="4" t="s">
        <v>126</v>
      </c>
      <c r="H31" s="3"/>
      <c r="I31" s="5">
        <v>80</v>
      </c>
      <c r="J31" s="5">
        <f t="shared" si="0"/>
        <v>861.11199999999997</v>
      </c>
    </row>
    <row r="32" spans="2:10" ht="45" x14ac:dyDescent="0.25">
      <c r="B32" s="6">
        <v>28</v>
      </c>
      <c r="C32" s="4" t="s">
        <v>127</v>
      </c>
      <c r="D32" s="3" t="s">
        <v>24</v>
      </c>
      <c r="E32" s="3" t="s">
        <v>11</v>
      </c>
      <c r="F32" s="3">
        <v>1986</v>
      </c>
      <c r="G32" s="4" t="s">
        <v>50</v>
      </c>
      <c r="H32" s="3"/>
      <c r="I32" s="5">
        <v>65</v>
      </c>
      <c r="J32" s="5">
        <f t="shared" si="0"/>
        <v>699.65350000000001</v>
      </c>
    </row>
    <row r="33" spans="2:10" ht="45" x14ac:dyDescent="0.25">
      <c r="B33" s="6">
        <v>29</v>
      </c>
      <c r="C33" s="4" t="s">
        <v>128</v>
      </c>
      <c r="D33" s="3" t="s">
        <v>24</v>
      </c>
      <c r="E33" s="3" t="s">
        <v>124</v>
      </c>
      <c r="F33" s="3">
        <v>1974</v>
      </c>
      <c r="G33" s="4" t="s">
        <v>50</v>
      </c>
      <c r="H33" s="3"/>
      <c r="I33" s="5">
        <v>408</v>
      </c>
      <c r="J33" s="5">
        <f t="shared" si="0"/>
        <v>4391.6711999999998</v>
      </c>
    </row>
    <row r="34" spans="2:10" ht="45" x14ac:dyDescent="0.25">
      <c r="B34" s="6">
        <v>30</v>
      </c>
      <c r="C34" s="4" t="s">
        <v>129</v>
      </c>
      <c r="D34" s="3" t="s">
        <v>24</v>
      </c>
      <c r="E34" s="3" t="s">
        <v>124</v>
      </c>
      <c r="F34" s="3">
        <v>1974</v>
      </c>
      <c r="G34" s="4" t="s">
        <v>50</v>
      </c>
      <c r="H34" s="3"/>
      <c r="I34" s="5">
        <v>226</v>
      </c>
      <c r="J34" s="5">
        <f t="shared" si="0"/>
        <v>2432.6414</v>
      </c>
    </row>
    <row r="35" spans="2:10" ht="45" x14ac:dyDescent="0.25">
      <c r="B35" s="6">
        <v>31</v>
      </c>
      <c r="C35" s="4" t="s">
        <v>130</v>
      </c>
      <c r="D35" s="3" t="s">
        <v>24</v>
      </c>
      <c r="E35" s="3" t="s">
        <v>14</v>
      </c>
      <c r="F35" s="3">
        <v>2004</v>
      </c>
      <c r="G35" s="4" t="s">
        <v>50</v>
      </c>
      <c r="H35" s="3"/>
      <c r="I35" s="5">
        <v>128</v>
      </c>
      <c r="J35" s="5">
        <f t="shared" si="0"/>
        <v>1377.7791999999999</v>
      </c>
    </row>
    <row r="36" spans="2:10" ht="45" x14ac:dyDescent="0.25">
      <c r="B36" s="6">
        <v>32</v>
      </c>
      <c r="C36" s="4" t="s">
        <v>131</v>
      </c>
      <c r="D36" s="3" t="s">
        <v>24</v>
      </c>
      <c r="E36" s="3" t="s">
        <v>132</v>
      </c>
      <c r="F36" s="3">
        <v>2004</v>
      </c>
      <c r="G36" s="4" t="s">
        <v>133</v>
      </c>
      <c r="H36" s="3"/>
      <c r="I36" s="5">
        <v>192</v>
      </c>
      <c r="J36" s="5">
        <f t="shared" si="0"/>
        <v>2066.6687999999999</v>
      </c>
    </row>
    <row r="37" spans="2:10" ht="90" x14ac:dyDescent="0.25">
      <c r="B37" s="6">
        <v>33</v>
      </c>
      <c r="C37" s="4" t="s">
        <v>134</v>
      </c>
      <c r="D37" s="3" t="s">
        <v>24</v>
      </c>
      <c r="E37" s="3" t="s">
        <v>11</v>
      </c>
      <c r="F37" s="3">
        <v>1993</v>
      </c>
      <c r="G37" s="4" t="s">
        <v>135</v>
      </c>
      <c r="H37" s="3"/>
      <c r="I37" s="5">
        <v>368</v>
      </c>
      <c r="J37" s="5">
        <f t="shared" si="0"/>
        <v>3961.1151999999997</v>
      </c>
    </row>
    <row r="38" spans="2:10" ht="30" x14ac:dyDescent="0.25">
      <c r="B38" s="6">
        <v>34</v>
      </c>
      <c r="C38" s="4" t="s">
        <v>136</v>
      </c>
      <c r="D38" s="3" t="s">
        <v>24</v>
      </c>
      <c r="E38" s="3"/>
      <c r="F38" s="3">
        <v>1991</v>
      </c>
      <c r="G38" s="4" t="s">
        <v>58</v>
      </c>
      <c r="H38" s="3"/>
      <c r="I38" s="5">
        <v>4719</v>
      </c>
      <c r="J38" s="5">
        <f t="shared" si="0"/>
        <v>50794.844099999995</v>
      </c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56"/>
  <sheetViews>
    <sheetView topLeftCell="H35" workbookViewId="0">
      <selection activeCell="W50" sqref="W50"/>
    </sheetView>
  </sheetViews>
  <sheetFormatPr defaultRowHeight="15" x14ac:dyDescent="0.25"/>
  <cols>
    <col min="2" max="2" width="6.7109375" customWidth="1"/>
    <col min="3" max="3" width="12.42578125" customWidth="1"/>
    <col min="4" max="4" width="18" customWidth="1"/>
    <col min="5" max="5" width="38.42578125" customWidth="1"/>
    <col min="6" max="6" width="13.140625" customWidth="1"/>
    <col min="7" max="7" width="14.85546875" bestFit="1" customWidth="1"/>
    <col min="8" max="8" width="10.5703125" customWidth="1"/>
    <col min="9" max="10" width="16.28515625" customWidth="1"/>
    <col min="11" max="11" width="12.7109375" customWidth="1"/>
    <col min="12" max="12" width="11.42578125" customWidth="1"/>
    <col min="13" max="13" width="10.7109375" customWidth="1"/>
    <col min="14" max="14" width="12" customWidth="1"/>
    <col min="15" max="15" width="9.140625" customWidth="1"/>
    <col min="16" max="16" width="13.140625" customWidth="1"/>
    <col min="17" max="17" width="11.85546875" customWidth="1"/>
    <col min="18" max="18" width="12.5703125" customWidth="1"/>
    <col min="19" max="19" width="13.85546875" customWidth="1"/>
    <col min="20" max="20" width="13.7109375" customWidth="1"/>
    <col min="21" max="21" width="14.42578125" customWidth="1"/>
    <col min="22" max="22" width="14.28515625" customWidth="1"/>
    <col min="23" max="23" width="14.140625" customWidth="1"/>
    <col min="24" max="26" width="0" hidden="1" customWidth="1"/>
  </cols>
  <sheetData>
    <row r="3" spans="2:27" x14ac:dyDescent="0.25">
      <c r="B3" s="90" t="s">
        <v>237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2:27" ht="75" x14ac:dyDescent="0.25">
      <c r="B4" s="10" t="s">
        <v>157</v>
      </c>
      <c r="C4" s="10" t="s">
        <v>158</v>
      </c>
      <c r="D4" s="11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183</v>
      </c>
      <c r="J4" s="10" t="s">
        <v>164</v>
      </c>
      <c r="K4" s="10" t="s">
        <v>165</v>
      </c>
      <c r="L4" s="10" t="s">
        <v>166</v>
      </c>
      <c r="M4" s="10" t="s">
        <v>167</v>
      </c>
      <c r="N4" s="10" t="s">
        <v>168</v>
      </c>
      <c r="O4" s="10" t="s">
        <v>169</v>
      </c>
      <c r="P4" s="10" t="s">
        <v>170</v>
      </c>
      <c r="Q4" s="10" t="s">
        <v>171</v>
      </c>
      <c r="R4" s="10" t="s">
        <v>172</v>
      </c>
      <c r="S4" s="10" t="s">
        <v>173</v>
      </c>
      <c r="T4" s="10" t="s">
        <v>174</v>
      </c>
      <c r="U4" s="10" t="s">
        <v>175</v>
      </c>
      <c r="V4" s="10" t="s">
        <v>176</v>
      </c>
      <c r="W4" s="10" t="s">
        <v>177</v>
      </c>
      <c r="X4" s="12" t="s">
        <v>178</v>
      </c>
      <c r="Y4" s="13" t="s">
        <v>179</v>
      </c>
      <c r="Z4" s="13" t="s">
        <v>180</v>
      </c>
    </row>
    <row r="5" spans="2:27" ht="30" x14ac:dyDescent="0.25">
      <c r="B5" s="3">
        <v>1</v>
      </c>
      <c r="C5" s="4" t="s">
        <v>10</v>
      </c>
      <c r="D5" s="4" t="s">
        <v>9</v>
      </c>
      <c r="E5" s="4" t="s">
        <v>12</v>
      </c>
      <c r="F5" s="14" t="s">
        <v>181</v>
      </c>
      <c r="G5" s="5">
        <v>1100</v>
      </c>
      <c r="H5" s="15">
        <f>G5*10.7639</f>
        <v>11840.289999999999</v>
      </c>
      <c r="I5" s="3">
        <v>6</v>
      </c>
      <c r="J5" s="26">
        <f>I5*3.28084</f>
        <v>19.685040000000001</v>
      </c>
      <c r="K5" s="3">
        <v>1971</v>
      </c>
      <c r="L5" s="14">
        <v>2024</v>
      </c>
      <c r="M5" s="14">
        <f t="shared" ref="M5:M49" si="0">L5-K5</f>
        <v>53</v>
      </c>
      <c r="N5" s="14">
        <v>40</v>
      </c>
      <c r="O5" s="14">
        <v>0.05</v>
      </c>
      <c r="P5" s="16">
        <f>(1-O5)/N5</f>
        <v>2.375E-2</v>
      </c>
      <c r="Q5" s="17">
        <v>1100</v>
      </c>
      <c r="R5" s="67">
        <f>Q5*10.7639</f>
        <v>11840.289999999999</v>
      </c>
      <c r="S5" s="18">
        <f>R5*G5</f>
        <v>13024318.999999998</v>
      </c>
      <c r="T5" s="18">
        <f>S5*P5*M5</f>
        <v>16394361.54125</v>
      </c>
      <c r="U5" s="18">
        <f>MAX(S5-T5,0)</f>
        <v>0</v>
      </c>
      <c r="V5" s="14">
        <v>0</v>
      </c>
      <c r="W5" s="18">
        <f>IF(U5&gt;O5*S5,U5*(1+V5),S5*O5)</f>
        <v>651215.94999999995</v>
      </c>
      <c r="X5" s="19">
        <v>800</v>
      </c>
      <c r="Y5" s="20">
        <v>0.99</v>
      </c>
      <c r="Z5" s="21">
        <f>(X5*Y5*G5)</f>
        <v>871200</v>
      </c>
      <c r="AA5" s="66">
        <f>W5/H5</f>
        <v>55</v>
      </c>
    </row>
    <row r="6" spans="2:27" ht="30" x14ac:dyDescent="0.25">
      <c r="B6" s="3">
        <v>2</v>
      </c>
      <c r="C6" s="4" t="s">
        <v>10</v>
      </c>
      <c r="D6" s="4" t="s">
        <v>13</v>
      </c>
      <c r="E6" s="4" t="s">
        <v>12</v>
      </c>
      <c r="F6" s="14" t="s">
        <v>181</v>
      </c>
      <c r="G6" s="5">
        <v>3064</v>
      </c>
      <c r="H6" s="15">
        <f t="shared" ref="H6:H49" si="1">G6*10.7639</f>
        <v>32980.589599999999</v>
      </c>
      <c r="I6" s="3">
        <v>8</v>
      </c>
      <c r="J6" s="26">
        <f t="shared" ref="J6:J49" si="2">I6*3.28084</f>
        <v>26.24672</v>
      </c>
      <c r="K6" s="3">
        <v>1993</v>
      </c>
      <c r="L6" s="14">
        <v>2024</v>
      </c>
      <c r="M6" s="14">
        <f t="shared" si="0"/>
        <v>31</v>
      </c>
      <c r="N6" s="14">
        <v>40</v>
      </c>
      <c r="O6" s="14">
        <v>0.05</v>
      </c>
      <c r="P6" s="16">
        <f>(1-O6)/N6</f>
        <v>2.375E-2</v>
      </c>
      <c r="Q6" s="17">
        <v>1200</v>
      </c>
      <c r="R6" s="67">
        <f>Q6*10.7639</f>
        <v>12916.68</v>
      </c>
      <c r="S6" s="18">
        <f>R6*G6</f>
        <v>39576707.520000003</v>
      </c>
      <c r="T6" s="18">
        <f>S6*P6*M6</f>
        <v>29138350.911600005</v>
      </c>
      <c r="U6" s="18">
        <f>MAX(S6-T6,0)</f>
        <v>10438356.608399998</v>
      </c>
      <c r="V6" s="14">
        <v>0</v>
      </c>
      <c r="W6" s="18">
        <f>IF(U6&gt;O6*S6,U6*(1+V6),S6*O6)</f>
        <v>10438356.608399998</v>
      </c>
      <c r="X6" s="19">
        <v>800</v>
      </c>
      <c r="Y6" s="20">
        <v>0.99</v>
      </c>
      <c r="Z6" s="21">
        <f>X6*H6</f>
        <v>26384471.68</v>
      </c>
    </row>
    <row r="7" spans="2:27" ht="30" x14ac:dyDescent="0.25">
      <c r="B7" s="3">
        <v>3</v>
      </c>
      <c r="C7" s="4" t="s">
        <v>10</v>
      </c>
      <c r="D7" s="4" t="s">
        <v>217</v>
      </c>
      <c r="E7" s="4" t="s">
        <v>16</v>
      </c>
      <c r="F7" s="14" t="s">
        <v>181</v>
      </c>
      <c r="G7" s="5">
        <v>1320</v>
      </c>
      <c r="H7" s="15">
        <f t="shared" si="1"/>
        <v>14208.348</v>
      </c>
      <c r="I7" s="3">
        <v>8</v>
      </c>
      <c r="J7" s="26">
        <f t="shared" si="2"/>
        <v>26.24672</v>
      </c>
      <c r="K7" s="3">
        <v>1971</v>
      </c>
      <c r="L7" s="14">
        <v>2024</v>
      </c>
      <c r="M7" s="14">
        <f t="shared" si="0"/>
        <v>53</v>
      </c>
      <c r="N7" s="14">
        <v>40</v>
      </c>
      <c r="O7" s="14">
        <v>0.05</v>
      </c>
      <c r="P7" s="16">
        <f>(1-O7)/N7</f>
        <v>2.375E-2</v>
      </c>
      <c r="Q7" s="17">
        <v>1000</v>
      </c>
      <c r="R7" s="67">
        <f>Q7*10.7639</f>
        <v>10763.9</v>
      </c>
      <c r="S7" s="18">
        <f>R7*G7</f>
        <v>14208348</v>
      </c>
      <c r="T7" s="18">
        <f>S7*P7*M7</f>
        <v>17884758.045000002</v>
      </c>
      <c r="U7" s="18">
        <f>MAX(S7-T7,0)</f>
        <v>0</v>
      </c>
      <c r="V7" s="14">
        <v>0</v>
      </c>
      <c r="W7" s="18">
        <f>IF(U7&gt;O7*S7,U7*(1+V7),S7*O7)</f>
        <v>710417.4</v>
      </c>
      <c r="X7" s="19">
        <v>800</v>
      </c>
      <c r="Y7" s="20"/>
      <c r="Z7" s="21">
        <f t="shared" ref="Z7:Z9" si="3">X7*H7</f>
        <v>11366678.4</v>
      </c>
    </row>
    <row r="8" spans="2:27" ht="30" x14ac:dyDescent="0.25">
      <c r="B8" s="3">
        <v>4</v>
      </c>
      <c r="C8" s="4" t="s">
        <v>10</v>
      </c>
      <c r="D8" s="4" t="s">
        <v>184</v>
      </c>
      <c r="E8" s="4" t="s">
        <v>12</v>
      </c>
      <c r="F8" s="14" t="s">
        <v>181</v>
      </c>
      <c r="G8" s="5">
        <v>1076</v>
      </c>
      <c r="H8" s="15">
        <f t="shared" si="1"/>
        <v>11581.956399999999</v>
      </c>
      <c r="I8" s="3">
        <v>8</v>
      </c>
      <c r="J8" s="26">
        <f t="shared" si="2"/>
        <v>26.24672</v>
      </c>
      <c r="K8" s="3">
        <v>1993</v>
      </c>
      <c r="L8" s="14">
        <v>2024</v>
      </c>
      <c r="M8" s="14">
        <f t="shared" si="0"/>
        <v>31</v>
      </c>
      <c r="N8" s="14">
        <v>40</v>
      </c>
      <c r="O8" s="14">
        <v>0.05</v>
      </c>
      <c r="P8" s="16">
        <f>(1-O8)/N8</f>
        <v>2.375E-2</v>
      </c>
      <c r="Q8" s="17">
        <v>1200</v>
      </c>
      <c r="R8" s="67">
        <f>Q8*10.7639</f>
        <v>12916.68</v>
      </c>
      <c r="S8" s="18">
        <f>R8*G8</f>
        <v>13898347.68</v>
      </c>
      <c r="T8" s="18">
        <f>S8*P8*M8</f>
        <v>10232658.4794</v>
      </c>
      <c r="U8" s="18">
        <f>MAX(S8-T8,0)</f>
        <v>3665689.2006000001</v>
      </c>
      <c r="V8" s="14">
        <v>0</v>
      </c>
      <c r="W8" s="18">
        <f>IF(U8&gt;O8*S8,U8*(1+V8),S8*O8)</f>
        <v>3665689.2006000001</v>
      </c>
      <c r="X8" s="19">
        <v>800</v>
      </c>
      <c r="Y8" s="20"/>
      <c r="Z8" s="21">
        <f t="shared" si="3"/>
        <v>9265565.1199999992</v>
      </c>
    </row>
    <row r="9" spans="2:27" ht="30" x14ac:dyDescent="0.25">
      <c r="B9" s="3">
        <v>5</v>
      </c>
      <c r="C9" s="4" t="s">
        <v>10</v>
      </c>
      <c r="D9" s="4" t="s">
        <v>185</v>
      </c>
      <c r="E9" s="4" t="s">
        <v>12</v>
      </c>
      <c r="F9" s="14" t="s">
        <v>181</v>
      </c>
      <c r="G9" s="5">
        <v>1076</v>
      </c>
      <c r="H9" s="15">
        <f t="shared" si="1"/>
        <v>11581.956399999999</v>
      </c>
      <c r="I9" s="3">
        <v>8</v>
      </c>
      <c r="J9" s="26">
        <f t="shared" si="2"/>
        <v>26.24672</v>
      </c>
      <c r="K9" s="3">
        <v>1994</v>
      </c>
      <c r="L9" s="14">
        <v>2024</v>
      </c>
      <c r="M9" s="14">
        <f t="shared" si="0"/>
        <v>30</v>
      </c>
      <c r="N9" s="14">
        <v>40</v>
      </c>
      <c r="O9" s="14">
        <v>0.05</v>
      </c>
      <c r="P9" s="16">
        <f t="shared" ref="P9:P11" si="4">(1-O9)/N9</f>
        <v>2.375E-2</v>
      </c>
      <c r="Q9" s="17">
        <v>1200</v>
      </c>
      <c r="R9" s="67">
        <f t="shared" ref="R9:R49" si="5">Q9*10.7639</f>
        <v>12916.68</v>
      </c>
      <c r="S9" s="18">
        <f>R9*G9</f>
        <v>13898347.68</v>
      </c>
      <c r="T9" s="18">
        <f t="shared" ref="T9:T49" si="6">S9*P9*M9</f>
        <v>9902572.7219999991</v>
      </c>
      <c r="U9" s="18">
        <f t="shared" ref="U9:U49" si="7">MAX(S9-T9,0)</f>
        <v>3995774.9580000006</v>
      </c>
      <c r="V9" s="14">
        <v>0</v>
      </c>
      <c r="W9" s="18">
        <f t="shared" ref="W9:W49" si="8">IF(U9&gt;O9*S9,U9*(1+V9),S9*O9)</f>
        <v>3995774.9580000006</v>
      </c>
      <c r="X9" s="19">
        <v>800</v>
      </c>
      <c r="Y9" s="20"/>
      <c r="Z9" s="21">
        <f t="shared" si="3"/>
        <v>9265565.1199999992</v>
      </c>
    </row>
    <row r="10" spans="2:27" ht="30" x14ac:dyDescent="0.25">
      <c r="B10" s="3">
        <v>6</v>
      </c>
      <c r="C10" s="4" t="s">
        <v>10</v>
      </c>
      <c r="D10" s="4" t="s">
        <v>186</v>
      </c>
      <c r="E10" s="4" t="s">
        <v>12</v>
      </c>
      <c r="F10" s="14" t="s">
        <v>181</v>
      </c>
      <c r="G10" s="5">
        <v>974</v>
      </c>
      <c r="H10" s="15">
        <f t="shared" si="1"/>
        <v>10484.0386</v>
      </c>
      <c r="I10" s="3">
        <v>8</v>
      </c>
      <c r="J10" s="26">
        <f t="shared" si="2"/>
        <v>26.24672</v>
      </c>
      <c r="K10" s="3">
        <v>1996</v>
      </c>
      <c r="L10" s="14">
        <v>2024</v>
      </c>
      <c r="M10" s="14">
        <f>L10-K10</f>
        <v>28</v>
      </c>
      <c r="N10" s="14">
        <v>40</v>
      </c>
      <c r="O10" s="14">
        <v>0.05</v>
      </c>
      <c r="P10" s="16">
        <f t="shared" si="4"/>
        <v>2.375E-2</v>
      </c>
      <c r="Q10" s="17">
        <v>1200</v>
      </c>
      <c r="R10" s="67">
        <f t="shared" si="5"/>
        <v>12916.68</v>
      </c>
      <c r="S10" s="18">
        <f t="shared" ref="S10:S49" si="9">R10*G10</f>
        <v>12580846.32</v>
      </c>
      <c r="T10" s="18">
        <f t="shared" si="6"/>
        <v>8366262.8028000016</v>
      </c>
      <c r="U10" s="18">
        <f t="shared" si="7"/>
        <v>4214583.5171999987</v>
      </c>
      <c r="V10" s="14">
        <v>0</v>
      </c>
      <c r="W10" s="18">
        <f t="shared" si="8"/>
        <v>4214583.5171999987</v>
      </c>
    </row>
    <row r="11" spans="2:27" ht="30" x14ac:dyDescent="0.25">
      <c r="B11" s="3">
        <v>7</v>
      </c>
      <c r="C11" s="4" t="s">
        <v>10</v>
      </c>
      <c r="D11" s="7" t="s">
        <v>20</v>
      </c>
      <c r="E11" s="4" t="s">
        <v>12</v>
      </c>
      <c r="F11" s="14" t="s">
        <v>181</v>
      </c>
      <c r="G11" s="5">
        <v>1100</v>
      </c>
      <c r="H11" s="15">
        <f t="shared" si="1"/>
        <v>11840.289999999999</v>
      </c>
      <c r="I11" s="3">
        <v>8</v>
      </c>
      <c r="J11" s="26">
        <f t="shared" si="2"/>
        <v>26.24672</v>
      </c>
      <c r="K11" s="3">
        <v>1994</v>
      </c>
      <c r="L11" s="14">
        <v>2024</v>
      </c>
      <c r="M11" s="14">
        <f t="shared" si="0"/>
        <v>30</v>
      </c>
      <c r="N11" s="14">
        <v>40</v>
      </c>
      <c r="O11" s="14">
        <v>0.05</v>
      </c>
      <c r="P11" s="16">
        <f t="shared" si="4"/>
        <v>2.375E-2</v>
      </c>
      <c r="Q11" s="17">
        <v>1200</v>
      </c>
      <c r="R11" s="67">
        <f t="shared" si="5"/>
        <v>12916.68</v>
      </c>
      <c r="S11" s="18">
        <f t="shared" si="9"/>
        <v>14208348</v>
      </c>
      <c r="T11" s="18">
        <f t="shared" si="6"/>
        <v>10123447.950000001</v>
      </c>
      <c r="U11" s="18">
        <f t="shared" si="7"/>
        <v>4084900.0499999989</v>
      </c>
      <c r="V11" s="14">
        <v>0</v>
      </c>
      <c r="W11" s="18">
        <f t="shared" si="8"/>
        <v>4084900.0499999989</v>
      </c>
    </row>
    <row r="12" spans="2:27" ht="30" x14ac:dyDescent="0.25">
      <c r="B12" s="3">
        <v>8</v>
      </c>
      <c r="C12" s="4" t="s">
        <v>10</v>
      </c>
      <c r="D12" s="4" t="s">
        <v>21</v>
      </c>
      <c r="E12" s="4" t="s">
        <v>16</v>
      </c>
      <c r="F12" s="14" t="s">
        <v>181</v>
      </c>
      <c r="G12" s="5">
        <v>375</v>
      </c>
      <c r="H12" s="15">
        <f t="shared" si="1"/>
        <v>4036.4624999999996</v>
      </c>
      <c r="I12" s="3">
        <v>7</v>
      </c>
      <c r="J12" s="26">
        <f t="shared" si="2"/>
        <v>22.965879999999999</v>
      </c>
      <c r="K12" s="3">
        <v>1997</v>
      </c>
      <c r="L12" s="14">
        <v>2024</v>
      </c>
      <c r="M12" s="14">
        <f t="shared" si="0"/>
        <v>27</v>
      </c>
      <c r="N12" s="14">
        <v>40</v>
      </c>
      <c r="O12" s="14">
        <v>0.05</v>
      </c>
      <c r="P12" s="16">
        <f>(1-O12)/N12</f>
        <v>2.375E-2</v>
      </c>
      <c r="Q12" s="17">
        <v>1000</v>
      </c>
      <c r="R12" s="67">
        <f t="shared" si="5"/>
        <v>10763.9</v>
      </c>
      <c r="S12" s="18">
        <f t="shared" si="9"/>
        <v>4036462.5</v>
      </c>
      <c r="T12" s="18">
        <f t="shared" si="6"/>
        <v>2588381.578125</v>
      </c>
      <c r="U12" s="18">
        <f t="shared" si="7"/>
        <v>1448080.921875</v>
      </c>
      <c r="V12" s="14">
        <v>0</v>
      </c>
      <c r="W12" s="18">
        <f t="shared" si="8"/>
        <v>1448080.921875</v>
      </c>
    </row>
    <row r="13" spans="2:27" x14ac:dyDescent="0.25">
      <c r="B13" s="3">
        <v>9</v>
      </c>
      <c r="C13" s="3" t="s">
        <v>24</v>
      </c>
      <c r="D13" s="4" t="s">
        <v>23</v>
      </c>
      <c r="E13" s="9" t="s">
        <v>25</v>
      </c>
      <c r="F13" s="14" t="s">
        <v>181</v>
      </c>
      <c r="G13" s="5">
        <v>68</v>
      </c>
      <c r="H13" s="15">
        <f t="shared" si="1"/>
        <v>731.9452</v>
      </c>
      <c r="I13" s="3">
        <v>4</v>
      </c>
      <c r="J13" s="26">
        <f t="shared" si="2"/>
        <v>13.12336</v>
      </c>
      <c r="K13" s="3">
        <v>1990</v>
      </c>
      <c r="L13" s="14">
        <v>2024</v>
      </c>
      <c r="M13" s="14">
        <f t="shared" si="0"/>
        <v>34</v>
      </c>
      <c r="N13" s="14">
        <v>40</v>
      </c>
      <c r="O13" s="14">
        <v>0.05</v>
      </c>
      <c r="P13" s="16">
        <f t="shared" ref="P13:P49" si="10">(1-O13)/N13</f>
        <v>2.375E-2</v>
      </c>
      <c r="Q13" s="17">
        <v>1100</v>
      </c>
      <c r="R13" s="67">
        <f t="shared" si="5"/>
        <v>11840.289999999999</v>
      </c>
      <c r="S13" s="18">
        <f t="shared" si="9"/>
        <v>805139.72</v>
      </c>
      <c r="T13" s="18">
        <f t="shared" si="6"/>
        <v>650150.32390000008</v>
      </c>
      <c r="U13" s="18">
        <f t="shared" si="7"/>
        <v>154989.3960999999</v>
      </c>
      <c r="V13" s="14">
        <v>0</v>
      </c>
      <c r="W13" s="18">
        <f t="shared" si="8"/>
        <v>154989.3960999999</v>
      </c>
    </row>
    <row r="14" spans="2:27" ht="30" x14ac:dyDescent="0.25">
      <c r="B14" s="3">
        <v>10</v>
      </c>
      <c r="C14" s="3" t="s">
        <v>24</v>
      </c>
      <c r="D14" s="4" t="s">
        <v>26</v>
      </c>
      <c r="E14" s="4" t="s">
        <v>12</v>
      </c>
      <c r="F14" s="14" t="s">
        <v>181</v>
      </c>
      <c r="G14" s="5">
        <v>376</v>
      </c>
      <c r="H14" s="15">
        <f t="shared" si="1"/>
        <v>4047.2264</v>
      </c>
      <c r="I14" s="3">
        <v>5</v>
      </c>
      <c r="J14" s="26">
        <f t="shared" si="2"/>
        <v>16.404199999999999</v>
      </c>
      <c r="K14" s="3">
        <v>1994</v>
      </c>
      <c r="L14" s="14">
        <v>2024</v>
      </c>
      <c r="M14" s="14">
        <f t="shared" si="0"/>
        <v>30</v>
      </c>
      <c r="N14" s="14">
        <v>40</v>
      </c>
      <c r="O14" s="14">
        <v>0.05</v>
      </c>
      <c r="P14" s="16">
        <f t="shared" si="10"/>
        <v>2.375E-2</v>
      </c>
      <c r="Q14" s="17">
        <v>1300</v>
      </c>
      <c r="R14" s="67">
        <f t="shared" si="5"/>
        <v>13993.07</v>
      </c>
      <c r="S14" s="18">
        <f t="shared" si="9"/>
        <v>5261394.32</v>
      </c>
      <c r="T14" s="18">
        <f t="shared" si="6"/>
        <v>3748743.4530000002</v>
      </c>
      <c r="U14" s="18">
        <f t="shared" si="7"/>
        <v>1512650.8670000001</v>
      </c>
      <c r="V14" s="14">
        <v>0</v>
      </c>
      <c r="W14" s="18">
        <f t="shared" si="8"/>
        <v>1512650.8670000001</v>
      </c>
    </row>
    <row r="15" spans="2:27" ht="30" x14ac:dyDescent="0.25">
      <c r="B15" s="3">
        <v>11</v>
      </c>
      <c r="C15" s="3" t="s">
        <v>24</v>
      </c>
      <c r="D15" s="4" t="s">
        <v>28</v>
      </c>
      <c r="E15" s="4" t="s">
        <v>12</v>
      </c>
      <c r="F15" s="14" t="s">
        <v>181</v>
      </c>
      <c r="G15" s="5">
        <v>625</v>
      </c>
      <c r="H15" s="15">
        <f t="shared" si="1"/>
        <v>6727.4375</v>
      </c>
      <c r="I15" s="3">
        <v>15</v>
      </c>
      <c r="J15" s="26">
        <f t="shared" si="2"/>
        <v>49.212600000000002</v>
      </c>
      <c r="K15" s="3">
        <v>1971</v>
      </c>
      <c r="L15" s="14">
        <v>2024</v>
      </c>
      <c r="M15" s="14">
        <f t="shared" si="0"/>
        <v>53</v>
      </c>
      <c r="N15" s="14">
        <v>40</v>
      </c>
      <c r="O15" s="14">
        <v>0.05</v>
      </c>
      <c r="P15" s="16">
        <f t="shared" si="10"/>
        <v>2.375E-2</v>
      </c>
      <c r="Q15" s="17">
        <v>1100</v>
      </c>
      <c r="R15" s="67">
        <f t="shared" si="5"/>
        <v>11840.289999999999</v>
      </c>
      <c r="S15" s="18">
        <f t="shared" si="9"/>
        <v>7400181.2499999991</v>
      </c>
      <c r="T15" s="18">
        <f t="shared" si="6"/>
        <v>9314978.1484374981</v>
      </c>
      <c r="U15" s="18">
        <f t="shared" si="7"/>
        <v>0</v>
      </c>
      <c r="V15" s="14">
        <v>0</v>
      </c>
      <c r="W15" s="18">
        <f t="shared" si="8"/>
        <v>370009.0625</v>
      </c>
    </row>
    <row r="16" spans="2:27" ht="30" x14ac:dyDescent="0.25">
      <c r="B16" s="3">
        <v>12</v>
      </c>
      <c r="C16" s="3" t="s">
        <v>24</v>
      </c>
      <c r="D16" s="4" t="s">
        <v>30</v>
      </c>
      <c r="E16" s="4" t="s">
        <v>12</v>
      </c>
      <c r="F16" s="14" t="s">
        <v>181</v>
      </c>
      <c r="G16" s="5">
        <v>1104</v>
      </c>
      <c r="H16" s="15">
        <f t="shared" si="1"/>
        <v>11883.345599999999</v>
      </c>
      <c r="I16" s="3">
        <v>17</v>
      </c>
      <c r="J16" s="26">
        <f t="shared" si="2"/>
        <v>55.774279999999997</v>
      </c>
      <c r="K16" s="3">
        <v>1993</v>
      </c>
      <c r="L16" s="14">
        <v>2024</v>
      </c>
      <c r="M16" s="14">
        <f t="shared" si="0"/>
        <v>31</v>
      </c>
      <c r="N16" s="14">
        <v>40</v>
      </c>
      <c r="O16" s="14">
        <v>0.05</v>
      </c>
      <c r="P16" s="16">
        <f t="shared" si="10"/>
        <v>2.375E-2</v>
      </c>
      <c r="Q16" s="17">
        <v>1200</v>
      </c>
      <c r="R16" s="67">
        <f t="shared" si="5"/>
        <v>12916.68</v>
      </c>
      <c r="S16" s="18">
        <f t="shared" si="9"/>
        <v>14260014.720000001</v>
      </c>
      <c r="T16" s="18">
        <f t="shared" si="6"/>
        <v>10498935.8376</v>
      </c>
      <c r="U16" s="18">
        <f t="shared" si="7"/>
        <v>3761078.8824000005</v>
      </c>
      <c r="V16" s="14">
        <v>0</v>
      </c>
      <c r="W16" s="18">
        <f t="shared" si="8"/>
        <v>3761078.8824000005</v>
      </c>
    </row>
    <row r="17" spans="2:23" ht="30" x14ac:dyDescent="0.25">
      <c r="B17" s="3">
        <v>13</v>
      </c>
      <c r="C17" s="3" t="s">
        <v>10</v>
      </c>
      <c r="D17" s="4" t="s">
        <v>32</v>
      </c>
      <c r="E17" s="4" t="s">
        <v>16</v>
      </c>
      <c r="F17" s="14" t="s">
        <v>181</v>
      </c>
      <c r="G17" s="5">
        <v>1728</v>
      </c>
      <c r="H17" s="15">
        <f t="shared" si="1"/>
        <v>18600.019199999999</v>
      </c>
      <c r="I17" s="3">
        <v>14</v>
      </c>
      <c r="J17" s="26">
        <f t="shared" si="2"/>
        <v>45.931759999999997</v>
      </c>
      <c r="K17" s="3">
        <v>1993</v>
      </c>
      <c r="L17" s="14">
        <v>2024</v>
      </c>
      <c r="M17" s="14">
        <f t="shared" si="0"/>
        <v>31</v>
      </c>
      <c r="N17" s="14">
        <v>40</v>
      </c>
      <c r="O17" s="14">
        <v>0.05</v>
      </c>
      <c r="P17" s="16">
        <f t="shared" si="10"/>
        <v>2.375E-2</v>
      </c>
      <c r="Q17" s="17">
        <v>1200</v>
      </c>
      <c r="R17" s="67">
        <f t="shared" si="5"/>
        <v>12916.68</v>
      </c>
      <c r="S17" s="18">
        <f t="shared" si="9"/>
        <v>22320023.039999999</v>
      </c>
      <c r="T17" s="18">
        <f t="shared" si="6"/>
        <v>16433116.963200001</v>
      </c>
      <c r="U17" s="18">
        <f t="shared" si="7"/>
        <v>5886906.0767999981</v>
      </c>
      <c r="V17" s="14">
        <v>0</v>
      </c>
      <c r="W17" s="18">
        <f t="shared" si="8"/>
        <v>5886906.0767999981</v>
      </c>
    </row>
    <row r="18" spans="2:23" ht="30" x14ac:dyDescent="0.25">
      <c r="B18" s="3">
        <v>14</v>
      </c>
      <c r="C18" s="3" t="s">
        <v>10</v>
      </c>
      <c r="D18" s="4" t="s">
        <v>34</v>
      </c>
      <c r="E18" s="4" t="s">
        <v>16</v>
      </c>
      <c r="F18" s="14" t="s">
        <v>181</v>
      </c>
      <c r="G18" s="5">
        <v>1152</v>
      </c>
      <c r="H18" s="15">
        <f t="shared" si="1"/>
        <v>12400.0128</v>
      </c>
      <c r="I18" s="3">
        <v>14</v>
      </c>
      <c r="J18" s="26">
        <f t="shared" si="2"/>
        <v>45.931759999999997</v>
      </c>
      <c r="K18" s="3">
        <v>1993</v>
      </c>
      <c r="L18" s="14">
        <v>2024</v>
      </c>
      <c r="M18" s="14">
        <f t="shared" si="0"/>
        <v>31</v>
      </c>
      <c r="N18" s="14">
        <v>40</v>
      </c>
      <c r="O18" s="14">
        <v>0.05</v>
      </c>
      <c r="P18" s="16">
        <f t="shared" si="10"/>
        <v>2.375E-2</v>
      </c>
      <c r="Q18" s="17">
        <v>1200</v>
      </c>
      <c r="R18" s="67">
        <f t="shared" si="5"/>
        <v>12916.68</v>
      </c>
      <c r="S18" s="18">
        <f t="shared" si="9"/>
        <v>14880015.359999999</v>
      </c>
      <c r="T18" s="18">
        <f t="shared" si="6"/>
        <v>10955411.308799999</v>
      </c>
      <c r="U18" s="18">
        <f t="shared" si="7"/>
        <v>3924604.0512000006</v>
      </c>
      <c r="V18" s="14">
        <v>0</v>
      </c>
      <c r="W18" s="18">
        <f t="shared" si="8"/>
        <v>3924604.0512000006</v>
      </c>
    </row>
    <row r="19" spans="2:23" ht="30" x14ac:dyDescent="0.25">
      <c r="B19" s="3">
        <v>15</v>
      </c>
      <c r="C19" s="3" t="s">
        <v>36</v>
      </c>
      <c r="D19" s="4" t="s">
        <v>35</v>
      </c>
      <c r="E19" s="4" t="s">
        <v>16</v>
      </c>
      <c r="F19" s="14" t="s">
        <v>181</v>
      </c>
      <c r="G19" s="5">
        <v>1750</v>
      </c>
      <c r="H19" s="15">
        <f t="shared" si="1"/>
        <v>18836.825000000001</v>
      </c>
      <c r="I19" s="3">
        <v>17</v>
      </c>
      <c r="J19" s="26">
        <f t="shared" si="2"/>
        <v>55.774279999999997</v>
      </c>
      <c r="K19" s="3">
        <v>1971</v>
      </c>
      <c r="L19" s="14">
        <v>2024</v>
      </c>
      <c r="M19" s="14">
        <f t="shared" si="0"/>
        <v>53</v>
      </c>
      <c r="N19" s="14">
        <v>40</v>
      </c>
      <c r="O19" s="14">
        <v>0.05</v>
      </c>
      <c r="P19" s="16">
        <f t="shared" si="10"/>
        <v>2.375E-2</v>
      </c>
      <c r="Q19" s="17">
        <v>1300</v>
      </c>
      <c r="R19" s="67">
        <f t="shared" si="5"/>
        <v>13993.07</v>
      </c>
      <c r="S19" s="18">
        <f t="shared" si="9"/>
        <v>24487872.5</v>
      </c>
      <c r="T19" s="18">
        <f t="shared" si="6"/>
        <v>30824109.509375002</v>
      </c>
      <c r="U19" s="18">
        <f t="shared" si="7"/>
        <v>0</v>
      </c>
      <c r="V19" s="14">
        <v>0</v>
      </c>
      <c r="W19" s="18">
        <f t="shared" si="8"/>
        <v>1224393.625</v>
      </c>
    </row>
    <row r="20" spans="2:23" ht="30" x14ac:dyDescent="0.25">
      <c r="B20" s="3">
        <v>16</v>
      </c>
      <c r="C20" s="3" t="s">
        <v>36</v>
      </c>
      <c r="D20" s="4" t="s">
        <v>38</v>
      </c>
      <c r="E20" s="4" t="s">
        <v>40</v>
      </c>
      <c r="F20" s="14" t="s">
        <v>181</v>
      </c>
      <c r="G20" s="5">
        <v>1728</v>
      </c>
      <c r="H20" s="15">
        <f t="shared" si="1"/>
        <v>18600.019199999999</v>
      </c>
      <c r="I20" s="3">
        <v>17.5</v>
      </c>
      <c r="J20" s="26">
        <f t="shared" si="2"/>
        <v>57.414699999999996</v>
      </c>
      <c r="K20" s="3">
        <v>1993</v>
      </c>
      <c r="L20" s="14">
        <v>2024</v>
      </c>
      <c r="M20" s="14">
        <f t="shared" si="0"/>
        <v>31</v>
      </c>
      <c r="N20" s="14">
        <v>40</v>
      </c>
      <c r="O20" s="14">
        <v>0.05</v>
      </c>
      <c r="P20" s="16">
        <f t="shared" si="10"/>
        <v>2.375E-2</v>
      </c>
      <c r="Q20" s="17">
        <v>1200</v>
      </c>
      <c r="R20" s="67">
        <f t="shared" si="5"/>
        <v>12916.68</v>
      </c>
      <c r="S20" s="18">
        <f t="shared" si="9"/>
        <v>22320023.039999999</v>
      </c>
      <c r="T20" s="18">
        <f t="shared" si="6"/>
        <v>16433116.963200001</v>
      </c>
      <c r="U20" s="18">
        <f t="shared" si="7"/>
        <v>5886906.0767999981</v>
      </c>
      <c r="V20" s="14">
        <v>0</v>
      </c>
      <c r="W20" s="18">
        <f t="shared" si="8"/>
        <v>5886906.0767999981</v>
      </c>
    </row>
    <row r="21" spans="2:23" x14ac:dyDescent="0.25">
      <c r="B21" s="3">
        <v>17</v>
      </c>
      <c r="C21" s="3" t="s">
        <v>24</v>
      </c>
      <c r="D21" s="4" t="s">
        <v>41</v>
      </c>
      <c r="E21" s="4" t="s">
        <v>42</v>
      </c>
      <c r="F21" s="14" t="s">
        <v>181</v>
      </c>
      <c r="G21" s="5">
        <v>183</v>
      </c>
      <c r="H21" s="15">
        <f t="shared" si="1"/>
        <v>1969.7936999999999</v>
      </c>
      <c r="I21" s="3">
        <v>4</v>
      </c>
      <c r="J21" s="26">
        <f t="shared" si="2"/>
        <v>13.12336</v>
      </c>
      <c r="K21" s="3">
        <v>1971</v>
      </c>
      <c r="L21" s="14">
        <v>2024</v>
      </c>
      <c r="M21" s="14">
        <f t="shared" si="0"/>
        <v>53</v>
      </c>
      <c r="N21" s="14">
        <v>40</v>
      </c>
      <c r="O21" s="14">
        <v>0.05</v>
      </c>
      <c r="P21" s="16">
        <f t="shared" si="10"/>
        <v>2.375E-2</v>
      </c>
      <c r="Q21" s="17">
        <v>1000</v>
      </c>
      <c r="R21" s="67">
        <f t="shared" si="5"/>
        <v>10763.9</v>
      </c>
      <c r="S21" s="18">
        <f t="shared" si="9"/>
        <v>1969793.7</v>
      </c>
      <c r="T21" s="18">
        <f t="shared" si="6"/>
        <v>2479477.819875</v>
      </c>
      <c r="U21" s="18">
        <f t="shared" si="7"/>
        <v>0</v>
      </c>
      <c r="V21" s="14">
        <v>0</v>
      </c>
      <c r="W21" s="18">
        <f t="shared" si="8"/>
        <v>98489.684999999998</v>
      </c>
    </row>
    <row r="22" spans="2:23" ht="30" x14ac:dyDescent="0.25">
      <c r="B22" s="3">
        <v>18</v>
      </c>
      <c r="C22" s="3" t="s">
        <v>24</v>
      </c>
      <c r="D22" s="4" t="s">
        <v>43</v>
      </c>
      <c r="E22" s="4" t="s">
        <v>45</v>
      </c>
      <c r="F22" s="14" t="s">
        <v>181</v>
      </c>
      <c r="G22" s="5">
        <v>1715</v>
      </c>
      <c r="H22" s="15">
        <f t="shared" si="1"/>
        <v>18460.088499999998</v>
      </c>
      <c r="I22" s="3">
        <v>6</v>
      </c>
      <c r="J22" s="26">
        <f t="shared" si="2"/>
        <v>19.685040000000001</v>
      </c>
      <c r="K22" s="3">
        <v>1971</v>
      </c>
      <c r="L22" s="14">
        <v>2024</v>
      </c>
      <c r="M22" s="14">
        <f t="shared" si="0"/>
        <v>53</v>
      </c>
      <c r="N22" s="14">
        <v>40</v>
      </c>
      <c r="O22" s="14">
        <v>0.05</v>
      </c>
      <c r="P22" s="16">
        <f t="shared" si="10"/>
        <v>2.375E-2</v>
      </c>
      <c r="Q22" s="17">
        <v>1000</v>
      </c>
      <c r="R22" s="67">
        <f t="shared" si="5"/>
        <v>10763.9</v>
      </c>
      <c r="S22" s="18">
        <f t="shared" si="9"/>
        <v>18460088.5</v>
      </c>
      <c r="T22" s="18">
        <f t="shared" si="6"/>
        <v>23236636.399374999</v>
      </c>
      <c r="U22" s="18">
        <f t="shared" si="7"/>
        <v>0</v>
      </c>
      <c r="V22" s="14">
        <v>0</v>
      </c>
      <c r="W22" s="18">
        <f t="shared" si="8"/>
        <v>923004.42500000005</v>
      </c>
    </row>
    <row r="23" spans="2:23" ht="30" x14ac:dyDescent="0.25">
      <c r="B23" s="3">
        <v>19</v>
      </c>
      <c r="C23" s="3" t="s">
        <v>10</v>
      </c>
      <c r="D23" s="4" t="s">
        <v>46</v>
      </c>
      <c r="E23" s="4" t="s">
        <v>45</v>
      </c>
      <c r="F23" s="14" t="s">
        <v>181</v>
      </c>
      <c r="G23" s="5">
        <v>762</v>
      </c>
      <c r="H23" s="15">
        <f t="shared" si="1"/>
        <v>8202.0918000000001</v>
      </c>
      <c r="I23" s="3">
        <v>8</v>
      </c>
      <c r="J23" s="26">
        <f t="shared" si="2"/>
        <v>26.24672</v>
      </c>
      <c r="K23" s="3">
        <v>1971</v>
      </c>
      <c r="L23" s="14">
        <v>2024</v>
      </c>
      <c r="M23" s="14">
        <f t="shared" si="0"/>
        <v>53</v>
      </c>
      <c r="N23" s="14">
        <v>40</v>
      </c>
      <c r="O23" s="14">
        <v>0.05</v>
      </c>
      <c r="P23" s="16">
        <f t="shared" si="10"/>
        <v>2.375E-2</v>
      </c>
      <c r="Q23" s="17">
        <v>1000</v>
      </c>
      <c r="R23" s="67">
        <f t="shared" si="5"/>
        <v>10763.9</v>
      </c>
      <c r="S23" s="18">
        <f t="shared" si="9"/>
        <v>8202091.7999999998</v>
      </c>
      <c r="T23" s="18">
        <f t="shared" si="6"/>
        <v>10324383.05325</v>
      </c>
      <c r="U23" s="18">
        <f t="shared" si="7"/>
        <v>0</v>
      </c>
      <c r="V23" s="14">
        <v>0</v>
      </c>
      <c r="W23" s="18">
        <f t="shared" si="8"/>
        <v>410104.59</v>
      </c>
    </row>
    <row r="24" spans="2:23" ht="30" x14ac:dyDescent="0.25">
      <c r="B24" s="3">
        <v>20</v>
      </c>
      <c r="C24" s="3" t="s">
        <v>24</v>
      </c>
      <c r="D24" s="4" t="s">
        <v>47</v>
      </c>
      <c r="E24" s="4" t="s">
        <v>48</v>
      </c>
      <c r="F24" s="14" t="s">
        <v>181</v>
      </c>
      <c r="G24" s="5">
        <v>812</v>
      </c>
      <c r="H24" s="15">
        <f t="shared" si="1"/>
        <v>8740.2867999999999</v>
      </c>
      <c r="I24" s="3">
        <v>3.5</v>
      </c>
      <c r="J24" s="26">
        <f t="shared" si="2"/>
        <v>11.482939999999999</v>
      </c>
      <c r="K24" s="3">
        <v>1971</v>
      </c>
      <c r="L24" s="14">
        <v>2024</v>
      </c>
      <c r="M24" s="14">
        <f t="shared" si="0"/>
        <v>53</v>
      </c>
      <c r="N24" s="14">
        <v>40</v>
      </c>
      <c r="O24" s="14">
        <v>0.05</v>
      </c>
      <c r="P24" s="16">
        <f t="shared" si="10"/>
        <v>2.375E-2</v>
      </c>
      <c r="Q24" s="17">
        <v>1200</v>
      </c>
      <c r="R24" s="67">
        <f t="shared" si="5"/>
        <v>12916.68</v>
      </c>
      <c r="S24" s="18">
        <f t="shared" si="9"/>
        <v>10488344.16</v>
      </c>
      <c r="T24" s="18">
        <f t="shared" si="6"/>
        <v>13202203.2114</v>
      </c>
      <c r="U24" s="18">
        <f t="shared" si="7"/>
        <v>0</v>
      </c>
      <c r="V24" s="14">
        <v>0</v>
      </c>
      <c r="W24" s="18">
        <f t="shared" si="8"/>
        <v>524417.20799999998</v>
      </c>
    </row>
    <row r="25" spans="2:23" x14ac:dyDescent="0.25">
      <c r="B25" s="3">
        <v>21</v>
      </c>
      <c r="C25" s="3" t="s">
        <v>24</v>
      </c>
      <c r="D25" s="4" t="s">
        <v>49</v>
      </c>
      <c r="E25" s="4" t="s">
        <v>50</v>
      </c>
      <c r="F25" s="14" t="s">
        <v>181</v>
      </c>
      <c r="G25" s="5">
        <v>221</v>
      </c>
      <c r="H25" s="15">
        <f t="shared" si="1"/>
        <v>2378.8218999999999</v>
      </c>
      <c r="I25" s="3">
        <v>4</v>
      </c>
      <c r="J25" s="26">
        <f t="shared" si="2"/>
        <v>13.12336</v>
      </c>
      <c r="K25" s="3">
        <v>1994</v>
      </c>
      <c r="L25" s="14">
        <v>2024</v>
      </c>
      <c r="M25" s="14">
        <f t="shared" si="0"/>
        <v>30</v>
      </c>
      <c r="N25" s="14">
        <v>40</v>
      </c>
      <c r="O25" s="14">
        <v>0.05</v>
      </c>
      <c r="P25" s="16">
        <f t="shared" si="10"/>
        <v>2.375E-2</v>
      </c>
      <c r="Q25" s="17">
        <v>1000</v>
      </c>
      <c r="R25" s="67">
        <f t="shared" si="5"/>
        <v>10763.9</v>
      </c>
      <c r="S25" s="18">
        <f t="shared" si="9"/>
        <v>2378821.9</v>
      </c>
      <c r="T25" s="18">
        <f t="shared" si="6"/>
        <v>1694910.6037499998</v>
      </c>
      <c r="U25" s="18">
        <f t="shared" si="7"/>
        <v>683911.29625000013</v>
      </c>
      <c r="V25" s="14">
        <v>0</v>
      </c>
      <c r="W25" s="18">
        <f t="shared" si="8"/>
        <v>683911.29625000013</v>
      </c>
    </row>
    <row r="26" spans="2:23" x14ac:dyDescent="0.25">
      <c r="B26" s="3">
        <v>22</v>
      </c>
      <c r="C26" s="3" t="s">
        <v>24</v>
      </c>
      <c r="D26" s="4" t="s">
        <v>51</v>
      </c>
      <c r="E26" s="4" t="s">
        <v>52</v>
      </c>
      <c r="F26" s="14" t="s">
        <v>181</v>
      </c>
      <c r="G26" s="5">
        <v>200</v>
      </c>
      <c r="H26" s="15">
        <f t="shared" si="1"/>
        <v>2152.7799999999997</v>
      </c>
      <c r="I26" s="3">
        <v>6</v>
      </c>
      <c r="J26" s="26">
        <f t="shared" si="2"/>
        <v>19.685040000000001</v>
      </c>
      <c r="K26" s="3">
        <v>1971</v>
      </c>
      <c r="L26" s="14">
        <v>2024</v>
      </c>
      <c r="M26" s="14">
        <f t="shared" si="0"/>
        <v>53</v>
      </c>
      <c r="N26" s="14">
        <v>40</v>
      </c>
      <c r="O26" s="14">
        <v>0.05</v>
      </c>
      <c r="P26" s="16">
        <f t="shared" si="10"/>
        <v>2.375E-2</v>
      </c>
      <c r="Q26" s="17">
        <v>1300</v>
      </c>
      <c r="R26" s="67">
        <f t="shared" si="5"/>
        <v>13993.07</v>
      </c>
      <c r="S26" s="18">
        <f t="shared" si="9"/>
        <v>2798614</v>
      </c>
      <c r="T26" s="18">
        <f t="shared" si="6"/>
        <v>3522755.3725000001</v>
      </c>
      <c r="U26" s="18">
        <f t="shared" si="7"/>
        <v>0</v>
      </c>
      <c r="V26" s="14">
        <v>0</v>
      </c>
      <c r="W26" s="18">
        <f t="shared" si="8"/>
        <v>139930.70000000001</v>
      </c>
    </row>
    <row r="27" spans="2:23" ht="30" x14ac:dyDescent="0.25">
      <c r="B27" s="3">
        <v>23</v>
      </c>
      <c r="C27" s="3" t="s">
        <v>54</v>
      </c>
      <c r="D27" s="4" t="s">
        <v>53</v>
      </c>
      <c r="E27" s="4" t="s">
        <v>56</v>
      </c>
      <c r="F27" s="14" t="s">
        <v>181</v>
      </c>
      <c r="G27" s="5">
        <v>764</v>
      </c>
      <c r="H27" s="15">
        <f t="shared" si="1"/>
        <v>8223.6196</v>
      </c>
      <c r="I27" s="3">
        <v>15</v>
      </c>
      <c r="J27" s="26">
        <f t="shared" si="2"/>
        <v>49.212600000000002</v>
      </c>
      <c r="K27" s="3">
        <v>2005</v>
      </c>
      <c r="L27" s="14">
        <v>2024</v>
      </c>
      <c r="M27" s="14">
        <f t="shared" si="0"/>
        <v>19</v>
      </c>
      <c r="N27" s="14">
        <v>40</v>
      </c>
      <c r="O27" s="14">
        <v>0.05</v>
      </c>
      <c r="P27" s="16">
        <f t="shared" si="10"/>
        <v>2.375E-2</v>
      </c>
      <c r="Q27" s="17">
        <v>1200</v>
      </c>
      <c r="R27" s="67">
        <f t="shared" si="5"/>
        <v>12916.68</v>
      </c>
      <c r="S27" s="18">
        <f t="shared" si="9"/>
        <v>9868343.5199999996</v>
      </c>
      <c r="T27" s="18">
        <f t="shared" si="6"/>
        <v>4453090.0133999996</v>
      </c>
      <c r="U27" s="18">
        <f t="shared" si="7"/>
        <v>5415253.5066</v>
      </c>
      <c r="V27" s="14">
        <v>0</v>
      </c>
      <c r="W27" s="18">
        <f t="shared" si="8"/>
        <v>5415253.5066</v>
      </c>
    </row>
    <row r="28" spans="2:23" ht="30" x14ac:dyDescent="0.25">
      <c r="B28" s="3">
        <v>24</v>
      </c>
      <c r="C28" s="3" t="s">
        <v>24</v>
      </c>
      <c r="D28" s="4" t="s">
        <v>59</v>
      </c>
      <c r="E28" s="4" t="s">
        <v>61</v>
      </c>
      <c r="F28" s="14" t="s">
        <v>181</v>
      </c>
      <c r="G28" s="5">
        <v>420</v>
      </c>
      <c r="H28" s="15">
        <f t="shared" si="1"/>
        <v>4520.8379999999997</v>
      </c>
      <c r="I28" s="3">
        <v>8</v>
      </c>
      <c r="J28" s="26">
        <f t="shared" si="2"/>
        <v>26.24672</v>
      </c>
      <c r="K28" s="3">
        <v>1997</v>
      </c>
      <c r="L28" s="14">
        <v>2024</v>
      </c>
      <c r="M28" s="14">
        <f t="shared" si="0"/>
        <v>27</v>
      </c>
      <c r="N28" s="14">
        <v>40</v>
      </c>
      <c r="O28" s="14">
        <v>0.05</v>
      </c>
      <c r="P28" s="16">
        <f t="shared" si="10"/>
        <v>2.375E-2</v>
      </c>
      <c r="Q28" s="17">
        <v>1300</v>
      </c>
      <c r="R28" s="17">
        <f t="shared" si="5"/>
        <v>13993.07</v>
      </c>
      <c r="S28" s="18">
        <f t="shared" si="9"/>
        <v>5877089.3999999994</v>
      </c>
      <c r="T28" s="18">
        <f t="shared" si="6"/>
        <v>3768683.5777499992</v>
      </c>
      <c r="U28" s="18">
        <f t="shared" si="7"/>
        <v>2108405.8222500002</v>
      </c>
      <c r="V28" s="14">
        <v>0</v>
      </c>
      <c r="W28" s="18">
        <f t="shared" si="8"/>
        <v>2108405.8222500002</v>
      </c>
    </row>
    <row r="29" spans="2:23" ht="30" x14ac:dyDescent="0.25">
      <c r="B29" s="3">
        <v>25</v>
      </c>
      <c r="C29" s="3" t="s">
        <v>24</v>
      </c>
      <c r="D29" s="4" t="s">
        <v>62</v>
      </c>
      <c r="E29" s="4" t="s">
        <v>61</v>
      </c>
      <c r="F29" s="14" t="s">
        <v>181</v>
      </c>
      <c r="G29" s="5">
        <v>965</v>
      </c>
      <c r="H29" s="15">
        <f t="shared" si="1"/>
        <v>10387.163499999999</v>
      </c>
      <c r="I29" s="3">
        <v>9</v>
      </c>
      <c r="J29" s="26">
        <f t="shared" si="2"/>
        <v>29.527560000000001</v>
      </c>
      <c r="K29" s="3">
        <v>1971</v>
      </c>
      <c r="L29" s="14">
        <v>2024</v>
      </c>
      <c r="M29" s="14">
        <f t="shared" si="0"/>
        <v>53</v>
      </c>
      <c r="N29" s="14">
        <v>40</v>
      </c>
      <c r="O29" s="14">
        <v>0.05</v>
      </c>
      <c r="P29" s="16">
        <f t="shared" si="10"/>
        <v>2.375E-2</v>
      </c>
      <c r="Q29" s="17">
        <v>1300</v>
      </c>
      <c r="R29" s="17">
        <f t="shared" si="5"/>
        <v>13993.07</v>
      </c>
      <c r="S29" s="18">
        <f t="shared" si="9"/>
        <v>13503312.549999999</v>
      </c>
      <c r="T29" s="18">
        <f t="shared" si="6"/>
        <v>16997294.672312498</v>
      </c>
      <c r="U29" s="18">
        <f t="shared" si="7"/>
        <v>0</v>
      </c>
      <c r="V29" s="14">
        <v>0</v>
      </c>
      <c r="W29" s="18">
        <f t="shared" si="8"/>
        <v>675165.62749999994</v>
      </c>
    </row>
    <row r="30" spans="2:23" ht="30" x14ac:dyDescent="0.25">
      <c r="B30" s="3">
        <v>26</v>
      </c>
      <c r="C30" s="3" t="s">
        <v>24</v>
      </c>
      <c r="D30" s="4" t="s">
        <v>65</v>
      </c>
      <c r="E30" s="4" t="s">
        <v>61</v>
      </c>
      <c r="F30" s="14" t="s">
        <v>181</v>
      </c>
      <c r="G30" s="5">
        <v>965</v>
      </c>
      <c r="H30" s="15">
        <f t="shared" si="1"/>
        <v>10387.163499999999</v>
      </c>
      <c r="I30" s="3">
        <v>9</v>
      </c>
      <c r="J30" s="26">
        <f t="shared" si="2"/>
        <v>29.527560000000001</v>
      </c>
      <c r="K30" s="3">
        <v>1971</v>
      </c>
      <c r="L30" s="14">
        <v>2024</v>
      </c>
      <c r="M30" s="14">
        <f t="shared" si="0"/>
        <v>53</v>
      </c>
      <c r="N30" s="14">
        <v>40</v>
      </c>
      <c r="O30" s="14">
        <v>0.05</v>
      </c>
      <c r="P30" s="16">
        <f t="shared" si="10"/>
        <v>2.375E-2</v>
      </c>
      <c r="Q30" s="17">
        <v>1300</v>
      </c>
      <c r="R30" s="17">
        <f t="shared" si="5"/>
        <v>13993.07</v>
      </c>
      <c r="S30" s="18">
        <f t="shared" si="9"/>
        <v>13503312.549999999</v>
      </c>
      <c r="T30" s="18">
        <f t="shared" si="6"/>
        <v>16997294.672312498</v>
      </c>
      <c r="U30" s="18">
        <f t="shared" si="7"/>
        <v>0</v>
      </c>
      <c r="V30" s="14">
        <v>0</v>
      </c>
      <c r="W30" s="18">
        <f t="shared" si="8"/>
        <v>675165.62749999994</v>
      </c>
    </row>
    <row r="31" spans="2:23" ht="30" x14ac:dyDescent="0.25">
      <c r="B31" s="3">
        <v>27</v>
      </c>
      <c r="C31" s="3" t="s">
        <v>24</v>
      </c>
      <c r="D31" s="4" t="s">
        <v>66</v>
      </c>
      <c r="E31" s="4" t="s">
        <v>61</v>
      </c>
      <c r="F31" s="14" t="s">
        <v>181</v>
      </c>
      <c r="G31" s="5">
        <v>965</v>
      </c>
      <c r="H31" s="15">
        <f t="shared" si="1"/>
        <v>10387.163499999999</v>
      </c>
      <c r="I31" s="3">
        <v>9</v>
      </c>
      <c r="J31" s="26">
        <f t="shared" si="2"/>
        <v>29.527560000000001</v>
      </c>
      <c r="K31" s="3">
        <v>1971</v>
      </c>
      <c r="L31" s="14">
        <v>2024</v>
      </c>
      <c r="M31" s="14">
        <f t="shared" si="0"/>
        <v>53</v>
      </c>
      <c r="N31" s="14">
        <v>40</v>
      </c>
      <c r="O31" s="14">
        <v>0.05</v>
      </c>
      <c r="P31" s="16">
        <f t="shared" si="10"/>
        <v>2.375E-2</v>
      </c>
      <c r="Q31" s="17">
        <v>1300</v>
      </c>
      <c r="R31" s="17">
        <f t="shared" si="5"/>
        <v>13993.07</v>
      </c>
      <c r="S31" s="18">
        <f t="shared" si="9"/>
        <v>13503312.549999999</v>
      </c>
      <c r="T31" s="18">
        <f t="shared" si="6"/>
        <v>16997294.672312498</v>
      </c>
      <c r="U31" s="18">
        <f t="shared" si="7"/>
        <v>0</v>
      </c>
      <c r="V31" s="14">
        <v>0</v>
      </c>
      <c r="W31" s="18">
        <f t="shared" si="8"/>
        <v>675165.62749999994</v>
      </c>
    </row>
    <row r="32" spans="2:23" ht="30" x14ac:dyDescent="0.25">
      <c r="B32" s="3">
        <v>28</v>
      </c>
      <c r="C32" s="3" t="s">
        <v>24</v>
      </c>
      <c r="D32" s="4" t="s">
        <v>67</v>
      </c>
      <c r="E32" s="4" t="s">
        <v>68</v>
      </c>
      <c r="F32" s="14" t="s">
        <v>181</v>
      </c>
      <c r="G32" s="5">
        <v>765</v>
      </c>
      <c r="H32" s="15">
        <f t="shared" si="1"/>
        <v>8234.3834999999999</v>
      </c>
      <c r="I32" s="3">
        <v>9</v>
      </c>
      <c r="J32" s="26">
        <f t="shared" si="2"/>
        <v>29.527560000000001</v>
      </c>
      <c r="K32" s="3">
        <v>1971</v>
      </c>
      <c r="L32" s="14">
        <v>2024</v>
      </c>
      <c r="M32" s="14">
        <f t="shared" si="0"/>
        <v>53</v>
      </c>
      <c r="N32" s="14">
        <v>40</v>
      </c>
      <c r="O32" s="14">
        <v>0.05</v>
      </c>
      <c r="P32" s="16">
        <f t="shared" si="10"/>
        <v>2.375E-2</v>
      </c>
      <c r="Q32" s="17">
        <v>1300</v>
      </c>
      <c r="R32" s="17">
        <f t="shared" si="5"/>
        <v>13993.07</v>
      </c>
      <c r="S32" s="18">
        <f t="shared" si="9"/>
        <v>10704698.549999999</v>
      </c>
      <c r="T32" s="18">
        <f t="shared" si="6"/>
        <v>13474539.299812499</v>
      </c>
      <c r="U32" s="18">
        <f t="shared" si="7"/>
        <v>0</v>
      </c>
      <c r="V32" s="14">
        <v>0</v>
      </c>
      <c r="W32" s="18">
        <f t="shared" si="8"/>
        <v>535234.92749999999</v>
      </c>
    </row>
    <row r="33" spans="2:23" ht="30" x14ac:dyDescent="0.25">
      <c r="B33" s="3">
        <v>29</v>
      </c>
      <c r="C33" s="3" t="s">
        <v>24</v>
      </c>
      <c r="D33" s="4" t="s">
        <v>69</v>
      </c>
      <c r="E33" s="4" t="s">
        <v>61</v>
      </c>
      <c r="F33" s="14" t="s">
        <v>181</v>
      </c>
      <c r="G33" s="5">
        <v>765</v>
      </c>
      <c r="H33" s="15">
        <f t="shared" si="1"/>
        <v>8234.3834999999999</v>
      </c>
      <c r="I33" s="3">
        <v>9</v>
      </c>
      <c r="J33" s="26">
        <f t="shared" si="2"/>
        <v>29.527560000000001</v>
      </c>
      <c r="K33" s="3">
        <v>1971</v>
      </c>
      <c r="L33" s="14">
        <v>2024</v>
      </c>
      <c r="M33" s="14">
        <f t="shared" si="0"/>
        <v>53</v>
      </c>
      <c r="N33" s="14">
        <v>40</v>
      </c>
      <c r="O33" s="14">
        <v>0.05</v>
      </c>
      <c r="P33" s="16">
        <f t="shared" si="10"/>
        <v>2.375E-2</v>
      </c>
      <c r="Q33" s="17">
        <v>1300</v>
      </c>
      <c r="R33" s="17">
        <f t="shared" si="5"/>
        <v>13993.07</v>
      </c>
      <c r="S33" s="18">
        <f t="shared" si="9"/>
        <v>10704698.549999999</v>
      </c>
      <c r="T33" s="18">
        <f t="shared" si="6"/>
        <v>13474539.299812499</v>
      </c>
      <c r="U33" s="18">
        <f t="shared" si="7"/>
        <v>0</v>
      </c>
      <c r="V33" s="14">
        <v>0</v>
      </c>
      <c r="W33" s="18">
        <f t="shared" si="8"/>
        <v>535234.92749999999</v>
      </c>
    </row>
    <row r="34" spans="2:23" ht="30" x14ac:dyDescent="0.25">
      <c r="B34" s="3">
        <v>30</v>
      </c>
      <c r="C34" s="3" t="s">
        <v>24</v>
      </c>
      <c r="D34" s="4" t="s">
        <v>70</v>
      </c>
      <c r="E34" s="4" t="s">
        <v>61</v>
      </c>
      <c r="F34" s="14" t="s">
        <v>181</v>
      </c>
      <c r="G34" s="5">
        <v>1727</v>
      </c>
      <c r="H34" s="15">
        <f t="shared" si="1"/>
        <v>18589.255300000001</v>
      </c>
      <c r="I34" s="3">
        <v>9</v>
      </c>
      <c r="J34" s="26">
        <f t="shared" si="2"/>
        <v>29.527560000000001</v>
      </c>
      <c r="K34" s="3">
        <v>1971</v>
      </c>
      <c r="L34" s="14">
        <v>2024</v>
      </c>
      <c r="M34" s="14">
        <f t="shared" si="0"/>
        <v>53</v>
      </c>
      <c r="N34" s="14">
        <v>40</v>
      </c>
      <c r="O34" s="14">
        <v>0.05</v>
      </c>
      <c r="P34" s="16">
        <f t="shared" si="10"/>
        <v>2.375E-2</v>
      </c>
      <c r="Q34" s="17">
        <v>1300</v>
      </c>
      <c r="R34" s="17">
        <f t="shared" si="5"/>
        <v>13993.07</v>
      </c>
      <c r="S34" s="18">
        <f t="shared" si="9"/>
        <v>24166031.890000001</v>
      </c>
      <c r="T34" s="18">
        <f t="shared" si="6"/>
        <v>30418992.641537502</v>
      </c>
      <c r="U34" s="18">
        <f t="shared" si="7"/>
        <v>0</v>
      </c>
      <c r="V34" s="14">
        <v>0</v>
      </c>
      <c r="W34" s="18">
        <f t="shared" si="8"/>
        <v>1208301.5945000001</v>
      </c>
    </row>
    <row r="35" spans="2:23" ht="30" x14ac:dyDescent="0.25">
      <c r="B35" s="3">
        <v>31</v>
      </c>
      <c r="C35" s="3" t="s">
        <v>24</v>
      </c>
      <c r="D35" s="4" t="s">
        <v>71</v>
      </c>
      <c r="E35" s="4" t="s">
        <v>68</v>
      </c>
      <c r="F35" s="14" t="s">
        <v>181</v>
      </c>
      <c r="G35" s="5">
        <v>1694</v>
      </c>
      <c r="H35" s="15">
        <f t="shared" si="1"/>
        <v>18234.046599999998</v>
      </c>
      <c r="I35" s="3">
        <v>11</v>
      </c>
      <c r="J35" s="26">
        <f t="shared" si="2"/>
        <v>36.089239999999997</v>
      </c>
      <c r="K35" s="3">
        <v>1990</v>
      </c>
      <c r="L35" s="14">
        <v>2024</v>
      </c>
      <c r="M35" s="14">
        <f t="shared" si="0"/>
        <v>34</v>
      </c>
      <c r="N35" s="14">
        <v>40</v>
      </c>
      <c r="O35" s="14">
        <v>0.05</v>
      </c>
      <c r="P35" s="16">
        <f t="shared" si="10"/>
        <v>2.375E-2</v>
      </c>
      <c r="Q35" s="17">
        <v>1350</v>
      </c>
      <c r="R35" s="17">
        <f t="shared" si="5"/>
        <v>14531.264999999999</v>
      </c>
      <c r="S35" s="18">
        <f t="shared" si="9"/>
        <v>24615962.91</v>
      </c>
      <c r="T35" s="18">
        <f t="shared" si="6"/>
        <v>19877390.049824998</v>
      </c>
      <c r="U35" s="18">
        <f t="shared" si="7"/>
        <v>4738572.8601750024</v>
      </c>
      <c r="V35" s="14">
        <v>0</v>
      </c>
      <c r="W35" s="18">
        <f t="shared" si="8"/>
        <v>4738572.8601750024</v>
      </c>
    </row>
    <row r="36" spans="2:23" ht="30" x14ac:dyDescent="0.25">
      <c r="B36" s="3">
        <v>32</v>
      </c>
      <c r="C36" s="3" t="s">
        <v>24</v>
      </c>
      <c r="D36" s="4" t="s">
        <v>73</v>
      </c>
      <c r="E36" s="4" t="s">
        <v>61</v>
      </c>
      <c r="F36" s="14" t="s">
        <v>181</v>
      </c>
      <c r="G36" s="5">
        <v>1694</v>
      </c>
      <c r="H36" s="15">
        <f t="shared" si="1"/>
        <v>18234.046599999998</v>
      </c>
      <c r="I36" s="3">
        <v>11</v>
      </c>
      <c r="J36" s="26">
        <f t="shared" si="2"/>
        <v>36.089239999999997</v>
      </c>
      <c r="K36" s="3">
        <v>1997</v>
      </c>
      <c r="L36" s="14">
        <v>2024</v>
      </c>
      <c r="M36" s="14">
        <f t="shared" si="0"/>
        <v>27</v>
      </c>
      <c r="N36" s="14">
        <v>40</v>
      </c>
      <c r="O36" s="14">
        <v>0.05</v>
      </c>
      <c r="P36" s="16">
        <f t="shared" si="10"/>
        <v>2.375E-2</v>
      </c>
      <c r="Q36" s="17">
        <v>1350</v>
      </c>
      <c r="R36" s="17">
        <f t="shared" si="5"/>
        <v>14531.264999999999</v>
      </c>
      <c r="S36" s="18">
        <f t="shared" si="9"/>
        <v>24615962.91</v>
      </c>
      <c r="T36" s="18">
        <f t="shared" si="6"/>
        <v>15784986.216037501</v>
      </c>
      <c r="U36" s="18">
        <f t="shared" si="7"/>
        <v>8830976.6939624995</v>
      </c>
      <c r="V36" s="14">
        <v>0</v>
      </c>
      <c r="W36" s="18">
        <f t="shared" si="8"/>
        <v>8830976.6939624995</v>
      </c>
    </row>
    <row r="37" spans="2:23" ht="30" x14ac:dyDescent="0.25">
      <c r="B37" s="3">
        <v>33</v>
      </c>
      <c r="C37" s="3" t="s">
        <v>24</v>
      </c>
      <c r="D37" s="4" t="s">
        <v>75</v>
      </c>
      <c r="E37" s="4" t="s">
        <v>61</v>
      </c>
      <c r="F37" s="14" t="s">
        <v>181</v>
      </c>
      <c r="G37" s="5">
        <v>1662</v>
      </c>
      <c r="H37" s="15">
        <f t="shared" si="1"/>
        <v>17889.6018</v>
      </c>
      <c r="I37" s="3">
        <v>11</v>
      </c>
      <c r="J37" s="26">
        <f t="shared" si="2"/>
        <v>36.089239999999997</v>
      </c>
      <c r="K37" s="3">
        <v>1997</v>
      </c>
      <c r="L37" s="14">
        <v>2024</v>
      </c>
      <c r="M37" s="14">
        <f t="shared" si="0"/>
        <v>27</v>
      </c>
      <c r="N37" s="14">
        <v>40</v>
      </c>
      <c r="O37" s="14">
        <v>0.05</v>
      </c>
      <c r="P37" s="16">
        <f t="shared" si="10"/>
        <v>2.375E-2</v>
      </c>
      <c r="Q37" s="17">
        <v>1350</v>
      </c>
      <c r="R37" s="17">
        <f t="shared" si="5"/>
        <v>14531.264999999999</v>
      </c>
      <c r="S37" s="18">
        <f t="shared" si="9"/>
        <v>24150962.43</v>
      </c>
      <c r="T37" s="18">
        <f t="shared" si="6"/>
        <v>15486804.6582375</v>
      </c>
      <c r="U37" s="18">
        <f t="shared" si="7"/>
        <v>8664157.7717624996</v>
      </c>
      <c r="V37" s="14">
        <v>0</v>
      </c>
      <c r="W37" s="18">
        <f t="shared" si="8"/>
        <v>8664157.7717624996</v>
      </c>
    </row>
    <row r="38" spans="2:23" ht="30" x14ac:dyDescent="0.25">
      <c r="B38" s="3">
        <v>34</v>
      </c>
      <c r="C38" s="3" t="s">
        <v>24</v>
      </c>
      <c r="D38" s="4" t="s">
        <v>76</v>
      </c>
      <c r="E38" s="4" t="s">
        <v>61</v>
      </c>
      <c r="F38" s="14" t="s">
        <v>181</v>
      </c>
      <c r="G38" s="5">
        <v>1552</v>
      </c>
      <c r="H38" s="15">
        <f t="shared" si="1"/>
        <v>16705.572799999998</v>
      </c>
      <c r="I38" s="3">
        <v>11</v>
      </c>
      <c r="J38" s="26">
        <f t="shared" si="2"/>
        <v>36.089239999999997</v>
      </c>
      <c r="K38" s="3">
        <v>1998</v>
      </c>
      <c r="L38" s="14">
        <v>2024</v>
      </c>
      <c r="M38" s="14">
        <f t="shared" si="0"/>
        <v>26</v>
      </c>
      <c r="N38" s="14">
        <v>40</v>
      </c>
      <c r="O38" s="14">
        <v>0.05</v>
      </c>
      <c r="P38" s="16">
        <f t="shared" si="10"/>
        <v>2.375E-2</v>
      </c>
      <c r="Q38" s="17">
        <v>1350</v>
      </c>
      <c r="R38" s="17">
        <f t="shared" si="5"/>
        <v>14531.264999999999</v>
      </c>
      <c r="S38" s="18">
        <f t="shared" si="9"/>
        <v>22552523.279999997</v>
      </c>
      <c r="T38" s="18">
        <f t="shared" si="6"/>
        <v>13926183.125399997</v>
      </c>
      <c r="U38" s="18">
        <f t="shared" si="7"/>
        <v>8626340.1546</v>
      </c>
      <c r="V38" s="14">
        <v>0</v>
      </c>
      <c r="W38" s="18">
        <f t="shared" si="8"/>
        <v>8626340.1546</v>
      </c>
    </row>
    <row r="39" spans="2:23" ht="30" x14ac:dyDescent="0.25">
      <c r="B39" s="3">
        <v>35</v>
      </c>
      <c r="C39" s="3" t="s">
        <v>24</v>
      </c>
      <c r="D39" s="4" t="s">
        <v>78</v>
      </c>
      <c r="E39" s="4" t="s">
        <v>61</v>
      </c>
      <c r="F39" s="14" t="s">
        <v>181</v>
      </c>
      <c r="G39" s="5">
        <v>1651</v>
      </c>
      <c r="H39" s="15">
        <f t="shared" si="1"/>
        <v>17771.198899999999</v>
      </c>
      <c r="I39" s="3">
        <v>11</v>
      </c>
      <c r="J39" s="26">
        <f t="shared" si="2"/>
        <v>36.089239999999997</v>
      </c>
      <c r="K39" s="3">
        <v>2000</v>
      </c>
      <c r="L39" s="14">
        <v>2024</v>
      </c>
      <c r="M39" s="14">
        <f t="shared" si="0"/>
        <v>24</v>
      </c>
      <c r="N39" s="14">
        <v>40</v>
      </c>
      <c r="O39" s="14">
        <v>0.05</v>
      </c>
      <c r="P39" s="16">
        <f t="shared" si="10"/>
        <v>2.375E-2</v>
      </c>
      <c r="Q39" s="17">
        <v>1350</v>
      </c>
      <c r="R39" s="17">
        <f t="shared" si="5"/>
        <v>14531.264999999999</v>
      </c>
      <c r="S39" s="18">
        <f t="shared" si="9"/>
        <v>23991118.515000001</v>
      </c>
      <c r="T39" s="18">
        <f t="shared" si="6"/>
        <v>13674937.553550001</v>
      </c>
      <c r="U39" s="18">
        <f t="shared" si="7"/>
        <v>10316180.961449999</v>
      </c>
      <c r="V39" s="14">
        <v>0</v>
      </c>
      <c r="W39" s="18">
        <f t="shared" si="8"/>
        <v>10316180.961449999</v>
      </c>
    </row>
    <row r="40" spans="2:23" ht="30" x14ac:dyDescent="0.25">
      <c r="B40" s="3">
        <v>36</v>
      </c>
      <c r="C40" s="3" t="s">
        <v>24</v>
      </c>
      <c r="D40" s="4" t="s">
        <v>80</v>
      </c>
      <c r="E40" s="4" t="s">
        <v>68</v>
      </c>
      <c r="F40" s="14" t="s">
        <v>181</v>
      </c>
      <c r="G40" s="5">
        <v>4515</v>
      </c>
      <c r="H40" s="15">
        <f t="shared" si="1"/>
        <v>48599.008499999996</v>
      </c>
      <c r="I40" s="3">
        <v>11</v>
      </c>
      <c r="J40" s="26">
        <f t="shared" si="2"/>
        <v>36.089239999999997</v>
      </c>
      <c r="K40" s="3">
        <v>2003</v>
      </c>
      <c r="L40" s="14">
        <v>2024</v>
      </c>
      <c r="M40" s="14">
        <f t="shared" si="0"/>
        <v>21</v>
      </c>
      <c r="N40" s="14">
        <v>40</v>
      </c>
      <c r="O40" s="14">
        <v>0.05</v>
      </c>
      <c r="P40" s="16">
        <f t="shared" si="10"/>
        <v>2.375E-2</v>
      </c>
      <c r="Q40" s="17">
        <v>1350</v>
      </c>
      <c r="R40" s="17">
        <f t="shared" si="5"/>
        <v>14531.264999999999</v>
      </c>
      <c r="S40" s="18">
        <f t="shared" si="9"/>
        <v>65608661.474999994</v>
      </c>
      <c r="T40" s="18">
        <f t="shared" si="6"/>
        <v>32722319.910656247</v>
      </c>
      <c r="U40" s="18">
        <f t="shared" si="7"/>
        <v>32886341.564343747</v>
      </c>
      <c r="V40" s="14">
        <v>0</v>
      </c>
      <c r="W40" s="18">
        <f t="shared" si="8"/>
        <v>32886341.564343747</v>
      </c>
    </row>
    <row r="41" spans="2:23" x14ac:dyDescent="0.25">
      <c r="B41" s="3">
        <v>37</v>
      </c>
      <c r="C41" s="3" t="s">
        <v>83</v>
      </c>
      <c r="D41" s="4" t="s">
        <v>82</v>
      </c>
      <c r="E41" s="4" t="s">
        <v>85</v>
      </c>
      <c r="F41" s="14" t="s">
        <v>181</v>
      </c>
      <c r="G41" s="5">
        <v>537</v>
      </c>
      <c r="H41" s="15">
        <f t="shared" si="1"/>
        <v>5780.2142999999996</v>
      </c>
      <c r="I41" s="3">
        <v>2.5</v>
      </c>
      <c r="J41" s="26">
        <f t="shared" si="2"/>
        <v>8.2020999999999997</v>
      </c>
      <c r="K41" s="3">
        <v>1994</v>
      </c>
      <c r="L41" s="14">
        <v>2024</v>
      </c>
      <c r="M41" s="14">
        <f t="shared" si="0"/>
        <v>30</v>
      </c>
      <c r="N41" s="14">
        <v>40</v>
      </c>
      <c r="O41" s="14">
        <v>0.05</v>
      </c>
      <c r="P41" s="16">
        <f t="shared" si="10"/>
        <v>2.375E-2</v>
      </c>
      <c r="Q41" s="17">
        <v>800</v>
      </c>
      <c r="R41" s="17">
        <f t="shared" si="5"/>
        <v>8611.119999999999</v>
      </c>
      <c r="S41" s="18">
        <f t="shared" si="9"/>
        <v>4624171.4399999995</v>
      </c>
      <c r="T41" s="18">
        <f t="shared" si="6"/>
        <v>3294722.1509999996</v>
      </c>
      <c r="U41" s="18">
        <f t="shared" si="7"/>
        <v>1329449.2889999999</v>
      </c>
      <c r="V41" s="14">
        <v>0</v>
      </c>
      <c r="W41" s="18">
        <f t="shared" si="8"/>
        <v>1329449.2889999999</v>
      </c>
    </row>
    <row r="42" spans="2:23" ht="30" x14ac:dyDescent="0.25">
      <c r="B42" s="3">
        <v>38</v>
      </c>
      <c r="C42" s="3" t="s">
        <v>24</v>
      </c>
      <c r="D42" s="4" t="s">
        <v>86</v>
      </c>
      <c r="E42" s="4" t="s">
        <v>61</v>
      </c>
      <c r="F42" s="14" t="s">
        <v>181</v>
      </c>
      <c r="G42" s="5">
        <v>368</v>
      </c>
      <c r="H42" s="15">
        <f t="shared" si="1"/>
        <v>3961.1151999999997</v>
      </c>
      <c r="I42" s="3">
        <v>3.6</v>
      </c>
      <c r="J42" s="26">
        <f t="shared" si="2"/>
        <v>11.811024</v>
      </c>
      <c r="K42" s="3">
        <v>1991</v>
      </c>
      <c r="L42" s="14">
        <v>2024</v>
      </c>
      <c r="M42" s="14">
        <f t="shared" si="0"/>
        <v>33</v>
      </c>
      <c r="N42" s="14">
        <v>40</v>
      </c>
      <c r="O42" s="14">
        <v>0.05</v>
      </c>
      <c r="P42" s="16">
        <f t="shared" si="10"/>
        <v>2.375E-2</v>
      </c>
      <c r="Q42" s="17">
        <v>1000</v>
      </c>
      <c r="R42" s="17">
        <f t="shared" si="5"/>
        <v>10763.9</v>
      </c>
      <c r="S42" s="18">
        <f t="shared" si="9"/>
        <v>3961115.1999999997</v>
      </c>
      <c r="T42" s="18">
        <f t="shared" si="6"/>
        <v>3104524.0379999997</v>
      </c>
      <c r="U42" s="18">
        <f t="shared" si="7"/>
        <v>856591.16200000001</v>
      </c>
      <c r="V42" s="14">
        <v>0</v>
      </c>
      <c r="W42" s="18">
        <f t="shared" si="8"/>
        <v>856591.16200000001</v>
      </c>
    </row>
    <row r="43" spans="2:23" ht="30" x14ac:dyDescent="0.25">
      <c r="B43" s="3">
        <v>39</v>
      </c>
      <c r="C43" s="3" t="s">
        <v>24</v>
      </c>
      <c r="D43" s="4" t="s">
        <v>88</v>
      </c>
      <c r="E43" s="4" t="s">
        <v>61</v>
      </c>
      <c r="F43" s="14" t="s">
        <v>181</v>
      </c>
      <c r="G43" s="5">
        <v>112</v>
      </c>
      <c r="H43" s="15">
        <f t="shared" si="1"/>
        <v>1205.5567999999998</v>
      </c>
      <c r="I43" s="3">
        <v>3.5</v>
      </c>
      <c r="J43" s="26">
        <f t="shared" si="2"/>
        <v>11.482939999999999</v>
      </c>
      <c r="K43" s="3">
        <v>1974</v>
      </c>
      <c r="L43" s="14">
        <v>2024</v>
      </c>
      <c r="M43" s="14">
        <f t="shared" si="0"/>
        <v>50</v>
      </c>
      <c r="N43" s="14">
        <v>40</v>
      </c>
      <c r="O43" s="14">
        <v>0.05</v>
      </c>
      <c r="P43" s="16">
        <f t="shared" si="10"/>
        <v>2.375E-2</v>
      </c>
      <c r="Q43" s="17">
        <v>1000</v>
      </c>
      <c r="R43" s="17">
        <f t="shared" si="5"/>
        <v>10763.9</v>
      </c>
      <c r="S43" s="18">
        <f t="shared" si="9"/>
        <v>1205556.8</v>
      </c>
      <c r="T43" s="18">
        <f t="shared" si="6"/>
        <v>1431598.7000000002</v>
      </c>
      <c r="U43" s="18">
        <f t="shared" si="7"/>
        <v>0</v>
      </c>
      <c r="V43" s="14">
        <v>0</v>
      </c>
      <c r="W43" s="18">
        <f t="shared" si="8"/>
        <v>60277.840000000004</v>
      </c>
    </row>
    <row r="44" spans="2:23" x14ac:dyDescent="0.25">
      <c r="B44" s="3">
        <v>40</v>
      </c>
      <c r="C44" s="3" t="s">
        <v>10</v>
      </c>
      <c r="D44" s="4" t="s">
        <v>91</v>
      </c>
      <c r="E44" s="4" t="s">
        <v>50</v>
      </c>
      <c r="F44" s="14" t="s">
        <v>181</v>
      </c>
      <c r="G44" s="5">
        <v>192</v>
      </c>
      <c r="H44" s="15">
        <f t="shared" si="1"/>
        <v>2066.6687999999999</v>
      </c>
      <c r="I44" s="3">
        <v>6.5</v>
      </c>
      <c r="J44" s="26">
        <f t="shared" si="2"/>
        <v>21.32546</v>
      </c>
      <c r="K44" s="3">
        <v>1993</v>
      </c>
      <c r="L44" s="14">
        <v>2024</v>
      </c>
      <c r="M44" s="14">
        <f t="shared" si="0"/>
        <v>31</v>
      </c>
      <c r="N44" s="14">
        <v>40</v>
      </c>
      <c r="O44" s="14">
        <v>0.05</v>
      </c>
      <c r="P44" s="16">
        <f t="shared" si="10"/>
        <v>2.375E-2</v>
      </c>
      <c r="Q44" s="17">
        <v>900</v>
      </c>
      <c r="R44" s="17">
        <f t="shared" si="5"/>
        <v>9687.51</v>
      </c>
      <c r="S44" s="18">
        <f t="shared" si="9"/>
        <v>1860001.92</v>
      </c>
      <c r="T44" s="18">
        <f t="shared" si="6"/>
        <v>1369426.4135999999</v>
      </c>
      <c r="U44" s="18">
        <f t="shared" si="7"/>
        <v>490575.50640000007</v>
      </c>
      <c r="V44" s="14">
        <v>0</v>
      </c>
      <c r="W44" s="18">
        <f t="shared" si="8"/>
        <v>490575.50640000007</v>
      </c>
    </row>
    <row r="45" spans="2:23" ht="45" x14ac:dyDescent="0.25">
      <c r="B45" s="3">
        <v>41</v>
      </c>
      <c r="C45" s="3" t="s">
        <v>10</v>
      </c>
      <c r="D45" s="4" t="s">
        <v>93</v>
      </c>
      <c r="E45" s="4" t="s">
        <v>50</v>
      </c>
      <c r="F45" s="14" t="s">
        <v>181</v>
      </c>
      <c r="G45" s="5">
        <v>870</v>
      </c>
      <c r="H45" s="15">
        <f t="shared" si="1"/>
        <v>9364.5929999999989</v>
      </c>
      <c r="I45" s="3">
        <v>7</v>
      </c>
      <c r="J45" s="26">
        <f t="shared" si="2"/>
        <v>22.965879999999999</v>
      </c>
      <c r="K45" s="3">
        <v>1991</v>
      </c>
      <c r="L45" s="14">
        <v>2024</v>
      </c>
      <c r="M45" s="14">
        <f t="shared" si="0"/>
        <v>33</v>
      </c>
      <c r="N45" s="14">
        <v>40</v>
      </c>
      <c r="O45" s="14">
        <v>0.05</v>
      </c>
      <c r="P45" s="16">
        <f t="shared" si="10"/>
        <v>2.375E-2</v>
      </c>
      <c r="Q45" s="17">
        <v>1200</v>
      </c>
      <c r="R45" s="17">
        <f t="shared" si="5"/>
        <v>12916.68</v>
      </c>
      <c r="S45" s="18">
        <f t="shared" si="9"/>
        <v>11237511.6</v>
      </c>
      <c r="T45" s="18">
        <f t="shared" si="6"/>
        <v>8807399.7164999992</v>
      </c>
      <c r="U45" s="18">
        <f t="shared" si="7"/>
        <v>2430111.8835000005</v>
      </c>
      <c r="V45" s="14">
        <v>0</v>
      </c>
      <c r="W45" s="18">
        <f t="shared" si="8"/>
        <v>2430111.8835000005</v>
      </c>
    </row>
    <row r="46" spans="2:23" ht="45" x14ac:dyDescent="0.25">
      <c r="B46" s="3">
        <v>42</v>
      </c>
      <c r="C46" s="3" t="s">
        <v>10</v>
      </c>
      <c r="D46" s="4" t="s">
        <v>94</v>
      </c>
      <c r="E46" s="4" t="s">
        <v>50</v>
      </c>
      <c r="F46" s="14" t="s">
        <v>181</v>
      </c>
      <c r="G46" s="5">
        <v>662</v>
      </c>
      <c r="H46" s="15">
        <f t="shared" si="1"/>
        <v>7125.7017999999998</v>
      </c>
      <c r="I46" s="3">
        <v>6</v>
      </c>
      <c r="J46" s="26">
        <f t="shared" si="2"/>
        <v>19.685040000000001</v>
      </c>
      <c r="K46" s="3">
        <v>1971</v>
      </c>
      <c r="L46" s="14">
        <v>2024</v>
      </c>
      <c r="M46" s="14">
        <f t="shared" si="0"/>
        <v>53</v>
      </c>
      <c r="N46" s="14">
        <v>40</v>
      </c>
      <c r="O46" s="14">
        <v>0.05</v>
      </c>
      <c r="P46" s="16">
        <f t="shared" si="10"/>
        <v>2.375E-2</v>
      </c>
      <c r="Q46" s="17">
        <v>1200</v>
      </c>
      <c r="R46" s="17">
        <f t="shared" si="5"/>
        <v>12916.68</v>
      </c>
      <c r="S46" s="18">
        <f t="shared" si="9"/>
        <v>8550842.1600000001</v>
      </c>
      <c r="T46" s="18">
        <f t="shared" si="6"/>
        <v>10763372.5689</v>
      </c>
      <c r="U46" s="18">
        <f t="shared" si="7"/>
        <v>0</v>
      </c>
      <c r="V46" s="14">
        <v>0</v>
      </c>
      <c r="W46" s="18">
        <f t="shared" si="8"/>
        <v>427542.10800000001</v>
      </c>
    </row>
    <row r="47" spans="2:23" ht="30" x14ac:dyDescent="0.25">
      <c r="B47" s="3">
        <v>43</v>
      </c>
      <c r="C47" s="3" t="s">
        <v>10</v>
      </c>
      <c r="D47" s="4" t="s">
        <v>95</v>
      </c>
      <c r="E47" s="4" t="s">
        <v>50</v>
      </c>
      <c r="F47" s="14" t="s">
        <v>181</v>
      </c>
      <c r="G47" s="5">
        <v>300</v>
      </c>
      <c r="H47" s="15">
        <f t="shared" si="1"/>
        <v>3229.17</v>
      </c>
      <c r="I47" s="3">
        <v>6</v>
      </c>
      <c r="J47" s="26">
        <f t="shared" si="2"/>
        <v>19.685040000000001</v>
      </c>
      <c r="K47" s="3">
        <v>1971</v>
      </c>
      <c r="L47" s="14">
        <v>2024</v>
      </c>
      <c r="M47" s="14">
        <f t="shared" si="0"/>
        <v>53</v>
      </c>
      <c r="N47" s="14">
        <v>40</v>
      </c>
      <c r="O47" s="14">
        <v>0.05</v>
      </c>
      <c r="P47" s="16">
        <f t="shared" si="10"/>
        <v>2.375E-2</v>
      </c>
      <c r="Q47" s="17">
        <v>1000</v>
      </c>
      <c r="R47" s="17">
        <f t="shared" si="5"/>
        <v>10763.9</v>
      </c>
      <c r="S47" s="18">
        <f t="shared" si="9"/>
        <v>3229170</v>
      </c>
      <c r="T47" s="18">
        <f t="shared" si="6"/>
        <v>4064717.7375000003</v>
      </c>
      <c r="U47" s="18">
        <f t="shared" si="7"/>
        <v>0</v>
      </c>
      <c r="V47" s="14">
        <v>0</v>
      </c>
      <c r="W47" s="18">
        <f t="shared" si="8"/>
        <v>161458.5</v>
      </c>
    </row>
    <row r="48" spans="2:23" x14ac:dyDescent="0.25">
      <c r="B48" s="3">
        <v>44</v>
      </c>
      <c r="C48" s="3" t="s">
        <v>24</v>
      </c>
      <c r="D48" s="4" t="s">
        <v>96</v>
      </c>
      <c r="E48" s="4" t="s">
        <v>50</v>
      </c>
      <c r="F48" s="14" t="s">
        <v>181</v>
      </c>
      <c r="G48" s="5">
        <v>50</v>
      </c>
      <c r="H48" s="15">
        <f t="shared" si="1"/>
        <v>538.19499999999994</v>
      </c>
      <c r="I48" s="3">
        <v>3</v>
      </c>
      <c r="J48" s="26">
        <f t="shared" si="2"/>
        <v>9.8425200000000004</v>
      </c>
      <c r="K48" s="3">
        <v>1971</v>
      </c>
      <c r="L48" s="14">
        <v>2024</v>
      </c>
      <c r="M48" s="14">
        <f t="shared" si="0"/>
        <v>53</v>
      </c>
      <c r="N48" s="14">
        <v>40</v>
      </c>
      <c r="O48" s="14">
        <v>0.05</v>
      </c>
      <c r="P48" s="16">
        <f t="shared" si="10"/>
        <v>2.375E-2</v>
      </c>
      <c r="Q48" s="17">
        <v>1000</v>
      </c>
      <c r="R48" s="17">
        <f t="shared" si="5"/>
        <v>10763.9</v>
      </c>
      <c r="S48" s="18">
        <f t="shared" si="9"/>
        <v>538195</v>
      </c>
      <c r="T48" s="18">
        <f t="shared" si="6"/>
        <v>677452.95625000005</v>
      </c>
      <c r="U48" s="18">
        <f t="shared" si="7"/>
        <v>0</v>
      </c>
      <c r="V48" s="14">
        <v>0</v>
      </c>
      <c r="W48" s="18">
        <f t="shared" si="8"/>
        <v>26909.75</v>
      </c>
    </row>
    <row r="49" spans="2:23" x14ac:dyDescent="0.25">
      <c r="B49" s="3">
        <v>45</v>
      </c>
      <c r="C49" s="3" t="s">
        <v>24</v>
      </c>
      <c r="D49" s="4" t="s">
        <v>97</v>
      </c>
      <c r="E49" s="4" t="s">
        <v>50</v>
      </c>
      <c r="F49" s="14" t="s">
        <v>181</v>
      </c>
      <c r="G49" s="5">
        <v>60</v>
      </c>
      <c r="H49" s="15">
        <f t="shared" si="1"/>
        <v>645.83399999999995</v>
      </c>
      <c r="I49" s="3">
        <v>3</v>
      </c>
      <c r="J49" s="26">
        <f t="shared" si="2"/>
        <v>9.8425200000000004</v>
      </c>
      <c r="K49" s="3">
        <v>2000</v>
      </c>
      <c r="L49" s="14">
        <v>2024</v>
      </c>
      <c r="M49" s="14">
        <f t="shared" si="0"/>
        <v>24</v>
      </c>
      <c r="N49" s="14">
        <v>40</v>
      </c>
      <c r="O49" s="14">
        <v>0.05</v>
      </c>
      <c r="P49" s="16">
        <f t="shared" si="10"/>
        <v>2.375E-2</v>
      </c>
      <c r="Q49" s="17">
        <v>1000</v>
      </c>
      <c r="R49" s="17">
        <f t="shared" si="5"/>
        <v>10763.9</v>
      </c>
      <c r="S49" s="18">
        <f t="shared" si="9"/>
        <v>645834</v>
      </c>
      <c r="T49" s="18">
        <f t="shared" si="6"/>
        <v>368125.38</v>
      </c>
      <c r="U49" s="18">
        <f t="shared" si="7"/>
        <v>277708.62</v>
      </c>
      <c r="V49" s="14">
        <v>0</v>
      </c>
      <c r="W49" s="18">
        <f t="shared" si="8"/>
        <v>277708.62</v>
      </c>
    </row>
    <row r="50" spans="2:23" x14ac:dyDescent="0.25">
      <c r="B50" s="83" t="s">
        <v>218</v>
      </c>
      <c r="C50" s="83"/>
      <c r="D50" s="83"/>
      <c r="E50" s="83"/>
      <c r="F50" s="83"/>
      <c r="G50" s="84">
        <f>SUM(G5:G49)</f>
        <v>45764</v>
      </c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68">
        <f>SUM(S5:S49)</f>
        <v>604682533.90999997</v>
      </c>
      <c r="T50" s="68">
        <f>SUM(T5:T49)</f>
        <v>519885413.02254379</v>
      </c>
      <c r="U50" s="68">
        <f>SUM(U5:U49)</f>
        <v>136629097.69866875</v>
      </c>
      <c r="V50" s="69"/>
      <c r="W50" s="68">
        <f>SUM(W5:W49)</f>
        <v>146661536.87416875</v>
      </c>
    </row>
    <row r="53" spans="2:23" ht="45" x14ac:dyDescent="0.25">
      <c r="B53" s="6">
        <v>1</v>
      </c>
      <c r="C53" s="3" t="s">
        <v>24</v>
      </c>
      <c r="D53" s="4" t="s">
        <v>98</v>
      </c>
      <c r="E53" s="4" t="s">
        <v>205</v>
      </c>
      <c r="F53" s="14" t="s">
        <v>181</v>
      </c>
      <c r="G53" s="54" t="s">
        <v>209</v>
      </c>
      <c r="H53" s="30"/>
      <c r="I53">
        <v>69.3</v>
      </c>
      <c r="J53" s="24"/>
      <c r="K53" s="22"/>
      <c r="L53" s="29"/>
      <c r="M53" s="29"/>
      <c r="N53" s="29"/>
      <c r="O53" s="29"/>
      <c r="P53" s="31"/>
    </row>
    <row r="54" spans="2:23" x14ac:dyDescent="0.25">
      <c r="B54" s="6">
        <v>2</v>
      </c>
      <c r="C54" s="3" t="s">
        <v>24</v>
      </c>
      <c r="D54" s="4" t="s">
        <v>89</v>
      </c>
      <c r="E54" s="4" t="s">
        <v>58</v>
      </c>
      <c r="F54" s="14" t="s">
        <v>181</v>
      </c>
      <c r="G54" s="56" t="s">
        <v>208</v>
      </c>
      <c r="H54" s="30"/>
      <c r="I54" s="22"/>
      <c r="J54" s="24"/>
      <c r="K54" s="22"/>
      <c r="L54" s="29"/>
      <c r="M54" s="29"/>
      <c r="N54" s="29"/>
      <c r="O54" s="29"/>
      <c r="P54" s="31"/>
    </row>
    <row r="55" spans="2:23" x14ac:dyDescent="0.25">
      <c r="B55" s="6">
        <v>3</v>
      </c>
      <c r="C55" s="3" t="s">
        <v>24</v>
      </c>
      <c r="D55" s="4" t="s">
        <v>90</v>
      </c>
      <c r="E55" s="4" t="s">
        <v>58</v>
      </c>
      <c r="F55" s="14" t="s">
        <v>181</v>
      </c>
      <c r="G55" s="56">
        <v>40000</v>
      </c>
      <c r="H55" s="30"/>
      <c r="I55" s="22"/>
      <c r="J55" s="24"/>
      <c r="K55" s="22"/>
      <c r="L55" s="29"/>
      <c r="M55" s="29"/>
      <c r="N55" s="29"/>
      <c r="O55" s="29"/>
      <c r="P55" s="31"/>
    </row>
    <row r="56" spans="2:23" x14ac:dyDescent="0.25">
      <c r="B56" s="6">
        <v>4</v>
      </c>
      <c r="C56" s="3" t="s">
        <v>24</v>
      </c>
      <c r="D56" s="4" t="s">
        <v>57</v>
      </c>
      <c r="E56" s="4" t="s">
        <v>58</v>
      </c>
      <c r="F56" s="14" t="s">
        <v>181</v>
      </c>
      <c r="G56" s="5">
        <v>917</v>
      </c>
      <c r="H56" s="30"/>
      <c r="I56" s="22"/>
      <c r="J56" s="24"/>
      <c r="K56" s="22"/>
      <c r="L56" s="29"/>
      <c r="M56" s="29"/>
      <c r="N56" s="29"/>
      <c r="O56" s="29"/>
      <c r="P56" s="31"/>
      <c r="Q56" s="32"/>
      <c r="R56" s="32"/>
      <c r="S56" s="33"/>
      <c r="T56" s="33"/>
      <c r="U56" s="33"/>
      <c r="V56" s="29"/>
      <c r="W56" s="33"/>
    </row>
  </sheetData>
  <autoFilter ref="B4:W50"/>
  <mergeCells count="1">
    <mergeCell ref="B3:Z3"/>
  </mergeCells>
  <dataValidations count="2">
    <dataValidation type="list" allowBlank="1" showErrorMessage="1" sqref="E25:E27 E12 E20:E23 E5:E8">
      <formula1>0</formula1>
      <formula2>0</formula2>
    </dataValidation>
    <dataValidation type="list" allowBlank="1" showInputMessage="1" showErrorMessage="1" promptTitle="Condition of Structure" prompt="Condition of Structure" sqref="F53:F56 F5:F49">
      <formula1>"Poor, Average, Ordinary, Good, Very Good, Excellent"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5"/>
  <sheetViews>
    <sheetView topLeftCell="F1" workbookViewId="0">
      <selection activeCell="W21" sqref="W21"/>
    </sheetView>
  </sheetViews>
  <sheetFormatPr defaultRowHeight="15" x14ac:dyDescent="0.25"/>
  <cols>
    <col min="2" max="2" width="6.7109375" customWidth="1"/>
    <col min="3" max="3" width="12.42578125" customWidth="1"/>
    <col min="4" max="4" width="18" customWidth="1"/>
    <col min="5" max="5" width="38.42578125" customWidth="1"/>
    <col min="6" max="6" width="13.140625" customWidth="1"/>
    <col min="7" max="7" width="11.7109375" style="8" customWidth="1"/>
    <col min="8" max="8" width="10.5703125" customWidth="1"/>
    <col min="9" max="9" width="16.28515625" customWidth="1"/>
    <col min="10" max="10" width="16.28515625" hidden="1" customWidth="1"/>
    <col min="11" max="11" width="12.7109375" customWidth="1"/>
    <col min="12" max="12" width="11.42578125" customWidth="1"/>
    <col min="13" max="13" width="10.7109375" customWidth="1"/>
    <col min="14" max="14" width="12" customWidth="1"/>
    <col min="15" max="15" width="9.140625" customWidth="1"/>
    <col min="16" max="16" width="13.140625" customWidth="1"/>
    <col min="17" max="17" width="11.85546875" customWidth="1"/>
    <col min="18" max="18" width="12.5703125" customWidth="1"/>
    <col min="19" max="19" width="13.85546875" customWidth="1"/>
    <col min="20" max="20" width="17.7109375" bestFit="1" customWidth="1"/>
    <col min="21" max="21" width="14.42578125" customWidth="1"/>
    <col min="22" max="22" width="14.28515625" customWidth="1"/>
    <col min="23" max="23" width="14.140625" customWidth="1"/>
    <col min="24" max="26" width="0" hidden="1" customWidth="1"/>
  </cols>
  <sheetData>
    <row r="3" spans="2:26" x14ac:dyDescent="0.25">
      <c r="B3" s="90" t="s">
        <v>238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2:26" ht="75" x14ac:dyDescent="0.25">
      <c r="B4" s="10" t="s">
        <v>157</v>
      </c>
      <c r="C4" s="10" t="s">
        <v>158</v>
      </c>
      <c r="D4" s="11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183</v>
      </c>
      <c r="J4" s="10" t="s">
        <v>164</v>
      </c>
      <c r="K4" s="10" t="s">
        <v>165</v>
      </c>
      <c r="L4" s="10" t="s">
        <v>166</v>
      </c>
      <c r="M4" s="10" t="s">
        <v>167</v>
      </c>
      <c r="N4" s="10" t="s">
        <v>168</v>
      </c>
      <c r="O4" s="10" t="s">
        <v>169</v>
      </c>
      <c r="P4" s="10" t="s">
        <v>170</v>
      </c>
      <c r="Q4" s="10" t="s">
        <v>171</v>
      </c>
      <c r="R4" s="10" t="s">
        <v>172</v>
      </c>
      <c r="S4" s="10" t="s">
        <v>173</v>
      </c>
      <c r="T4" s="10" t="s">
        <v>174</v>
      </c>
      <c r="U4" s="10" t="s">
        <v>175</v>
      </c>
      <c r="V4" s="10" t="s">
        <v>176</v>
      </c>
      <c r="W4" s="10" t="s">
        <v>177</v>
      </c>
      <c r="X4" s="12" t="s">
        <v>178</v>
      </c>
      <c r="Y4" s="13" t="s">
        <v>179</v>
      </c>
      <c r="Z4" s="13" t="s">
        <v>180</v>
      </c>
    </row>
    <row r="5" spans="2:26" x14ac:dyDescent="0.25">
      <c r="B5" s="6">
        <v>1</v>
      </c>
      <c r="C5" s="3" t="s">
        <v>24</v>
      </c>
      <c r="D5" s="4" t="s">
        <v>99</v>
      </c>
      <c r="E5" s="4" t="s">
        <v>50</v>
      </c>
      <c r="F5" s="14" t="s">
        <v>181</v>
      </c>
      <c r="G5" s="26">
        <v>279</v>
      </c>
      <c r="H5" s="70">
        <f>G5*10.7639</f>
        <v>3003.1280999999999</v>
      </c>
      <c r="I5" s="3">
        <v>4</v>
      </c>
      <c r="J5" s="26">
        <f>I5*3.28084</f>
        <v>13.12336</v>
      </c>
      <c r="K5" s="3">
        <v>1987</v>
      </c>
      <c r="L5" s="14">
        <v>2024</v>
      </c>
      <c r="M5" s="14">
        <f t="shared" ref="M5:M37" si="0">L5-K5</f>
        <v>37</v>
      </c>
      <c r="N5" s="14">
        <v>60</v>
      </c>
      <c r="O5" s="14">
        <v>0.05</v>
      </c>
      <c r="P5" s="16">
        <f>(1-O5)/N5</f>
        <v>1.5833333333333331E-2</v>
      </c>
      <c r="Q5" s="17">
        <v>1300</v>
      </c>
      <c r="R5" s="17">
        <f>Q5*10.7639</f>
        <v>13993.07</v>
      </c>
      <c r="S5" s="18">
        <f>R5*G5</f>
        <v>3904066.53</v>
      </c>
      <c r="T5" s="18">
        <f>S5*P5*M5</f>
        <v>2287132.3088249997</v>
      </c>
      <c r="U5" s="18">
        <f>MAX(S5-T5,0)</f>
        <v>1616934.2211750001</v>
      </c>
      <c r="V5" s="14">
        <v>0</v>
      </c>
      <c r="W5" s="18">
        <f>IF(U5&gt;O5*S5,U5*(1+V5),S5*O5)</f>
        <v>1616934.2211750001</v>
      </c>
      <c r="X5" s="19">
        <v>800</v>
      </c>
      <c r="Y5" s="20">
        <v>0.99</v>
      </c>
      <c r="Z5" s="21">
        <f>(X5*Y5*G5)</f>
        <v>220968</v>
      </c>
    </row>
    <row r="6" spans="2:26" x14ac:dyDescent="0.25">
      <c r="B6" s="6">
        <v>2</v>
      </c>
      <c r="C6" s="3" t="s">
        <v>24</v>
      </c>
      <c r="D6" s="4" t="s">
        <v>100</v>
      </c>
      <c r="E6" s="4" t="s">
        <v>50</v>
      </c>
      <c r="F6" s="14" t="s">
        <v>181</v>
      </c>
      <c r="G6" s="26">
        <v>335</v>
      </c>
      <c r="H6" s="70">
        <f t="shared" ref="H6:H37" si="1">G6*10.7639</f>
        <v>3605.9065000000001</v>
      </c>
      <c r="I6" s="3">
        <v>4</v>
      </c>
      <c r="J6" s="26">
        <f t="shared" ref="J6:J37" si="2">I6*3.28084</f>
        <v>13.12336</v>
      </c>
      <c r="K6" s="3">
        <v>1975</v>
      </c>
      <c r="L6" s="14">
        <v>2024</v>
      </c>
      <c r="M6" s="14">
        <f t="shared" si="0"/>
        <v>49</v>
      </c>
      <c r="N6" s="14">
        <v>60</v>
      </c>
      <c r="O6" s="14">
        <v>0.05</v>
      </c>
      <c r="P6" s="16">
        <f>(1-O6)/N6</f>
        <v>1.5833333333333331E-2</v>
      </c>
      <c r="Q6" s="17">
        <v>1300</v>
      </c>
      <c r="R6" s="17">
        <f>Q6*10.7639</f>
        <v>13993.07</v>
      </c>
      <c r="S6" s="18">
        <f>R6*G6</f>
        <v>4687678.45</v>
      </c>
      <c r="T6" s="18">
        <f>S6*P6*M6</f>
        <v>3636857.1974583333</v>
      </c>
      <c r="U6" s="18">
        <f>MAX(S6-T6,0)</f>
        <v>1050821.2525416669</v>
      </c>
      <c r="V6" s="14">
        <v>0</v>
      </c>
      <c r="W6" s="18">
        <f>IF(U6&gt;O6*S6,U6*(1+V6),S6*O6)</f>
        <v>1050821.2525416669</v>
      </c>
      <c r="X6" s="19">
        <v>800</v>
      </c>
      <c r="Y6" s="20">
        <v>0.99</v>
      </c>
      <c r="Z6" s="21">
        <f>X6*H6</f>
        <v>2884725.2</v>
      </c>
    </row>
    <row r="7" spans="2:26" ht="30" x14ac:dyDescent="0.25">
      <c r="B7" s="6">
        <v>3</v>
      </c>
      <c r="C7" s="3" t="s">
        <v>24</v>
      </c>
      <c r="D7" s="4" t="s">
        <v>101</v>
      </c>
      <c r="E7" s="4" t="s">
        <v>50</v>
      </c>
      <c r="F7" s="14" t="s">
        <v>181</v>
      </c>
      <c r="G7" s="26">
        <v>468</v>
      </c>
      <c r="H7" s="70">
        <f t="shared" si="1"/>
        <v>5037.5051999999996</v>
      </c>
      <c r="I7" s="3">
        <v>4</v>
      </c>
      <c r="J7" s="26">
        <f t="shared" si="2"/>
        <v>13.12336</v>
      </c>
      <c r="K7" s="3">
        <v>1975</v>
      </c>
      <c r="L7" s="14">
        <v>2024</v>
      </c>
      <c r="M7" s="14">
        <f t="shared" si="0"/>
        <v>49</v>
      </c>
      <c r="N7" s="14">
        <v>60</v>
      </c>
      <c r="O7" s="14">
        <v>0.05</v>
      </c>
      <c r="P7" s="16">
        <f>(1-O7)/N7</f>
        <v>1.5833333333333331E-2</v>
      </c>
      <c r="Q7" s="17">
        <v>1300</v>
      </c>
      <c r="R7" s="17">
        <f>Q7*10.7639</f>
        <v>13993.07</v>
      </c>
      <c r="S7" s="18">
        <f>R7*G7</f>
        <v>6548756.7599999998</v>
      </c>
      <c r="T7" s="18">
        <f>S7*P7*M7</f>
        <v>5080743.7862999989</v>
      </c>
      <c r="U7" s="18">
        <f>MAX(S7-T7,0)</f>
        <v>1468012.9737000009</v>
      </c>
      <c r="V7" s="14">
        <v>0</v>
      </c>
      <c r="W7" s="18">
        <f>IF(U7&gt;O7*S7,U7*(1+V7),S7*O7)</f>
        <v>1468012.9737000009</v>
      </c>
      <c r="X7" s="19">
        <v>800</v>
      </c>
      <c r="Y7" s="20"/>
      <c r="Z7" s="21">
        <f t="shared" ref="Z7:Z9" si="3">X7*H7</f>
        <v>4030004.1599999997</v>
      </c>
    </row>
    <row r="8" spans="2:26" x14ac:dyDescent="0.25">
      <c r="B8" s="6">
        <v>4</v>
      </c>
      <c r="C8" s="3" t="s">
        <v>24</v>
      </c>
      <c r="D8" s="4" t="s">
        <v>102</v>
      </c>
      <c r="E8" s="4" t="s">
        <v>50</v>
      </c>
      <c r="F8" s="14" t="s">
        <v>181</v>
      </c>
      <c r="G8" s="26">
        <v>491</v>
      </c>
      <c r="H8" s="70">
        <f t="shared" si="1"/>
        <v>5285.0748999999996</v>
      </c>
      <c r="I8" s="3">
        <v>3.5</v>
      </c>
      <c r="J8" s="26">
        <f t="shared" si="2"/>
        <v>11.482939999999999</v>
      </c>
      <c r="K8" s="3">
        <v>1971</v>
      </c>
      <c r="L8" s="14">
        <v>2024</v>
      </c>
      <c r="M8" s="14">
        <f t="shared" si="0"/>
        <v>53</v>
      </c>
      <c r="N8" s="14">
        <v>60</v>
      </c>
      <c r="O8" s="14">
        <v>0.05</v>
      </c>
      <c r="P8" s="16">
        <f>(1-O8)/N8</f>
        <v>1.5833333333333331E-2</v>
      </c>
      <c r="Q8" s="17">
        <v>1300</v>
      </c>
      <c r="R8" s="17">
        <f>Q8*10.7639</f>
        <v>13993.07</v>
      </c>
      <c r="S8" s="18">
        <f>R8*G8</f>
        <v>6870597.3700000001</v>
      </c>
      <c r="T8" s="18">
        <f>S8*P8*M8</f>
        <v>5765576.2929916661</v>
      </c>
      <c r="U8" s="18">
        <f>MAX(S8-T8,0)</f>
        <v>1105021.077008334</v>
      </c>
      <c r="V8" s="14">
        <v>0</v>
      </c>
      <c r="W8" s="18">
        <f>IF(U8&gt;O8*S8,U8*(1+V8),S8*O8)</f>
        <v>1105021.077008334</v>
      </c>
      <c r="X8" s="19">
        <v>800</v>
      </c>
      <c r="Y8" s="20"/>
      <c r="Z8" s="21">
        <f t="shared" si="3"/>
        <v>4228059.92</v>
      </c>
    </row>
    <row r="9" spans="2:26" x14ac:dyDescent="0.25">
      <c r="B9" s="6">
        <v>5</v>
      </c>
      <c r="C9" s="3" t="s">
        <v>24</v>
      </c>
      <c r="D9" s="4" t="s">
        <v>102</v>
      </c>
      <c r="E9" s="4" t="s">
        <v>50</v>
      </c>
      <c r="F9" s="14" t="s">
        <v>181</v>
      </c>
      <c r="G9" s="26">
        <v>376</v>
      </c>
      <c r="H9" s="70">
        <f t="shared" si="1"/>
        <v>4047.2264</v>
      </c>
      <c r="I9" s="3">
        <v>3.5</v>
      </c>
      <c r="J9" s="26">
        <f t="shared" si="2"/>
        <v>11.482939999999999</v>
      </c>
      <c r="K9" s="3">
        <v>1984</v>
      </c>
      <c r="L9" s="14">
        <v>2024</v>
      </c>
      <c r="M9" s="14">
        <f t="shared" si="0"/>
        <v>40</v>
      </c>
      <c r="N9" s="14">
        <v>60</v>
      </c>
      <c r="O9" s="14">
        <v>0.05</v>
      </c>
      <c r="P9" s="16">
        <f t="shared" ref="P9:P11" si="4">(1-O9)/N9</f>
        <v>1.5833333333333331E-2</v>
      </c>
      <c r="Q9" s="17">
        <v>1300</v>
      </c>
      <c r="R9" s="17">
        <f t="shared" ref="R9:R37" si="5">Q9*10.7639</f>
        <v>13993.07</v>
      </c>
      <c r="S9" s="18">
        <f>R9*G9</f>
        <v>5261394.32</v>
      </c>
      <c r="T9" s="18">
        <f t="shared" ref="T9:T37" si="6">S9*P9*M9</f>
        <v>3332216.4026666665</v>
      </c>
      <c r="U9" s="18">
        <f t="shared" ref="U9:U37" si="7">MAX(S9-T9,0)</f>
        <v>1929177.9173333338</v>
      </c>
      <c r="V9" s="14">
        <v>0</v>
      </c>
      <c r="W9" s="18">
        <f t="shared" ref="W9:W37" si="8">IF(U9&gt;O9*S9,U9*(1+V9),S9*O9)</f>
        <v>1929177.9173333338</v>
      </c>
      <c r="X9" s="19">
        <v>800</v>
      </c>
      <c r="Y9" s="20"/>
      <c r="Z9" s="21">
        <f t="shared" si="3"/>
        <v>3237781.12</v>
      </c>
    </row>
    <row r="10" spans="2:26" ht="45" x14ac:dyDescent="0.25">
      <c r="B10" s="6">
        <v>6</v>
      </c>
      <c r="C10" s="3" t="s">
        <v>10</v>
      </c>
      <c r="D10" s="4" t="s">
        <v>103</v>
      </c>
      <c r="E10" s="4" t="s">
        <v>50</v>
      </c>
      <c r="F10" s="14" t="s">
        <v>181</v>
      </c>
      <c r="G10" s="26">
        <v>1344</v>
      </c>
      <c r="H10" s="70">
        <f t="shared" si="1"/>
        <v>14466.6816</v>
      </c>
      <c r="I10" s="3">
        <v>7</v>
      </c>
      <c r="J10" s="26">
        <f t="shared" si="2"/>
        <v>22.965879999999999</v>
      </c>
      <c r="K10" s="3">
        <v>1993</v>
      </c>
      <c r="L10" s="14">
        <v>2024</v>
      </c>
      <c r="M10" s="14">
        <f>L10-K10</f>
        <v>31</v>
      </c>
      <c r="N10" s="14">
        <v>60</v>
      </c>
      <c r="O10" s="14">
        <v>0.05</v>
      </c>
      <c r="P10" s="16">
        <f t="shared" si="4"/>
        <v>1.5833333333333331E-2</v>
      </c>
      <c r="Q10" s="17">
        <v>1400</v>
      </c>
      <c r="R10" s="17">
        <f t="shared" si="5"/>
        <v>15069.46</v>
      </c>
      <c r="S10" s="18">
        <f t="shared" ref="S10:S37" si="9">R10*G10</f>
        <v>20253354.239999998</v>
      </c>
      <c r="T10" s="18">
        <f t="shared" si="6"/>
        <v>9941021.3727999981</v>
      </c>
      <c r="U10" s="18">
        <f t="shared" si="7"/>
        <v>10312332.8672</v>
      </c>
      <c r="V10" s="14">
        <v>0</v>
      </c>
      <c r="W10" s="18">
        <f t="shared" si="8"/>
        <v>10312332.8672</v>
      </c>
    </row>
    <row r="11" spans="2:26" ht="30" x14ac:dyDescent="0.25">
      <c r="B11" s="6">
        <v>7</v>
      </c>
      <c r="C11" s="3" t="s">
        <v>10</v>
      </c>
      <c r="D11" s="4" t="s">
        <v>104</v>
      </c>
      <c r="E11" s="4" t="s">
        <v>50</v>
      </c>
      <c r="F11" s="14" t="s">
        <v>181</v>
      </c>
      <c r="G11" s="26">
        <v>456</v>
      </c>
      <c r="H11" s="70">
        <f t="shared" si="1"/>
        <v>4908.3383999999996</v>
      </c>
      <c r="I11" s="3">
        <v>7</v>
      </c>
      <c r="J11" s="26">
        <f t="shared" si="2"/>
        <v>22.965879999999999</v>
      </c>
      <c r="K11" s="3">
        <v>2003</v>
      </c>
      <c r="L11" s="14">
        <v>2024</v>
      </c>
      <c r="M11" s="14">
        <f t="shared" si="0"/>
        <v>21</v>
      </c>
      <c r="N11" s="14">
        <v>60</v>
      </c>
      <c r="O11" s="14">
        <v>0.05</v>
      </c>
      <c r="P11" s="16">
        <f t="shared" si="4"/>
        <v>1.5833333333333331E-2</v>
      </c>
      <c r="Q11" s="17">
        <v>1400</v>
      </c>
      <c r="R11" s="17">
        <f t="shared" si="5"/>
        <v>15069.46</v>
      </c>
      <c r="S11" s="18">
        <f t="shared" si="9"/>
        <v>6871673.7599999998</v>
      </c>
      <c r="T11" s="18">
        <f t="shared" si="6"/>
        <v>2284831.5251999996</v>
      </c>
      <c r="U11" s="18">
        <f t="shared" si="7"/>
        <v>4586842.2347999997</v>
      </c>
      <c r="V11" s="14">
        <v>0</v>
      </c>
      <c r="W11" s="18">
        <f t="shared" si="8"/>
        <v>4586842.2347999997</v>
      </c>
    </row>
    <row r="12" spans="2:26" x14ac:dyDescent="0.25">
      <c r="B12" s="6">
        <v>8</v>
      </c>
      <c r="C12" s="3" t="s">
        <v>24</v>
      </c>
      <c r="D12" s="4" t="s">
        <v>105</v>
      </c>
      <c r="E12" s="4" t="s">
        <v>50</v>
      </c>
      <c r="F12" s="14" t="s">
        <v>181</v>
      </c>
      <c r="G12" s="26">
        <v>699</v>
      </c>
      <c r="H12" s="70">
        <f t="shared" si="1"/>
        <v>7523.9660999999996</v>
      </c>
      <c r="I12" s="3">
        <v>3.25</v>
      </c>
      <c r="J12" s="26">
        <f t="shared" si="2"/>
        <v>10.66273</v>
      </c>
      <c r="K12" s="3">
        <v>1973</v>
      </c>
      <c r="L12" s="14">
        <v>2024</v>
      </c>
      <c r="M12" s="14">
        <f t="shared" si="0"/>
        <v>51</v>
      </c>
      <c r="N12" s="14">
        <v>60</v>
      </c>
      <c r="O12" s="14">
        <v>0.05</v>
      </c>
      <c r="P12" s="16">
        <f>(1-O12)/N12</f>
        <v>1.5833333333333331E-2</v>
      </c>
      <c r="Q12" s="17">
        <v>1200</v>
      </c>
      <c r="R12" s="17">
        <f t="shared" si="5"/>
        <v>12916.68</v>
      </c>
      <c r="S12" s="18">
        <f t="shared" si="9"/>
        <v>9028759.3200000003</v>
      </c>
      <c r="T12" s="18">
        <f t="shared" si="6"/>
        <v>7290723.1508999998</v>
      </c>
      <c r="U12" s="18">
        <f t="shared" si="7"/>
        <v>1738036.1691000005</v>
      </c>
      <c r="V12" s="14">
        <v>0</v>
      </c>
      <c r="W12" s="18">
        <f t="shared" si="8"/>
        <v>1738036.1691000005</v>
      </c>
    </row>
    <row r="13" spans="2:26" x14ac:dyDescent="0.25">
      <c r="B13" s="6">
        <v>9</v>
      </c>
      <c r="C13" s="3" t="s">
        <v>24</v>
      </c>
      <c r="D13" s="4" t="s">
        <v>105</v>
      </c>
      <c r="E13" s="4" t="s">
        <v>50</v>
      </c>
      <c r="F13" s="14" t="s">
        <v>181</v>
      </c>
      <c r="G13" s="26">
        <v>828</v>
      </c>
      <c r="H13" s="70">
        <f t="shared" si="1"/>
        <v>8912.5092000000004</v>
      </c>
      <c r="I13" s="3">
        <v>3.25</v>
      </c>
      <c r="J13" s="26">
        <f t="shared" si="2"/>
        <v>10.66273</v>
      </c>
      <c r="K13" s="3">
        <v>1974</v>
      </c>
      <c r="L13" s="14">
        <v>2024</v>
      </c>
      <c r="M13" s="14">
        <f t="shared" si="0"/>
        <v>50</v>
      </c>
      <c r="N13" s="14">
        <v>60</v>
      </c>
      <c r="O13" s="14">
        <v>0.05</v>
      </c>
      <c r="P13" s="16">
        <f t="shared" ref="P13:P37" si="10">(1-O13)/N13</f>
        <v>1.5833333333333331E-2</v>
      </c>
      <c r="Q13" s="17">
        <v>1200</v>
      </c>
      <c r="R13" s="17">
        <f t="shared" si="5"/>
        <v>12916.68</v>
      </c>
      <c r="S13" s="18">
        <f t="shared" si="9"/>
        <v>10695011.040000001</v>
      </c>
      <c r="T13" s="18">
        <f t="shared" si="6"/>
        <v>8466883.7399999984</v>
      </c>
      <c r="U13" s="18">
        <f t="shared" si="7"/>
        <v>2228127.3000000026</v>
      </c>
      <c r="V13" s="14">
        <v>0</v>
      </c>
      <c r="W13" s="18">
        <f t="shared" si="8"/>
        <v>2228127.3000000026</v>
      </c>
    </row>
    <row r="14" spans="2:26" x14ac:dyDescent="0.25">
      <c r="B14" s="6">
        <v>10</v>
      </c>
      <c r="C14" s="3" t="s">
        <v>24</v>
      </c>
      <c r="D14" s="4" t="s">
        <v>106</v>
      </c>
      <c r="E14" s="4" t="s">
        <v>50</v>
      </c>
      <c r="F14" s="14" t="s">
        <v>181</v>
      </c>
      <c r="G14" s="26">
        <v>357</v>
      </c>
      <c r="H14" s="70">
        <f t="shared" si="1"/>
        <v>3842.7122999999997</v>
      </c>
      <c r="I14" s="3">
        <v>3.25</v>
      </c>
      <c r="J14" s="26">
        <f t="shared" si="2"/>
        <v>10.66273</v>
      </c>
      <c r="K14" s="3">
        <v>1970</v>
      </c>
      <c r="L14" s="14">
        <v>2024</v>
      </c>
      <c r="M14" s="14">
        <f t="shared" si="0"/>
        <v>54</v>
      </c>
      <c r="N14" s="14">
        <v>60</v>
      </c>
      <c r="O14" s="14">
        <v>0.05</v>
      </c>
      <c r="P14" s="16">
        <f t="shared" si="10"/>
        <v>1.5833333333333331E-2</v>
      </c>
      <c r="Q14" s="17">
        <v>1200</v>
      </c>
      <c r="R14" s="17">
        <f t="shared" si="5"/>
        <v>12916.68</v>
      </c>
      <c r="S14" s="18">
        <f t="shared" si="9"/>
        <v>4611254.76</v>
      </c>
      <c r="T14" s="18">
        <f t="shared" si="6"/>
        <v>3942622.8197999992</v>
      </c>
      <c r="U14" s="18">
        <f t="shared" si="7"/>
        <v>668631.94020000054</v>
      </c>
      <c r="V14" s="14">
        <v>0</v>
      </c>
      <c r="W14" s="18">
        <f t="shared" si="8"/>
        <v>668631.94020000054</v>
      </c>
    </row>
    <row r="15" spans="2:26" x14ac:dyDescent="0.25">
      <c r="B15" s="6">
        <v>11</v>
      </c>
      <c r="C15" s="3" t="s">
        <v>24</v>
      </c>
      <c r="D15" s="4" t="s">
        <v>107</v>
      </c>
      <c r="E15" s="4" t="s">
        <v>50</v>
      </c>
      <c r="F15" s="14" t="s">
        <v>181</v>
      </c>
      <c r="G15" s="26">
        <v>279</v>
      </c>
      <c r="H15" s="70">
        <f t="shared" si="1"/>
        <v>3003.1280999999999</v>
      </c>
      <c r="I15" s="3">
        <v>3.25</v>
      </c>
      <c r="J15" s="26">
        <f t="shared" si="2"/>
        <v>10.66273</v>
      </c>
      <c r="K15" s="3">
        <v>1986</v>
      </c>
      <c r="L15" s="14">
        <v>2024</v>
      </c>
      <c r="M15" s="14">
        <f t="shared" si="0"/>
        <v>38</v>
      </c>
      <c r="N15" s="14">
        <v>60</v>
      </c>
      <c r="O15" s="14">
        <v>0.05</v>
      </c>
      <c r="P15" s="16">
        <f t="shared" si="10"/>
        <v>1.5833333333333331E-2</v>
      </c>
      <c r="Q15" s="17">
        <v>1200</v>
      </c>
      <c r="R15" s="17">
        <f t="shared" si="5"/>
        <v>12916.68</v>
      </c>
      <c r="S15" s="18">
        <f t="shared" si="9"/>
        <v>3603753.72</v>
      </c>
      <c r="T15" s="18">
        <f t="shared" si="6"/>
        <v>2168258.4882</v>
      </c>
      <c r="U15" s="18">
        <f t="shared" si="7"/>
        <v>1435495.2318000002</v>
      </c>
      <c r="V15" s="14">
        <v>0</v>
      </c>
      <c r="W15" s="18">
        <f t="shared" si="8"/>
        <v>1435495.2318000002</v>
      </c>
    </row>
    <row r="16" spans="2:26" ht="30" x14ac:dyDescent="0.25">
      <c r="B16" s="6">
        <v>12</v>
      </c>
      <c r="C16" s="3" t="s">
        <v>54</v>
      </c>
      <c r="D16" s="4" t="s">
        <v>108</v>
      </c>
      <c r="E16" s="4" t="s">
        <v>50</v>
      </c>
      <c r="F16" s="14" t="s">
        <v>181</v>
      </c>
      <c r="G16" s="26">
        <v>2452</v>
      </c>
      <c r="H16" s="70">
        <f t="shared" si="1"/>
        <v>26393.0828</v>
      </c>
      <c r="I16" s="3">
        <f>3.25*4</f>
        <v>13</v>
      </c>
      <c r="J16" s="26">
        <f t="shared" si="2"/>
        <v>42.650919999999999</v>
      </c>
      <c r="K16" s="3">
        <v>2004</v>
      </c>
      <c r="L16" s="14">
        <v>2024</v>
      </c>
      <c r="M16" s="14">
        <f t="shared" si="0"/>
        <v>20</v>
      </c>
      <c r="N16" s="14">
        <v>60</v>
      </c>
      <c r="O16" s="14">
        <v>0.05</v>
      </c>
      <c r="P16" s="16">
        <f t="shared" si="10"/>
        <v>1.5833333333333331E-2</v>
      </c>
      <c r="Q16" s="17">
        <v>1300</v>
      </c>
      <c r="R16" s="17">
        <f t="shared" si="5"/>
        <v>13993.07</v>
      </c>
      <c r="S16" s="18">
        <f t="shared" si="9"/>
        <v>34311007.640000001</v>
      </c>
      <c r="T16" s="18">
        <f t="shared" si="6"/>
        <v>10865152.419333331</v>
      </c>
      <c r="U16" s="18">
        <f t="shared" si="7"/>
        <v>23445855.220666669</v>
      </c>
      <c r="V16" s="14">
        <v>0</v>
      </c>
      <c r="W16" s="18">
        <f t="shared" si="8"/>
        <v>23445855.220666669</v>
      </c>
    </row>
    <row r="17" spans="2:23" ht="30" x14ac:dyDescent="0.25">
      <c r="B17" s="6">
        <v>13</v>
      </c>
      <c r="C17" s="3" t="s">
        <v>36</v>
      </c>
      <c r="D17" s="4" t="s">
        <v>109</v>
      </c>
      <c r="E17" s="4" t="s">
        <v>50</v>
      </c>
      <c r="F17" s="14" t="s">
        <v>181</v>
      </c>
      <c r="G17" s="26">
        <v>789</v>
      </c>
      <c r="H17" s="70">
        <f t="shared" si="1"/>
        <v>8492.7170999999998</v>
      </c>
      <c r="I17" s="3">
        <f>3.25*3</f>
        <v>9.75</v>
      </c>
      <c r="J17" s="26">
        <f t="shared" si="2"/>
        <v>31.988189999999999</v>
      </c>
      <c r="K17" s="3">
        <v>2006</v>
      </c>
      <c r="L17" s="14">
        <v>2024</v>
      </c>
      <c r="M17" s="14">
        <f t="shared" si="0"/>
        <v>18</v>
      </c>
      <c r="N17" s="14">
        <v>60</v>
      </c>
      <c r="O17" s="14">
        <v>0.05</v>
      </c>
      <c r="P17" s="16">
        <f t="shared" si="10"/>
        <v>1.5833333333333331E-2</v>
      </c>
      <c r="Q17" s="17">
        <v>1300</v>
      </c>
      <c r="R17" s="17">
        <f t="shared" si="5"/>
        <v>13993.07</v>
      </c>
      <c r="S17" s="18">
        <f t="shared" si="9"/>
        <v>11040532.23</v>
      </c>
      <c r="T17" s="18">
        <f t="shared" si="6"/>
        <v>3146551.6855499996</v>
      </c>
      <c r="U17" s="18">
        <f t="shared" si="7"/>
        <v>7893980.5444500009</v>
      </c>
      <c r="V17" s="14">
        <v>0</v>
      </c>
      <c r="W17" s="18">
        <f t="shared" si="8"/>
        <v>7893980.5444500009</v>
      </c>
    </row>
    <row r="18" spans="2:23" x14ac:dyDescent="0.25">
      <c r="B18" s="6">
        <v>14</v>
      </c>
      <c r="C18" s="3" t="s">
        <v>24</v>
      </c>
      <c r="D18" s="4" t="s">
        <v>110</v>
      </c>
      <c r="E18" s="4" t="s">
        <v>50</v>
      </c>
      <c r="F18" s="14" t="s">
        <v>181</v>
      </c>
      <c r="G18" s="26">
        <v>440</v>
      </c>
      <c r="H18" s="70">
        <f t="shared" si="1"/>
        <v>4736.116</v>
      </c>
      <c r="I18" s="3">
        <v>3.25</v>
      </c>
      <c r="J18" s="26">
        <f t="shared" si="2"/>
        <v>10.66273</v>
      </c>
      <c r="K18" s="3">
        <v>1970</v>
      </c>
      <c r="L18" s="14">
        <v>2024</v>
      </c>
      <c r="M18" s="14">
        <f t="shared" si="0"/>
        <v>54</v>
      </c>
      <c r="N18" s="14">
        <v>60</v>
      </c>
      <c r="O18" s="14">
        <v>0.05</v>
      </c>
      <c r="P18" s="16">
        <f t="shared" si="10"/>
        <v>1.5833333333333331E-2</v>
      </c>
      <c r="Q18" s="17">
        <v>1200</v>
      </c>
      <c r="R18" s="17">
        <f t="shared" si="5"/>
        <v>12916.68</v>
      </c>
      <c r="S18" s="18">
        <f t="shared" si="9"/>
        <v>5683339.2000000002</v>
      </c>
      <c r="T18" s="18">
        <f t="shared" si="6"/>
        <v>4859255.0159999998</v>
      </c>
      <c r="U18" s="18">
        <f t="shared" si="7"/>
        <v>824084.18400000036</v>
      </c>
      <c r="V18" s="14">
        <v>0</v>
      </c>
      <c r="W18" s="18">
        <f t="shared" si="8"/>
        <v>824084.18400000036</v>
      </c>
    </row>
    <row r="19" spans="2:23" x14ac:dyDescent="0.25">
      <c r="B19" s="6">
        <v>15</v>
      </c>
      <c r="C19" s="3" t="s">
        <v>24</v>
      </c>
      <c r="D19" s="4" t="s">
        <v>110</v>
      </c>
      <c r="E19" s="4" t="s">
        <v>50</v>
      </c>
      <c r="F19" s="14" t="s">
        <v>181</v>
      </c>
      <c r="G19" s="26">
        <v>792</v>
      </c>
      <c r="H19" s="70">
        <f t="shared" si="1"/>
        <v>8525.0087999999996</v>
      </c>
      <c r="I19" s="3">
        <v>3.25</v>
      </c>
      <c r="J19" s="26">
        <f t="shared" si="2"/>
        <v>10.66273</v>
      </c>
      <c r="K19" s="3">
        <v>1970</v>
      </c>
      <c r="L19" s="14">
        <v>2024</v>
      </c>
      <c r="M19" s="14">
        <f t="shared" si="0"/>
        <v>54</v>
      </c>
      <c r="N19" s="14">
        <v>60</v>
      </c>
      <c r="O19" s="14">
        <v>0.05</v>
      </c>
      <c r="P19" s="16">
        <f t="shared" si="10"/>
        <v>1.5833333333333331E-2</v>
      </c>
      <c r="Q19" s="17">
        <v>1200</v>
      </c>
      <c r="R19" s="17">
        <f t="shared" si="5"/>
        <v>12916.68</v>
      </c>
      <c r="S19" s="18">
        <f t="shared" si="9"/>
        <v>10230010.560000001</v>
      </c>
      <c r="T19" s="18">
        <f t="shared" si="6"/>
        <v>8746659.0287999995</v>
      </c>
      <c r="U19" s="18">
        <f t="shared" si="7"/>
        <v>1483351.531200001</v>
      </c>
      <c r="V19" s="14">
        <v>0</v>
      </c>
      <c r="W19" s="18">
        <f t="shared" si="8"/>
        <v>1483351.531200001</v>
      </c>
    </row>
    <row r="20" spans="2:23" x14ac:dyDescent="0.25">
      <c r="B20" s="6">
        <v>16</v>
      </c>
      <c r="C20" s="3" t="s">
        <v>24</v>
      </c>
      <c r="D20" s="4" t="s">
        <v>111</v>
      </c>
      <c r="E20" s="4" t="s">
        <v>50</v>
      </c>
      <c r="F20" s="14" t="s">
        <v>181</v>
      </c>
      <c r="G20" s="26">
        <v>132</v>
      </c>
      <c r="H20" s="70">
        <f t="shared" si="1"/>
        <v>1420.8347999999999</v>
      </c>
      <c r="I20" s="3">
        <v>3.25</v>
      </c>
      <c r="J20" s="26">
        <f t="shared" si="2"/>
        <v>10.66273</v>
      </c>
      <c r="K20" s="3">
        <v>2003</v>
      </c>
      <c r="L20" s="14">
        <v>2024</v>
      </c>
      <c r="M20" s="14">
        <f t="shared" si="0"/>
        <v>21</v>
      </c>
      <c r="N20" s="14">
        <v>60</v>
      </c>
      <c r="O20" s="14">
        <v>0.05</v>
      </c>
      <c r="P20" s="16">
        <f t="shared" si="10"/>
        <v>1.5833333333333331E-2</v>
      </c>
      <c r="Q20" s="17">
        <v>1200</v>
      </c>
      <c r="R20" s="17">
        <f t="shared" si="5"/>
        <v>12916.68</v>
      </c>
      <c r="S20" s="18">
        <f t="shared" si="9"/>
        <v>1705001.76</v>
      </c>
      <c r="T20" s="18">
        <f t="shared" si="6"/>
        <v>566913.08519999986</v>
      </c>
      <c r="U20" s="18">
        <f t="shared" si="7"/>
        <v>1138088.6748000002</v>
      </c>
      <c r="V20" s="14">
        <v>0</v>
      </c>
      <c r="W20" s="18">
        <f t="shared" si="8"/>
        <v>1138088.6748000002</v>
      </c>
    </row>
    <row r="21" spans="2:23" x14ac:dyDescent="0.25">
      <c r="B21" s="6">
        <v>17</v>
      </c>
      <c r="C21" s="3" t="s">
        <v>24</v>
      </c>
      <c r="D21" s="4" t="s">
        <v>112</v>
      </c>
      <c r="E21" s="4" t="s">
        <v>50</v>
      </c>
      <c r="F21" s="14" t="s">
        <v>181</v>
      </c>
      <c r="G21" s="26">
        <v>204</v>
      </c>
      <c r="H21" s="70">
        <f t="shared" si="1"/>
        <v>2195.8355999999999</v>
      </c>
      <c r="I21" s="3">
        <v>3.25</v>
      </c>
      <c r="J21" s="26">
        <f t="shared" si="2"/>
        <v>10.66273</v>
      </c>
      <c r="K21" s="3">
        <v>1986</v>
      </c>
      <c r="L21" s="14">
        <v>2024</v>
      </c>
      <c r="M21" s="14">
        <f t="shared" si="0"/>
        <v>38</v>
      </c>
      <c r="N21" s="14">
        <v>60</v>
      </c>
      <c r="O21" s="14">
        <v>0.05</v>
      </c>
      <c r="P21" s="16">
        <f t="shared" si="10"/>
        <v>1.5833333333333331E-2</v>
      </c>
      <c r="Q21" s="17">
        <v>1200</v>
      </c>
      <c r="R21" s="17">
        <f t="shared" si="5"/>
        <v>12916.68</v>
      </c>
      <c r="S21" s="18">
        <f t="shared" si="9"/>
        <v>2635002.7200000002</v>
      </c>
      <c r="T21" s="18">
        <f t="shared" si="6"/>
        <v>1585393.3032</v>
      </c>
      <c r="U21" s="18">
        <f t="shared" si="7"/>
        <v>1049609.4168000002</v>
      </c>
      <c r="V21" s="14">
        <v>0</v>
      </c>
      <c r="W21" s="18">
        <f t="shared" si="8"/>
        <v>1049609.4168000002</v>
      </c>
    </row>
    <row r="22" spans="2:23" x14ac:dyDescent="0.25">
      <c r="B22" s="6">
        <v>18</v>
      </c>
      <c r="C22" s="3" t="s">
        <v>24</v>
      </c>
      <c r="D22" s="4" t="s">
        <v>113</v>
      </c>
      <c r="E22" s="4" t="s">
        <v>50</v>
      </c>
      <c r="F22" s="14" t="s">
        <v>181</v>
      </c>
      <c r="G22" s="26">
        <v>679</v>
      </c>
      <c r="H22" s="70">
        <f t="shared" si="1"/>
        <v>7308.6880999999994</v>
      </c>
      <c r="I22" s="3">
        <v>3.25</v>
      </c>
      <c r="J22" s="26">
        <f t="shared" si="2"/>
        <v>10.66273</v>
      </c>
      <c r="K22" s="3">
        <v>1970</v>
      </c>
      <c r="L22" s="14">
        <v>2024</v>
      </c>
      <c r="M22" s="14">
        <f t="shared" si="0"/>
        <v>54</v>
      </c>
      <c r="N22" s="14">
        <v>60</v>
      </c>
      <c r="O22" s="14">
        <v>0.05</v>
      </c>
      <c r="P22" s="16">
        <f t="shared" si="10"/>
        <v>1.5833333333333331E-2</v>
      </c>
      <c r="Q22" s="17">
        <v>900</v>
      </c>
      <c r="R22" s="17">
        <f t="shared" si="5"/>
        <v>9687.51</v>
      </c>
      <c r="S22" s="18">
        <f t="shared" si="9"/>
        <v>6577819.29</v>
      </c>
      <c r="T22" s="18">
        <f t="shared" si="6"/>
        <v>5624035.4929499989</v>
      </c>
      <c r="U22" s="18">
        <f t="shared" si="7"/>
        <v>953783.7970500011</v>
      </c>
      <c r="V22" s="14">
        <v>0</v>
      </c>
      <c r="W22" s="18">
        <f t="shared" si="8"/>
        <v>953783.7970500011</v>
      </c>
    </row>
    <row r="23" spans="2:23" ht="30" x14ac:dyDescent="0.25">
      <c r="B23" s="6">
        <v>19</v>
      </c>
      <c r="C23" s="3" t="s">
        <v>10</v>
      </c>
      <c r="D23" s="4" t="s">
        <v>114</v>
      </c>
      <c r="E23" s="4" t="s">
        <v>50</v>
      </c>
      <c r="F23" s="14" t="s">
        <v>181</v>
      </c>
      <c r="G23" s="26">
        <v>260</v>
      </c>
      <c r="H23" s="70">
        <f t="shared" si="1"/>
        <v>2798.614</v>
      </c>
      <c r="I23" s="3">
        <f>3.25*2</f>
        <v>6.5</v>
      </c>
      <c r="J23" s="26">
        <f t="shared" si="2"/>
        <v>21.32546</v>
      </c>
      <c r="K23" s="3">
        <v>1987</v>
      </c>
      <c r="L23" s="14">
        <v>2024</v>
      </c>
      <c r="M23" s="14">
        <f t="shared" si="0"/>
        <v>37</v>
      </c>
      <c r="N23" s="14">
        <v>60</v>
      </c>
      <c r="O23" s="14">
        <v>0.05</v>
      </c>
      <c r="P23" s="16">
        <f t="shared" si="10"/>
        <v>1.5833333333333331E-2</v>
      </c>
      <c r="Q23" s="17">
        <v>1200</v>
      </c>
      <c r="R23" s="17">
        <f t="shared" si="5"/>
        <v>12916.68</v>
      </c>
      <c r="S23" s="18">
        <f t="shared" si="9"/>
        <v>3358336.8000000003</v>
      </c>
      <c r="T23" s="18">
        <f t="shared" si="6"/>
        <v>1967425.642</v>
      </c>
      <c r="U23" s="18">
        <f t="shared" si="7"/>
        <v>1390911.1580000003</v>
      </c>
      <c r="V23" s="14">
        <v>0</v>
      </c>
      <c r="W23" s="18">
        <f t="shared" si="8"/>
        <v>1390911.1580000003</v>
      </c>
    </row>
    <row r="24" spans="2:23" x14ac:dyDescent="0.25">
      <c r="B24" s="6">
        <v>20</v>
      </c>
      <c r="C24" s="3" t="s">
        <v>24</v>
      </c>
      <c r="D24" s="4" t="s">
        <v>115</v>
      </c>
      <c r="E24" s="4" t="s">
        <v>50</v>
      </c>
      <c r="F24" s="14" t="s">
        <v>181</v>
      </c>
      <c r="G24" s="26">
        <v>3513</v>
      </c>
      <c r="H24" s="70">
        <f t="shared" si="1"/>
        <v>37813.580699999999</v>
      </c>
      <c r="I24" s="3">
        <v>3.25</v>
      </c>
      <c r="J24" s="26">
        <f t="shared" si="2"/>
        <v>10.66273</v>
      </c>
      <c r="K24" s="3">
        <v>1971</v>
      </c>
      <c r="L24" s="14">
        <v>2024</v>
      </c>
      <c r="M24" s="14">
        <f t="shared" si="0"/>
        <v>53</v>
      </c>
      <c r="N24" s="14">
        <v>60</v>
      </c>
      <c r="O24" s="14">
        <v>0.05</v>
      </c>
      <c r="P24" s="16">
        <f t="shared" si="10"/>
        <v>1.5833333333333331E-2</v>
      </c>
      <c r="Q24" s="17">
        <v>900</v>
      </c>
      <c r="R24" s="17">
        <f t="shared" si="5"/>
        <v>9687.51</v>
      </c>
      <c r="S24" s="18">
        <f t="shared" si="9"/>
        <v>34032222.630000003</v>
      </c>
      <c r="T24" s="18">
        <f t="shared" si="6"/>
        <v>28558706.823674999</v>
      </c>
      <c r="U24" s="18">
        <f t="shared" si="7"/>
        <v>5473515.8063250035</v>
      </c>
      <c r="V24" s="14">
        <v>0</v>
      </c>
      <c r="W24" s="18">
        <f t="shared" si="8"/>
        <v>5473515.8063250035</v>
      </c>
    </row>
    <row r="25" spans="2:23" x14ac:dyDescent="0.25">
      <c r="B25" s="6">
        <v>21</v>
      </c>
      <c r="C25" s="3" t="s">
        <v>24</v>
      </c>
      <c r="D25" s="4" t="s">
        <v>116</v>
      </c>
      <c r="E25" s="4" t="s">
        <v>117</v>
      </c>
      <c r="F25" s="14" t="s">
        <v>181</v>
      </c>
      <c r="G25" s="26">
        <v>2250</v>
      </c>
      <c r="H25" s="70">
        <f t="shared" si="1"/>
        <v>24218.774999999998</v>
      </c>
      <c r="I25" s="3">
        <v>3</v>
      </c>
      <c r="J25" s="26">
        <f t="shared" si="2"/>
        <v>9.8425200000000004</v>
      </c>
      <c r="K25" s="3">
        <v>1972</v>
      </c>
      <c r="L25" s="14">
        <v>2024</v>
      </c>
      <c r="M25" s="14">
        <f t="shared" si="0"/>
        <v>52</v>
      </c>
      <c r="N25" s="14">
        <v>40</v>
      </c>
      <c r="O25" s="14">
        <v>0.05</v>
      </c>
      <c r="P25" s="16">
        <f t="shared" si="10"/>
        <v>2.375E-2</v>
      </c>
      <c r="Q25" s="17">
        <v>800</v>
      </c>
      <c r="R25" s="17">
        <f t="shared" si="5"/>
        <v>8611.119999999999</v>
      </c>
      <c r="S25" s="18">
        <f t="shared" si="9"/>
        <v>19375019.999999996</v>
      </c>
      <c r="T25" s="18">
        <f t="shared" si="6"/>
        <v>23928149.699999996</v>
      </c>
      <c r="U25" s="18">
        <f t="shared" si="7"/>
        <v>0</v>
      </c>
      <c r="V25" s="14">
        <v>0</v>
      </c>
      <c r="W25" s="18">
        <f t="shared" si="8"/>
        <v>968750.99999999988</v>
      </c>
    </row>
    <row r="26" spans="2:23" x14ac:dyDescent="0.25">
      <c r="B26" s="6">
        <v>22</v>
      </c>
      <c r="C26" s="3" t="s">
        <v>24</v>
      </c>
      <c r="D26" s="4" t="s">
        <v>118</v>
      </c>
      <c r="E26" s="4" t="s">
        <v>117</v>
      </c>
      <c r="F26" s="14" t="s">
        <v>181</v>
      </c>
      <c r="G26" s="26">
        <v>600</v>
      </c>
      <c r="H26" s="70">
        <f t="shared" si="1"/>
        <v>6458.34</v>
      </c>
      <c r="I26" s="3">
        <v>3</v>
      </c>
      <c r="J26" s="26">
        <f t="shared" si="2"/>
        <v>9.8425200000000004</v>
      </c>
      <c r="K26" s="3">
        <v>1972</v>
      </c>
      <c r="L26" s="14">
        <v>2024</v>
      </c>
      <c r="M26" s="14">
        <f t="shared" si="0"/>
        <v>52</v>
      </c>
      <c r="N26" s="14">
        <v>40</v>
      </c>
      <c r="O26" s="14">
        <v>0.05</v>
      </c>
      <c r="P26" s="16">
        <f t="shared" si="10"/>
        <v>2.375E-2</v>
      </c>
      <c r="Q26" s="17">
        <v>800</v>
      </c>
      <c r="R26" s="17">
        <f t="shared" si="5"/>
        <v>8611.119999999999</v>
      </c>
      <c r="S26" s="18">
        <f t="shared" si="9"/>
        <v>5166671.9999999991</v>
      </c>
      <c r="T26" s="18">
        <f t="shared" si="6"/>
        <v>6380839.919999999</v>
      </c>
      <c r="U26" s="18">
        <f t="shared" si="7"/>
        <v>0</v>
      </c>
      <c r="V26" s="14">
        <v>0</v>
      </c>
      <c r="W26" s="18">
        <f t="shared" si="8"/>
        <v>258333.59999999998</v>
      </c>
    </row>
    <row r="27" spans="2:23" ht="45" x14ac:dyDescent="0.25">
      <c r="B27" s="6">
        <v>23</v>
      </c>
      <c r="C27" s="3" t="s">
        <v>10</v>
      </c>
      <c r="D27" s="4" t="s">
        <v>119</v>
      </c>
      <c r="E27" s="4" t="s">
        <v>120</v>
      </c>
      <c r="F27" s="14" t="s">
        <v>181</v>
      </c>
      <c r="G27" s="26">
        <v>1004</v>
      </c>
      <c r="H27" s="70">
        <f t="shared" si="1"/>
        <v>10806.955599999999</v>
      </c>
      <c r="I27" s="3">
        <f>3*2</f>
        <v>6</v>
      </c>
      <c r="J27" s="26">
        <f t="shared" si="2"/>
        <v>19.685040000000001</v>
      </c>
      <c r="K27" s="3">
        <v>2006</v>
      </c>
      <c r="L27" s="14">
        <v>2024</v>
      </c>
      <c r="M27" s="14">
        <f t="shared" si="0"/>
        <v>18</v>
      </c>
      <c r="N27" s="14">
        <v>60</v>
      </c>
      <c r="O27" s="14">
        <v>0.05</v>
      </c>
      <c r="P27" s="16">
        <f t="shared" si="10"/>
        <v>1.5833333333333331E-2</v>
      </c>
      <c r="Q27" s="17">
        <v>1100</v>
      </c>
      <c r="R27" s="17">
        <f t="shared" si="5"/>
        <v>11840.289999999999</v>
      </c>
      <c r="S27" s="18">
        <f t="shared" si="9"/>
        <v>11887651.159999998</v>
      </c>
      <c r="T27" s="18">
        <f t="shared" si="6"/>
        <v>3387980.5805999991</v>
      </c>
      <c r="U27" s="18">
        <f t="shared" si="7"/>
        <v>8499670.5793999992</v>
      </c>
      <c r="V27" s="14">
        <v>0</v>
      </c>
      <c r="W27" s="18">
        <f t="shared" si="8"/>
        <v>8499670.5793999992</v>
      </c>
    </row>
    <row r="28" spans="2:23" ht="30" x14ac:dyDescent="0.25">
      <c r="B28" s="6">
        <v>24</v>
      </c>
      <c r="C28" s="3" t="s">
        <v>36</v>
      </c>
      <c r="D28" s="4" t="s">
        <v>121</v>
      </c>
      <c r="E28" s="4" t="s">
        <v>120</v>
      </c>
      <c r="F28" s="14" t="s">
        <v>181</v>
      </c>
      <c r="G28" s="26">
        <v>7272</v>
      </c>
      <c r="H28" s="70">
        <f t="shared" si="1"/>
        <v>78275.080799999996</v>
      </c>
      <c r="I28" s="3">
        <f>3*3</f>
        <v>9</v>
      </c>
      <c r="J28" s="26">
        <f t="shared" si="2"/>
        <v>29.527560000000001</v>
      </c>
      <c r="K28" s="3">
        <v>1992</v>
      </c>
      <c r="L28" s="14">
        <v>2024</v>
      </c>
      <c r="M28" s="14">
        <f t="shared" si="0"/>
        <v>32</v>
      </c>
      <c r="N28" s="14">
        <v>60</v>
      </c>
      <c r="O28" s="14">
        <v>0.05</v>
      </c>
      <c r="P28" s="16">
        <f t="shared" si="10"/>
        <v>1.5833333333333331E-2</v>
      </c>
      <c r="Q28" s="17">
        <v>1200</v>
      </c>
      <c r="R28" s="17">
        <f t="shared" si="5"/>
        <v>12916.68</v>
      </c>
      <c r="S28" s="18">
        <f t="shared" si="9"/>
        <v>93930096.960000008</v>
      </c>
      <c r="T28" s="18">
        <f t="shared" si="6"/>
        <v>47591249.126400001</v>
      </c>
      <c r="U28" s="18">
        <f t="shared" si="7"/>
        <v>46338847.833600007</v>
      </c>
      <c r="V28" s="14">
        <v>0</v>
      </c>
      <c r="W28" s="18">
        <f t="shared" si="8"/>
        <v>46338847.833600007</v>
      </c>
    </row>
    <row r="29" spans="2:23" ht="30" x14ac:dyDescent="0.25">
      <c r="B29" s="6">
        <v>25</v>
      </c>
      <c r="C29" s="3" t="s">
        <v>54</v>
      </c>
      <c r="D29" s="4" t="s">
        <v>122</v>
      </c>
      <c r="E29" s="4" t="s">
        <v>120</v>
      </c>
      <c r="F29" s="14" t="s">
        <v>181</v>
      </c>
      <c r="G29" s="26">
        <v>1616</v>
      </c>
      <c r="H29" s="70">
        <f t="shared" si="1"/>
        <v>17394.4624</v>
      </c>
      <c r="I29" s="3">
        <f>3*4</f>
        <v>12</v>
      </c>
      <c r="J29" s="26">
        <f t="shared" si="2"/>
        <v>39.370080000000002</v>
      </c>
      <c r="K29" s="3">
        <v>2003</v>
      </c>
      <c r="L29" s="14">
        <v>2024</v>
      </c>
      <c r="M29" s="14">
        <f t="shared" si="0"/>
        <v>21</v>
      </c>
      <c r="N29" s="14">
        <v>60</v>
      </c>
      <c r="O29" s="14">
        <v>0.05</v>
      </c>
      <c r="P29" s="16">
        <f t="shared" si="10"/>
        <v>1.5833333333333331E-2</v>
      </c>
      <c r="Q29" s="71">
        <v>1300</v>
      </c>
      <c r="R29" s="17">
        <f t="shared" si="5"/>
        <v>13993.07</v>
      </c>
      <c r="S29" s="18">
        <f t="shared" si="9"/>
        <v>22612801.120000001</v>
      </c>
      <c r="T29" s="18">
        <f t="shared" si="6"/>
        <v>7518756.3723999988</v>
      </c>
      <c r="U29" s="18">
        <f t="shared" si="7"/>
        <v>15094044.747600002</v>
      </c>
      <c r="V29" s="14">
        <v>0</v>
      </c>
      <c r="W29" s="18">
        <f t="shared" si="8"/>
        <v>15094044.747600002</v>
      </c>
    </row>
    <row r="30" spans="2:23" ht="30" x14ac:dyDescent="0.25">
      <c r="B30" s="6">
        <v>26</v>
      </c>
      <c r="C30" s="3" t="s">
        <v>24</v>
      </c>
      <c r="D30" s="4" t="s">
        <v>123</v>
      </c>
      <c r="E30" s="4" t="s">
        <v>50</v>
      </c>
      <c r="F30" s="14" t="s">
        <v>181</v>
      </c>
      <c r="G30" s="26">
        <v>630</v>
      </c>
      <c r="H30" s="70">
        <f t="shared" si="1"/>
        <v>6781.2569999999996</v>
      </c>
      <c r="I30" s="3">
        <v>3.65</v>
      </c>
      <c r="J30" s="26">
        <f t="shared" si="2"/>
        <v>11.975066</v>
      </c>
      <c r="K30" s="3">
        <v>1971</v>
      </c>
      <c r="L30" s="14">
        <v>2024</v>
      </c>
      <c r="M30" s="14">
        <f t="shared" si="0"/>
        <v>53</v>
      </c>
      <c r="N30" s="14">
        <v>60</v>
      </c>
      <c r="O30" s="14">
        <v>0.05</v>
      </c>
      <c r="P30" s="16">
        <f t="shared" si="10"/>
        <v>1.5833333333333331E-2</v>
      </c>
      <c r="Q30" s="17">
        <v>1400</v>
      </c>
      <c r="R30" s="17">
        <f t="shared" si="5"/>
        <v>15069.46</v>
      </c>
      <c r="S30" s="18">
        <f t="shared" si="9"/>
        <v>9493759.7999999989</v>
      </c>
      <c r="T30" s="18">
        <f t="shared" si="6"/>
        <v>7966846.765499997</v>
      </c>
      <c r="U30" s="18">
        <f t="shared" si="7"/>
        <v>1526913.0345000019</v>
      </c>
      <c r="V30" s="14">
        <v>0</v>
      </c>
      <c r="W30" s="18">
        <f t="shared" si="8"/>
        <v>1526913.0345000019</v>
      </c>
    </row>
    <row r="31" spans="2:23" ht="30" x14ac:dyDescent="0.25">
      <c r="B31" s="6">
        <v>27</v>
      </c>
      <c r="C31" s="3" t="s">
        <v>24</v>
      </c>
      <c r="D31" s="4" t="s">
        <v>125</v>
      </c>
      <c r="E31" s="4" t="s">
        <v>126</v>
      </c>
      <c r="F31" s="14" t="s">
        <v>181</v>
      </c>
      <c r="G31" s="26">
        <v>80</v>
      </c>
      <c r="H31" s="70">
        <f t="shared" si="1"/>
        <v>861.11199999999997</v>
      </c>
      <c r="I31" s="3">
        <v>3</v>
      </c>
      <c r="J31" s="26">
        <f t="shared" si="2"/>
        <v>9.8425200000000004</v>
      </c>
      <c r="K31" s="3">
        <v>1990</v>
      </c>
      <c r="L31" s="14">
        <v>2024</v>
      </c>
      <c r="M31" s="14">
        <f t="shared" si="0"/>
        <v>34</v>
      </c>
      <c r="N31" s="14">
        <v>40</v>
      </c>
      <c r="O31" s="14">
        <v>0.05</v>
      </c>
      <c r="P31" s="16">
        <f t="shared" si="10"/>
        <v>2.375E-2</v>
      </c>
      <c r="Q31" s="71">
        <v>1200</v>
      </c>
      <c r="R31" s="17">
        <f t="shared" si="5"/>
        <v>12916.68</v>
      </c>
      <c r="S31" s="18">
        <f t="shared" si="9"/>
        <v>1033334.4</v>
      </c>
      <c r="T31" s="18">
        <f t="shared" si="6"/>
        <v>834417.52799999993</v>
      </c>
      <c r="U31" s="18">
        <f t="shared" si="7"/>
        <v>198916.87200000009</v>
      </c>
      <c r="V31" s="14">
        <v>0</v>
      </c>
      <c r="W31" s="18">
        <f t="shared" si="8"/>
        <v>198916.87200000009</v>
      </c>
    </row>
    <row r="32" spans="2:23" x14ac:dyDescent="0.25">
      <c r="B32" s="6">
        <v>28</v>
      </c>
      <c r="C32" s="3" t="s">
        <v>24</v>
      </c>
      <c r="D32" s="4" t="s">
        <v>127</v>
      </c>
      <c r="E32" s="4" t="s">
        <v>50</v>
      </c>
      <c r="F32" s="14" t="s">
        <v>181</v>
      </c>
      <c r="G32" s="26">
        <v>65</v>
      </c>
      <c r="H32" s="70">
        <f t="shared" si="1"/>
        <v>699.65350000000001</v>
      </c>
      <c r="I32" s="3">
        <v>3</v>
      </c>
      <c r="J32" s="26">
        <f t="shared" si="2"/>
        <v>9.8425200000000004</v>
      </c>
      <c r="K32" s="3">
        <v>1986</v>
      </c>
      <c r="L32" s="14">
        <v>2024</v>
      </c>
      <c r="M32" s="14">
        <f t="shared" si="0"/>
        <v>38</v>
      </c>
      <c r="N32" s="14">
        <v>60</v>
      </c>
      <c r="O32" s="14">
        <v>0.05</v>
      </c>
      <c r="P32" s="16">
        <f t="shared" si="10"/>
        <v>1.5833333333333331E-2</v>
      </c>
      <c r="Q32" s="17">
        <v>1200</v>
      </c>
      <c r="R32" s="17">
        <f t="shared" si="5"/>
        <v>12916.68</v>
      </c>
      <c r="S32" s="18">
        <f t="shared" si="9"/>
        <v>839584.20000000007</v>
      </c>
      <c r="T32" s="18">
        <f t="shared" si="6"/>
        <v>505149.82699999999</v>
      </c>
      <c r="U32" s="18">
        <f t="shared" si="7"/>
        <v>334434.37300000008</v>
      </c>
      <c r="V32" s="14">
        <v>0</v>
      </c>
      <c r="W32" s="18">
        <f t="shared" si="8"/>
        <v>334434.37300000008</v>
      </c>
    </row>
    <row r="33" spans="2:23" x14ac:dyDescent="0.25">
      <c r="B33" s="6">
        <v>29</v>
      </c>
      <c r="C33" s="3" t="s">
        <v>24</v>
      </c>
      <c r="D33" s="4" t="s">
        <v>128</v>
      </c>
      <c r="E33" s="4" t="s">
        <v>50</v>
      </c>
      <c r="F33" s="14" t="s">
        <v>181</v>
      </c>
      <c r="G33" s="26">
        <v>408</v>
      </c>
      <c r="H33" s="70">
        <f t="shared" si="1"/>
        <v>4391.6711999999998</v>
      </c>
      <c r="I33" s="3">
        <v>3.65</v>
      </c>
      <c r="J33" s="26">
        <f t="shared" si="2"/>
        <v>11.975066</v>
      </c>
      <c r="K33" s="3">
        <v>1974</v>
      </c>
      <c r="L33" s="14">
        <v>2024</v>
      </c>
      <c r="M33" s="14">
        <f t="shared" si="0"/>
        <v>50</v>
      </c>
      <c r="N33" s="14">
        <v>60</v>
      </c>
      <c r="O33" s="14">
        <v>0.05</v>
      </c>
      <c r="P33" s="16">
        <f t="shared" si="10"/>
        <v>1.5833333333333331E-2</v>
      </c>
      <c r="Q33" s="17">
        <v>1300</v>
      </c>
      <c r="R33" s="17">
        <f t="shared" si="5"/>
        <v>13993.07</v>
      </c>
      <c r="S33" s="18">
        <f t="shared" si="9"/>
        <v>5709172.5599999996</v>
      </c>
      <c r="T33" s="18">
        <f t="shared" si="6"/>
        <v>4519761.6099999994</v>
      </c>
      <c r="U33" s="18">
        <f t="shared" si="7"/>
        <v>1189410.9500000002</v>
      </c>
      <c r="V33" s="14">
        <v>0</v>
      </c>
      <c r="W33" s="18">
        <f t="shared" si="8"/>
        <v>1189410.9500000002</v>
      </c>
    </row>
    <row r="34" spans="2:23" x14ac:dyDescent="0.25">
      <c r="B34" s="6">
        <v>30</v>
      </c>
      <c r="C34" s="3" t="s">
        <v>24</v>
      </c>
      <c r="D34" s="4" t="s">
        <v>129</v>
      </c>
      <c r="E34" s="4" t="s">
        <v>50</v>
      </c>
      <c r="F34" s="14" t="s">
        <v>181</v>
      </c>
      <c r="G34" s="26">
        <v>226</v>
      </c>
      <c r="H34" s="70">
        <f t="shared" si="1"/>
        <v>2432.6414</v>
      </c>
      <c r="I34" s="3">
        <v>3.65</v>
      </c>
      <c r="J34" s="26">
        <f t="shared" si="2"/>
        <v>11.975066</v>
      </c>
      <c r="K34" s="3">
        <v>1974</v>
      </c>
      <c r="L34" s="14">
        <v>2024</v>
      </c>
      <c r="M34" s="14">
        <f t="shared" si="0"/>
        <v>50</v>
      </c>
      <c r="N34" s="14">
        <v>60</v>
      </c>
      <c r="O34" s="14">
        <v>0.05</v>
      </c>
      <c r="P34" s="16">
        <f t="shared" si="10"/>
        <v>1.5833333333333331E-2</v>
      </c>
      <c r="Q34" s="17">
        <v>1200</v>
      </c>
      <c r="R34" s="17">
        <f t="shared" si="5"/>
        <v>12916.68</v>
      </c>
      <c r="S34" s="18">
        <f t="shared" si="9"/>
        <v>2919169.68</v>
      </c>
      <c r="T34" s="18">
        <f t="shared" si="6"/>
        <v>2311009.3299999996</v>
      </c>
      <c r="U34" s="18">
        <f t="shared" si="7"/>
        <v>608160.35000000056</v>
      </c>
      <c r="V34" s="14">
        <v>0</v>
      </c>
      <c r="W34" s="18">
        <f t="shared" si="8"/>
        <v>608160.35000000056</v>
      </c>
    </row>
    <row r="35" spans="2:23" x14ac:dyDescent="0.25">
      <c r="B35" s="6">
        <v>31</v>
      </c>
      <c r="C35" s="3" t="s">
        <v>24</v>
      </c>
      <c r="D35" s="4" t="s">
        <v>130</v>
      </c>
      <c r="E35" s="4" t="s">
        <v>50</v>
      </c>
      <c r="F35" s="14" t="s">
        <v>181</v>
      </c>
      <c r="G35" s="26">
        <v>128</v>
      </c>
      <c r="H35" s="70">
        <f t="shared" si="1"/>
        <v>1377.7791999999999</v>
      </c>
      <c r="I35" s="3">
        <v>4</v>
      </c>
      <c r="J35" s="26">
        <f t="shared" si="2"/>
        <v>13.12336</v>
      </c>
      <c r="K35" s="3">
        <v>2004</v>
      </c>
      <c r="L35" s="14">
        <v>2024</v>
      </c>
      <c r="M35" s="14">
        <f t="shared" si="0"/>
        <v>20</v>
      </c>
      <c r="N35" s="14">
        <v>60</v>
      </c>
      <c r="O35" s="14">
        <v>0.05</v>
      </c>
      <c r="P35" s="16">
        <f t="shared" si="10"/>
        <v>1.5833333333333331E-2</v>
      </c>
      <c r="Q35" s="17">
        <v>1200</v>
      </c>
      <c r="R35" s="17">
        <f t="shared" si="5"/>
        <v>12916.68</v>
      </c>
      <c r="S35" s="18">
        <f t="shared" si="9"/>
        <v>1653335.04</v>
      </c>
      <c r="T35" s="18">
        <f t="shared" si="6"/>
        <v>523556.09599999996</v>
      </c>
      <c r="U35" s="18">
        <f t="shared" si="7"/>
        <v>1129778.9440000001</v>
      </c>
      <c r="V35" s="14">
        <v>0</v>
      </c>
      <c r="W35" s="18">
        <f t="shared" si="8"/>
        <v>1129778.9440000001</v>
      </c>
    </row>
    <row r="36" spans="2:23" ht="30" x14ac:dyDescent="0.25">
      <c r="B36" s="6">
        <v>32</v>
      </c>
      <c r="C36" s="3" t="s">
        <v>24</v>
      </c>
      <c r="D36" s="4" t="s">
        <v>131</v>
      </c>
      <c r="E36" s="4" t="s">
        <v>133</v>
      </c>
      <c r="F36" s="14" t="s">
        <v>181</v>
      </c>
      <c r="G36" s="26">
        <v>192</v>
      </c>
      <c r="H36" s="70">
        <f t="shared" si="1"/>
        <v>2066.6687999999999</v>
      </c>
      <c r="I36" s="3">
        <v>5</v>
      </c>
      <c r="J36" s="26">
        <f t="shared" si="2"/>
        <v>16.404199999999999</v>
      </c>
      <c r="K36" s="3">
        <v>2004</v>
      </c>
      <c r="L36" s="14">
        <v>2024</v>
      </c>
      <c r="M36" s="14">
        <f t="shared" si="0"/>
        <v>20</v>
      </c>
      <c r="N36" s="14">
        <v>30</v>
      </c>
      <c r="O36" s="14">
        <v>0.05</v>
      </c>
      <c r="P36" s="16">
        <f t="shared" si="10"/>
        <v>3.1666666666666662E-2</v>
      </c>
      <c r="Q36" s="71">
        <v>1000</v>
      </c>
      <c r="R36" s="17">
        <f t="shared" si="5"/>
        <v>10763.9</v>
      </c>
      <c r="S36" s="18">
        <f t="shared" si="9"/>
        <v>2066668.7999999998</v>
      </c>
      <c r="T36" s="18">
        <f t="shared" si="6"/>
        <v>1308890.2399999998</v>
      </c>
      <c r="U36" s="18">
        <f t="shared" si="7"/>
        <v>757778.56</v>
      </c>
      <c r="V36" s="14">
        <v>0</v>
      </c>
      <c r="W36" s="18">
        <f t="shared" si="8"/>
        <v>757778.56</v>
      </c>
    </row>
    <row r="37" spans="2:23" ht="45" x14ac:dyDescent="0.25">
      <c r="B37" s="6">
        <v>33</v>
      </c>
      <c r="C37" s="3" t="s">
        <v>24</v>
      </c>
      <c r="D37" s="4" t="s">
        <v>134</v>
      </c>
      <c r="E37" s="4" t="s">
        <v>135</v>
      </c>
      <c r="F37" s="14" t="s">
        <v>181</v>
      </c>
      <c r="G37" s="26">
        <v>368</v>
      </c>
      <c r="H37" s="70">
        <f t="shared" si="1"/>
        <v>3961.1151999999997</v>
      </c>
      <c r="I37" s="3">
        <v>3</v>
      </c>
      <c r="J37" s="26">
        <f t="shared" si="2"/>
        <v>9.8425200000000004</v>
      </c>
      <c r="K37" s="3">
        <v>1993</v>
      </c>
      <c r="L37" s="14">
        <v>2024</v>
      </c>
      <c r="M37" s="14">
        <f t="shared" si="0"/>
        <v>31</v>
      </c>
      <c r="N37" s="14">
        <v>40</v>
      </c>
      <c r="O37" s="14">
        <v>0.05</v>
      </c>
      <c r="P37" s="16">
        <f t="shared" si="10"/>
        <v>2.375E-2</v>
      </c>
      <c r="Q37" s="71">
        <v>900</v>
      </c>
      <c r="R37" s="17">
        <f t="shared" si="5"/>
        <v>9687.51</v>
      </c>
      <c r="S37" s="18">
        <f t="shared" si="9"/>
        <v>3565003.68</v>
      </c>
      <c r="T37" s="18">
        <f t="shared" si="6"/>
        <v>2624733.9594000001</v>
      </c>
      <c r="U37" s="18">
        <f t="shared" si="7"/>
        <v>940269.72060000012</v>
      </c>
      <c r="V37" s="14">
        <v>0</v>
      </c>
      <c r="W37" s="18">
        <f t="shared" si="8"/>
        <v>940269.72060000012</v>
      </c>
    </row>
    <row r="38" spans="2:23" x14ac:dyDescent="0.25">
      <c r="B38" s="83" t="s">
        <v>218</v>
      </c>
      <c r="C38" s="83"/>
      <c r="D38" s="83"/>
      <c r="E38" s="83"/>
      <c r="F38" s="83"/>
      <c r="G38" s="85">
        <f>SUM(G5:G37)</f>
        <v>30012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47">
        <f>SUM(S5:S37)</f>
        <v>372161842.50000006</v>
      </c>
      <c r="T38" s="47">
        <f>SUM(T5:T37)</f>
        <v>229518300.63714993</v>
      </c>
      <c r="U38" s="68">
        <f>SUM(U5:U37)</f>
        <v>148410839.48285002</v>
      </c>
      <c r="W38" s="47">
        <f>SUM(W5:W37)</f>
        <v>149637924.08285001</v>
      </c>
    </row>
    <row r="39" spans="2:23" x14ac:dyDescent="0.25">
      <c r="B39" s="27"/>
      <c r="C39" s="22"/>
      <c r="D39" s="28"/>
      <c r="E39" s="28"/>
      <c r="F39" s="29"/>
      <c r="G39" s="23"/>
      <c r="H39" s="30"/>
      <c r="I39" s="22"/>
      <c r="J39" s="24"/>
      <c r="K39" s="22"/>
      <c r="L39" s="29"/>
      <c r="M39" s="29"/>
      <c r="N39" s="29"/>
      <c r="O39" s="29"/>
      <c r="P39" s="31"/>
    </row>
    <row r="40" spans="2:23" x14ac:dyDescent="0.25">
      <c r="B40" s="27"/>
      <c r="C40" s="22"/>
      <c r="D40" s="28"/>
      <c r="E40" s="28"/>
      <c r="F40" s="29"/>
      <c r="G40" s="23"/>
      <c r="H40" s="30"/>
      <c r="I40" s="22"/>
      <c r="J40" s="24"/>
      <c r="K40" s="22"/>
      <c r="L40" s="29"/>
      <c r="M40" s="29"/>
      <c r="N40" s="29"/>
      <c r="O40" s="29"/>
      <c r="P40" s="31"/>
    </row>
    <row r="41" spans="2:23" ht="45" x14ac:dyDescent="0.25">
      <c r="B41" s="6">
        <v>34</v>
      </c>
      <c r="C41" s="3" t="s">
        <v>24</v>
      </c>
      <c r="D41" s="4" t="s">
        <v>136</v>
      </c>
      <c r="E41" s="4" t="s">
        <v>205</v>
      </c>
      <c r="F41" s="14" t="s">
        <v>181</v>
      </c>
      <c r="G41" s="55" t="s">
        <v>207</v>
      </c>
      <c r="H41" s="30"/>
      <c r="I41" s="22">
        <v>4719</v>
      </c>
      <c r="J41" s="24"/>
      <c r="K41" s="22"/>
      <c r="L41" s="29"/>
      <c r="M41" s="29"/>
      <c r="N41" s="29"/>
      <c r="O41" s="29"/>
      <c r="P41" s="31"/>
    </row>
    <row r="42" spans="2:23" x14ac:dyDescent="0.25">
      <c r="B42" s="27"/>
      <c r="C42" s="22"/>
      <c r="D42" s="28"/>
      <c r="E42" s="28"/>
      <c r="F42" s="29"/>
      <c r="G42" s="23"/>
      <c r="H42" s="30"/>
      <c r="I42" s="22"/>
      <c r="J42" s="24"/>
      <c r="K42" s="22"/>
      <c r="L42" s="29"/>
      <c r="M42" s="29"/>
      <c r="N42" s="29"/>
      <c r="O42" s="29"/>
      <c r="P42" s="31"/>
    </row>
    <row r="43" spans="2:23" x14ac:dyDescent="0.25">
      <c r="B43" s="27"/>
      <c r="C43" s="22"/>
      <c r="D43" s="28"/>
      <c r="E43" s="28"/>
      <c r="F43" s="29"/>
      <c r="G43" s="23"/>
      <c r="H43" s="30"/>
      <c r="I43" s="22"/>
      <c r="J43" s="24"/>
      <c r="K43" s="22"/>
      <c r="L43" s="29"/>
      <c r="M43" s="29"/>
      <c r="N43" s="29"/>
      <c r="O43" s="29"/>
      <c r="P43" s="31"/>
    </row>
    <row r="44" spans="2:23" x14ac:dyDescent="0.25">
      <c r="B44" s="27"/>
      <c r="C44" s="22"/>
      <c r="D44" s="28"/>
      <c r="E44" s="28"/>
      <c r="F44" s="29"/>
      <c r="G44" s="23"/>
      <c r="H44" s="30"/>
      <c r="I44" s="22"/>
      <c r="J44" s="24"/>
      <c r="K44" s="22"/>
      <c r="L44" s="29"/>
      <c r="M44" s="29"/>
      <c r="N44" s="29"/>
      <c r="O44" s="29"/>
      <c r="P44" s="31"/>
    </row>
    <row r="45" spans="2:23" x14ac:dyDescent="0.25">
      <c r="B45" s="27"/>
      <c r="C45" s="22"/>
      <c r="D45" s="28"/>
      <c r="E45" s="28"/>
      <c r="F45" s="29"/>
      <c r="G45" s="23"/>
      <c r="H45" s="30"/>
      <c r="I45" s="22"/>
      <c r="J45" s="24"/>
      <c r="K45" s="22"/>
      <c r="L45" s="29"/>
      <c r="M45" s="29"/>
      <c r="N45" s="29"/>
      <c r="O45" s="29"/>
      <c r="P45" s="31"/>
    </row>
    <row r="46" spans="2:23" x14ac:dyDescent="0.25">
      <c r="B46" s="27"/>
      <c r="C46" s="22"/>
      <c r="D46" s="28"/>
      <c r="E46" s="28"/>
      <c r="F46" s="29"/>
      <c r="G46" s="23"/>
      <c r="H46" s="30"/>
      <c r="I46" s="22"/>
      <c r="J46" s="24"/>
      <c r="K46" s="22"/>
      <c r="L46" s="29"/>
      <c r="M46" s="29"/>
      <c r="N46" s="29"/>
      <c r="O46" s="29"/>
      <c r="P46" s="31"/>
    </row>
    <row r="47" spans="2:23" x14ac:dyDescent="0.25">
      <c r="B47" s="27"/>
      <c r="C47" s="22"/>
      <c r="D47" s="28"/>
      <c r="E47" s="28"/>
      <c r="F47" s="29"/>
      <c r="G47" s="23"/>
      <c r="H47" s="30"/>
      <c r="I47" s="22"/>
      <c r="J47" s="24"/>
      <c r="K47" s="22"/>
      <c r="L47" s="29"/>
      <c r="M47" s="29"/>
      <c r="N47" s="29"/>
      <c r="O47" s="29"/>
      <c r="P47" s="31"/>
    </row>
    <row r="48" spans="2:23" x14ac:dyDescent="0.25">
      <c r="B48" s="27"/>
      <c r="C48" s="22"/>
      <c r="D48" s="28"/>
      <c r="E48" s="28"/>
      <c r="F48" s="29"/>
      <c r="G48" s="23"/>
      <c r="H48" s="30"/>
      <c r="I48" s="22"/>
      <c r="J48" s="24"/>
      <c r="K48" s="22"/>
      <c r="L48" s="29"/>
      <c r="M48" s="29"/>
      <c r="N48" s="29"/>
      <c r="O48" s="29"/>
      <c r="P48" s="31"/>
    </row>
    <row r="49" spans="2:16" x14ac:dyDescent="0.25">
      <c r="B49" s="27"/>
      <c r="C49" s="22"/>
      <c r="D49" s="28"/>
      <c r="E49" s="28"/>
      <c r="F49" s="29"/>
      <c r="G49" s="23"/>
      <c r="H49" s="30"/>
      <c r="I49" s="22"/>
      <c r="J49" s="24"/>
      <c r="K49" s="22"/>
      <c r="L49" s="29"/>
      <c r="M49" s="29"/>
      <c r="N49" s="29"/>
      <c r="O49" s="29"/>
      <c r="P49" s="31"/>
    </row>
    <row r="50" spans="2:16" x14ac:dyDescent="0.25">
      <c r="B50" s="27"/>
      <c r="C50" s="22"/>
      <c r="D50" s="28"/>
      <c r="E50" s="28"/>
      <c r="F50" s="29"/>
      <c r="G50" s="23"/>
      <c r="H50" s="30"/>
      <c r="I50" s="22"/>
      <c r="J50" s="24"/>
      <c r="K50" s="22"/>
      <c r="L50" s="29"/>
      <c r="M50" s="29"/>
      <c r="N50" s="29"/>
      <c r="O50" s="29"/>
      <c r="P50" s="31"/>
    </row>
    <row r="51" spans="2:16" x14ac:dyDescent="0.25">
      <c r="B51" s="27"/>
      <c r="C51" s="22"/>
      <c r="D51" s="28"/>
      <c r="E51" s="28"/>
      <c r="F51" s="29"/>
      <c r="G51" s="23"/>
      <c r="H51" s="30"/>
      <c r="I51" s="22"/>
      <c r="J51" s="24"/>
      <c r="K51" s="22"/>
      <c r="L51" s="29"/>
      <c r="M51" s="29"/>
      <c r="N51" s="29"/>
      <c r="O51" s="29"/>
      <c r="P51" s="31"/>
    </row>
    <row r="52" spans="2:16" x14ac:dyDescent="0.25">
      <c r="B52" s="27"/>
      <c r="C52" s="22"/>
      <c r="D52" s="28"/>
      <c r="E52" s="28"/>
      <c r="F52" s="29"/>
      <c r="G52" s="23"/>
      <c r="H52" s="30"/>
      <c r="I52" s="22"/>
      <c r="J52" s="24"/>
      <c r="K52" s="22"/>
      <c r="L52" s="29"/>
      <c r="M52" s="29"/>
      <c r="N52" s="29"/>
      <c r="O52" s="29"/>
      <c r="P52" s="31"/>
    </row>
    <row r="53" spans="2:16" x14ac:dyDescent="0.25">
      <c r="B53" s="27"/>
      <c r="C53" s="22"/>
      <c r="D53" s="28"/>
      <c r="E53" s="28"/>
      <c r="F53" s="29"/>
      <c r="G53" s="23"/>
      <c r="H53" s="30"/>
      <c r="J53" s="24"/>
      <c r="K53" s="22"/>
      <c r="L53" s="29"/>
      <c r="M53" s="29"/>
      <c r="N53" s="29"/>
      <c r="O53" s="29"/>
      <c r="P53" s="31"/>
    </row>
    <row r="54" spans="2:16" x14ac:dyDescent="0.25">
      <c r="E54" s="28"/>
    </row>
    <row r="55" spans="2:16" x14ac:dyDescent="0.25">
      <c r="E55" s="28"/>
    </row>
    <row r="56" spans="2:16" x14ac:dyDescent="0.25">
      <c r="E56" s="28"/>
    </row>
    <row r="57" spans="2:16" x14ac:dyDescent="0.25">
      <c r="E57" s="28"/>
    </row>
    <row r="58" spans="2:16" x14ac:dyDescent="0.25">
      <c r="E58" s="28"/>
    </row>
    <row r="59" spans="2:16" x14ac:dyDescent="0.25">
      <c r="E59" s="28"/>
    </row>
    <row r="60" spans="2:16" x14ac:dyDescent="0.25">
      <c r="E60" s="28"/>
    </row>
    <row r="61" spans="2:16" x14ac:dyDescent="0.25">
      <c r="E61" s="28"/>
    </row>
    <row r="62" spans="2:16" x14ac:dyDescent="0.25">
      <c r="E62" s="28"/>
    </row>
    <row r="63" spans="2:16" x14ac:dyDescent="0.25">
      <c r="E63" s="28"/>
    </row>
    <row r="64" spans="2:16" x14ac:dyDescent="0.25">
      <c r="E64" s="28"/>
    </row>
    <row r="65" spans="5:5" x14ac:dyDescent="0.25">
      <c r="E65" s="28"/>
    </row>
    <row r="66" spans="5:5" x14ac:dyDescent="0.25">
      <c r="E66" s="28"/>
    </row>
    <row r="67" spans="5:5" x14ac:dyDescent="0.25">
      <c r="E67" s="28"/>
    </row>
    <row r="68" spans="5:5" x14ac:dyDescent="0.25">
      <c r="E68" s="28"/>
    </row>
    <row r="69" spans="5:5" x14ac:dyDescent="0.25">
      <c r="E69" s="28"/>
    </row>
    <row r="70" spans="5:5" x14ac:dyDescent="0.25">
      <c r="E70" s="28"/>
    </row>
    <row r="71" spans="5:5" x14ac:dyDescent="0.25">
      <c r="E71" s="28"/>
    </row>
    <row r="72" spans="5:5" x14ac:dyDescent="0.25">
      <c r="E72" s="28"/>
    </row>
    <row r="73" spans="5:5" x14ac:dyDescent="0.25">
      <c r="E73" s="28"/>
    </row>
    <row r="74" spans="5:5" x14ac:dyDescent="0.25">
      <c r="E74" s="28"/>
    </row>
    <row r="75" spans="5:5" x14ac:dyDescent="0.25">
      <c r="E75" s="28"/>
    </row>
  </sheetData>
  <autoFilter ref="B4:W37"/>
  <mergeCells count="1">
    <mergeCell ref="B3:Z3"/>
  </mergeCells>
  <dataValidations count="2">
    <dataValidation type="list" allowBlank="1" showErrorMessage="1" sqref="E25:E27 E12 E20:E23 E5:E8">
      <formula1>0</formula1>
      <formula2>0</formula2>
    </dataValidation>
    <dataValidation type="list" allowBlank="1" showInputMessage="1" showErrorMessage="1" promptTitle="Condition of Structure" prompt="Condition of Structure" sqref="F5:F37 F39:F53">
      <formula1>"Poor, Average, Ordinary, Good, Very Good, Excellent"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7"/>
  <sheetViews>
    <sheetView topLeftCell="G13" workbookViewId="0">
      <selection activeCell="S23" sqref="S23"/>
    </sheetView>
  </sheetViews>
  <sheetFormatPr defaultRowHeight="15" x14ac:dyDescent="0.25"/>
  <cols>
    <col min="2" max="2" width="6.7109375" customWidth="1"/>
    <col min="3" max="3" width="12.42578125" customWidth="1"/>
    <col min="4" max="4" width="18" customWidth="1"/>
    <col min="5" max="5" width="38.42578125" customWidth="1"/>
    <col min="6" max="6" width="13.140625" customWidth="1"/>
    <col min="7" max="7" width="21" style="8" bestFit="1" customWidth="1"/>
    <col min="8" max="8" width="10.5703125" customWidth="1"/>
    <col min="9" max="10" width="16.28515625" customWidth="1"/>
    <col min="11" max="11" width="12.7109375" customWidth="1"/>
    <col min="12" max="12" width="11.42578125" customWidth="1"/>
    <col min="13" max="13" width="10.7109375" customWidth="1"/>
    <col min="14" max="14" width="12" customWidth="1"/>
    <col min="15" max="15" width="9.140625" customWidth="1"/>
    <col min="16" max="16" width="13.140625" customWidth="1"/>
    <col min="17" max="17" width="11.85546875" customWidth="1"/>
    <col min="18" max="18" width="12.5703125" customWidth="1"/>
    <col min="19" max="19" width="13.85546875" customWidth="1"/>
    <col min="20" max="20" width="13.7109375" customWidth="1"/>
    <col min="21" max="21" width="14.42578125" customWidth="1"/>
    <col min="22" max="22" width="14.28515625" customWidth="1"/>
    <col min="23" max="23" width="14.140625" customWidth="1"/>
    <col min="24" max="26" width="0" hidden="1" customWidth="1"/>
  </cols>
  <sheetData>
    <row r="3" spans="2:27" x14ac:dyDescent="0.25">
      <c r="B3" s="90" t="s">
        <v>237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2:27" ht="75" x14ac:dyDescent="0.25">
      <c r="B4" s="10" t="s">
        <v>157</v>
      </c>
      <c r="C4" s="10" t="s">
        <v>158</v>
      </c>
      <c r="D4" s="11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183</v>
      </c>
      <c r="J4" s="10" t="s">
        <v>164</v>
      </c>
      <c r="K4" s="10" t="s">
        <v>165</v>
      </c>
      <c r="L4" s="10" t="s">
        <v>166</v>
      </c>
      <c r="M4" s="10" t="s">
        <v>167</v>
      </c>
      <c r="N4" s="10" t="s">
        <v>168</v>
      </c>
      <c r="O4" s="10" t="s">
        <v>169</v>
      </c>
      <c r="P4" s="10" t="s">
        <v>170</v>
      </c>
      <c r="Q4" s="10" t="s">
        <v>171</v>
      </c>
      <c r="R4" s="10" t="s">
        <v>172</v>
      </c>
      <c r="S4" s="10" t="s">
        <v>173</v>
      </c>
      <c r="T4" s="10" t="s">
        <v>174</v>
      </c>
      <c r="U4" s="10" t="s">
        <v>175</v>
      </c>
      <c r="V4" s="10" t="s">
        <v>176</v>
      </c>
      <c r="W4" s="10" t="s">
        <v>177</v>
      </c>
      <c r="X4" s="12" t="s">
        <v>178</v>
      </c>
      <c r="Y4" s="13" t="s">
        <v>179</v>
      </c>
      <c r="Z4" s="13" t="s">
        <v>180</v>
      </c>
    </row>
    <row r="5" spans="2:27" ht="30" x14ac:dyDescent="0.25">
      <c r="B5" s="6">
        <v>1</v>
      </c>
      <c r="C5" s="3" t="s">
        <v>10</v>
      </c>
      <c r="D5" s="4" t="s">
        <v>137</v>
      </c>
      <c r="E5" s="72" t="s">
        <v>120</v>
      </c>
      <c r="F5" s="14" t="s">
        <v>181</v>
      </c>
      <c r="G5" s="26">
        <v>358</v>
      </c>
      <c r="H5" s="15">
        <f>G5*10.7639</f>
        <v>3853.4762000000001</v>
      </c>
      <c r="I5" s="3">
        <f>3.65*2</f>
        <v>7.3</v>
      </c>
      <c r="J5" s="26">
        <f>I5*3.28084</f>
        <v>23.950132</v>
      </c>
      <c r="K5" s="3">
        <v>2003</v>
      </c>
      <c r="L5" s="14">
        <v>2024</v>
      </c>
      <c r="M5" s="14">
        <f t="shared" ref="M5:M22" si="0">L5-K5</f>
        <v>21</v>
      </c>
      <c r="N5" s="14">
        <v>60</v>
      </c>
      <c r="O5" s="14">
        <v>0.05</v>
      </c>
      <c r="P5" s="16">
        <f>(1-O5)/N5</f>
        <v>1.5833333333333331E-2</v>
      </c>
      <c r="Q5" s="17">
        <v>1300</v>
      </c>
      <c r="R5" s="17">
        <f>Q5*10.7639</f>
        <v>13993.07</v>
      </c>
      <c r="S5" s="18">
        <f>R5*G5</f>
        <v>5009519.0599999996</v>
      </c>
      <c r="T5" s="18">
        <f>S5*P5*M5</f>
        <v>1665665.0874499995</v>
      </c>
      <c r="U5" s="18">
        <f>MAX(S5-T5,0)</f>
        <v>3343853.9725500001</v>
      </c>
      <c r="V5" s="14">
        <v>0</v>
      </c>
      <c r="W5" s="18">
        <f>IF(U5&gt;O5*S5,U5*(1+V5),S5*O5)</f>
        <v>3343853.9725500001</v>
      </c>
      <c r="X5" s="19">
        <v>800</v>
      </c>
      <c r="Y5" s="20">
        <v>0.99</v>
      </c>
      <c r="Z5" s="21">
        <f>(X5*Y5*G5)</f>
        <v>283536</v>
      </c>
      <c r="AA5">
        <f>W5/R5</f>
        <v>238.965</v>
      </c>
    </row>
    <row r="6" spans="2:27" ht="45" x14ac:dyDescent="0.25">
      <c r="B6" s="6">
        <v>2</v>
      </c>
      <c r="C6" s="3" t="s">
        <v>10</v>
      </c>
      <c r="D6" s="4" t="s">
        <v>138</v>
      </c>
      <c r="E6" s="72" t="s">
        <v>120</v>
      </c>
      <c r="F6" s="14" t="s">
        <v>181</v>
      </c>
      <c r="G6" s="26">
        <v>358</v>
      </c>
      <c r="H6" s="15">
        <f t="shared" ref="H6:H22" si="1">G6*10.7639</f>
        <v>3853.4762000000001</v>
      </c>
      <c r="I6" s="3">
        <f t="shared" ref="I6:I7" si="2">3.65*2</f>
        <v>7.3</v>
      </c>
      <c r="J6" s="26">
        <f t="shared" ref="J6:J22" si="3">I6*3.28084</f>
        <v>23.950132</v>
      </c>
      <c r="K6" s="3">
        <v>2006</v>
      </c>
      <c r="L6" s="14">
        <v>2024</v>
      </c>
      <c r="M6" s="14">
        <f t="shared" si="0"/>
        <v>18</v>
      </c>
      <c r="N6" s="14">
        <v>60</v>
      </c>
      <c r="O6" s="14">
        <v>0.05</v>
      </c>
      <c r="P6" s="16">
        <f>(1-O6)/N6</f>
        <v>1.5833333333333331E-2</v>
      </c>
      <c r="Q6" s="17">
        <v>1300</v>
      </c>
      <c r="R6" s="17">
        <f>Q6*10.7639</f>
        <v>13993.07</v>
      </c>
      <c r="S6" s="18">
        <f>R6*G6</f>
        <v>5009519.0599999996</v>
      </c>
      <c r="T6" s="18">
        <f>S6*P6*M6</f>
        <v>1427712.9320999996</v>
      </c>
      <c r="U6" s="18">
        <f>MAX(S6-T6,0)</f>
        <v>3581806.1278999997</v>
      </c>
      <c r="V6" s="14">
        <v>0</v>
      </c>
      <c r="W6" s="18">
        <f>IF(U6&gt;O6*S6,U6*(1+V6),S6*O6)</f>
        <v>3581806.1278999997</v>
      </c>
      <c r="X6" s="19">
        <v>800</v>
      </c>
      <c r="Y6" s="20">
        <v>0.99</v>
      </c>
      <c r="Z6" s="21">
        <f>X6*H6</f>
        <v>3082780.96</v>
      </c>
    </row>
    <row r="7" spans="2:27" ht="30" x14ac:dyDescent="0.25">
      <c r="B7" s="6">
        <v>3</v>
      </c>
      <c r="C7" s="3" t="s">
        <v>10</v>
      </c>
      <c r="D7" s="4" t="s">
        <v>139</v>
      </c>
      <c r="E7" s="72" t="s">
        <v>120</v>
      </c>
      <c r="F7" s="14" t="s">
        <v>181</v>
      </c>
      <c r="G7" s="26">
        <v>276</v>
      </c>
      <c r="H7" s="15">
        <f t="shared" si="1"/>
        <v>2970.8363999999997</v>
      </c>
      <c r="I7" s="3">
        <f t="shared" si="2"/>
        <v>7.3</v>
      </c>
      <c r="J7" s="26">
        <f t="shared" si="3"/>
        <v>23.950132</v>
      </c>
      <c r="K7" s="3">
        <v>2003</v>
      </c>
      <c r="L7" s="14">
        <v>2024</v>
      </c>
      <c r="M7" s="14">
        <f t="shared" si="0"/>
        <v>21</v>
      </c>
      <c r="N7" s="14">
        <v>60</v>
      </c>
      <c r="O7" s="14">
        <v>0.05</v>
      </c>
      <c r="P7" s="16">
        <f>(1-O7)/N7</f>
        <v>1.5833333333333331E-2</v>
      </c>
      <c r="Q7" s="17">
        <v>1200</v>
      </c>
      <c r="R7" s="17">
        <f>Q7*10.7639</f>
        <v>12916.68</v>
      </c>
      <c r="S7" s="18">
        <f>R7*G7</f>
        <v>3565003.68</v>
      </c>
      <c r="T7" s="18">
        <f>S7*P7*M7</f>
        <v>1185363.7235999999</v>
      </c>
      <c r="U7" s="18">
        <f>MAX(S7-T7,0)</f>
        <v>2379639.9564000005</v>
      </c>
      <c r="V7" s="14">
        <v>0</v>
      </c>
      <c r="W7" s="18">
        <f>IF(U7&gt;O7*S7,U7*(1+V7),S7*O7)</f>
        <v>2379639.9564000005</v>
      </c>
      <c r="X7" s="19">
        <v>800</v>
      </c>
      <c r="Y7" s="20"/>
      <c r="Z7" s="21">
        <f t="shared" ref="Z7:Z9" si="4">X7*H7</f>
        <v>2376669.1199999996</v>
      </c>
    </row>
    <row r="8" spans="2:27" ht="30" x14ac:dyDescent="0.25">
      <c r="B8" s="6">
        <v>4</v>
      </c>
      <c r="C8" s="3" t="s">
        <v>24</v>
      </c>
      <c r="D8" s="4" t="s">
        <v>140</v>
      </c>
      <c r="E8" s="4" t="s">
        <v>12</v>
      </c>
      <c r="F8" s="14" t="s">
        <v>181</v>
      </c>
      <c r="G8" s="26">
        <v>1104</v>
      </c>
      <c r="H8" s="15">
        <f t="shared" si="1"/>
        <v>11883.345599999999</v>
      </c>
      <c r="I8" s="3">
        <f>3.65</f>
        <v>3.65</v>
      </c>
      <c r="J8" s="26">
        <f t="shared" si="3"/>
        <v>11.975066</v>
      </c>
      <c r="K8" s="3">
        <v>2003</v>
      </c>
      <c r="L8" s="14">
        <v>2024</v>
      </c>
      <c r="M8" s="14">
        <f t="shared" si="0"/>
        <v>21</v>
      </c>
      <c r="N8" s="14">
        <v>60</v>
      </c>
      <c r="O8" s="14">
        <v>0.05</v>
      </c>
      <c r="P8" s="16">
        <f>(1-O8)/N8</f>
        <v>1.5833333333333331E-2</v>
      </c>
      <c r="Q8" s="17">
        <v>900</v>
      </c>
      <c r="R8" s="17">
        <f>Q8*10.7639</f>
        <v>9687.51</v>
      </c>
      <c r="S8" s="18">
        <f>R8*G8</f>
        <v>10695011.040000001</v>
      </c>
      <c r="T8" s="18">
        <f>S8*P8*M8</f>
        <v>3556091.1707999995</v>
      </c>
      <c r="U8" s="18">
        <f>MAX(S8-T8,0)</f>
        <v>7138919.8692000015</v>
      </c>
      <c r="V8" s="14">
        <v>0</v>
      </c>
      <c r="W8" s="18">
        <f>IF(U8&gt;O8*S8,U8*(1+V8),S8*O8)</f>
        <v>7138919.8692000015</v>
      </c>
      <c r="X8" s="19">
        <v>800</v>
      </c>
      <c r="Y8" s="20"/>
      <c r="Z8" s="21">
        <f t="shared" si="4"/>
        <v>9506676.4799999986</v>
      </c>
    </row>
    <row r="9" spans="2:27" x14ac:dyDescent="0.25">
      <c r="B9" s="6">
        <v>5</v>
      </c>
      <c r="C9" s="3" t="s">
        <v>24</v>
      </c>
      <c r="D9" s="4" t="s">
        <v>141</v>
      </c>
      <c r="E9" s="4" t="s">
        <v>219</v>
      </c>
      <c r="F9" s="14" t="s">
        <v>181</v>
      </c>
      <c r="G9" s="26">
        <v>57</v>
      </c>
      <c r="H9" s="15">
        <f t="shared" si="1"/>
        <v>613.54229999999995</v>
      </c>
      <c r="I9" s="3">
        <f>3.65</f>
        <v>3.65</v>
      </c>
      <c r="J9" s="26">
        <f t="shared" si="3"/>
        <v>11.975066</v>
      </c>
      <c r="K9" s="3">
        <v>2003</v>
      </c>
      <c r="L9" s="14">
        <v>2024</v>
      </c>
      <c r="M9" s="14">
        <f t="shared" si="0"/>
        <v>21</v>
      </c>
      <c r="N9" s="14">
        <v>60</v>
      </c>
      <c r="O9" s="14">
        <v>0.05</v>
      </c>
      <c r="P9" s="16">
        <f t="shared" ref="P9:P11" si="5">(1-O9)/N9</f>
        <v>1.5833333333333331E-2</v>
      </c>
      <c r="Q9" s="17">
        <v>1000</v>
      </c>
      <c r="R9" s="17">
        <f t="shared" ref="R9:R22" si="6">Q9*10.7639</f>
        <v>10763.9</v>
      </c>
      <c r="S9" s="18">
        <f>R9*G9</f>
        <v>613542.29999999993</v>
      </c>
      <c r="T9" s="18">
        <f t="shared" ref="T9:T22" si="7">S9*P9*M9</f>
        <v>204002.81474999993</v>
      </c>
      <c r="U9" s="18">
        <f t="shared" ref="U9:U22" si="8">MAX(S9-T9,0)</f>
        <v>409539.48525000003</v>
      </c>
      <c r="V9" s="14">
        <v>0</v>
      </c>
      <c r="W9" s="18">
        <f t="shared" ref="W9:W22" si="9">IF(U9&gt;O9*S9,U9*(1+V9),S9*O9)</f>
        <v>409539.48525000003</v>
      </c>
      <c r="X9" s="19">
        <v>800</v>
      </c>
      <c r="Y9" s="20"/>
      <c r="Z9" s="21">
        <f t="shared" si="4"/>
        <v>490833.83999999997</v>
      </c>
    </row>
    <row r="10" spans="2:27" ht="30" x14ac:dyDescent="0.25">
      <c r="B10" s="6">
        <v>6</v>
      </c>
      <c r="C10" s="3" t="s">
        <v>143</v>
      </c>
      <c r="D10" s="4" t="s">
        <v>142</v>
      </c>
      <c r="E10" s="4" t="s">
        <v>12</v>
      </c>
      <c r="F10" s="14" t="s">
        <v>181</v>
      </c>
      <c r="G10" s="26">
        <v>279</v>
      </c>
      <c r="H10" s="15">
        <f t="shared" si="1"/>
        <v>3003.1280999999999</v>
      </c>
      <c r="I10" s="3">
        <f>3*9</f>
        <v>27</v>
      </c>
      <c r="J10" s="26">
        <f t="shared" si="3"/>
        <v>88.582679999999996</v>
      </c>
      <c r="K10" s="3">
        <v>2003</v>
      </c>
      <c r="L10" s="14">
        <v>2024</v>
      </c>
      <c r="M10" s="14">
        <f>L10-K10</f>
        <v>21</v>
      </c>
      <c r="N10" s="14">
        <v>60</v>
      </c>
      <c r="O10" s="14">
        <v>0.05</v>
      </c>
      <c r="P10" s="16">
        <f t="shared" si="5"/>
        <v>1.5833333333333331E-2</v>
      </c>
      <c r="Q10" s="17">
        <v>1200</v>
      </c>
      <c r="R10" s="17">
        <f t="shared" si="6"/>
        <v>12916.68</v>
      </c>
      <c r="S10" s="18">
        <f t="shared" ref="S10:S22" si="10">R10*G10</f>
        <v>3603753.72</v>
      </c>
      <c r="T10" s="18">
        <f t="shared" si="7"/>
        <v>1198248.1118999999</v>
      </c>
      <c r="U10" s="18">
        <f t="shared" si="8"/>
        <v>2405505.6081000003</v>
      </c>
      <c r="V10" s="14">
        <v>0</v>
      </c>
      <c r="W10" s="18">
        <f t="shared" si="9"/>
        <v>2405505.6081000003</v>
      </c>
    </row>
    <row r="11" spans="2:27" x14ac:dyDescent="0.25">
      <c r="B11" s="6">
        <v>7</v>
      </c>
      <c r="C11" s="3" t="s">
        <v>24</v>
      </c>
      <c r="D11" s="4" t="s">
        <v>144</v>
      </c>
      <c r="E11" s="28" t="s">
        <v>147</v>
      </c>
      <c r="F11" s="14" t="s">
        <v>181</v>
      </c>
      <c r="G11" s="26">
        <v>863</v>
      </c>
      <c r="H11" s="15">
        <f t="shared" si="1"/>
        <v>9289.2456999999995</v>
      </c>
      <c r="I11" s="3">
        <v>8</v>
      </c>
      <c r="J11" s="26">
        <f t="shared" si="3"/>
        <v>26.24672</v>
      </c>
      <c r="K11" s="3">
        <v>2003</v>
      </c>
      <c r="L11" s="14">
        <v>2024</v>
      </c>
      <c r="M11" s="14">
        <f t="shared" si="0"/>
        <v>21</v>
      </c>
      <c r="N11" s="14">
        <v>60</v>
      </c>
      <c r="O11" s="14">
        <v>0.05</v>
      </c>
      <c r="P11" s="16">
        <f t="shared" si="5"/>
        <v>1.5833333333333331E-2</v>
      </c>
      <c r="Q11" s="17">
        <v>900</v>
      </c>
      <c r="R11" s="17">
        <f t="shared" si="6"/>
        <v>9687.51</v>
      </c>
      <c r="S11" s="18">
        <f t="shared" si="10"/>
        <v>8360321.1299999999</v>
      </c>
      <c r="T11" s="18">
        <f t="shared" si="7"/>
        <v>2779806.7757249996</v>
      </c>
      <c r="U11" s="18">
        <f t="shared" si="8"/>
        <v>5580514.3542750003</v>
      </c>
      <c r="V11" s="14">
        <v>0</v>
      </c>
      <c r="W11" s="18">
        <f t="shared" si="9"/>
        <v>5580514.3542750003</v>
      </c>
    </row>
    <row r="12" spans="2:27" ht="30" x14ac:dyDescent="0.25">
      <c r="B12" s="6">
        <v>8</v>
      </c>
      <c r="C12" s="3" t="s">
        <v>24</v>
      </c>
      <c r="D12" s="4" t="s">
        <v>145</v>
      </c>
      <c r="E12" s="28" t="s">
        <v>220</v>
      </c>
      <c r="F12" s="14" t="s">
        <v>181</v>
      </c>
      <c r="G12" s="26">
        <v>222</v>
      </c>
      <c r="H12" s="15">
        <f t="shared" si="1"/>
        <v>2389.5857999999998</v>
      </c>
      <c r="I12" s="3">
        <v>6</v>
      </c>
      <c r="J12" s="26">
        <f t="shared" si="3"/>
        <v>19.685040000000001</v>
      </c>
      <c r="K12" s="3">
        <v>2003</v>
      </c>
      <c r="L12" s="14">
        <v>2024</v>
      </c>
      <c r="M12" s="14">
        <f t="shared" si="0"/>
        <v>21</v>
      </c>
      <c r="N12" s="14">
        <v>60</v>
      </c>
      <c r="O12" s="14">
        <v>0.05</v>
      </c>
      <c r="P12" s="16">
        <f>(1-O12)/N12</f>
        <v>1.5833333333333331E-2</v>
      </c>
      <c r="Q12" s="17">
        <v>800</v>
      </c>
      <c r="R12" s="17">
        <f t="shared" si="6"/>
        <v>8611.119999999999</v>
      </c>
      <c r="S12" s="18">
        <f t="shared" si="10"/>
        <v>1911668.6399999997</v>
      </c>
      <c r="T12" s="18">
        <f t="shared" si="7"/>
        <v>635629.82279999973</v>
      </c>
      <c r="U12" s="18">
        <f t="shared" si="8"/>
        <v>1276038.8171999999</v>
      </c>
      <c r="V12" s="14">
        <v>0</v>
      </c>
      <c r="W12" s="18">
        <f t="shared" si="9"/>
        <v>1276038.8171999999</v>
      </c>
    </row>
    <row r="13" spans="2:27" x14ac:dyDescent="0.25">
      <c r="B13" s="6">
        <v>9</v>
      </c>
      <c r="C13" s="3" t="s">
        <v>83</v>
      </c>
      <c r="D13" s="4" t="s">
        <v>82</v>
      </c>
      <c r="E13" s="9" t="s">
        <v>221</v>
      </c>
      <c r="F13" s="14" t="s">
        <v>181</v>
      </c>
      <c r="G13" s="26">
        <v>844</v>
      </c>
      <c r="H13" s="15">
        <f t="shared" si="1"/>
        <v>9084.7315999999992</v>
      </c>
      <c r="I13" s="3">
        <v>3</v>
      </c>
      <c r="J13" s="26">
        <f t="shared" si="3"/>
        <v>9.8425200000000004</v>
      </c>
      <c r="K13" s="3">
        <v>2003</v>
      </c>
      <c r="L13" s="14">
        <v>2024</v>
      </c>
      <c r="M13" s="14">
        <f t="shared" si="0"/>
        <v>21</v>
      </c>
      <c r="N13" s="14">
        <v>60</v>
      </c>
      <c r="O13" s="14">
        <v>0.05</v>
      </c>
      <c r="P13" s="16">
        <f t="shared" ref="P13:P22" si="11">(1-O13)/N13</f>
        <v>1.5833333333333331E-2</v>
      </c>
      <c r="Q13" s="17">
        <v>800</v>
      </c>
      <c r="R13" s="17">
        <f t="shared" si="6"/>
        <v>8611.119999999999</v>
      </c>
      <c r="S13" s="18">
        <f t="shared" si="10"/>
        <v>7267785.2799999993</v>
      </c>
      <c r="T13" s="18">
        <f t="shared" si="7"/>
        <v>2416538.6055999994</v>
      </c>
      <c r="U13" s="18">
        <f t="shared" si="8"/>
        <v>4851246.6743999999</v>
      </c>
      <c r="V13" s="14">
        <v>0</v>
      </c>
      <c r="W13" s="18">
        <f t="shared" si="9"/>
        <v>4851246.6743999999</v>
      </c>
    </row>
    <row r="14" spans="2:27" x14ac:dyDescent="0.25">
      <c r="B14" s="6">
        <v>10</v>
      </c>
      <c r="C14" s="3" t="s">
        <v>24</v>
      </c>
      <c r="D14" s="4" t="s">
        <v>146</v>
      </c>
      <c r="E14" s="28" t="s">
        <v>147</v>
      </c>
      <c r="F14" s="14" t="s">
        <v>181</v>
      </c>
      <c r="G14" s="26">
        <v>139</v>
      </c>
      <c r="H14" s="15">
        <f t="shared" si="1"/>
        <v>1496.1821</v>
      </c>
      <c r="I14" s="3">
        <v>3</v>
      </c>
      <c r="J14" s="26">
        <f t="shared" si="3"/>
        <v>9.8425200000000004</v>
      </c>
      <c r="K14" s="3">
        <v>2003</v>
      </c>
      <c r="L14" s="14">
        <v>2024</v>
      </c>
      <c r="M14" s="14">
        <f t="shared" si="0"/>
        <v>21</v>
      </c>
      <c r="N14" s="14">
        <v>60</v>
      </c>
      <c r="O14" s="14">
        <v>0.05</v>
      </c>
      <c r="P14" s="16">
        <f t="shared" si="11"/>
        <v>1.5833333333333331E-2</v>
      </c>
      <c r="Q14" s="17">
        <v>900</v>
      </c>
      <c r="R14" s="17">
        <f t="shared" si="6"/>
        <v>9687.51</v>
      </c>
      <c r="S14" s="18">
        <f t="shared" si="10"/>
        <v>1346563.8900000001</v>
      </c>
      <c r="T14" s="18">
        <f t="shared" si="7"/>
        <v>447732.49342499994</v>
      </c>
      <c r="U14" s="18">
        <f t="shared" si="8"/>
        <v>898831.39657500014</v>
      </c>
      <c r="V14" s="14">
        <v>0</v>
      </c>
      <c r="W14" s="18">
        <f t="shared" si="9"/>
        <v>898831.39657500014</v>
      </c>
    </row>
    <row r="15" spans="2:27" ht="30" x14ac:dyDescent="0.25">
      <c r="B15" s="6">
        <v>11</v>
      </c>
      <c r="C15" s="3" t="s">
        <v>24</v>
      </c>
      <c r="D15" s="4" t="s">
        <v>148</v>
      </c>
      <c r="E15" s="28" t="s">
        <v>147</v>
      </c>
      <c r="F15" s="14" t="s">
        <v>181</v>
      </c>
      <c r="G15" s="26">
        <v>9</v>
      </c>
      <c r="H15" s="15">
        <f t="shared" si="1"/>
        <v>96.875100000000003</v>
      </c>
      <c r="I15" s="3">
        <v>3</v>
      </c>
      <c r="J15" s="26">
        <f t="shared" si="3"/>
        <v>9.8425200000000004</v>
      </c>
      <c r="K15" s="3">
        <v>2014</v>
      </c>
      <c r="L15" s="14">
        <v>2024</v>
      </c>
      <c r="M15" s="14">
        <f t="shared" si="0"/>
        <v>10</v>
      </c>
      <c r="N15" s="14">
        <v>60</v>
      </c>
      <c r="O15" s="14">
        <v>0.05</v>
      </c>
      <c r="P15" s="16">
        <f t="shared" si="11"/>
        <v>1.5833333333333331E-2</v>
      </c>
      <c r="Q15" s="17">
        <v>1000</v>
      </c>
      <c r="R15" s="17">
        <f t="shared" si="6"/>
        <v>10763.9</v>
      </c>
      <c r="S15" s="18">
        <f t="shared" si="10"/>
        <v>96875.099999999991</v>
      </c>
      <c r="T15" s="18">
        <f t="shared" si="7"/>
        <v>15338.557499999997</v>
      </c>
      <c r="U15" s="18">
        <f t="shared" si="8"/>
        <v>81536.542499999996</v>
      </c>
      <c r="V15" s="14">
        <v>0</v>
      </c>
      <c r="W15" s="18">
        <f t="shared" si="9"/>
        <v>81536.542499999996</v>
      </c>
    </row>
    <row r="16" spans="2:27" ht="30" x14ac:dyDescent="0.25">
      <c r="B16" s="6">
        <v>12</v>
      </c>
      <c r="C16" s="3" t="s">
        <v>150</v>
      </c>
      <c r="D16" s="4" t="s">
        <v>149</v>
      </c>
      <c r="E16" s="9" t="s">
        <v>221</v>
      </c>
      <c r="F16" s="14" t="s">
        <v>181</v>
      </c>
      <c r="G16" s="26">
        <v>143</v>
      </c>
      <c r="H16" s="15">
        <f t="shared" si="1"/>
        <v>1539.2376999999999</v>
      </c>
      <c r="I16" s="3">
        <v>3</v>
      </c>
      <c r="J16" s="26">
        <f t="shared" si="3"/>
        <v>9.8425200000000004</v>
      </c>
      <c r="K16" s="3">
        <v>2016</v>
      </c>
      <c r="L16" s="14">
        <v>2024</v>
      </c>
      <c r="M16" s="14">
        <f t="shared" si="0"/>
        <v>8</v>
      </c>
      <c r="N16" s="14">
        <v>60</v>
      </c>
      <c r="O16" s="14">
        <v>0.05</v>
      </c>
      <c r="P16" s="16">
        <f t="shared" si="11"/>
        <v>1.5833333333333331E-2</v>
      </c>
      <c r="Q16" s="17">
        <v>800</v>
      </c>
      <c r="R16" s="17">
        <f t="shared" si="6"/>
        <v>8611.119999999999</v>
      </c>
      <c r="S16" s="18">
        <f t="shared" si="10"/>
        <v>1231390.1599999999</v>
      </c>
      <c r="T16" s="18">
        <f t="shared" si="7"/>
        <v>155976.08693333331</v>
      </c>
      <c r="U16" s="18">
        <f t="shared" si="8"/>
        <v>1075414.0730666667</v>
      </c>
      <c r="V16" s="14">
        <v>0</v>
      </c>
      <c r="W16" s="18">
        <f t="shared" si="9"/>
        <v>1075414.0730666667</v>
      </c>
    </row>
    <row r="17" spans="2:25" x14ac:dyDescent="0.25">
      <c r="B17" s="6">
        <v>13</v>
      </c>
      <c r="C17" s="3" t="s">
        <v>24</v>
      </c>
      <c r="D17" s="4" t="s">
        <v>23</v>
      </c>
      <c r="E17" s="28" t="s">
        <v>147</v>
      </c>
      <c r="F17" s="14" t="s">
        <v>181</v>
      </c>
      <c r="G17" s="26">
        <v>27</v>
      </c>
      <c r="H17" s="15">
        <f t="shared" si="1"/>
        <v>290.62529999999998</v>
      </c>
      <c r="I17" s="3">
        <v>3</v>
      </c>
      <c r="J17" s="26">
        <f t="shared" si="3"/>
        <v>9.8425200000000004</v>
      </c>
      <c r="K17" s="3">
        <v>2014</v>
      </c>
      <c r="L17" s="14">
        <v>2024</v>
      </c>
      <c r="M17" s="14">
        <f t="shared" si="0"/>
        <v>10</v>
      </c>
      <c r="N17" s="14">
        <v>60</v>
      </c>
      <c r="O17" s="14">
        <v>0.05</v>
      </c>
      <c r="P17" s="16">
        <f t="shared" si="11"/>
        <v>1.5833333333333331E-2</v>
      </c>
      <c r="Q17" s="17">
        <v>900</v>
      </c>
      <c r="R17" s="17">
        <f t="shared" si="6"/>
        <v>9687.51</v>
      </c>
      <c r="S17" s="18">
        <f t="shared" si="10"/>
        <v>261562.77000000002</v>
      </c>
      <c r="T17" s="18">
        <f t="shared" si="7"/>
        <v>41414.105249999993</v>
      </c>
      <c r="U17" s="18">
        <f t="shared" si="8"/>
        <v>220148.66475000003</v>
      </c>
      <c r="V17" s="14">
        <v>0</v>
      </c>
      <c r="W17" s="18">
        <f t="shared" si="9"/>
        <v>220148.66475000003</v>
      </c>
    </row>
    <row r="18" spans="2:25" x14ac:dyDescent="0.25">
      <c r="B18" s="6">
        <v>14</v>
      </c>
      <c r="C18" s="3" t="s">
        <v>24</v>
      </c>
      <c r="D18" s="4" t="s">
        <v>151</v>
      </c>
      <c r="E18" s="4" t="s">
        <v>219</v>
      </c>
      <c r="F18" s="14" t="s">
        <v>181</v>
      </c>
      <c r="G18" s="26">
        <v>52</v>
      </c>
      <c r="H18" s="15">
        <f t="shared" si="1"/>
        <v>559.72280000000001</v>
      </c>
      <c r="I18" s="3">
        <v>4</v>
      </c>
      <c r="J18" s="26">
        <f t="shared" si="3"/>
        <v>13.12336</v>
      </c>
      <c r="K18" s="3">
        <v>2003</v>
      </c>
      <c r="L18" s="14">
        <v>2024</v>
      </c>
      <c r="M18" s="14">
        <f t="shared" si="0"/>
        <v>21</v>
      </c>
      <c r="N18" s="14">
        <v>60</v>
      </c>
      <c r="O18" s="14">
        <v>0.05</v>
      </c>
      <c r="P18" s="16">
        <f t="shared" si="11"/>
        <v>1.5833333333333331E-2</v>
      </c>
      <c r="Q18" s="17">
        <v>1000</v>
      </c>
      <c r="R18" s="17">
        <f t="shared" si="6"/>
        <v>10763.9</v>
      </c>
      <c r="S18" s="18">
        <f t="shared" si="10"/>
        <v>559722.79999999993</v>
      </c>
      <c r="T18" s="18">
        <f t="shared" si="7"/>
        <v>186107.83099999998</v>
      </c>
      <c r="U18" s="18">
        <f t="shared" si="8"/>
        <v>373614.96899999992</v>
      </c>
      <c r="V18" s="14">
        <v>0</v>
      </c>
      <c r="W18" s="18">
        <f t="shared" si="9"/>
        <v>373614.96899999992</v>
      </c>
    </row>
    <row r="19" spans="2:25" ht="30" x14ac:dyDescent="0.25">
      <c r="B19" s="6">
        <v>15</v>
      </c>
      <c r="C19" s="3" t="s">
        <v>24</v>
      </c>
      <c r="D19" s="4" t="s">
        <v>153</v>
      </c>
      <c r="E19" s="4" t="s">
        <v>12</v>
      </c>
      <c r="F19" s="14" t="s">
        <v>181</v>
      </c>
      <c r="G19" s="26">
        <v>3315</v>
      </c>
      <c r="H19" s="15">
        <f t="shared" si="1"/>
        <v>35682.328499999996</v>
      </c>
      <c r="I19" s="3">
        <v>8</v>
      </c>
      <c r="J19" s="26">
        <f t="shared" si="3"/>
        <v>26.24672</v>
      </c>
      <c r="K19" s="3">
        <v>2006</v>
      </c>
      <c r="L19" s="14">
        <v>2024</v>
      </c>
      <c r="M19" s="14">
        <f t="shared" si="0"/>
        <v>18</v>
      </c>
      <c r="N19" s="14">
        <v>60</v>
      </c>
      <c r="O19" s="14">
        <v>0.05</v>
      </c>
      <c r="P19" s="16">
        <f t="shared" si="11"/>
        <v>1.5833333333333331E-2</v>
      </c>
      <c r="Q19" s="17">
        <v>1200</v>
      </c>
      <c r="R19" s="17">
        <f t="shared" si="6"/>
        <v>12916.68</v>
      </c>
      <c r="S19" s="18">
        <f t="shared" si="10"/>
        <v>42818794.200000003</v>
      </c>
      <c r="T19" s="18">
        <f t="shared" si="7"/>
        <v>12203356.346999999</v>
      </c>
      <c r="U19" s="18">
        <f t="shared" si="8"/>
        <v>30615437.853000004</v>
      </c>
      <c r="V19" s="14">
        <v>0</v>
      </c>
      <c r="W19" s="18">
        <f t="shared" si="9"/>
        <v>30615437.853000004</v>
      </c>
    </row>
    <row r="20" spans="2:25" x14ac:dyDescent="0.25">
      <c r="B20" s="6">
        <v>16</v>
      </c>
      <c r="C20" s="3" t="s">
        <v>10</v>
      </c>
      <c r="D20" s="4" t="s">
        <v>155</v>
      </c>
      <c r="E20" s="4" t="s">
        <v>42</v>
      </c>
      <c r="F20" s="14" t="s">
        <v>181</v>
      </c>
      <c r="G20" s="26">
        <v>383</v>
      </c>
      <c r="H20" s="15">
        <f t="shared" si="1"/>
        <v>4122.5736999999999</v>
      </c>
      <c r="I20" s="3">
        <v>4</v>
      </c>
      <c r="J20" s="26">
        <f t="shared" si="3"/>
        <v>13.12336</v>
      </c>
      <c r="K20" s="3">
        <v>2006</v>
      </c>
      <c r="L20" s="14">
        <v>2024</v>
      </c>
      <c r="M20" s="14">
        <f t="shared" si="0"/>
        <v>18</v>
      </c>
      <c r="N20" s="14">
        <v>60</v>
      </c>
      <c r="O20" s="14">
        <v>0.05</v>
      </c>
      <c r="P20" s="16">
        <f t="shared" si="11"/>
        <v>1.5833333333333331E-2</v>
      </c>
      <c r="Q20" s="17">
        <v>1100</v>
      </c>
      <c r="R20" s="17">
        <f t="shared" si="6"/>
        <v>11840.289999999999</v>
      </c>
      <c r="S20" s="18">
        <f t="shared" si="10"/>
        <v>4534831.0699999994</v>
      </c>
      <c r="T20" s="18">
        <f t="shared" si="7"/>
        <v>1292426.8549499998</v>
      </c>
      <c r="U20" s="18">
        <f t="shared" si="8"/>
        <v>3242404.2150499998</v>
      </c>
      <c r="V20" s="14">
        <v>0</v>
      </c>
      <c r="W20" s="18">
        <f t="shared" si="9"/>
        <v>3242404.2150499998</v>
      </c>
    </row>
    <row r="21" spans="2:25" ht="30" customHeight="1" x14ac:dyDescent="0.25">
      <c r="B21" s="6">
        <v>17</v>
      </c>
      <c r="C21" s="3" t="s">
        <v>24</v>
      </c>
      <c r="D21" s="4" t="s">
        <v>187</v>
      </c>
      <c r="E21" s="4" t="s">
        <v>45</v>
      </c>
      <c r="F21" s="14" t="s">
        <v>181</v>
      </c>
      <c r="G21" s="26">
        <v>300</v>
      </c>
      <c r="H21" s="15">
        <f t="shared" si="1"/>
        <v>3229.17</v>
      </c>
      <c r="I21" s="3">
        <v>22</v>
      </c>
      <c r="J21" s="26">
        <f t="shared" si="3"/>
        <v>72.178479999999993</v>
      </c>
      <c r="K21" s="3">
        <v>2020</v>
      </c>
      <c r="L21" s="14">
        <v>2024</v>
      </c>
      <c r="M21" s="14">
        <f t="shared" si="0"/>
        <v>4</v>
      </c>
      <c r="N21" s="14">
        <v>60</v>
      </c>
      <c r="O21" s="14">
        <v>0.05</v>
      </c>
      <c r="P21" s="16">
        <f t="shared" si="11"/>
        <v>1.5833333333333331E-2</v>
      </c>
      <c r="Q21" s="17">
        <v>1200</v>
      </c>
      <c r="R21" s="17">
        <f t="shared" si="6"/>
        <v>12916.68</v>
      </c>
      <c r="S21" s="18">
        <f t="shared" si="10"/>
        <v>3875004</v>
      </c>
      <c r="T21" s="18">
        <f t="shared" si="7"/>
        <v>245416.91999999995</v>
      </c>
      <c r="U21" s="18">
        <f t="shared" si="8"/>
        <v>3629587.08</v>
      </c>
      <c r="V21" s="14">
        <v>0</v>
      </c>
      <c r="W21" s="18">
        <f t="shared" si="9"/>
        <v>3629587.08</v>
      </c>
    </row>
    <row r="22" spans="2:25" ht="30" x14ac:dyDescent="0.25">
      <c r="B22" s="6">
        <v>18</v>
      </c>
      <c r="C22" s="3" t="s">
        <v>10</v>
      </c>
      <c r="D22" s="4" t="s">
        <v>188</v>
      </c>
      <c r="E22" s="4" t="s">
        <v>189</v>
      </c>
      <c r="F22" s="14" t="s">
        <v>181</v>
      </c>
      <c r="G22" s="26">
        <v>336</v>
      </c>
      <c r="H22" s="15">
        <f t="shared" si="1"/>
        <v>3616.6704</v>
      </c>
      <c r="I22" s="3">
        <v>8</v>
      </c>
      <c r="J22" s="26">
        <f t="shared" si="3"/>
        <v>26.24672</v>
      </c>
      <c r="K22" s="3">
        <v>2020</v>
      </c>
      <c r="L22" s="14">
        <v>2024</v>
      </c>
      <c r="M22" s="14">
        <f t="shared" si="0"/>
        <v>4</v>
      </c>
      <c r="N22" s="14">
        <v>60</v>
      </c>
      <c r="O22" s="14">
        <v>0.05</v>
      </c>
      <c r="P22" s="16">
        <f t="shared" si="11"/>
        <v>1.5833333333333331E-2</v>
      </c>
      <c r="Q22" s="17">
        <v>1000</v>
      </c>
      <c r="R22" s="17">
        <f t="shared" si="6"/>
        <v>10763.9</v>
      </c>
      <c r="S22" s="18">
        <f t="shared" si="10"/>
        <v>3616670.4</v>
      </c>
      <c r="T22" s="18">
        <f t="shared" si="7"/>
        <v>229055.79199999996</v>
      </c>
      <c r="U22" s="18">
        <f t="shared" si="8"/>
        <v>3387614.608</v>
      </c>
      <c r="V22" s="14">
        <v>0</v>
      </c>
      <c r="W22" s="18">
        <f t="shared" si="9"/>
        <v>3387614.608</v>
      </c>
    </row>
    <row r="23" spans="2:25" x14ac:dyDescent="0.25">
      <c r="B23" s="86" t="s">
        <v>218</v>
      </c>
      <c r="C23" s="86"/>
      <c r="D23" s="86"/>
      <c r="E23" s="86"/>
      <c r="F23" s="86"/>
      <c r="G23" s="87">
        <f>SUM(G5:G22)</f>
        <v>9065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73">
        <f>SUM(S5:S22)</f>
        <v>104377538.30000001</v>
      </c>
      <c r="T23" s="73">
        <f>SUM(T5:T22)</f>
        <v>29885884.032783329</v>
      </c>
      <c r="U23" s="73">
        <f>SUM(U5:U22)</f>
        <v>74491654.267216668</v>
      </c>
      <c r="V23" s="29"/>
      <c r="W23" s="73">
        <f>SUM(W5:W22)</f>
        <v>74491654.267216668</v>
      </c>
    </row>
    <row r="24" spans="2:25" ht="30" x14ac:dyDescent="0.25">
      <c r="B24" s="6">
        <v>1</v>
      </c>
      <c r="C24" s="3" t="s">
        <v>24</v>
      </c>
      <c r="D24" s="4" t="s">
        <v>98</v>
      </c>
      <c r="E24" s="4" t="s">
        <v>205</v>
      </c>
      <c r="F24" s="14" t="s">
        <v>181</v>
      </c>
      <c r="G24" s="53" t="s">
        <v>206</v>
      </c>
      <c r="H24" s="30"/>
      <c r="I24" s="22">
        <v>4618</v>
      </c>
      <c r="J24" s="24"/>
      <c r="K24" s="22"/>
      <c r="L24" s="29"/>
      <c r="M24" s="29"/>
      <c r="N24" s="29"/>
      <c r="O24" s="29"/>
      <c r="P24" s="31"/>
      <c r="Q24" s="32"/>
      <c r="R24" s="32"/>
      <c r="S24" s="33"/>
      <c r="T24" s="33"/>
      <c r="U24" s="33"/>
      <c r="V24" s="29"/>
      <c r="W24" s="33"/>
      <c r="X24" s="52"/>
      <c r="Y24" s="52"/>
    </row>
    <row r="25" spans="2:25" x14ac:dyDescent="0.25">
      <c r="B25" s="6">
        <v>2</v>
      </c>
      <c r="C25" s="3" t="s">
        <v>24</v>
      </c>
      <c r="D25" s="4" t="s">
        <v>152</v>
      </c>
      <c r="E25" s="4" t="s">
        <v>190</v>
      </c>
      <c r="F25" s="14" t="s">
        <v>181</v>
      </c>
      <c r="G25" s="26">
        <v>520</v>
      </c>
      <c r="H25" s="15">
        <f>G25*10.7639</f>
        <v>5597.2280000000001</v>
      </c>
      <c r="I25" s="3">
        <v>0</v>
      </c>
      <c r="J25" s="26">
        <f>I25*3.28084</f>
        <v>0</v>
      </c>
      <c r="K25" s="3">
        <v>2005</v>
      </c>
      <c r="L25" s="14">
        <v>2024</v>
      </c>
      <c r="M25" s="14">
        <f>L25-K25</f>
        <v>19</v>
      </c>
      <c r="N25" s="14">
        <v>60</v>
      </c>
      <c r="O25" s="14">
        <v>0.05</v>
      </c>
      <c r="P25" s="16">
        <f>(1-O25)/N25</f>
        <v>1.5833333333333331E-2</v>
      </c>
      <c r="Q25" s="17">
        <v>1500</v>
      </c>
      <c r="R25" s="17">
        <f>Q25*10.7639</f>
        <v>16145.849999999999</v>
      </c>
      <c r="S25" s="18">
        <f>R25*G25</f>
        <v>8395842</v>
      </c>
      <c r="T25" s="18">
        <f>S25*P25*M25</f>
        <v>2525749.1349999998</v>
      </c>
      <c r="U25" s="18">
        <f>MAX(S25-T25,0)</f>
        <v>5870092.8650000002</v>
      </c>
      <c r="V25" s="14">
        <v>0.05</v>
      </c>
      <c r="W25" s="18">
        <f>IF(U25&gt;O25*S25,U25*(1+V25),S25*O25)</f>
        <v>6163597.5082500009</v>
      </c>
    </row>
    <row r="26" spans="2:25" x14ac:dyDescent="0.25">
      <c r="B26" s="27"/>
      <c r="C26" s="22"/>
      <c r="D26" s="28"/>
      <c r="E26" s="28"/>
      <c r="F26" s="29"/>
      <c r="G26" s="23"/>
      <c r="H26" s="30"/>
      <c r="I26" s="22">
        <f>14203-4618</f>
        <v>9585</v>
      </c>
      <c r="J26" s="24"/>
      <c r="K26" s="22"/>
      <c r="L26" s="29"/>
      <c r="M26" s="29"/>
      <c r="N26" s="29"/>
      <c r="O26" s="29"/>
      <c r="P26" s="31"/>
      <c r="Q26" s="32"/>
      <c r="R26" s="32"/>
      <c r="S26" s="33"/>
      <c r="T26" s="33"/>
      <c r="U26" s="33"/>
      <c r="V26" s="29"/>
      <c r="W26" s="33"/>
    </row>
    <row r="27" spans="2:25" x14ac:dyDescent="0.25">
      <c r="B27" s="27"/>
      <c r="C27" s="22"/>
      <c r="D27" s="28"/>
      <c r="E27" s="28"/>
      <c r="F27" s="29"/>
      <c r="G27" s="88">
        <f>G23+Residential_Working!G38+Factory_working!G50</f>
        <v>84841</v>
      </c>
      <c r="H27" s="30"/>
      <c r="I27" s="22"/>
      <c r="J27" s="24"/>
      <c r="K27" s="22"/>
      <c r="L27" s="29"/>
      <c r="M27" s="29"/>
      <c r="N27" s="29"/>
      <c r="O27" s="29"/>
      <c r="P27" s="31"/>
    </row>
    <row r="28" spans="2:25" x14ac:dyDescent="0.25">
      <c r="B28" s="27"/>
      <c r="C28" s="22"/>
      <c r="D28" s="28"/>
      <c r="E28" s="28"/>
      <c r="F28" s="29"/>
      <c r="G28" s="23"/>
      <c r="H28" s="30"/>
      <c r="I28" s="22"/>
      <c r="J28" s="24"/>
      <c r="K28" s="22"/>
      <c r="L28" s="29"/>
      <c r="M28" s="29"/>
      <c r="N28" s="29"/>
      <c r="O28" s="29"/>
      <c r="P28" s="31"/>
    </row>
    <row r="29" spans="2:25" x14ac:dyDescent="0.25">
      <c r="B29" s="27"/>
      <c r="C29" s="22"/>
      <c r="D29" s="28"/>
      <c r="E29" s="28"/>
      <c r="F29" s="29"/>
      <c r="G29" s="23"/>
      <c r="H29" s="30"/>
      <c r="I29" s="22"/>
      <c r="J29" s="24"/>
      <c r="K29" s="22"/>
      <c r="L29" s="29"/>
      <c r="M29" s="29"/>
      <c r="N29" s="29"/>
      <c r="O29" s="29"/>
      <c r="P29" s="31"/>
    </row>
    <row r="30" spans="2:25" x14ac:dyDescent="0.25">
      <c r="B30" s="27"/>
      <c r="C30" s="22"/>
      <c r="D30" s="28"/>
      <c r="E30" s="28"/>
      <c r="F30" s="29"/>
      <c r="G30" s="23"/>
      <c r="H30" s="30"/>
      <c r="I30" s="22"/>
      <c r="J30" s="24"/>
      <c r="K30" s="22"/>
      <c r="L30" s="29"/>
      <c r="M30" s="29"/>
      <c r="N30" s="29"/>
      <c r="O30" s="29"/>
      <c r="P30" s="31"/>
    </row>
    <row r="31" spans="2:25" x14ac:dyDescent="0.25">
      <c r="B31" s="27"/>
      <c r="C31" s="22"/>
      <c r="D31" s="28"/>
      <c r="E31" s="28"/>
      <c r="F31" s="29"/>
      <c r="G31" s="23"/>
      <c r="H31" s="30"/>
      <c r="I31" s="22"/>
      <c r="J31" s="24"/>
      <c r="K31" s="22"/>
      <c r="L31" s="29"/>
      <c r="M31" s="29"/>
      <c r="N31" s="29"/>
      <c r="O31" s="29"/>
      <c r="P31" s="31"/>
    </row>
    <row r="32" spans="2:25" x14ac:dyDescent="0.25">
      <c r="B32" s="27"/>
      <c r="C32" s="22"/>
      <c r="D32" s="28"/>
      <c r="E32" s="28"/>
      <c r="F32" s="29"/>
      <c r="G32" s="23"/>
      <c r="H32" s="30"/>
      <c r="I32" s="22"/>
      <c r="J32" s="24"/>
      <c r="K32" s="22"/>
      <c r="L32" s="29"/>
      <c r="M32" s="29"/>
      <c r="N32" s="29"/>
      <c r="O32" s="29"/>
      <c r="P32" s="31"/>
    </row>
    <row r="33" spans="2:16" x14ac:dyDescent="0.25">
      <c r="B33" s="27"/>
      <c r="C33" s="22"/>
      <c r="D33" s="28"/>
      <c r="E33" s="28"/>
      <c r="F33" s="29"/>
      <c r="G33" s="23"/>
      <c r="H33" s="30"/>
      <c r="I33" s="22"/>
      <c r="J33" s="24"/>
      <c r="K33" s="22"/>
      <c r="L33" s="29"/>
      <c r="M33" s="29"/>
      <c r="N33" s="29"/>
      <c r="O33" s="29"/>
      <c r="P33" s="31"/>
    </row>
    <row r="34" spans="2:16" x14ac:dyDescent="0.25">
      <c r="B34" s="27"/>
      <c r="C34" s="22"/>
      <c r="D34" s="28"/>
      <c r="E34" s="28"/>
      <c r="F34" s="29"/>
      <c r="G34" s="23"/>
      <c r="H34" s="30"/>
      <c r="I34" s="22"/>
      <c r="J34" s="24"/>
      <c r="K34" s="22"/>
      <c r="L34" s="29"/>
      <c r="M34" s="29"/>
      <c r="N34" s="29"/>
      <c r="O34" s="29"/>
      <c r="P34" s="31"/>
    </row>
    <row r="35" spans="2:16" x14ac:dyDescent="0.25">
      <c r="B35" s="27"/>
      <c r="C35" s="22"/>
      <c r="D35" s="28"/>
      <c r="E35" s="28"/>
      <c r="F35" s="29"/>
      <c r="G35" s="23"/>
      <c r="H35" s="30"/>
      <c r="I35" s="22"/>
      <c r="J35" s="24"/>
      <c r="K35" s="22"/>
      <c r="L35" s="29"/>
      <c r="M35" s="29"/>
      <c r="N35" s="29"/>
      <c r="O35" s="29"/>
      <c r="P35" s="31"/>
    </row>
    <row r="36" spans="2:16" x14ac:dyDescent="0.25">
      <c r="B36" s="27"/>
      <c r="C36" s="22"/>
      <c r="D36" s="28"/>
      <c r="E36" s="28"/>
      <c r="F36" s="29"/>
      <c r="G36" s="23"/>
      <c r="H36" s="30"/>
      <c r="I36" s="22"/>
      <c r="J36" s="24"/>
      <c r="K36" s="22"/>
      <c r="L36" s="29"/>
      <c r="M36" s="29"/>
      <c r="N36" s="29"/>
      <c r="O36" s="29"/>
      <c r="P36" s="31"/>
    </row>
    <row r="37" spans="2:16" x14ac:dyDescent="0.25">
      <c r="E37" s="28"/>
    </row>
    <row r="38" spans="2:16" x14ac:dyDescent="0.25">
      <c r="E38" s="28"/>
    </row>
    <row r="39" spans="2:16" x14ac:dyDescent="0.25">
      <c r="E39" s="28"/>
    </row>
    <row r="40" spans="2:16" x14ac:dyDescent="0.25">
      <c r="E40" s="28"/>
    </row>
    <row r="41" spans="2:16" x14ac:dyDescent="0.25">
      <c r="E41" s="28"/>
    </row>
    <row r="42" spans="2:16" x14ac:dyDescent="0.25">
      <c r="E42" s="28"/>
    </row>
    <row r="43" spans="2:16" x14ac:dyDescent="0.25">
      <c r="E43" s="28"/>
    </row>
    <row r="44" spans="2:16" x14ac:dyDescent="0.25">
      <c r="E44" s="28"/>
    </row>
    <row r="45" spans="2:16" x14ac:dyDescent="0.25">
      <c r="E45" s="28"/>
    </row>
    <row r="46" spans="2:16" x14ac:dyDescent="0.25">
      <c r="E46" s="28"/>
    </row>
    <row r="47" spans="2:16" x14ac:dyDescent="0.25">
      <c r="E47" s="28"/>
    </row>
  </sheetData>
  <mergeCells count="1">
    <mergeCell ref="B3:Z3"/>
  </mergeCells>
  <dataValidations disablePrompts="1" count="2">
    <dataValidation type="list" allowBlank="1" showErrorMessage="1" sqref="E8 E19:E21 E27">
      <formula1>0</formula1>
      <formula2>0</formula2>
    </dataValidation>
    <dataValidation type="list" allowBlank="1" showInputMessage="1" showErrorMessage="1" promptTitle="Condition of Structure" prompt="Condition of Structure" sqref="F5:F22 F24:F36">
      <formula1>"Poor, Average, Ordinary, Good, Very Good, Excellent"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6"/>
  <sheetViews>
    <sheetView workbookViewId="0">
      <selection activeCell="S6" sqref="S6"/>
    </sheetView>
  </sheetViews>
  <sheetFormatPr defaultRowHeight="15" x14ac:dyDescent="0.25"/>
  <cols>
    <col min="6" max="6" width="12.28515625" customWidth="1"/>
    <col min="7" max="7" width="11.85546875" customWidth="1"/>
    <col min="8" max="8" width="14.28515625" bestFit="1" customWidth="1"/>
    <col min="9" max="9" width="16.5703125" customWidth="1"/>
    <col min="10" max="11" width="0" hidden="1" customWidth="1"/>
    <col min="15" max="15" width="12.5703125" bestFit="1" customWidth="1"/>
    <col min="17" max="17" width="9.140625" style="8"/>
    <col min="18" max="19" width="13.28515625" bestFit="1" customWidth="1"/>
  </cols>
  <sheetData>
    <row r="4" spans="2:19" ht="15.75" x14ac:dyDescent="0.25">
      <c r="B4" s="93" t="s">
        <v>235</v>
      </c>
      <c r="C4" s="93"/>
      <c r="D4" s="93"/>
      <c r="E4" s="93"/>
      <c r="F4" s="93"/>
      <c r="G4" s="93"/>
      <c r="H4" s="93"/>
      <c r="I4" s="93"/>
      <c r="J4" s="93"/>
      <c r="K4" s="94"/>
      <c r="M4" s="93" t="s">
        <v>236</v>
      </c>
      <c r="N4" s="93"/>
      <c r="O4" s="93"/>
      <c r="P4" s="93"/>
      <c r="Q4" s="93"/>
      <c r="R4" s="93"/>
      <c r="S4" s="93"/>
    </row>
    <row r="5" spans="2:19" ht="90" x14ac:dyDescent="0.25">
      <c r="B5" s="34" t="s">
        <v>1</v>
      </c>
      <c r="C5" s="95" t="s">
        <v>191</v>
      </c>
      <c r="D5" s="96"/>
      <c r="E5" s="97"/>
      <c r="F5" s="34" t="s">
        <v>203</v>
      </c>
      <c r="G5" s="34" t="s">
        <v>204</v>
      </c>
      <c r="H5" s="34" t="s">
        <v>194</v>
      </c>
      <c r="I5" s="34" t="s">
        <v>195</v>
      </c>
      <c r="J5" s="35" t="s">
        <v>196</v>
      </c>
      <c r="K5" s="36" t="s">
        <v>197</v>
      </c>
      <c r="M5" s="50" t="s">
        <v>1</v>
      </c>
      <c r="N5" s="92" t="s">
        <v>191</v>
      </c>
      <c r="O5" s="92"/>
      <c r="P5" s="92"/>
      <c r="Q5" s="50" t="s">
        <v>193</v>
      </c>
      <c r="R5" s="50" t="s">
        <v>194</v>
      </c>
      <c r="S5" s="50" t="s">
        <v>195</v>
      </c>
    </row>
    <row r="6" spans="2:19" x14ac:dyDescent="0.25">
      <c r="B6" s="37">
        <v>1</v>
      </c>
      <c r="C6" s="98" t="s">
        <v>222</v>
      </c>
      <c r="D6" s="99"/>
      <c r="E6" s="100"/>
      <c r="F6" s="45">
        <f>Distillery_working!G25</f>
        <v>520</v>
      </c>
      <c r="G6" s="38">
        <f>F6*10.7639</f>
        <v>5597.2280000000001</v>
      </c>
      <c r="H6" s="49">
        <v>1500</v>
      </c>
      <c r="I6" s="48">
        <f>H6*F6</f>
        <v>780000</v>
      </c>
      <c r="J6" s="39">
        <v>0</v>
      </c>
      <c r="K6" s="39">
        <v>0</v>
      </c>
      <c r="M6" s="42">
        <v>1</v>
      </c>
      <c r="N6" s="91" t="s">
        <v>202</v>
      </c>
      <c r="O6" s="91"/>
      <c r="P6" s="91"/>
      <c r="Q6" s="43">
        <f>Distillery_working!I24+Residential_Working!I41+Factory_working!I53</f>
        <v>9406.2999999999993</v>
      </c>
      <c r="R6" s="44">
        <v>2000</v>
      </c>
      <c r="S6" s="51">
        <f>R6*Q6</f>
        <v>18812600</v>
      </c>
    </row>
    <row r="7" spans="2:19" ht="15" customHeight="1" x14ac:dyDescent="0.25">
      <c r="B7" s="37">
        <v>1</v>
      </c>
      <c r="C7" s="98" t="s">
        <v>90</v>
      </c>
      <c r="D7" s="99"/>
      <c r="E7" s="100"/>
      <c r="F7" s="45">
        <f>Factory_working!G55</f>
        <v>40000</v>
      </c>
      <c r="G7" s="38">
        <f>F7*10.7639</f>
        <v>430556</v>
      </c>
      <c r="H7" s="49">
        <v>1500</v>
      </c>
      <c r="I7" s="48">
        <f t="shared" ref="I7:I8" si="0">(F7*H7)</f>
        <v>60000000</v>
      </c>
      <c r="J7" s="39">
        <v>0</v>
      </c>
      <c r="K7" s="39">
        <v>0</v>
      </c>
    </row>
    <row r="8" spans="2:19" x14ac:dyDescent="0.25">
      <c r="B8" s="37">
        <v>2</v>
      </c>
      <c r="C8" s="101" t="s">
        <v>200</v>
      </c>
      <c r="D8" s="102"/>
      <c r="E8" s="103"/>
      <c r="F8" s="45">
        <v>18227</v>
      </c>
      <c r="G8" s="38">
        <f t="shared" ref="G8:G9" si="1">F8*10.7639</f>
        <v>196193.6053</v>
      </c>
      <c r="H8" s="49">
        <v>50</v>
      </c>
      <c r="I8" s="48">
        <f t="shared" si="0"/>
        <v>911350</v>
      </c>
      <c r="J8" s="40">
        <v>0</v>
      </c>
      <c r="K8" s="39">
        <v>0</v>
      </c>
    </row>
    <row r="9" spans="2:19" x14ac:dyDescent="0.25">
      <c r="B9" s="37">
        <v>3</v>
      </c>
      <c r="C9" s="101" t="s">
        <v>201</v>
      </c>
      <c r="D9" s="102"/>
      <c r="E9" s="103"/>
      <c r="F9" s="46">
        <f>Factory_working!G56</f>
        <v>917</v>
      </c>
      <c r="G9" s="38">
        <f t="shared" si="1"/>
        <v>9870.4962999999989</v>
      </c>
      <c r="H9" s="49">
        <v>1500</v>
      </c>
      <c r="I9" s="48">
        <f>H9*F9</f>
        <v>1375500</v>
      </c>
      <c r="J9" s="37">
        <v>0</v>
      </c>
      <c r="K9" s="37">
        <v>0</v>
      </c>
    </row>
    <row r="10" spans="2:19" x14ac:dyDescent="0.25">
      <c r="B10" s="91" t="s">
        <v>199</v>
      </c>
      <c r="C10" s="91"/>
      <c r="D10" s="91"/>
      <c r="E10" s="91"/>
      <c r="F10" s="41">
        <f>SUM(F6:F8)</f>
        <v>58747</v>
      </c>
      <c r="G10" s="41"/>
      <c r="H10" s="41"/>
      <c r="I10" s="47">
        <f>SUM(I6:I9)</f>
        <v>63066850</v>
      </c>
      <c r="J10" s="25"/>
      <c r="K10" s="25"/>
    </row>
    <row r="12" spans="2:19" x14ac:dyDescent="0.25">
      <c r="O12" s="57">
        <f>2000*1000</f>
        <v>2000000</v>
      </c>
      <c r="R12" s="81">
        <f>S6+I10</f>
        <v>81879450</v>
      </c>
    </row>
    <row r="16" spans="2:19" x14ac:dyDescent="0.25">
      <c r="H16" s="63">
        <f>I10+S6</f>
        <v>81879450</v>
      </c>
    </row>
  </sheetData>
  <mergeCells count="10">
    <mergeCell ref="B10:E10"/>
    <mergeCell ref="N5:P5"/>
    <mergeCell ref="N6:P6"/>
    <mergeCell ref="M4:S4"/>
    <mergeCell ref="B4:K4"/>
    <mergeCell ref="C5:E5"/>
    <mergeCell ref="C6:E6"/>
    <mergeCell ref="C7:E7"/>
    <mergeCell ref="C8:E8"/>
    <mergeCell ref="C9:E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4"/>
  <sheetViews>
    <sheetView workbookViewId="0">
      <selection activeCell="K10" sqref="K10"/>
    </sheetView>
  </sheetViews>
  <sheetFormatPr defaultRowHeight="15" x14ac:dyDescent="0.25"/>
  <cols>
    <col min="6" max="6" width="26.5703125" bestFit="1" customWidth="1"/>
    <col min="10" max="10" width="10.85546875" bestFit="1" customWidth="1"/>
    <col min="11" max="11" width="14.28515625" bestFit="1" customWidth="1"/>
  </cols>
  <sheetData>
    <row r="4" spans="2:15" ht="15.75" x14ac:dyDescent="0.25">
      <c r="B4" s="104" t="s">
        <v>234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2:15" ht="57.75" x14ac:dyDescent="0.25">
      <c r="B5" s="58" t="s">
        <v>1</v>
      </c>
      <c r="C5" s="105" t="s">
        <v>191</v>
      </c>
      <c r="D5" s="106"/>
      <c r="E5" s="58" t="s">
        <v>5</v>
      </c>
      <c r="F5" s="58" t="s">
        <v>192</v>
      </c>
      <c r="G5" s="58" t="s">
        <v>6</v>
      </c>
      <c r="H5" s="58" t="s">
        <v>193</v>
      </c>
      <c r="I5" s="58" t="s">
        <v>210</v>
      </c>
      <c r="J5" s="58" t="s">
        <v>194</v>
      </c>
      <c r="K5" s="58" t="s">
        <v>195</v>
      </c>
    </row>
    <row r="6" spans="2:15" ht="30" x14ac:dyDescent="0.25">
      <c r="B6" s="107">
        <v>2</v>
      </c>
      <c r="C6" s="108" t="s">
        <v>211</v>
      </c>
      <c r="D6" s="59" t="s">
        <v>212</v>
      </c>
      <c r="E6" s="60">
        <v>2005</v>
      </c>
      <c r="F6" s="60" t="s">
        <v>213</v>
      </c>
      <c r="G6" s="60" t="s">
        <v>198</v>
      </c>
      <c r="H6" s="59">
        <v>1258</v>
      </c>
      <c r="I6" s="60" t="s">
        <v>198</v>
      </c>
      <c r="J6" s="65">
        <v>1700</v>
      </c>
      <c r="K6" s="64">
        <f>(H6*J6)</f>
        <v>2138600</v>
      </c>
      <c r="O6" s="63"/>
    </row>
    <row r="7" spans="2:15" ht="30" x14ac:dyDescent="0.25">
      <c r="B7" s="107"/>
      <c r="C7" s="108"/>
      <c r="D7" s="59" t="s">
        <v>214</v>
      </c>
      <c r="E7" s="60">
        <v>1990</v>
      </c>
      <c r="F7" s="60" t="s">
        <v>213</v>
      </c>
      <c r="G7" s="60" t="s">
        <v>198</v>
      </c>
      <c r="H7" s="61">
        <v>1177</v>
      </c>
      <c r="I7" s="60" t="s">
        <v>198</v>
      </c>
      <c r="J7" s="64">
        <v>1500</v>
      </c>
      <c r="K7" s="64">
        <f t="shared" ref="K7:K9" si="0">(H7*J7)</f>
        <v>1765500</v>
      </c>
    </row>
    <row r="8" spans="2:15" ht="30" x14ac:dyDescent="0.25">
      <c r="B8" s="107"/>
      <c r="C8" s="108"/>
      <c r="D8" s="59" t="s">
        <v>215</v>
      </c>
      <c r="E8" s="62"/>
      <c r="F8" s="60" t="s">
        <v>213</v>
      </c>
      <c r="G8" s="60" t="s">
        <v>198</v>
      </c>
      <c r="H8" s="61">
        <v>1950</v>
      </c>
      <c r="I8" s="60" t="s">
        <v>198</v>
      </c>
      <c r="J8" s="64">
        <v>1500</v>
      </c>
      <c r="K8" s="64">
        <f t="shared" si="0"/>
        <v>2925000</v>
      </c>
    </row>
    <row r="9" spans="2:15" ht="30" x14ac:dyDescent="0.25">
      <c r="B9" s="107"/>
      <c r="C9" s="108"/>
      <c r="D9" s="59" t="s">
        <v>216</v>
      </c>
      <c r="E9" s="60">
        <v>2003</v>
      </c>
      <c r="F9" s="60" t="s">
        <v>213</v>
      </c>
      <c r="G9" s="60" t="s">
        <v>198</v>
      </c>
      <c r="H9" s="61">
        <v>793</v>
      </c>
      <c r="I9" s="60" t="s">
        <v>198</v>
      </c>
      <c r="J9" s="64">
        <v>1700</v>
      </c>
      <c r="K9" s="64">
        <f t="shared" si="0"/>
        <v>1348100</v>
      </c>
    </row>
    <row r="10" spans="2:15" x14ac:dyDescent="0.25">
      <c r="B10" s="91" t="s">
        <v>199</v>
      </c>
      <c r="C10" s="109"/>
      <c r="D10" s="109"/>
      <c r="E10" s="109"/>
      <c r="F10" s="109"/>
      <c r="G10" s="109"/>
      <c r="H10" s="109"/>
      <c r="I10" s="109"/>
      <c r="J10" s="25"/>
      <c r="K10" s="47">
        <f>SUM(K6:K9)</f>
        <v>8177200</v>
      </c>
    </row>
    <row r="14" spans="2:15" x14ac:dyDescent="0.25">
      <c r="J14" s="63"/>
    </row>
  </sheetData>
  <mergeCells count="5">
    <mergeCell ref="B4:K4"/>
    <mergeCell ref="C5:D5"/>
    <mergeCell ref="B6:B9"/>
    <mergeCell ref="C6:C9"/>
    <mergeCell ref="B10:I10"/>
  </mergeCells>
  <dataValidations count="1">
    <dataValidation type="list" allowBlank="1" showErrorMessage="1" sqref="G6:G9 I6:I9">
      <formula1>"Very Good,Good,Average,Poor,Ordinary with wreckages in the structure"</formula1>
      <formula2>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5"/>
  <sheetViews>
    <sheetView tabSelected="1" workbookViewId="0">
      <selection activeCell="B13" sqref="B13:F13"/>
    </sheetView>
  </sheetViews>
  <sheetFormatPr defaultRowHeight="15" x14ac:dyDescent="0.25"/>
  <cols>
    <col min="3" max="3" width="15.42578125" customWidth="1"/>
    <col min="4" max="4" width="13.7109375" bestFit="1" customWidth="1"/>
    <col min="5" max="5" width="18.5703125" style="8" bestFit="1" customWidth="1"/>
    <col min="6" max="6" width="16.85546875" bestFit="1" customWidth="1"/>
  </cols>
  <sheetData>
    <row r="4" spans="2:6" ht="29.25" customHeight="1" x14ac:dyDescent="0.25">
      <c r="B4" s="119" t="s">
        <v>223</v>
      </c>
      <c r="C4" s="119"/>
      <c r="D4" s="119"/>
      <c r="E4" s="119"/>
      <c r="F4" s="119"/>
    </row>
    <row r="5" spans="2:6" ht="30" x14ac:dyDescent="0.25">
      <c r="B5" s="74" t="s">
        <v>157</v>
      </c>
      <c r="C5" s="120" t="s">
        <v>191</v>
      </c>
      <c r="D5" s="121"/>
      <c r="E5" s="74" t="s">
        <v>224</v>
      </c>
      <c r="F5" s="75" t="s">
        <v>225</v>
      </c>
    </row>
    <row r="6" spans="2:6" x14ac:dyDescent="0.25">
      <c r="B6" s="76">
        <v>1</v>
      </c>
      <c r="C6" s="122" t="s">
        <v>226</v>
      </c>
      <c r="D6" s="123"/>
      <c r="E6" s="82">
        <f>Factory_working!S50</f>
        <v>604682533.90999997</v>
      </c>
      <c r="F6" s="79">
        <f>Factory_working!W50</f>
        <v>146661536.87416875</v>
      </c>
    </row>
    <row r="7" spans="2:6" x14ac:dyDescent="0.25">
      <c r="B7" s="76">
        <v>2</v>
      </c>
      <c r="C7" s="122" t="s">
        <v>227</v>
      </c>
      <c r="D7" s="123"/>
      <c r="E7" s="82">
        <f>Distillery_working!S23</f>
        <v>104377538.30000001</v>
      </c>
      <c r="F7" s="79">
        <f>Distillery_working!W23</f>
        <v>74491654.267216668</v>
      </c>
    </row>
    <row r="8" spans="2:6" x14ac:dyDescent="0.25">
      <c r="B8" s="76">
        <v>3</v>
      </c>
      <c r="C8" s="122" t="s">
        <v>228</v>
      </c>
      <c r="D8" s="123"/>
      <c r="E8" s="82">
        <f>Residential_Working!S38</f>
        <v>372161842.50000006</v>
      </c>
      <c r="F8" s="79">
        <f>Residential_Working!W38</f>
        <v>149637924.08285001</v>
      </c>
    </row>
    <row r="9" spans="2:6" x14ac:dyDescent="0.25">
      <c r="B9" s="113">
        <v>4</v>
      </c>
      <c r="C9" s="113" t="s">
        <v>229</v>
      </c>
      <c r="D9" s="77" t="s">
        <v>239</v>
      </c>
      <c r="E9" s="82">
        <f>F9</f>
        <v>81879450</v>
      </c>
      <c r="F9" s="79">
        <f>'Road_&amp;_other_structures'!S6+'Road_&amp;_other_structures'!I10</f>
        <v>81879450</v>
      </c>
    </row>
    <row r="10" spans="2:6" x14ac:dyDescent="0.25">
      <c r="B10" s="114"/>
      <c r="C10" s="114"/>
      <c r="D10" s="77" t="s">
        <v>211</v>
      </c>
      <c r="E10" s="82">
        <f>F10</f>
        <v>8177200</v>
      </c>
      <c r="F10" s="79">
        <f>Boundary_Wall!K10</f>
        <v>8177200</v>
      </c>
    </row>
    <row r="11" spans="2:6" x14ac:dyDescent="0.25">
      <c r="B11" s="115" t="s">
        <v>199</v>
      </c>
      <c r="C11" s="115"/>
      <c r="D11" s="115"/>
      <c r="E11" s="78">
        <f>SUM(E6:E10)</f>
        <v>1171278564.71</v>
      </c>
      <c r="F11" s="80">
        <f>SUM(F6:F10)</f>
        <v>460847765.22423542</v>
      </c>
    </row>
    <row r="12" spans="2:6" x14ac:dyDescent="0.25">
      <c r="B12" s="116" t="s">
        <v>230</v>
      </c>
      <c r="C12" s="117"/>
      <c r="D12" s="117"/>
      <c r="E12" s="117"/>
      <c r="F12" s="118"/>
    </row>
    <row r="13" spans="2:6" ht="36" customHeight="1" x14ac:dyDescent="0.25">
      <c r="B13" s="110" t="s">
        <v>231</v>
      </c>
      <c r="C13" s="111"/>
      <c r="D13" s="111"/>
      <c r="E13" s="111"/>
      <c r="F13" s="112"/>
    </row>
    <row r="14" spans="2:6" ht="24" customHeight="1" x14ac:dyDescent="0.25">
      <c r="B14" s="110" t="s">
        <v>232</v>
      </c>
      <c r="C14" s="111"/>
      <c r="D14" s="111"/>
      <c r="E14" s="111"/>
      <c r="F14" s="112"/>
    </row>
    <row r="15" spans="2:6" ht="33" customHeight="1" x14ac:dyDescent="0.25">
      <c r="B15" s="110" t="s">
        <v>233</v>
      </c>
      <c r="C15" s="111"/>
      <c r="D15" s="111"/>
      <c r="E15" s="111"/>
      <c r="F15" s="112"/>
    </row>
  </sheetData>
  <mergeCells count="12">
    <mergeCell ref="B4:F4"/>
    <mergeCell ref="C5:D5"/>
    <mergeCell ref="C6:D6"/>
    <mergeCell ref="C7:D7"/>
    <mergeCell ref="C8:D8"/>
    <mergeCell ref="B14:F14"/>
    <mergeCell ref="B15:F15"/>
    <mergeCell ref="B9:B10"/>
    <mergeCell ref="C9:C10"/>
    <mergeCell ref="B11:D11"/>
    <mergeCell ref="B12:F12"/>
    <mergeCell ref="B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Factory</vt:lpstr>
      <vt:lpstr>Distillery</vt:lpstr>
      <vt:lpstr>Residential</vt:lpstr>
      <vt:lpstr>Factory_working</vt:lpstr>
      <vt:lpstr>Residential_Working</vt:lpstr>
      <vt:lpstr>Distillery_working</vt:lpstr>
      <vt:lpstr>Road_&amp;_other_structures</vt:lpstr>
      <vt:lpstr>Boundary_Wall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Abhinav Chaturvedi</cp:lastModifiedBy>
  <cp:lastPrinted>2024-05-01T04:47:17Z</cp:lastPrinted>
  <dcterms:created xsi:type="dcterms:W3CDTF">2022-06-15T05:27:47Z</dcterms:created>
  <dcterms:modified xsi:type="dcterms:W3CDTF">2024-05-01T04:49:56Z</dcterms:modified>
</cp:coreProperties>
</file>