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Yash Bhatnagar\BHSL Report\New Data\FAR Working\Building Valuation\"/>
    </mc:Choice>
  </mc:AlternateContent>
  <bookViews>
    <workbookView xWindow="0" yWindow="0" windowWidth="24000" windowHeight="9735" activeTab="2"/>
  </bookViews>
  <sheets>
    <sheet name="Sugar_Unit_working_Building" sheetId="5" r:id="rId1"/>
    <sheet name="Roads &amp; Drainage" sheetId="9" r:id="rId2"/>
    <sheet name="Summary" sheetId="10" r:id="rId3"/>
  </sheets>
  <definedNames>
    <definedName name="_xlnm._FilterDatabase" localSheetId="0" hidden="1">Sugar_Unit_working_Building!$B$4:$V$59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0" l="1"/>
  <c r="I4" i="10"/>
  <c r="H4" i="10"/>
  <c r="V59" i="5"/>
  <c r="R59" i="5"/>
  <c r="Q67" i="5" l="1"/>
  <c r="R67" i="5" s="1"/>
  <c r="O67" i="5"/>
  <c r="L67" i="5"/>
  <c r="H67" i="5"/>
  <c r="Q66" i="5"/>
  <c r="R66" i="5" s="1"/>
  <c r="O66" i="5"/>
  <c r="L66" i="5"/>
  <c r="H66" i="5"/>
  <c r="Q12" i="5"/>
  <c r="Q13" i="5"/>
  <c r="Q6" i="5"/>
  <c r="Q57" i="5"/>
  <c r="R57" i="5" s="1"/>
  <c r="Q55" i="5"/>
  <c r="R55" i="5" s="1"/>
  <c r="Q56" i="5"/>
  <c r="R56" i="5" s="1"/>
  <c r="Q58" i="5"/>
  <c r="O55" i="5"/>
  <c r="O56" i="5"/>
  <c r="O57" i="5"/>
  <c r="O58" i="5"/>
  <c r="L56" i="5"/>
  <c r="L57" i="5"/>
  <c r="H56" i="5"/>
  <c r="H57" i="5"/>
  <c r="K7" i="9"/>
  <c r="K6" i="9"/>
  <c r="I5" i="9"/>
  <c r="K5" i="9" s="1"/>
  <c r="K4" i="9"/>
  <c r="S66" i="5" l="1"/>
  <c r="T66" i="5" s="1"/>
  <c r="V66" i="5" s="1"/>
  <c r="S67" i="5"/>
  <c r="T67" i="5" s="1"/>
  <c r="V67" i="5" s="1"/>
  <c r="S56" i="5"/>
  <c r="T56" i="5" s="1"/>
  <c r="V56" i="5" s="1"/>
  <c r="S57" i="5"/>
  <c r="T57" i="5" s="1"/>
  <c r="V57" i="5" s="1"/>
  <c r="K8" i="9"/>
  <c r="I5" i="10" s="1"/>
  <c r="I8" i="9"/>
  <c r="L55" i="5" l="1"/>
  <c r="S55" i="5" s="1"/>
  <c r="L58" i="5"/>
  <c r="L14" i="5"/>
  <c r="L15" i="5"/>
  <c r="L16" i="5"/>
  <c r="L17" i="5"/>
  <c r="L18" i="5"/>
  <c r="L19" i="5"/>
  <c r="L20" i="5"/>
  <c r="L21" i="5"/>
  <c r="L22" i="5"/>
  <c r="L23" i="5"/>
  <c r="L24" i="5"/>
  <c r="L25" i="5"/>
  <c r="L26" i="5"/>
  <c r="L27" i="5"/>
  <c r="L28" i="5"/>
  <c r="L29" i="5"/>
  <c r="L30" i="5"/>
  <c r="L32" i="5"/>
  <c r="L33" i="5"/>
  <c r="L34" i="5"/>
  <c r="L35" i="5"/>
  <c r="L36" i="5"/>
  <c r="L37" i="5"/>
  <c r="L38" i="5"/>
  <c r="L39" i="5"/>
  <c r="L40" i="5"/>
  <c r="L41" i="5"/>
  <c r="L42" i="5"/>
  <c r="L43" i="5"/>
  <c r="L44" i="5"/>
  <c r="L45" i="5"/>
  <c r="L46" i="5"/>
  <c r="L47" i="5"/>
  <c r="L48" i="5"/>
  <c r="L49" i="5"/>
  <c r="L51" i="5"/>
  <c r="L52" i="5"/>
  <c r="L54" i="5"/>
  <c r="L12" i="5"/>
  <c r="L13" i="5"/>
  <c r="L7" i="5"/>
  <c r="L8" i="5"/>
  <c r="L9" i="5"/>
  <c r="L10" i="5"/>
  <c r="L11" i="5"/>
  <c r="L6" i="5"/>
  <c r="H17" i="5" l="1"/>
  <c r="H23" i="5"/>
  <c r="H24" i="5"/>
  <c r="H27" i="5"/>
  <c r="H32" i="5"/>
  <c r="H36" i="5"/>
  <c r="H39" i="5"/>
  <c r="H40" i="5"/>
  <c r="H46" i="5"/>
  <c r="H48" i="5"/>
  <c r="H49" i="5"/>
  <c r="H51" i="5"/>
  <c r="H55" i="5"/>
  <c r="G58" i="5"/>
  <c r="G54" i="5"/>
  <c r="H54" i="5" s="1"/>
  <c r="G52" i="5"/>
  <c r="H52" i="5" s="1"/>
  <c r="G47" i="5"/>
  <c r="H47" i="5" s="1"/>
  <c r="G45" i="5"/>
  <c r="H45" i="5" s="1"/>
  <c r="G44" i="5"/>
  <c r="H44" i="5" s="1"/>
  <c r="G43" i="5"/>
  <c r="H43" i="5" s="1"/>
  <c r="G42" i="5"/>
  <c r="H42" i="5" s="1"/>
  <c r="G41" i="5"/>
  <c r="H41" i="5" s="1"/>
  <c r="G38" i="5"/>
  <c r="H38" i="5" s="1"/>
  <c r="G37" i="5"/>
  <c r="H37" i="5" s="1"/>
  <c r="G35" i="5"/>
  <c r="H35" i="5" s="1"/>
  <c r="G34" i="5"/>
  <c r="H34" i="5" s="1"/>
  <c r="G33" i="5"/>
  <c r="H33" i="5" s="1"/>
  <c r="G30" i="5"/>
  <c r="H30" i="5" s="1"/>
  <c r="G29" i="5"/>
  <c r="H29" i="5" s="1"/>
  <c r="G28" i="5"/>
  <c r="H28" i="5" s="1"/>
  <c r="G26" i="5"/>
  <c r="H26" i="5" s="1"/>
  <c r="G25" i="5"/>
  <c r="H25" i="5" s="1"/>
  <c r="G22" i="5"/>
  <c r="H22" i="5" s="1"/>
  <c r="G21" i="5"/>
  <c r="H21" i="5" s="1"/>
  <c r="G20" i="5"/>
  <c r="H20" i="5" s="1"/>
  <c r="G19" i="5"/>
  <c r="H19" i="5" s="1"/>
  <c r="G18" i="5"/>
  <c r="H18" i="5" s="1"/>
  <c r="G16" i="5"/>
  <c r="H16" i="5" s="1"/>
  <c r="G15" i="5"/>
  <c r="H15" i="5" s="1"/>
  <c r="G14" i="5"/>
  <c r="H14" i="5" s="1"/>
  <c r="G13" i="5"/>
  <c r="G12" i="5"/>
  <c r="G11" i="5"/>
  <c r="H11" i="5" s="1"/>
  <c r="G10" i="5"/>
  <c r="H10" i="5" s="1"/>
  <c r="G9" i="5"/>
  <c r="H9" i="5" s="1"/>
  <c r="G8" i="5"/>
  <c r="H8" i="5" s="1"/>
  <c r="G7" i="5"/>
  <c r="H7" i="5" s="1"/>
  <c r="G6" i="5"/>
  <c r="R6" i="5" s="1"/>
  <c r="H12" i="5" l="1"/>
  <c r="R12" i="5"/>
  <c r="H13" i="5"/>
  <c r="R13" i="5"/>
  <c r="H6" i="5"/>
  <c r="H58" i="5"/>
  <c r="R58" i="5"/>
  <c r="Q39" i="5"/>
  <c r="R39" i="5" s="1"/>
  <c r="Q40" i="5"/>
  <c r="R40" i="5" s="1"/>
  <c r="Q41" i="5"/>
  <c r="R41" i="5" s="1"/>
  <c r="Q42" i="5"/>
  <c r="R42" i="5" s="1"/>
  <c r="Q43" i="5"/>
  <c r="R43" i="5" s="1"/>
  <c r="Q44" i="5"/>
  <c r="R44" i="5" s="1"/>
  <c r="Q45" i="5"/>
  <c r="R45" i="5" s="1"/>
  <c r="Q46" i="5"/>
  <c r="R46" i="5" s="1"/>
  <c r="Q47" i="5"/>
  <c r="R47" i="5" s="1"/>
  <c r="Q48" i="5"/>
  <c r="R48" i="5" s="1"/>
  <c r="R49" i="5"/>
  <c r="R52" i="5"/>
  <c r="Q54" i="5"/>
  <c r="R54" i="5" s="1"/>
  <c r="X58" i="5" s="1"/>
  <c r="O39" i="5"/>
  <c r="O40" i="5"/>
  <c r="O41" i="5"/>
  <c r="O42" i="5"/>
  <c r="O43" i="5"/>
  <c r="O44" i="5"/>
  <c r="O45" i="5"/>
  <c r="O46" i="5"/>
  <c r="O47" i="5"/>
  <c r="O48" i="5"/>
  <c r="O49" i="5"/>
  <c r="O51" i="5"/>
  <c r="O52" i="5"/>
  <c r="O54" i="5"/>
  <c r="Q38" i="5"/>
  <c r="R38" i="5" s="1"/>
  <c r="O38" i="5"/>
  <c r="Q37" i="5"/>
  <c r="R37" i="5" s="1"/>
  <c r="O37" i="5"/>
  <c r="Q36" i="5"/>
  <c r="R36" i="5" s="1"/>
  <c r="O36" i="5"/>
  <c r="Q35" i="5"/>
  <c r="R35" i="5" s="1"/>
  <c r="O35" i="5"/>
  <c r="Q34" i="5"/>
  <c r="R34" i="5" s="1"/>
  <c r="O34" i="5"/>
  <c r="Q33" i="5"/>
  <c r="R33" i="5" s="1"/>
  <c r="O33" i="5"/>
  <c r="Q32" i="5"/>
  <c r="R32" i="5" s="1"/>
  <c r="O32" i="5"/>
  <c r="Q30" i="5"/>
  <c r="R30" i="5" s="1"/>
  <c r="O30" i="5"/>
  <c r="Q29" i="5"/>
  <c r="R29" i="5" s="1"/>
  <c r="O29" i="5"/>
  <c r="Q28" i="5"/>
  <c r="R28" i="5" s="1"/>
  <c r="O28" i="5"/>
  <c r="Q27" i="5"/>
  <c r="R27" i="5" s="1"/>
  <c r="O27" i="5"/>
  <c r="Q26" i="5"/>
  <c r="R26" i="5" s="1"/>
  <c r="O26" i="5"/>
  <c r="Q25" i="5"/>
  <c r="R25" i="5" s="1"/>
  <c r="O25" i="5"/>
  <c r="Q24" i="5"/>
  <c r="R24" i="5" s="1"/>
  <c r="O24" i="5"/>
  <c r="Q23" i="5"/>
  <c r="R23" i="5" s="1"/>
  <c r="O23" i="5"/>
  <c r="Q22" i="5"/>
  <c r="R22" i="5" s="1"/>
  <c r="O22" i="5"/>
  <c r="Q21" i="5"/>
  <c r="R21" i="5" s="1"/>
  <c r="O21" i="5"/>
  <c r="Q20" i="5"/>
  <c r="R20" i="5" s="1"/>
  <c r="O20" i="5"/>
  <c r="Q19" i="5"/>
  <c r="R19" i="5" s="1"/>
  <c r="O19" i="5"/>
  <c r="Q18" i="5"/>
  <c r="R18" i="5" s="1"/>
  <c r="O18" i="5"/>
  <c r="Q17" i="5"/>
  <c r="R17" i="5" s="1"/>
  <c r="O17" i="5"/>
  <c r="Q16" i="5"/>
  <c r="R16" i="5" s="1"/>
  <c r="O16" i="5"/>
  <c r="Q15" i="5"/>
  <c r="R15" i="5" s="1"/>
  <c r="O15" i="5"/>
  <c r="Q14" i="5"/>
  <c r="R14" i="5" s="1"/>
  <c r="O14" i="5"/>
  <c r="O13" i="5"/>
  <c r="O12" i="5"/>
  <c r="Q11" i="5"/>
  <c r="R11" i="5" s="1"/>
  <c r="O11" i="5"/>
  <c r="Q10" i="5"/>
  <c r="R10" i="5" s="1"/>
  <c r="O10" i="5"/>
  <c r="Q9" i="5"/>
  <c r="R9" i="5" s="1"/>
  <c r="O9" i="5"/>
  <c r="Q8" i="5"/>
  <c r="R8" i="5" s="1"/>
  <c r="O8" i="5"/>
  <c r="Q7" i="5"/>
  <c r="R7" i="5" s="1"/>
  <c r="O7" i="5"/>
  <c r="O6" i="5"/>
  <c r="X30" i="5" l="1"/>
  <c r="X49" i="5"/>
  <c r="S6" i="5"/>
  <c r="T6" i="5" s="1"/>
  <c r="V6" i="5" s="1"/>
  <c r="S12" i="5"/>
  <c r="T12" i="5" s="1"/>
  <c r="V12" i="5" s="1"/>
  <c r="S13" i="5"/>
  <c r="T13" i="5" s="1"/>
  <c r="V13" i="5" s="1"/>
  <c r="S58" i="5"/>
  <c r="T58" i="5" s="1"/>
  <c r="V58" i="5" s="1"/>
  <c r="R51" i="5"/>
  <c r="X52" i="5" s="1"/>
  <c r="S54" i="5"/>
  <c r="T54" i="5" s="1"/>
  <c r="V54" i="5" s="1"/>
  <c r="S49" i="5"/>
  <c r="T49" i="5" s="1"/>
  <c r="V49" i="5" s="1"/>
  <c r="S52" i="5"/>
  <c r="T52" i="5" s="1"/>
  <c r="V52" i="5" s="1"/>
  <c r="S48" i="5"/>
  <c r="T48" i="5" s="1"/>
  <c r="V48" i="5" s="1"/>
  <c r="S44" i="5"/>
  <c r="T44" i="5" s="1"/>
  <c r="V44" i="5" s="1"/>
  <c r="S40" i="5"/>
  <c r="T40" i="5" s="1"/>
  <c r="V40" i="5" s="1"/>
  <c r="S41" i="5"/>
  <c r="T41" i="5" s="1"/>
  <c r="V41" i="5" s="1"/>
  <c r="S45" i="5"/>
  <c r="T45" i="5" s="1"/>
  <c r="V45" i="5" s="1"/>
  <c r="S47" i="5"/>
  <c r="T47" i="5" s="1"/>
  <c r="V47" i="5" s="1"/>
  <c r="S43" i="5"/>
  <c r="T43" i="5" s="1"/>
  <c r="V43" i="5" s="1"/>
  <c r="S39" i="5"/>
  <c r="T39" i="5" s="1"/>
  <c r="V39" i="5" s="1"/>
  <c r="S46" i="5"/>
  <c r="T46" i="5" s="1"/>
  <c r="V46" i="5" s="1"/>
  <c r="S42" i="5"/>
  <c r="T42" i="5" s="1"/>
  <c r="V42" i="5" s="1"/>
  <c r="S8" i="5"/>
  <c r="T8" i="5" s="1"/>
  <c r="V8" i="5" s="1"/>
  <c r="S10" i="5"/>
  <c r="T10" i="5" s="1"/>
  <c r="V10" i="5" s="1"/>
  <c r="S14" i="5"/>
  <c r="T14" i="5" s="1"/>
  <c r="V14" i="5" s="1"/>
  <c r="S16" i="5"/>
  <c r="T16" i="5" s="1"/>
  <c r="V16" i="5" s="1"/>
  <c r="S18" i="5"/>
  <c r="T18" i="5" s="1"/>
  <c r="V18" i="5" s="1"/>
  <c r="S20" i="5"/>
  <c r="T20" i="5" s="1"/>
  <c r="V20" i="5" s="1"/>
  <c r="S22" i="5"/>
  <c r="T22" i="5" s="1"/>
  <c r="V22" i="5" s="1"/>
  <c r="S24" i="5"/>
  <c r="T24" i="5" s="1"/>
  <c r="V24" i="5" s="1"/>
  <c r="S27" i="5"/>
  <c r="T27" i="5" s="1"/>
  <c r="V27" i="5" s="1"/>
  <c r="S9" i="5"/>
  <c r="T9" i="5" s="1"/>
  <c r="V9" i="5" s="1"/>
  <c r="S11" i="5"/>
  <c r="T11" i="5" s="1"/>
  <c r="V11" i="5" s="1"/>
  <c r="S15" i="5"/>
  <c r="T15" i="5" s="1"/>
  <c r="V15" i="5" s="1"/>
  <c r="S17" i="5"/>
  <c r="T17" i="5" s="1"/>
  <c r="V17" i="5" s="1"/>
  <c r="S19" i="5"/>
  <c r="T19" i="5" s="1"/>
  <c r="V19" i="5" s="1"/>
  <c r="S21" i="5"/>
  <c r="T21" i="5" s="1"/>
  <c r="V21" i="5" s="1"/>
  <c r="S23" i="5"/>
  <c r="T23" i="5" s="1"/>
  <c r="V23" i="5" s="1"/>
  <c r="S25" i="5"/>
  <c r="T25" i="5" s="1"/>
  <c r="V25" i="5" s="1"/>
  <c r="S26" i="5"/>
  <c r="T26" i="5" s="1"/>
  <c r="V26" i="5" s="1"/>
  <c r="S28" i="5"/>
  <c r="T28" i="5" s="1"/>
  <c r="V28" i="5" s="1"/>
  <c r="S7" i="5"/>
  <c r="S29" i="5"/>
  <c r="T29" i="5" s="1"/>
  <c r="V29" i="5" s="1"/>
  <c r="S30" i="5"/>
  <c r="T30" i="5" s="1"/>
  <c r="V30" i="5" s="1"/>
  <c r="S32" i="5"/>
  <c r="T32" i="5" s="1"/>
  <c r="V32" i="5" s="1"/>
  <c r="S33" i="5"/>
  <c r="T33" i="5" s="1"/>
  <c r="V33" i="5" s="1"/>
  <c r="S34" i="5"/>
  <c r="T34" i="5" s="1"/>
  <c r="V34" i="5" s="1"/>
  <c r="S35" i="5"/>
  <c r="T35" i="5" s="1"/>
  <c r="V35" i="5" s="1"/>
  <c r="S36" i="5"/>
  <c r="T36" i="5" s="1"/>
  <c r="V36" i="5" s="1"/>
  <c r="S37" i="5"/>
  <c r="T37" i="5" s="1"/>
  <c r="V37" i="5" s="1"/>
  <c r="S38" i="5"/>
  <c r="T38" i="5" s="1"/>
  <c r="V38" i="5" s="1"/>
  <c r="H6" i="10" l="1"/>
  <c r="W49" i="5"/>
  <c r="T7" i="5"/>
  <c r="S51" i="5"/>
  <c r="V7" i="5" l="1"/>
  <c r="W30" i="5" s="1"/>
  <c r="T51" i="5"/>
  <c r="V51" i="5" s="1"/>
  <c r="W52" i="5" s="1"/>
  <c r="T55" i="5"/>
  <c r="V55" i="5" l="1"/>
  <c r="W58" i="5" s="1"/>
  <c r="I6" i="10" s="1"/>
</calcChain>
</file>

<file path=xl/sharedStrings.xml><?xml version="1.0" encoding="utf-8"?>
<sst xmlns="http://schemas.openxmlformats.org/spreadsheetml/2006/main" count="229" uniqueCount="116">
  <si>
    <t>S.No.</t>
  </si>
  <si>
    <t>Block Name</t>
  </si>
  <si>
    <t>Total Slabs/ Floors</t>
  </si>
  <si>
    <t>Floor wise Height (ft.)</t>
  </si>
  <si>
    <t>Year of construction</t>
  </si>
  <si>
    <t xml:space="preserve">RCC </t>
  </si>
  <si>
    <t>Sr. No.</t>
  </si>
  <si>
    <t>Floor</t>
  </si>
  <si>
    <t xml:space="preserve">Block Name </t>
  </si>
  <si>
    <t>Construction Category</t>
  </si>
  <si>
    <t>Condition of Structure</t>
  </si>
  <si>
    <t>Year of Construction</t>
  </si>
  <si>
    <t xml:space="preserve">Year of Valuation </t>
  </si>
  <si>
    <t>Salvage value</t>
  </si>
  <si>
    <t>Depreciation Rate</t>
  </si>
  <si>
    <t>Good</t>
  </si>
  <si>
    <r>
      <t xml:space="preserve">Premium </t>
    </r>
    <r>
      <rPr>
        <i/>
        <sz val="10"/>
        <rFont val="Calibri"/>
        <family val="2"/>
        <scheme val="minor"/>
      </rPr>
      <t>(For additional aesthetics or renovation)</t>
    </r>
  </si>
  <si>
    <r>
      <t xml:space="preserve">Depreciated Replacement Market Value
</t>
    </r>
    <r>
      <rPr>
        <b/>
        <i/>
        <sz val="10"/>
        <rFont val="Calibri"/>
        <family val="2"/>
        <scheme val="minor"/>
      </rPr>
      <t>(</t>
    </r>
    <r>
      <rPr>
        <i/>
        <sz val="10"/>
        <rFont val="Calibri"/>
        <family val="2"/>
        <scheme val="minor"/>
      </rPr>
      <t>INR</t>
    </r>
    <r>
      <rPr>
        <b/>
        <i/>
        <sz val="10"/>
        <rFont val="Calibri"/>
        <family val="2"/>
        <scheme val="minor"/>
      </rPr>
      <t>)</t>
    </r>
  </si>
  <si>
    <r>
      <t xml:space="preserve">Depreciated Value
</t>
    </r>
    <r>
      <rPr>
        <b/>
        <i/>
        <sz val="10"/>
        <rFont val="Calibri"/>
        <family val="2"/>
        <scheme val="minor"/>
      </rPr>
      <t>(</t>
    </r>
    <r>
      <rPr>
        <i/>
        <sz val="10"/>
        <rFont val="Calibri"/>
        <family val="2"/>
        <scheme val="minor"/>
      </rPr>
      <t>INR</t>
    </r>
    <r>
      <rPr>
        <b/>
        <i/>
        <sz val="10"/>
        <rFont val="Calibri"/>
        <family val="2"/>
        <scheme val="minor"/>
      </rPr>
      <t>)</t>
    </r>
  </si>
  <si>
    <r>
      <t xml:space="preserve">Total Deterioration 
</t>
    </r>
    <r>
      <rPr>
        <b/>
        <i/>
        <sz val="10"/>
        <rFont val="Calibri"/>
        <family val="2"/>
        <scheme val="minor"/>
      </rPr>
      <t>(</t>
    </r>
    <r>
      <rPr>
        <i/>
        <sz val="10"/>
        <rFont val="Calibri"/>
        <family val="2"/>
        <scheme val="minor"/>
      </rPr>
      <t>INR</t>
    </r>
    <r>
      <rPr>
        <b/>
        <i/>
        <sz val="10"/>
        <rFont val="Calibri"/>
        <family val="2"/>
        <scheme val="minor"/>
      </rPr>
      <t xml:space="preserve">) </t>
    </r>
  </si>
  <si>
    <r>
      <t xml:space="preserve">Gross Replacement Value
</t>
    </r>
    <r>
      <rPr>
        <b/>
        <i/>
        <sz val="10"/>
        <rFont val="Calibri"/>
        <family val="2"/>
        <scheme val="minor"/>
      </rPr>
      <t>(</t>
    </r>
    <r>
      <rPr>
        <i/>
        <sz val="10"/>
        <rFont val="Calibri"/>
        <family val="2"/>
        <scheme val="minor"/>
      </rPr>
      <t>INR</t>
    </r>
    <r>
      <rPr>
        <b/>
        <i/>
        <sz val="10"/>
        <rFont val="Calibri"/>
        <family val="2"/>
        <scheme val="minor"/>
      </rPr>
      <t>)</t>
    </r>
  </si>
  <si>
    <r>
      <t xml:space="preserve">Plinth Area  Rate 
</t>
    </r>
    <r>
      <rPr>
        <b/>
        <i/>
        <sz val="10"/>
        <rFont val="Calibri"/>
        <family val="2"/>
        <scheme val="minor"/>
      </rPr>
      <t>(</t>
    </r>
    <r>
      <rPr>
        <i/>
        <sz val="10"/>
        <rFont val="Calibri"/>
        <family val="2"/>
        <scheme val="minor"/>
      </rPr>
      <t>In per sq. mtr.</t>
    </r>
    <r>
      <rPr>
        <b/>
        <i/>
        <sz val="10"/>
        <rFont val="Calibri"/>
        <family val="2"/>
        <scheme val="minor"/>
      </rPr>
      <t>)</t>
    </r>
  </si>
  <si>
    <r>
      <t xml:space="preserve">Plinth Area  Rate 
</t>
    </r>
    <r>
      <rPr>
        <i/>
        <sz val="10"/>
        <rFont val="Calibri"/>
        <family val="2"/>
        <scheme val="minor"/>
      </rPr>
      <t>(in per sq.ft.)</t>
    </r>
  </si>
  <si>
    <r>
      <t xml:space="preserve">Total Economical Life
</t>
    </r>
    <r>
      <rPr>
        <i/>
        <sz val="10"/>
        <rFont val="Calibri"/>
        <family val="2"/>
        <scheme val="minor"/>
      </rPr>
      <t>(in yrs.)</t>
    </r>
  </si>
  <si>
    <r>
      <t xml:space="preserve">Total Life Consumed 
</t>
    </r>
    <r>
      <rPr>
        <i/>
        <sz val="10"/>
        <rFont val="Calibri"/>
        <family val="2"/>
        <scheme val="minor"/>
      </rPr>
      <t>(in yrs.)</t>
    </r>
  </si>
  <si>
    <r>
      <t xml:space="preserve">Height 
</t>
    </r>
    <r>
      <rPr>
        <b/>
        <i/>
        <sz val="10"/>
        <rFont val="Calibri"/>
        <family val="2"/>
        <scheme val="minor"/>
      </rPr>
      <t>(</t>
    </r>
    <r>
      <rPr>
        <i/>
        <sz val="10"/>
        <rFont val="Calibri"/>
        <family val="2"/>
        <scheme val="minor"/>
      </rPr>
      <t>mtr.</t>
    </r>
    <r>
      <rPr>
        <b/>
        <i/>
        <sz val="10"/>
        <rFont val="Calibri"/>
        <family val="2"/>
        <scheme val="minor"/>
      </rPr>
      <t>)</t>
    </r>
  </si>
  <si>
    <r>
      <t xml:space="preserve">Area 
</t>
    </r>
    <r>
      <rPr>
        <i/>
        <sz val="10"/>
        <rFont val="Calibri"/>
        <family val="2"/>
        <scheme val="minor"/>
      </rPr>
      <t>(in sq.ft)</t>
    </r>
  </si>
  <si>
    <r>
      <t xml:space="preserve">Area 
</t>
    </r>
    <r>
      <rPr>
        <i/>
        <sz val="10"/>
        <rFont val="Calibri"/>
        <family val="2"/>
        <scheme val="minor"/>
      </rPr>
      <t>(in sq mtr)</t>
    </r>
  </si>
  <si>
    <t xml:space="preserve">Truck Parking </t>
  </si>
  <si>
    <t>Weigh Bridge Cabins</t>
  </si>
  <si>
    <t xml:space="preserve">Mill House </t>
  </si>
  <si>
    <t>Mill House Control and Instrument Room (2 Nos)</t>
  </si>
  <si>
    <t xml:space="preserve">Workshop </t>
  </si>
  <si>
    <t xml:space="preserve">Power House </t>
  </si>
  <si>
    <t xml:space="preserve">Boiler House </t>
  </si>
  <si>
    <t>Boiling House (Clarification House, Pan &amp; Sugar, Drier House)</t>
  </si>
  <si>
    <t xml:space="preserve">Store House </t>
  </si>
  <si>
    <t xml:space="preserve">Lime &amp; Sulphur Godown </t>
  </si>
  <si>
    <t xml:space="preserve">DG House </t>
  </si>
  <si>
    <t>Chimney (Dia 5Mtr , Ht: 65 Mtr)</t>
  </si>
  <si>
    <t xml:space="preserve">Injection Pump House </t>
  </si>
  <si>
    <t xml:space="preserve">Weigh Bridge Cabins </t>
  </si>
  <si>
    <t xml:space="preserve">Token Room </t>
  </si>
  <si>
    <t xml:space="preserve">Staff Canteen </t>
  </si>
  <si>
    <t xml:space="preserve">Worker's Canteen </t>
  </si>
  <si>
    <t xml:space="preserve">Cane Complex &amp; Dispensary </t>
  </si>
  <si>
    <t xml:space="preserve">Administration Block </t>
  </si>
  <si>
    <t xml:space="preserve">Time Office </t>
  </si>
  <si>
    <t xml:space="preserve">Sugar Godown </t>
  </si>
  <si>
    <t>Gate Cabin (Nos)</t>
  </si>
  <si>
    <t xml:space="preserve">Lab Building </t>
  </si>
  <si>
    <t xml:space="preserve">Excise Office </t>
  </si>
  <si>
    <t xml:space="preserve">Pres Mud Room </t>
  </si>
  <si>
    <t xml:space="preserve">Under Ground Water Tank </t>
  </si>
  <si>
    <t xml:space="preserve">Gunny Bags Godown ,Drying and Printing Room </t>
  </si>
  <si>
    <t xml:space="preserve">Bagasse Yard </t>
  </si>
  <si>
    <t xml:space="preserve">Boundry Wall for Bio Gas and Plant Area </t>
  </si>
  <si>
    <t xml:space="preserve">D.M.Plant </t>
  </si>
  <si>
    <t xml:space="preserve">Fermentation House </t>
  </si>
  <si>
    <t xml:space="preserve">Weigh Bridge Cabin </t>
  </si>
  <si>
    <t xml:space="preserve">Reception and Security Cabin </t>
  </si>
  <si>
    <t xml:space="preserve">Administration &amp; Excise Office </t>
  </si>
  <si>
    <t xml:space="preserve">Maintainance and Store Rooms </t>
  </si>
  <si>
    <t xml:space="preserve">Farmer Hut </t>
  </si>
  <si>
    <t xml:space="preserve">Sales Office </t>
  </si>
  <si>
    <t xml:space="preserve">Cane Hostel </t>
  </si>
  <si>
    <t xml:space="preserve">Labour General Toilets </t>
  </si>
  <si>
    <t xml:space="preserve">Telephone Room,Comercial and Enquiry Room </t>
  </si>
  <si>
    <t xml:space="preserve">Unit Head office </t>
  </si>
  <si>
    <t xml:space="preserve">ATM and SBI Building </t>
  </si>
  <si>
    <t xml:space="preserve">MCC Panel For Drier House </t>
  </si>
  <si>
    <t xml:space="preserve">MCC For Centrifugal House </t>
  </si>
  <si>
    <t xml:space="preserve">Road :RCC </t>
  </si>
  <si>
    <t xml:space="preserve">Drain </t>
  </si>
  <si>
    <t>Boundry Wall</t>
  </si>
  <si>
    <t xml:space="preserve">Residential &amp; Public Buildings </t>
  </si>
  <si>
    <t xml:space="preserve">Single Room Qtrs - Horticulture </t>
  </si>
  <si>
    <t xml:space="preserve">Recreation Club (Single Room Qtrs ) </t>
  </si>
  <si>
    <t>Mess (Single Room Qtrs)</t>
  </si>
  <si>
    <t xml:space="preserve">Dormitory (Guest House) </t>
  </si>
  <si>
    <t xml:space="preserve">Labour Hutment </t>
  </si>
  <si>
    <t>RCC column beams stone masonry wails in cement, bricks, steel etc.</t>
  </si>
  <si>
    <t>GI shed roof mounted on iron pillars, trusses frame structure resting on brick wall</t>
  </si>
  <si>
    <t>ANNEXURE :B | OTHER STRUCTURE VALUATION  | BAJAJ HINDUSTHAN SUGAR LIMITED |KHAMBARKHERA, LAKHIMPUR KHERI, UTTAR PRADESH</t>
  </si>
  <si>
    <t xml:space="preserve">Type of construction     </t>
  </si>
  <si>
    <t>Structure condition</t>
  </si>
  <si>
    <r>
      <t xml:space="preserve">Legth 
</t>
    </r>
    <r>
      <rPr>
        <i/>
        <sz val="9"/>
        <rFont val="Arial"/>
        <family val="2"/>
      </rPr>
      <t>(In running Mtr.)</t>
    </r>
  </si>
  <si>
    <t xml:space="preserve">Rate adopted </t>
  </si>
  <si>
    <t xml:space="preserve"> Fair Market Value</t>
  </si>
  <si>
    <t>Average</t>
  </si>
  <si>
    <t>Total</t>
  </si>
  <si>
    <t>G+2</t>
  </si>
  <si>
    <t>One BedRoom Qtrs.</t>
  </si>
  <si>
    <t>Temple</t>
  </si>
  <si>
    <t>Pujari Room</t>
  </si>
  <si>
    <t>Plant Buildings</t>
  </si>
  <si>
    <t>Two BedRoom Qtrs.</t>
  </si>
  <si>
    <t>FMV</t>
  </si>
  <si>
    <t>GCRC</t>
  </si>
  <si>
    <t>S</t>
  </si>
  <si>
    <t>Description</t>
  </si>
  <si>
    <t>Annexure</t>
  </si>
  <si>
    <t>Gross Block</t>
  </si>
  <si>
    <t>Depreciated Fair Market Value</t>
  </si>
  <si>
    <t>A</t>
  </si>
  <si>
    <t>B</t>
  </si>
  <si>
    <t>Notes:</t>
  </si>
  <si>
    <t>2. On our request, BHSL provided us the area measurement of Buildings. Hence we have believed on the area statement provided by the company in good faith. However, our team have cross-verified all the structure present within the boundary of the company.</t>
  </si>
  <si>
    <t>3. Some sample verification has been done with the provided area which was found to be different as provided in the sheet.(Ex: Height of Sugar Godown, Area of Dispensary &amp; cane office office, Labout Hutment,Guest House</t>
  </si>
  <si>
    <t>4. For evaluation of the useful economic life for the calculation of depreciation, companies act 2013 and the general practical trend of same Buildings are taken into consideration.</t>
  </si>
  <si>
    <t xml:space="preserve">5. The economic life of the Main Plant Building is taken as 25 years, for Industrial  RCC structure is taken as 60 years, and others structure related to Sugar, Manufacturing Plant varies from 40 to 60 years. </t>
  </si>
  <si>
    <t>6. For calculting reproduction cost of Civil &amp; Structural Assets as on date, we have taken reference from open market and calculated depreciation on the same.</t>
  </si>
  <si>
    <t>ANNEXURE-A:  MARKET VALUE OF STRUCTURES OF M/S. BAJAJ HINDUSTHAN SUGAR LIMITED.| PROPERTY OF INDUSTRIAL PROPERTY | SITUATED AT: VILLAGE- KHAMBERKHERA, DISTRICT- LAKHIMPUR KHIRI, U.P</t>
  </si>
  <si>
    <t>Roads &amp; Drainage</t>
  </si>
  <si>
    <t>BUILDING/ CIVIL STRUCTURE | BAJAJ HINDUSTHAN SUGAR LIMITED | KHAMBERKHERA, LAKHIMPUR KHIRI</t>
  </si>
  <si>
    <t>1. Buildings &amp; Civil works only related to the BHSL, Khamberkhera, Lakhimpur Khiri, U.P Plant and associated facilities are considered in this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</si>
</sst>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quot;₹&quot;\ * #,##0.00_ ;_ &quot;₹&quot;\ * \-#,##0.00_ ;_ &quot;₹&quot;\ * &quot;-&quot;??_ ;_ @_ "/>
    <numFmt numFmtId="43" formatCode="_ * #,##0.00_ ;_ * \-#,##0.00_ ;_ * &quot;-&quot;??_ ;_ @_ "/>
    <numFmt numFmtId="164" formatCode="0.000"/>
    <numFmt numFmtId="165" formatCode="_ [$₹-4009]\ * #,##0.00_ ;_ [$₹-4009]\ * \-#,##0.00_ ;_ [$₹-4009]\ * &quot;-&quot;??_ ;_ @_ "/>
    <numFmt numFmtId="166" formatCode="_ [$₹-4009]\ * #,##0_ ;_ [$₹-4009]\ * \-#,##0_ ;_ [$₹-4009]\ * &quot;-&quot;??_ ;_ @_ "/>
    <numFmt numFmtId="167" formatCode="&quot; &quot;[$₹]&quot; &quot;#,##0&quot; &quot;;&quot; &quot;[$₹]&quot; -&quot;#,##0&quot; &quot;;&quot; &quot;[$₹]&quot; -&quot;00&quot; &quot;;&quot; &quot;@&quot; &quot;"/>
    <numFmt numFmtId="168" formatCode="_ * #,##0_ ;_ * \-#,##0_ ;_ * &quot;-&quot;??_ ;_ @_ "/>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Arial"/>
      <family val="2"/>
    </font>
    <font>
      <b/>
      <sz val="11"/>
      <name val="Calibri"/>
      <family val="2"/>
      <scheme val="minor"/>
    </font>
    <font>
      <sz val="10"/>
      <color theme="1"/>
      <name val="Calibri"/>
      <family val="2"/>
      <scheme val="minor"/>
    </font>
    <font>
      <sz val="11"/>
      <color indexed="8"/>
      <name val="Calibri"/>
      <family val="2"/>
    </font>
    <font>
      <i/>
      <sz val="10"/>
      <name val="Calibri"/>
      <family val="2"/>
      <scheme val="minor"/>
    </font>
    <font>
      <b/>
      <i/>
      <sz val="10"/>
      <name val="Calibri"/>
      <family val="2"/>
      <scheme val="minor"/>
    </font>
    <font>
      <b/>
      <sz val="10"/>
      <color theme="0"/>
      <name val="Arial"/>
      <family val="2"/>
    </font>
    <font>
      <b/>
      <sz val="10"/>
      <name val="Arial"/>
      <family val="2"/>
    </font>
    <font>
      <i/>
      <sz val="9"/>
      <name val="Arial"/>
      <family val="2"/>
    </font>
    <font>
      <sz val="10"/>
      <color indexed="8"/>
      <name val="Arial"/>
      <family val="2"/>
    </font>
    <font>
      <b/>
      <sz val="11"/>
      <name val="Arial"/>
      <family val="2"/>
    </font>
    <font>
      <b/>
      <sz val="10"/>
      <color theme="1"/>
      <name val="Arial"/>
      <family val="2"/>
    </font>
    <font>
      <sz val="11"/>
      <color rgb="FF000000"/>
      <name val="Calibri"/>
      <family val="2"/>
    </font>
    <font>
      <b/>
      <sz val="12"/>
      <color rgb="FFFFFFFF"/>
      <name val="Calibri"/>
      <family val="2"/>
    </font>
    <font>
      <b/>
      <sz val="11"/>
      <color rgb="FF000000"/>
      <name val="Calibri"/>
      <family val="2"/>
    </font>
    <font>
      <b/>
      <i/>
      <sz val="11"/>
      <color rgb="FF000000"/>
      <name val="Calibri"/>
      <family val="2"/>
    </font>
    <font>
      <i/>
      <sz val="11"/>
      <color rgb="FF000000"/>
      <name val="Calibri"/>
      <family val="2"/>
    </font>
  </fonts>
  <fills count="8">
    <fill>
      <patternFill patternType="none"/>
    </fill>
    <fill>
      <patternFill patternType="gray125"/>
    </fill>
    <fill>
      <patternFill patternType="solid">
        <fgColor rgb="FF1E366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4" tint="0.79998168889431442"/>
        <bgColor indexed="64"/>
      </patternFill>
    </fill>
    <fill>
      <patternFill patternType="solid">
        <fgColor rgb="FF003366"/>
        <bgColor rgb="FF003366"/>
      </patternFill>
    </fill>
    <fill>
      <patternFill patternType="solid">
        <fgColor rgb="FFB4C6E7"/>
        <bgColor rgb="FFB4C6E7"/>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15">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44" fontId="1" fillId="0" borderId="0" applyFont="0" applyFill="0" applyBorder="0" applyAlignment="0" applyProtection="0"/>
    <xf numFmtId="43" fontId="1" fillId="0" borderId="0" applyFont="0" applyFill="0" applyBorder="0" applyAlignment="0" applyProtection="0"/>
  </cellStyleXfs>
  <cellXfs count="95">
    <xf numFmtId="0" fontId="0" fillId="0" borderId="0" xfId="0"/>
    <xf numFmtId="0" fontId="5" fillId="0" borderId="1" xfId="0" applyFont="1" applyBorder="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6" fontId="0" fillId="0" borderId="0" xfId="0" applyNumberFormat="1"/>
    <xf numFmtId="0" fontId="7" fillId="0" borderId="13" xfId="0" applyFont="1" applyBorder="1" applyAlignment="1">
      <alignment vertical="center" wrapText="1"/>
    </xf>
    <xf numFmtId="166" fontId="7" fillId="0" borderId="1" xfId="0" applyNumberFormat="1" applyFont="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0" borderId="13" xfId="0" applyFont="1" applyBorder="1" applyAlignment="1">
      <alignment horizontal="center" vertical="center" wrapText="1"/>
    </xf>
    <xf numFmtId="0" fontId="0" fillId="0" borderId="1" xfId="0" applyBorder="1" applyAlignment="1">
      <alignment vertical="center" wrapText="1"/>
    </xf>
    <xf numFmtId="0" fontId="7" fillId="0" borderId="12" xfId="0" applyFont="1" applyBorder="1" applyAlignment="1">
      <alignment horizontal="center" vertical="center" wrapText="1"/>
    </xf>
    <xf numFmtId="0" fontId="7" fillId="0" borderId="1" xfId="0" applyFont="1" applyBorder="1" applyAlignment="1">
      <alignment vertical="center" wrapText="1"/>
    </xf>
    <xf numFmtId="164" fontId="7" fillId="0" borderId="15" xfId="0" applyNumberFormat="1" applyFont="1" applyBorder="1" applyAlignment="1">
      <alignment horizontal="center" vertical="center" wrapText="1"/>
    </xf>
    <xf numFmtId="165" fontId="7" fillId="0" borderId="1" xfId="0" applyNumberFormat="1" applyFont="1" applyBorder="1" applyAlignment="1">
      <alignment vertical="center" wrapText="1"/>
    </xf>
    <xf numFmtId="0" fontId="5" fillId="0" borderId="7" xfId="0" applyFont="1" applyBorder="1" applyAlignment="1">
      <alignment horizontal="center" vertical="center"/>
    </xf>
    <xf numFmtId="0" fontId="5" fillId="0" borderId="13" xfId="0" applyFont="1" applyBorder="1" applyAlignment="1">
      <alignment vertical="center"/>
    </xf>
    <xf numFmtId="0" fontId="0" fillId="0" borderId="13" xfId="0" applyBorder="1" applyAlignment="1">
      <alignment horizontal="center" vertical="center" wrapText="1"/>
    </xf>
    <xf numFmtId="166" fontId="7" fillId="0" borderId="13" xfId="0" applyNumberFormat="1" applyFont="1" applyBorder="1" applyAlignment="1">
      <alignment horizontal="center" vertical="center" wrapText="1"/>
    </xf>
    <xf numFmtId="0" fontId="0" fillId="0" borderId="5" xfId="0" applyBorder="1" applyAlignment="1">
      <alignment horizontal="center" vertical="center" wrapText="1"/>
    </xf>
    <xf numFmtId="0" fontId="12" fillId="5" borderId="7"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4" fillId="0" borderId="14" xfId="5" applyFont="1" applyBorder="1" applyAlignment="1">
      <alignment horizontal="center" vertical="center"/>
    </xf>
    <xf numFmtId="0" fontId="0" fillId="0" borderId="13" xfId="0" applyBorder="1" applyAlignment="1">
      <alignment vertical="center" wrapText="1"/>
    </xf>
    <xf numFmtId="0" fontId="14" fillId="0" borderId="13" xfId="5" applyFont="1" applyBorder="1" applyAlignment="1">
      <alignment horizontal="center" vertical="center" wrapText="1"/>
    </xf>
    <xf numFmtId="0" fontId="14" fillId="0" borderId="13" xfId="5" applyFont="1" applyBorder="1" applyAlignment="1">
      <alignment horizontal="center" vertical="center"/>
    </xf>
    <xf numFmtId="0" fontId="0" fillId="0" borderId="13" xfId="0" applyBorder="1" applyAlignment="1">
      <alignment horizontal="center" vertical="center"/>
    </xf>
    <xf numFmtId="44" fontId="0" fillId="0" borderId="13" xfId="13" applyFont="1" applyBorder="1" applyAlignment="1">
      <alignment horizontal="center" vertical="center"/>
    </xf>
    <xf numFmtId="44" fontId="0" fillId="0" borderId="16" xfId="13" applyFont="1" applyBorder="1" applyAlignment="1">
      <alignment horizontal="center" vertical="center"/>
    </xf>
    <xf numFmtId="0" fontId="14" fillId="0" borderId="7" xfId="5" applyFont="1" applyBorder="1" applyAlignment="1">
      <alignment horizontal="center" vertical="center"/>
    </xf>
    <xf numFmtId="0" fontId="14" fillId="0" borderId="1" xfId="5" applyFont="1" applyBorder="1" applyAlignment="1">
      <alignment horizontal="center" vertical="center" wrapText="1"/>
    </xf>
    <xf numFmtId="2" fontId="0" fillId="0" borderId="1" xfId="0" applyNumberFormat="1" applyBorder="1" applyAlignment="1">
      <alignment horizontal="center" vertical="center" wrapText="1"/>
    </xf>
    <xf numFmtId="44" fontId="0" fillId="0" borderId="1" xfId="13" applyFont="1" applyBorder="1" applyAlignment="1">
      <alignment horizontal="center" vertical="center"/>
    </xf>
    <xf numFmtId="44" fontId="0" fillId="0" borderId="8" xfId="13" applyFont="1" applyBorder="1" applyAlignment="1">
      <alignment horizontal="center" vertical="center"/>
    </xf>
    <xf numFmtId="0" fontId="14" fillId="0" borderId="4" xfId="5" applyFont="1" applyBorder="1" applyAlignment="1">
      <alignment horizontal="center" vertical="center"/>
    </xf>
    <xf numFmtId="0" fontId="0" fillId="0" borderId="5" xfId="0" applyBorder="1" applyAlignment="1">
      <alignment vertical="center" wrapText="1"/>
    </xf>
    <xf numFmtId="0" fontId="14" fillId="0" borderId="5" xfId="5" applyFont="1" applyBorder="1" applyAlignment="1">
      <alignment horizontal="center" vertical="center" wrapText="1"/>
    </xf>
    <xf numFmtId="0" fontId="0" fillId="0" borderId="5" xfId="0" applyBorder="1" applyAlignment="1">
      <alignment horizontal="center" vertical="center"/>
    </xf>
    <xf numFmtId="2" fontId="0" fillId="0" borderId="5" xfId="0" applyNumberFormat="1" applyBorder="1" applyAlignment="1">
      <alignment horizontal="center" vertical="center" wrapText="1"/>
    </xf>
    <xf numFmtId="44" fontId="0" fillId="0" borderId="5" xfId="13" applyFont="1" applyBorder="1" applyAlignment="1">
      <alignment horizontal="center" vertical="center"/>
    </xf>
    <xf numFmtId="44" fontId="0" fillId="0" borderId="6" xfId="13" applyFont="1" applyBorder="1" applyAlignment="1">
      <alignment horizontal="center" vertical="center"/>
    </xf>
    <xf numFmtId="2" fontId="0" fillId="0" borderId="13" xfId="0" applyNumberFormat="1" applyBorder="1" applyAlignment="1">
      <alignment horizontal="center" vertical="center" wrapText="1"/>
    </xf>
    <xf numFmtId="0" fontId="15" fillId="0" borderId="2" xfId="0" applyFont="1" applyBorder="1" applyAlignment="1">
      <alignment horizontal="center" vertical="center" wrapText="1"/>
    </xf>
    <xf numFmtId="44" fontId="15" fillId="0" borderId="3" xfId="13" applyFont="1" applyFill="1" applyBorder="1" applyAlignment="1">
      <alignment horizontal="center" vertical="center" wrapText="1"/>
    </xf>
    <xf numFmtId="0" fontId="6" fillId="3" borderId="22" xfId="0" applyFont="1" applyFill="1" applyBorder="1" applyAlignment="1">
      <alignment horizontal="center" vertical="center" wrapText="1"/>
    </xf>
    <xf numFmtId="0" fontId="19" fillId="7" borderId="23" xfId="0" applyFont="1" applyFill="1" applyBorder="1" applyAlignment="1">
      <alignment horizontal="center" vertical="center"/>
    </xf>
    <xf numFmtId="0" fontId="19" fillId="7" borderId="23" xfId="0" applyFont="1" applyFill="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0" borderId="1" xfId="0" applyFont="1" applyBorder="1"/>
    <xf numFmtId="0" fontId="0" fillId="0" borderId="12" xfId="0" applyBorder="1" applyAlignment="1">
      <alignment horizontal="center"/>
    </xf>
    <xf numFmtId="0" fontId="0" fillId="0" borderId="1" xfId="0" applyBorder="1"/>
    <xf numFmtId="167" fontId="19" fillId="0" borderId="23" xfId="0" applyNumberFormat="1" applyFont="1" applyBorder="1" applyAlignment="1">
      <alignment horizontal="center" vertical="center"/>
    </xf>
    <xf numFmtId="167" fontId="17" fillId="0" borderId="23" xfId="0" applyNumberFormat="1" applyFont="1" applyBorder="1" applyAlignment="1">
      <alignment horizontal="center" vertical="center"/>
    </xf>
    <xf numFmtId="167" fontId="0" fillId="0" borderId="23" xfId="0" applyNumberFormat="1" applyBorder="1" applyAlignment="1">
      <alignment horizontal="center"/>
    </xf>
    <xf numFmtId="168" fontId="6" fillId="3" borderId="1" xfId="14" applyNumberFormat="1" applyFont="1" applyFill="1" applyBorder="1" applyAlignment="1">
      <alignment horizontal="center" vertical="center" wrapText="1"/>
    </xf>
    <xf numFmtId="168" fontId="0" fillId="0" borderId="0" xfId="14" applyNumberFormat="1" applyFont="1"/>
    <xf numFmtId="166" fontId="6" fillId="3" borderId="1" xfId="14" applyNumberFormat="1" applyFont="1" applyFill="1" applyBorder="1" applyAlignment="1">
      <alignment horizontal="center" vertical="center" wrapText="1"/>
    </xf>
    <xf numFmtId="166" fontId="7" fillId="0" borderId="1" xfId="14" applyNumberFormat="1" applyFont="1" applyBorder="1" applyAlignment="1">
      <alignment horizontal="center" vertical="center" wrapText="1"/>
    </xf>
    <xf numFmtId="166" fontId="7" fillId="0" borderId="1" xfId="14" applyNumberFormat="1" applyFont="1" applyBorder="1" applyAlignment="1">
      <alignment vertical="center" wrapText="1"/>
    </xf>
    <xf numFmtId="166" fontId="0" fillId="0" borderId="13" xfId="14" applyNumberFormat="1" applyFont="1" applyBorder="1"/>
    <xf numFmtId="166" fontId="0" fillId="0" borderId="1" xfId="14" applyNumberFormat="1" applyFont="1" applyBorder="1"/>
    <xf numFmtId="166" fontId="3" fillId="0" borderId="1" xfId="14" applyNumberFormat="1" applyFont="1" applyBorder="1"/>
    <xf numFmtId="166" fontId="0" fillId="0" borderId="0" xfId="14" applyNumberFormat="1" applyFont="1"/>
    <xf numFmtId="168" fontId="0" fillId="0" borderId="1" xfId="14" applyNumberFormat="1" applyFont="1" applyBorder="1" applyAlignment="1">
      <alignment horizontal="right" vertical="center" wrapText="1"/>
    </xf>
    <xf numFmtId="168" fontId="0" fillId="0" borderId="13" xfId="14" applyNumberFormat="1" applyFont="1" applyBorder="1" applyAlignment="1">
      <alignment horizontal="right" vertical="center" wrapText="1"/>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2" fillId="2" borderId="1" xfId="0" applyFont="1" applyFill="1" applyBorder="1" applyAlignment="1">
      <alignment horizontal="center" vertical="center" wrapTex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21" fillId="0" borderId="23" xfId="0" applyFont="1" applyBorder="1" applyAlignment="1">
      <alignment horizontal="left" vertical="center" wrapText="1"/>
    </xf>
    <xf numFmtId="0" fontId="18" fillId="6" borderId="23" xfId="5" applyFont="1" applyFill="1" applyBorder="1" applyAlignment="1">
      <alignment horizontal="center" vertical="center" wrapText="1"/>
    </xf>
    <xf numFmtId="0" fontId="19" fillId="7" borderId="23" xfId="0" applyFont="1" applyFill="1" applyBorder="1" applyAlignment="1">
      <alignment horizontal="center" vertical="center"/>
    </xf>
    <xf numFmtId="0" fontId="0" fillId="0" borderId="23" xfId="0" applyBorder="1" applyAlignment="1">
      <alignment horizontal="left" vertical="center"/>
    </xf>
    <xf numFmtId="0" fontId="19" fillId="0" borderId="23" xfId="0" applyFont="1" applyBorder="1" applyAlignment="1">
      <alignment horizontal="center" vertical="center"/>
    </xf>
    <xf numFmtId="0" fontId="20" fillId="0" borderId="23" xfId="0" applyFont="1" applyBorder="1" applyAlignment="1">
      <alignment horizontal="left" vertical="center" wrapText="1"/>
    </xf>
    <xf numFmtId="0" fontId="16" fillId="5" borderId="20" xfId="0" applyFont="1" applyFill="1" applyBorder="1" applyAlignment="1">
      <alignment vertical="center"/>
    </xf>
    <xf numFmtId="0" fontId="16" fillId="5" borderId="21" xfId="0" applyFont="1" applyFill="1" applyBorder="1" applyAlignment="1">
      <alignment vertical="center"/>
    </xf>
    <xf numFmtId="0" fontId="16" fillId="5" borderId="12" xfId="0" applyFont="1" applyFill="1" applyBorder="1" applyAlignment="1">
      <alignment vertical="center"/>
    </xf>
    <xf numFmtId="0" fontId="3" fillId="5" borderId="20" xfId="0" applyFont="1" applyFill="1" applyBorder="1" applyAlignment="1">
      <alignment vertical="center" wrapText="1"/>
    </xf>
    <xf numFmtId="0" fontId="3" fillId="5" borderId="21" xfId="0" applyFont="1" applyFill="1" applyBorder="1" applyAlignment="1">
      <alignment vertical="center" wrapText="1"/>
    </xf>
    <xf numFmtId="0" fontId="3" fillId="5" borderId="12" xfId="0" applyFont="1" applyFill="1" applyBorder="1" applyAlignment="1">
      <alignment vertical="center" wrapText="1"/>
    </xf>
  </cellXfs>
  <cellStyles count="15">
    <cellStyle name="Comma" xfId="14" builtinId="3"/>
    <cellStyle name="Comma 2" xfId="1"/>
    <cellStyle name="Currency" xfId="13" builtinId="4"/>
    <cellStyle name="Excel Built-in Normal" xfId="5"/>
    <cellStyle name="Excel Built-in Normal 1" xfId="12"/>
    <cellStyle name="Normal" xfId="0" builtinId="0"/>
    <cellStyle name="Normal 118" xfId="4"/>
    <cellStyle name="Normal 119" xfId="9"/>
    <cellStyle name="Normal 120" xfId="3"/>
    <cellStyle name="Normal 122" xfId="8"/>
    <cellStyle name="Normal 123" xfId="6"/>
    <cellStyle name="Normal 124" xfId="10"/>
    <cellStyle name="Normal 125" xfId="7"/>
    <cellStyle name="Normal 127" xfId="1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X68"/>
  <sheetViews>
    <sheetView topLeftCell="F1" workbookViewId="0">
      <pane ySplit="4" topLeftCell="A48" activePane="bottomLeft" state="frozen"/>
      <selection pane="bottomLeft" activeCell="V59" sqref="V59"/>
    </sheetView>
  </sheetViews>
  <sheetFormatPr defaultRowHeight="15" x14ac:dyDescent="0.25"/>
  <cols>
    <col min="2" max="2" width="6.7109375" style="7" customWidth="1"/>
    <col min="3" max="3" width="12.42578125" style="8" customWidth="1"/>
    <col min="4" max="4" width="40" style="7" bestFit="1" customWidth="1"/>
    <col min="5" max="5" width="40.85546875" style="8" customWidth="1"/>
    <col min="6" max="6" width="20.85546875" customWidth="1"/>
    <col min="7" max="7" width="10" style="63" customWidth="1"/>
    <col min="8" max="8" width="8.28515625" customWidth="1"/>
    <col min="9" max="9" width="8.7109375" customWidth="1"/>
    <col min="10" max="10" width="12.42578125" customWidth="1"/>
    <col min="11" max="11" width="11.42578125" customWidth="1"/>
    <col min="12" max="12" width="10.7109375" customWidth="1"/>
    <col min="13" max="13" width="12" customWidth="1"/>
    <col min="14" max="14" width="9.140625" customWidth="1"/>
    <col min="15" max="15" width="13.140625" customWidth="1"/>
    <col min="16" max="16" width="14.7109375" customWidth="1"/>
    <col min="17" max="17" width="12.5703125" customWidth="1"/>
    <col min="18" max="18" width="15.85546875" style="70" customWidth="1"/>
    <col min="19" max="19" width="17.7109375" customWidth="1"/>
    <col min="20" max="20" width="16.140625" customWidth="1"/>
    <col min="21" max="21" width="14.28515625" hidden="1" customWidth="1"/>
    <col min="22" max="22" width="16" customWidth="1"/>
    <col min="23" max="23" width="18.28515625" customWidth="1"/>
    <col min="24" max="24" width="14.28515625" customWidth="1"/>
  </cols>
  <sheetData>
    <row r="3" spans="2:24" x14ac:dyDescent="0.25">
      <c r="B3" s="76" t="s">
        <v>112</v>
      </c>
      <c r="C3" s="76"/>
      <c r="D3" s="76"/>
      <c r="E3" s="76"/>
      <c r="F3" s="76"/>
      <c r="G3" s="76"/>
      <c r="H3" s="76"/>
      <c r="I3" s="76"/>
      <c r="J3" s="76"/>
      <c r="K3" s="76"/>
      <c r="L3" s="76"/>
      <c r="M3" s="76"/>
      <c r="N3" s="76"/>
      <c r="O3" s="76"/>
      <c r="P3" s="76"/>
      <c r="Q3" s="76"/>
      <c r="R3" s="76"/>
      <c r="S3" s="76"/>
      <c r="T3" s="76"/>
      <c r="U3" s="76"/>
      <c r="V3" s="76"/>
    </row>
    <row r="4" spans="2:24" ht="68.25" customHeight="1" x14ac:dyDescent="0.25">
      <c r="B4" s="12" t="s">
        <v>6</v>
      </c>
      <c r="C4" s="12" t="s">
        <v>7</v>
      </c>
      <c r="D4" s="13" t="s">
        <v>8</v>
      </c>
      <c r="E4" s="12" t="s">
        <v>9</v>
      </c>
      <c r="F4" s="12" t="s">
        <v>10</v>
      </c>
      <c r="G4" s="62" t="s">
        <v>27</v>
      </c>
      <c r="H4" s="12" t="s">
        <v>26</v>
      </c>
      <c r="I4" s="12" t="s">
        <v>25</v>
      </c>
      <c r="J4" s="12" t="s">
        <v>11</v>
      </c>
      <c r="K4" s="12" t="s">
        <v>12</v>
      </c>
      <c r="L4" s="12" t="s">
        <v>24</v>
      </c>
      <c r="M4" s="12" t="s">
        <v>23</v>
      </c>
      <c r="N4" s="12" t="s">
        <v>13</v>
      </c>
      <c r="O4" s="12" t="s">
        <v>14</v>
      </c>
      <c r="P4" s="12" t="s">
        <v>22</v>
      </c>
      <c r="Q4" s="12" t="s">
        <v>21</v>
      </c>
      <c r="R4" s="64" t="s">
        <v>20</v>
      </c>
      <c r="S4" s="12" t="s">
        <v>19</v>
      </c>
      <c r="T4" s="12" t="s">
        <v>18</v>
      </c>
      <c r="U4" s="12" t="s">
        <v>16</v>
      </c>
      <c r="V4" s="12" t="s">
        <v>17</v>
      </c>
      <c r="W4" s="50" t="s">
        <v>97</v>
      </c>
      <c r="X4" s="50" t="s">
        <v>98</v>
      </c>
    </row>
    <row r="5" spans="2:24" ht="15" customHeight="1" x14ac:dyDescent="0.25">
      <c r="B5" s="92" t="s">
        <v>95</v>
      </c>
      <c r="C5" s="93"/>
      <c r="D5" s="93"/>
      <c r="E5" s="93"/>
      <c r="F5" s="93"/>
      <c r="G5" s="93"/>
      <c r="H5" s="93"/>
      <c r="I5" s="93"/>
      <c r="J5" s="93"/>
      <c r="K5" s="93"/>
      <c r="L5" s="93"/>
      <c r="M5" s="93"/>
      <c r="N5" s="93"/>
      <c r="O5" s="93"/>
      <c r="P5" s="93"/>
      <c r="Q5" s="93"/>
      <c r="R5" s="93"/>
      <c r="S5" s="93"/>
      <c r="T5" s="93"/>
      <c r="U5" s="93"/>
      <c r="V5" s="94"/>
    </row>
    <row r="6" spans="2:24" x14ac:dyDescent="0.25">
      <c r="B6" s="20">
        <v>1</v>
      </c>
      <c r="C6" s="6"/>
      <c r="D6" s="15" t="s">
        <v>28</v>
      </c>
      <c r="E6" s="6" t="s">
        <v>5</v>
      </c>
      <c r="F6" s="6" t="s">
        <v>15</v>
      </c>
      <c r="G6" s="71">
        <f>(148.8+168)*139</f>
        <v>44035.200000000004</v>
      </c>
      <c r="H6" s="1">
        <f>G6*10.764</f>
        <v>473994.89280000003</v>
      </c>
      <c r="I6" s="6"/>
      <c r="J6" s="6">
        <v>2007</v>
      </c>
      <c r="K6" s="17">
        <v>2024</v>
      </c>
      <c r="L6" s="3">
        <f>K6-J6</f>
        <v>17</v>
      </c>
      <c r="M6" s="16">
        <v>60</v>
      </c>
      <c r="N6" s="3">
        <v>0.05</v>
      </c>
      <c r="O6" s="18">
        <f>(1-N6)/M6</f>
        <v>1.5833333333333331E-2</v>
      </c>
      <c r="P6" s="4">
        <v>50</v>
      </c>
      <c r="Q6" s="4">
        <f>P6*10.7639</f>
        <v>538.19499999999994</v>
      </c>
      <c r="R6" s="65">
        <f t="shared" ref="R6:R11" si="0">Q6*G6</f>
        <v>23699524.463999998</v>
      </c>
      <c r="S6" s="5">
        <f>R6*O6*L6</f>
        <v>6379122.0015599988</v>
      </c>
      <c r="T6" s="5">
        <f>MAX(R6-S6,0)</f>
        <v>17320402.462439999</v>
      </c>
      <c r="U6" s="3">
        <v>0</v>
      </c>
      <c r="V6" s="5">
        <f t="shared" ref="V6:V30" si="1">IF(T6&gt;N6*R6,T6*(1+U6),R6*N6)</f>
        <v>17320402.462439999</v>
      </c>
    </row>
    <row r="7" spans="2:24" ht="30" x14ac:dyDescent="0.25">
      <c r="B7" s="20">
        <v>2</v>
      </c>
      <c r="C7" s="6"/>
      <c r="D7" s="15" t="s">
        <v>29</v>
      </c>
      <c r="E7" s="6" t="s">
        <v>81</v>
      </c>
      <c r="F7" s="6" t="s">
        <v>15</v>
      </c>
      <c r="G7" s="71">
        <f>3.5*3.5*9</f>
        <v>110.25</v>
      </c>
      <c r="H7" s="1">
        <f t="shared" ref="H7:H58" si="2">G7*10.764</f>
        <v>1186.731</v>
      </c>
      <c r="I7" s="6">
        <v>9.84</v>
      </c>
      <c r="J7" s="6">
        <v>2007</v>
      </c>
      <c r="K7" s="17">
        <v>2024</v>
      </c>
      <c r="L7" s="3">
        <f t="shared" ref="L7:L58" si="3">K7-J7</f>
        <v>17</v>
      </c>
      <c r="M7" s="16">
        <v>60</v>
      </c>
      <c r="N7" s="3">
        <v>0.05</v>
      </c>
      <c r="O7" s="18">
        <f>(1-N7)/M7</f>
        <v>1.5833333333333331E-2</v>
      </c>
      <c r="P7" s="4">
        <v>1500</v>
      </c>
      <c r="Q7" s="4">
        <f>P7*10.7639</f>
        <v>16145.849999999999</v>
      </c>
      <c r="R7" s="65">
        <f t="shared" si="0"/>
        <v>1780079.9624999999</v>
      </c>
      <c r="S7" s="5">
        <f>R7*O7*L7</f>
        <v>479138.18990624993</v>
      </c>
      <c r="T7" s="5">
        <f>MAX(R7-S7,0)</f>
        <v>1300941.7725937499</v>
      </c>
      <c r="U7" s="3">
        <v>0</v>
      </c>
      <c r="V7" s="5">
        <f t="shared" si="1"/>
        <v>1300941.7725937499</v>
      </c>
    </row>
    <row r="8" spans="2:24" ht="30" x14ac:dyDescent="0.25">
      <c r="B8" s="20">
        <v>3</v>
      </c>
      <c r="C8" s="6"/>
      <c r="D8" s="15" t="s">
        <v>30</v>
      </c>
      <c r="E8" s="6" t="s">
        <v>81</v>
      </c>
      <c r="F8" s="6" t="s">
        <v>15</v>
      </c>
      <c r="G8" s="71">
        <f>124*27</f>
        <v>3348</v>
      </c>
      <c r="H8" s="1">
        <f t="shared" si="2"/>
        <v>36037.871999999996</v>
      </c>
      <c r="I8" s="6">
        <v>62.33</v>
      </c>
      <c r="J8" s="6">
        <v>2007</v>
      </c>
      <c r="K8" s="17">
        <v>2024</v>
      </c>
      <c r="L8" s="3">
        <f t="shared" si="3"/>
        <v>17</v>
      </c>
      <c r="M8" s="16">
        <v>60</v>
      </c>
      <c r="N8" s="3">
        <v>0.05</v>
      </c>
      <c r="O8" s="18">
        <f>(1-N8)/M8</f>
        <v>1.5833333333333331E-2</v>
      </c>
      <c r="P8" s="4">
        <v>1500</v>
      </c>
      <c r="Q8" s="4">
        <f>P8*10.7639</f>
        <v>16145.849999999999</v>
      </c>
      <c r="R8" s="65">
        <f t="shared" si="0"/>
        <v>54056305.799999997</v>
      </c>
      <c r="S8" s="5">
        <f>R8*O8*L8</f>
        <v>14550155.644499999</v>
      </c>
      <c r="T8" s="5">
        <f>MAX(R8-S8,0)</f>
        <v>39506150.155499995</v>
      </c>
      <c r="U8" s="3">
        <v>0</v>
      </c>
      <c r="V8" s="5">
        <f t="shared" si="1"/>
        <v>39506150.155499995</v>
      </c>
    </row>
    <row r="9" spans="2:24" ht="30" x14ac:dyDescent="0.25">
      <c r="B9" s="20">
        <v>4</v>
      </c>
      <c r="C9" s="6">
        <v>2</v>
      </c>
      <c r="D9" s="15" t="s">
        <v>31</v>
      </c>
      <c r="E9" s="6" t="s">
        <v>81</v>
      </c>
      <c r="F9" s="6" t="s">
        <v>15</v>
      </c>
      <c r="G9" s="71">
        <f>8*5*2</f>
        <v>80</v>
      </c>
      <c r="H9" s="1">
        <f t="shared" si="2"/>
        <v>861.11999999999989</v>
      </c>
      <c r="I9" s="6">
        <v>9.84</v>
      </c>
      <c r="J9" s="6">
        <v>2007</v>
      </c>
      <c r="K9" s="17">
        <v>2024</v>
      </c>
      <c r="L9" s="3">
        <f t="shared" si="3"/>
        <v>17</v>
      </c>
      <c r="M9" s="16">
        <v>60</v>
      </c>
      <c r="N9" s="3">
        <v>0.05</v>
      </c>
      <c r="O9" s="18">
        <f t="shared" ref="O9:O37" si="4">(1-N9)/M9</f>
        <v>1.5833333333333331E-2</v>
      </c>
      <c r="P9" s="4">
        <v>1500</v>
      </c>
      <c r="Q9" s="4">
        <f t="shared" ref="Q9:Q19" si="5">P9*10.7639</f>
        <v>16145.849999999999</v>
      </c>
      <c r="R9" s="65">
        <f t="shared" si="0"/>
        <v>1291668</v>
      </c>
      <c r="S9" s="5">
        <f t="shared" ref="S9:S19" si="6">R9*O9*L9</f>
        <v>347673.96999999991</v>
      </c>
      <c r="T9" s="5">
        <f t="shared" ref="T9:T19" si="7">MAX(R9-S9,0)</f>
        <v>943994.03</v>
      </c>
      <c r="U9" s="3">
        <v>0</v>
      </c>
      <c r="V9" s="5">
        <f t="shared" si="1"/>
        <v>943994.03</v>
      </c>
    </row>
    <row r="10" spans="2:24" ht="30" x14ac:dyDescent="0.25">
      <c r="B10" s="20">
        <v>5</v>
      </c>
      <c r="C10" s="6"/>
      <c r="D10" s="15" t="s">
        <v>32</v>
      </c>
      <c r="E10" s="6" t="s">
        <v>82</v>
      </c>
      <c r="F10" s="6" t="s">
        <v>15</v>
      </c>
      <c r="G10" s="71">
        <f>36*27</f>
        <v>972</v>
      </c>
      <c r="H10" s="1">
        <f t="shared" si="2"/>
        <v>10462.608</v>
      </c>
      <c r="I10" s="6">
        <v>62.33</v>
      </c>
      <c r="J10" s="6">
        <v>2007</v>
      </c>
      <c r="K10" s="17">
        <v>2024</v>
      </c>
      <c r="L10" s="3">
        <f t="shared" si="3"/>
        <v>17</v>
      </c>
      <c r="M10" s="16">
        <v>40</v>
      </c>
      <c r="N10" s="3">
        <v>0.05</v>
      </c>
      <c r="O10" s="18">
        <f t="shared" si="4"/>
        <v>2.375E-2</v>
      </c>
      <c r="P10" s="4">
        <v>700</v>
      </c>
      <c r="Q10" s="4">
        <f t="shared" si="5"/>
        <v>7534.73</v>
      </c>
      <c r="R10" s="65">
        <f t="shared" si="0"/>
        <v>7323757.5599999996</v>
      </c>
      <c r="S10" s="5">
        <f t="shared" si="6"/>
        <v>2956967.11485</v>
      </c>
      <c r="T10" s="5">
        <f t="shared" si="7"/>
        <v>4366790.4451499991</v>
      </c>
      <c r="U10" s="3">
        <v>0</v>
      </c>
      <c r="V10" s="5">
        <f t="shared" si="1"/>
        <v>4366790.4451499991</v>
      </c>
    </row>
    <row r="11" spans="2:24" ht="30" x14ac:dyDescent="0.25">
      <c r="B11" s="20">
        <v>6</v>
      </c>
      <c r="C11" s="6"/>
      <c r="D11" s="15" t="s">
        <v>33</v>
      </c>
      <c r="E11" s="6" t="s">
        <v>81</v>
      </c>
      <c r="F11" s="6" t="s">
        <v>15</v>
      </c>
      <c r="G11" s="71">
        <f>52*65</f>
        <v>3380</v>
      </c>
      <c r="H11" s="1">
        <f t="shared" si="2"/>
        <v>36382.32</v>
      </c>
      <c r="I11" s="37">
        <v>62.33</v>
      </c>
      <c r="J11" s="6">
        <v>2007</v>
      </c>
      <c r="K11" s="17">
        <v>2024</v>
      </c>
      <c r="L11" s="3">
        <f t="shared" si="3"/>
        <v>17</v>
      </c>
      <c r="M11" s="16">
        <v>60</v>
      </c>
      <c r="N11" s="3">
        <v>0.05</v>
      </c>
      <c r="O11" s="18">
        <f t="shared" si="4"/>
        <v>1.5833333333333331E-2</v>
      </c>
      <c r="P11" s="4">
        <v>1500</v>
      </c>
      <c r="Q11" s="19">
        <f t="shared" si="5"/>
        <v>16145.849999999999</v>
      </c>
      <c r="R11" s="66">
        <f t="shared" si="0"/>
        <v>54572972.999999993</v>
      </c>
      <c r="S11" s="11">
        <f t="shared" si="6"/>
        <v>14689225.232499996</v>
      </c>
      <c r="T11" s="11">
        <f t="shared" si="7"/>
        <v>39883747.767499998</v>
      </c>
      <c r="U11" s="3">
        <v>0</v>
      </c>
      <c r="V11" s="5">
        <f t="shared" si="1"/>
        <v>39883747.767499998</v>
      </c>
    </row>
    <row r="12" spans="2:24" ht="30" x14ac:dyDescent="0.25">
      <c r="B12" s="20">
        <v>7</v>
      </c>
      <c r="C12" s="6"/>
      <c r="D12" s="15" t="s">
        <v>34</v>
      </c>
      <c r="E12" s="6" t="s">
        <v>82</v>
      </c>
      <c r="F12" s="6" t="s">
        <v>15</v>
      </c>
      <c r="G12" s="71">
        <f>80.8*68.25</f>
        <v>5514.5999999999995</v>
      </c>
      <c r="H12" s="1">
        <f t="shared" si="2"/>
        <v>59359.154399999992</v>
      </c>
      <c r="I12" s="37">
        <v>82</v>
      </c>
      <c r="J12" s="6">
        <v>2007</v>
      </c>
      <c r="K12" s="17">
        <v>2024</v>
      </c>
      <c r="L12" s="3">
        <f>K12-J12</f>
        <v>17</v>
      </c>
      <c r="M12" s="16">
        <v>40</v>
      </c>
      <c r="N12" s="3">
        <v>0.05</v>
      </c>
      <c r="O12" s="18">
        <f t="shared" si="4"/>
        <v>2.375E-2</v>
      </c>
      <c r="P12" s="4">
        <v>700</v>
      </c>
      <c r="Q12" s="19">
        <f t="shared" si="5"/>
        <v>7534.73</v>
      </c>
      <c r="R12" s="66">
        <f t="shared" ref="R12:R13" si="8">Q12*G12</f>
        <v>41551022.057999991</v>
      </c>
      <c r="S12" s="11">
        <f t="shared" si="6"/>
        <v>16776225.155917495</v>
      </c>
      <c r="T12" s="11">
        <f t="shared" si="7"/>
        <v>24774796.902082495</v>
      </c>
      <c r="U12" s="3">
        <v>0</v>
      </c>
      <c r="V12" s="11">
        <f t="shared" si="1"/>
        <v>24774796.902082495</v>
      </c>
    </row>
    <row r="13" spans="2:24" ht="30" x14ac:dyDescent="0.25">
      <c r="B13" s="20">
        <v>8</v>
      </c>
      <c r="C13" s="6"/>
      <c r="D13" s="15" t="s">
        <v>35</v>
      </c>
      <c r="E13" s="6" t="s">
        <v>82</v>
      </c>
      <c r="F13" s="6" t="s">
        <v>15</v>
      </c>
      <c r="G13" s="71">
        <f>78*73</f>
        <v>5694</v>
      </c>
      <c r="H13" s="1">
        <f t="shared" si="2"/>
        <v>61290.215999999993</v>
      </c>
      <c r="I13" s="6">
        <v>98.42</v>
      </c>
      <c r="J13" s="6">
        <v>2007</v>
      </c>
      <c r="K13" s="17">
        <v>2024</v>
      </c>
      <c r="L13" s="3">
        <f t="shared" si="3"/>
        <v>17</v>
      </c>
      <c r="M13" s="16">
        <v>40</v>
      </c>
      <c r="N13" s="3">
        <v>0.05</v>
      </c>
      <c r="O13" s="18">
        <f t="shared" si="4"/>
        <v>2.375E-2</v>
      </c>
      <c r="P13" s="4">
        <v>700</v>
      </c>
      <c r="Q13" s="19">
        <f t="shared" si="5"/>
        <v>7534.73</v>
      </c>
      <c r="R13" s="66">
        <f t="shared" si="8"/>
        <v>42902752.619999997</v>
      </c>
      <c r="S13" s="11">
        <f t="shared" si="6"/>
        <v>17321986.370324999</v>
      </c>
      <c r="T13" s="11">
        <f t="shared" si="7"/>
        <v>25580766.249674998</v>
      </c>
      <c r="U13" s="3">
        <v>0</v>
      </c>
      <c r="V13" s="11">
        <f t="shared" si="1"/>
        <v>25580766.249674998</v>
      </c>
    </row>
    <row r="14" spans="2:24" ht="30" x14ac:dyDescent="0.25">
      <c r="B14" s="20">
        <v>9</v>
      </c>
      <c r="C14" s="6"/>
      <c r="D14" s="15" t="s">
        <v>36</v>
      </c>
      <c r="E14" s="6" t="s">
        <v>82</v>
      </c>
      <c r="F14" s="6" t="s">
        <v>15</v>
      </c>
      <c r="G14" s="71">
        <f>15*40</f>
        <v>600</v>
      </c>
      <c r="H14" s="1">
        <f t="shared" si="2"/>
        <v>6458.4</v>
      </c>
      <c r="I14" s="37">
        <v>26.2</v>
      </c>
      <c r="J14" s="6">
        <v>2007</v>
      </c>
      <c r="K14" s="17">
        <v>2024</v>
      </c>
      <c r="L14" s="3">
        <f t="shared" si="3"/>
        <v>17</v>
      </c>
      <c r="M14" s="16">
        <v>40</v>
      </c>
      <c r="N14" s="3">
        <v>0.05</v>
      </c>
      <c r="O14" s="18">
        <f t="shared" si="4"/>
        <v>2.375E-2</v>
      </c>
      <c r="P14" s="4">
        <v>700</v>
      </c>
      <c r="Q14" s="4">
        <f t="shared" si="5"/>
        <v>7534.73</v>
      </c>
      <c r="R14" s="65">
        <f t="shared" ref="R14:R38" si="9">Q14*G14</f>
        <v>4520838</v>
      </c>
      <c r="S14" s="5">
        <f t="shared" si="6"/>
        <v>1825288.3425</v>
      </c>
      <c r="T14" s="5">
        <f t="shared" si="7"/>
        <v>2695549.6574999997</v>
      </c>
      <c r="U14" s="3">
        <v>0</v>
      </c>
      <c r="V14" s="5">
        <f t="shared" si="1"/>
        <v>2695549.6574999997</v>
      </c>
    </row>
    <row r="15" spans="2:24" ht="30" x14ac:dyDescent="0.25">
      <c r="B15" s="20">
        <v>10</v>
      </c>
      <c r="C15" s="6"/>
      <c r="D15" s="15" t="s">
        <v>37</v>
      </c>
      <c r="E15" s="6" t="s">
        <v>82</v>
      </c>
      <c r="F15" s="6" t="s">
        <v>15</v>
      </c>
      <c r="G15" s="71">
        <f>16.5*12</f>
        <v>198</v>
      </c>
      <c r="H15" s="1">
        <f t="shared" si="2"/>
        <v>2131.2719999999999</v>
      </c>
      <c r="I15" s="6">
        <v>15.74</v>
      </c>
      <c r="J15" s="6">
        <v>2007</v>
      </c>
      <c r="K15" s="17">
        <v>2024</v>
      </c>
      <c r="L15" s="3">
        <f t="shared" si="3"/>
        <v>17</v>
      </c>
      <c r="M15" s="16">
        <v>40</v>
      </c>
      <c r="N15" s="3">
        <v>0.05</v>
      </c>
      <c r="O15" s="18">
        <f t="shared" si="4"/>
        <v>2.375E-2</v>
      </c>
      <c r="P15" s="4">
        <v>700</v>
      </c>
      <c r="Q15" s="4">
        <f t="shared" si="5"/>
        <v>7534.73</v>
      </c>
      <c r="R15" s="65">
        <f t="shared" si="9"/>
        <v>1491876.5399999998</v>
      </c>
      <c r="S15" s="5">
        <f t="shared" si="6"/>
        <v>602345.15302500001</v>
      </c>
      <c r="T15" s="5">
        <f t="shared" si="7"/>
        <v>889531.3869749998</v>
      </c>
      <c r="U15" s="3">
        <v>0</v>
      </c>
      <c r="V15" s="5">
        <f t="shared" si="1"/>
        <v>889531.3869749998</v>
      </c>
    </row>
    <row r="16" spans="2:24" ht="30" x14ac:dyDescent="0.25">
      <c r="B16" s="20">
        <v>11</v>
      </c>
      <c r="C16" s="6"/>
      <c r="D16" s="15" t="s">
        <v>38</v>
      </c>
      <c r="E16" s="6" t="s">
        <v>82</v>
      </c>
      <c r="F16" s="6" t="s">
        <v>15</v>
      </c>
      <c r="G16" s="71">
        <f>11.4*20</f>
        <v>228</v>
      </c>
      <c r="H16" s="1">
        <f t="shared" si="2"/>
        <v>2454.192</v>
      </c>
      <c r="I16" s="37">
        <v>16.399999999999999</v>
      </c>
      <c r="J16" s="6">
        <v>2007</v>
      </c>
      <c r="K16" s="17">
        <v>2024</v>
      </c>
      <c r="L16" s="3">
        <f t="shared" si="3"/>
        <v>17</v>
      </c>
      <c r="M16" s="16">
        <v>40</v>
      </c>
      <c r="N16" s="3">
        <v>0.05</v>
      </c>
      <c r="O16" s="18">
        <f t="shared" si="4"/>
        <v>2.375E-2</v>
      </c>
      <c r="P16" s="4">
        <v>700</v>
      </c>
      <c r="Q16" s="4">
        <f t="shared" si="5"/>
        <v>7534.73</v>
      </c>
      <c r="R16" s="65">
        <f t="shared" si="9"/>
        <v>1717918.44</v>
      </c>
      <c r="S16" s="5">
        <f t="shared" si="6"/>
        <v>693609.57015000004</v>
      </c>
      <c r="T16" s="5">
        <f t="shared" si="7"/>
        <v>1024308.8698499999</v>
      </c>
      <c r="U16" s="3">
        <v>0</v>
      </c>
      <c r="V16" s="5">
        <f t="shared" si="1"/>
        <v>1024308.8698499999</v>
      </c>
    </row>
    <row r="17" spans="2:24" ht="30" x14ac:dyDescent="0.25">
      <c r="B17" s="20">
        <v>12</v>
      </c>
      <c r="C17" s="6"/>
      <c r="D17" s="15" t="s">
        <v>39</v>
      </c>
      <c r="E17" s="6" t="s">
        <v>81</v>
      </c>
      <c r="F17" s="6" t="s">
        <v>15</v>
      </c>
      <c r="G17" s="71">
        <v>65</v>
      </c>
      <c r="H17" s="1">
        <f t="shared" si="2"/>
        <v>699.66</v>
      </c>
      <c r="I17" s="6">
        <v>213.25</v>
      </c>
      <c r="J17" s="6">
        <v>2007</v>
      </c>
      <c r="K17" s="17">
        <v>2024</v>
      </c>
      <c r="L17" s="3">
        <f t="shared" si="3"/>
        <v>17</v>
      </c>
      <c r="M17" s="16">
        <v>60</v>
      </c>
      <c r="N17" s="3">
        <v>0.05</v>
      </c>
      <c r="O17" s="18">
        <f t="shared" si="4"/>
        <v>1.5833333333333331E-2</v>
      </c>
      <c r="P17" s="4">
        <v>0</v>
      </c>
      <c r="Q17" s="4">
        <f t="shared" si="5"/>
        <v>0</v>
      </c>
      <c r="R17" s="65">
        <f t="shared" si="9"/>
        <v>0</v>
      </c>
      <c r="S17" s="5">
        <f t="shared" si="6"/>
        <v>0</v>
      </c>
      <c r="T17" s="5">
        <f t="shared" si="7"/>
        <v>0</v>
      </c>
      <c r="U17" s="3">
        <v>0</v>
      </c>
      <c r="V17" s="5">
        <f t="shared" si="1"/>
        <v>0</v>
      </c>
    </row>
    <row r="18" spans="2:24" ht="30" x14ac:dyDescent="0.25">
      <c r="B18" s="20">
        <v>13</v>
      </c>
      <c r="C18" s="6"/>
      <c r="D18" s="15" t="s">
        <v>40</v>
      </c>
      <c r="E18" s="6" t="s">
        <v>81</v>
      </c>
      <c r="F18" s="6" t="s">
        <v>15</v>
      </c>
      <c r="G18" s="71">
        <f>15*4</f>
        <v>60</v>
      </c>
      <c r="H18" s="1">
        <f t="shared" si="2"/>
        <v>645.83999999999992</v>
      </c>
      <c r="I18" s="57"/>
      <c r="J18" s="6">
        <v>2007</v>
      </c>
      <c r="K18" s="17">
        <v>2024</v>
      </c>
      <c r="L18" s="3">
        <f t="shared" si="3"/>
        <v>17</v>
      </c>
      <c r="M18" s="16">
        <v>60</v>
      </c>
      <c r="N18" s="3">
        <v>0.05</v>
      </c>
      <c r="O18" s="18">
        <f t="shared" si="4"/>
        <v>1.5833333333333331E-2</v>
      </c>
      <c r="P18" s="4">
        <v>1500</v>
      </c>
      <c r="Q18" s="4">
        <f t="shared" si="5"/>
        <v>16145.849999999999</v>
      </c>
      <c r="R18" s="65">
        <f t="shared" si="9"/>
        <v>968750.99999999988</v>
      </c>
      <c r="S18" s="5">
        <f t="shared" si="6"/>
        <v>260755.47749999992</v>
      </c>
      <c r="T18" s="5">
        <f t="shared" si="7"/>
        <v>707995.52249999996</v>
      </c>
      <c r="U18" s="3">
        <v>0</v>
      </c>
      <c r="V18" s="5">
        <f t="shared" si="1"/>
        <v>707995.52249999996</v>
      </c>
    </row>
    <row r="19" spans="2:24" ht="30" x14ac:dyDescent="0.25">
      <c r="B19" s="20">
        <v>14</v>
      </c>
      <c r="C19" s="6"/>
      <c r="D19" s="15" t="s">
        <v>41</v>
      </c>
      <c r="E19" s="6" t="s">
        <v>81</v>
      </c>
      <c r="F19" s="6" t="s">
        <v>15</v>
      </c>
      <c r="G19" s="71">
        <f>3.5*3.5*6</f>
        <v>73.5</v>
      </c>
      <c r="H19" s="1">
        <f t="shared" si="2"/>
        <v>791.154</v>
      </c>
      <c r="I19" s="6">
        <v>9.84</v>
      </c>
      <c r="J19" s="6">
        <v>2007</v>
      </c>
      <c r="K19" s="17">
        <v>2024</v>
      </c>
      <c r="L19" s="3">
        <f t="shared" si="3"/>
        <v>17</v>
      </c>
      <c r="M19" s="16">
        <v>60</v>
      </c>
      <c r="N19" s="3">
        <v>0.05</v>
      </c>
      <c r="O19" s="18">
        <f t="shared" si="4"/>
        <v>1.5833333333333331E-2</v>
      </c>
      <c r="P19" s="4">
        <v>1500</v>
      </c>
      <c r="Q19" s="4">
        <f t="shared" si="5"/>
        <v>16145.849999999999</v>
      </c>
      <c r="R19" s="65">
        <f t="shared" si="9"/>
        <v>1186719.9749999999</v>
      </c>
      <c r="S19" s="5">
        <f t="shared" si="6"/>
        <v>319425.45993749989</v>
      </c>
      <c r="T19" s="5">
        <f t="shared" si="7"/>
        <v>867294.51506250002</v>
      </c>
      <c r="U19" s="3">
        <v>0</v>
      </c>
      <c r="V19" s="5">
        <f t="shared" si="1"/>
        <v>867294.51506250002</v>
      </c>
    </row>
    <row r="20" spans="2:24" ht="30" x14ac:dyDescent="0.25">
      <c r="B20" s="20">
        <v>15</v>
      </c>
      <c r="C20" s="6"/>
      <c r="D20" s="15" t="s">
        <v>42</v>
      </c>
      <c r="E20" s="6" t="s">
        <v>81</v>
      </c>
      <c r="F20" s="6" t="s">
        <v>15</v>
      </c>
      <c r="G20" s="71">
        <f>3*3*5</f>
        <v>45</v>
      </c>
      <c r="H20" s="1">
        <f t="shared" si="2"/>
        <v>484.38</v>
      </c>
      <c r="I20" s="6">
        <v>9.84</v>
      </c>
      <c r="J20" s="6">
        <v>2007</v>
      </c>
      <c r="K20" s="17">
        <v>2024</v>
      </c>
      <c r="L20" s="3">
        <f t="shared" si="3"/>
        <v>17</v>
      </c>
      <c r="M20" s="16">
        <v>60</v>
      </c>
      <c r="N20" s="3">
        <v>0.05</v>
      </c>
      <c r="O20" s="18">
        <f t="shared" si="4"/>
        <v>1.5833333333333331E-2</v>
      </c>
      <c r="P20" s="4">
        <v>1500</v>
      </c>
      <c r="Q20" s="4">
        <f>P20*10.7639</f>
        <v>16145.849999999999</v>
      </c>
      <c r="R20" s="65">
        <f t="shared" si="9"/>
        <v>726563.24999999988</v>
      </c>
      <c r="S20" s="5">
        <f>R20*O20*L20</f>
        <v>195566.60812499994</v>
      </c>
      <c r="T20" s="5">
        <f>MAX(R20-S20,0)</f>
        <v>530996.64187499997</v>
      </c>
      <c r="U20" s="3">
        <v>0</v>
      </c>
      <c r="V20" s="5">
        <f t="shared" si="1"/>
        <v>530996.64187499997</v>
      </c>
    </row>
    <row r="21" spans="2:24" ht="30" x14ac:dyDescent="0.25">
      <c r="B21" s="20">
        <v>16</v>
      </c>
      <c r="C21" s="6"/>
      <c r="D21" s="15" t="s">
        <v>43</v>
      </c>
      <c r="E21" s="6" t="s">
        <v>82</v>
      </c>
      <c r="F21" s="6" t="s">
        <v>15</v>
      </c>
      <c r="G21" s="71">
        <f>16.5*6</f>
        <v>99</v>
      </c>
      <c r="H21" s="1">
        <f t="shared" si="2"/>
        <v>1065.636</v>
      </c>
      <c r="I21" s="6">
        <v>13.12</v>
      </c>
      <c r="J21" s="6">
        <v>2007</v>
      </c>
      <c r="K21" s="17">
        <v>2024</v>
      </c>
      <c r="L21" s="3">
        <f t="shared" si="3"/>
        <v>17</v>
      </c>
      <c r="M21" s="16">
        <v>40</v>
      </c>
      <c r="N21" s="3">
        <v>0.05</v>
      </c>
      <c r="O21" s="18">
        <f t="shared" si="4"/>
        <v>2.375E-2</v>
      </c>
      <c r="P21" s="4">
        <v>700</v>
      </c>
      <c r="Q21" s="4">
        <f t="shared" ref="Q21:Q58" si="10">P21*10.7639</f>
        <v>7534.73</v>
      </c>
      <c r="R21" s="65">
        <f t="shared" si="9"/>
        <v>745938.2699999999</v>
      </c>
      <c r="S21" s="5">
        <f t="shared" ref="S21:S57" si="11">R21*O21*L21</f>
        <v>301172.5765125</v>
      </c>
      <c r="T21" s="5">
        <f t="shared" ref="T21:T58" si="12">MAX(R21-S21,0)</f>
        <v>444765.6934874999</v>
      </c>
      <c r="U21" s="3">
        <v>0</v>
      </c>
      <c r="V21" s="5">
        <f t="shared" si="1"/>
        <v>444765.6934874999</v>
      </c>
    </row>
    <row r="22" spans="2:24" ht="30" x14ac:dyDescent="0.25">
      <c r="B22" s="20">
        <v>17</v>
      </c>
      <c r="C22" s="6"/>
      <c r="D22" s="15" t="s">
        <v>44</v>
      </c>
      <c r="E22" s="6" t="s">
        <v>82</v>
      </c>
      <c r="F22" s="6" t="s">
        <v>15</v>
      </c>
      <c r="G22" s="71">
        <f>99</f>
        <v>99</v>
      </c>
      <c r="H22" s="1">
        <f t="shared" si="2"/>
        <v>1065.636</v>
      </c>
      <c r="I22" s="6">
        <v>13.12</v>
      </c>
      <c r="J22" s="6">
        <v>2007</v>
      </c>
      <c r="K22" s="17">
        <v>2024</v>
      </c>
      <c r="L22" s="3">
        <f t="shared" si="3"/>
        <v>17</v>
      </c>
      <c r="M22" s="16">
        <v>40</v>
      </c>
      <c r="N22" s="3">
        <v>0.05</v>
      </c>
      <c r="O22" s="18">
        <f t="shared" si="4"/>
        <v>2.375E-2</v>
      </c>
      <c r="P22" s="4">
        <v>700</v>
      </c>
      <c r="Q22" s="4">
        <f t="shared" si="10"/>
        <v>7534.73</v>
      </c>
      <c r="R22" s="65">
        <f t="shared" si="9"/>
        <v>745938.2699999999</v>
      </c>
      <c r="S22" s="5">
        <f t="shared" si="11"/>
        <v>301172.5765125</v>
      </c>
      <c r="T22" s="5">
        <f t="shared" si="12"/>
        <v>444765.6934874999</v>
      </c>
      <c r="U22" s="3">
        <v>0</v>
      </c>
      <c r="V22" s="5">
        <f t="shared" si="1"/>
        <v>444765.6934874999</v>
      </c>
    </row>
    <row r="23" spans="2:24" ht="30" x14ac:dyDescent="0.25">
      <c r="B23" s="20">
        <v>18</v>
      </c>
      <c r="C23" s="6"/>
      <c r="D23" s="15" t="s">
        <v>45</v>
      </c>
      <c r="E23" s="6" t="s">
        <v>81</v>
      </c>
      <c r="F23" s="6" t="s">
        <v>15</v>
      </c>
      <c r="G23" s="71">
        <v>1237</v>
      </c>
      <c r="H23" s="1">
        <f t="shared" si="2"/>
        <v>13315.067999999999</v>
      </c>
      <c r="I23" s="6">
        <v>13.12</v>
      </c>
      <c r="J23" s="6">
        <v>2007</v>
      </c>
      <c r="K23" s="17">
        <v>2024</v>
      </c>
      <c r="L23" s="3">
        <f t="shared" si="3"/>
        <v>17</v>
      </c>
      <c r="M23" s="16">
        <v>60</v>
      </c>
      <c r="N23" s="3">
        <v>0.05</v>
      </c>
      <c r="O23" s="18">
        <f t="shared" si="4"/>
        <v>1.5833333333333331E-2</v>
      </c>
      <c r="P23" s="4">
        <v>1500</v>
      </c>
      <c r="Q23" s="4">
        <f t="shared" si="10"/>
        <v>16145.849999999999</v>
      </c>
      <c r="R23" s="65">
        <f t="shared" si="9"/>
        <v>19972416.449999999</v>
      </c>
      <c r="S23" s="5">
        <f t="shared" si="11"/>
        <v>5375908.7611249983</v>
      </c>
      <c r="T23" s="5">
        <f t="shared" si="12"/>
        <v>14596507.688875001</v>
      </c>
      <c r="U23" s="3">
        <v>0</v>
      </c>
      <c r="V23" s="5">
        <f t="shared" si="1"/>
        <v>14596507.688875001</v>
      </c>
    </row>
    <row r="24" spans="2:24" ht="30" x14ac:dyDescent="0.25">
      <c r="B24" s="20">
        <v>19</v>
      </c>
      <c r="C24" s="6"/>
      <c r="D24" s="15" t="s">
        <v>46</v>
      </c>
      <c r="E24" s="6" t="s">
        <v>81</v>
      </c>
      <c r="F24" s="6" t="s">
        <v>15</v>
      </c>
      <c r="G24" s="71">
        <v>500</v>
      </c>
      <c r="H24" s="1">
        <f t="shared" si="2"/>
        <v>5382</v>
      </c>
      <c r="I24" s="6">
        <v>26.24</v>
      </c>
      <c r="J24" s="6">
        <v>2007</v>
      </c>
      <c r="K24" s="17">
        <v>2024</v>
      </c>
      <c r="L24" s="3">
        <f t="shared" si="3"/>
        <v>17</v>
      </c>
      <c r="M24" s="16">
        <v>60</v>
      </c>
      <c r="N24" s="3">
        <v>0.05</v>
      </c>
      <c r="O24" s="18">
        <f t="shared" si="4"/>
        <v>1.5833333333333331E-2</v>
      </c>
      <c r="P24" s="4">
        <v>1500</v>
      </c>
      <c r="Q24" s="4">
        <f t="shared" si="10"/>
        <v>16145.849999999999</v>
      </c>
      <c r="R24" s="65">
        <f t="shared" si="9"/>
        <v>8072924.9999999991</v>
      </c>
      <c r="S24" s="5">
        <f t="shared" si="11"/>
        <v>2172962.3124999995</v>
      </c>
      <c r="T24" s="5">
        <f t="shared" si="12"/>
        <v>5899962.6875</v>
      </c>
      <c r="U24" s="3">
        <v>0</v>
      </c>
      <c r="V24" s="5">
        <f t="shared" si="1"/>
        <v>5899962.6875</v>
      </c>
    </row>
    <row r="25" spans="2:24" ht="30" x14ac:dyDescent="0.25">
      <c r="B25" s="20">
        <v>20</v>
      </c>
      <c r="C25" s="6"/>
      <c r="D25" s="15" t="s">
        <v>47</v>
      </c>
      <c r="E25" s="6" t="s">
        <v>81</v>
      </c>
      <c r="F25" s="6" t="s">
        <v>15</v>
      </c>
      <c r="G25" s="71">
        <f>6*15</f>
        <v>90</v>
      </c>
      <c r="H25" s="1">
        <f t="shared" si="2"/>
        <v>968.76</v>
      </c>
      <c r="I25" s="6">
        <v>7.87</v>
      </c>
      <c r="J25" s="6">
        <v>2007</v>
      </c>
      <c r="K25" s="17">
        <v>2024</v>
      </c>
      <c r="L25" s="3">
        <f t="shared" si="3"/>
        <v>17</v>
      </c>
      <c r="M25" s="16">
        <v>60</v>
      </c>
      <c r="N25" s="3">
        <v>0.05</v>
      </c>
      <c r="O25" s="18">
        <f t="shared" si="4"/>
        <v>1.5833333333333331E-2</v>
      </c>
      <c r="P25" s="4">
        <v>1500</v>
      </c>
      <c r="Q25" s="4">
        <f t="shared" si="10"/>
        <v>16145.849999999999</v>
      </c>
      <c r="R25" s="65">
        <f t="shared" si="9"/>
        <v>1453126.4999999998</v>
      </c>
      <c r="S25" s="5">
        <f t="shared" si="11"/>
        <v>391133.21624999988</v>
      </c>
      <c r="T25" s="5">
        <f t="shared" si="12"/>
        <v>1061993.2837499999</v>
      </c>
      <c r="U25" s="3">
        <v>0</v>
      </c>
      <c r="V25" s="5">
        <f t="shared" si="1"/>
        <v>1061993.2837499999</v>
      </c>
    </row>
    <row r="26" spans="2:24" ht="30" x14ac:dyDescent="0.25">
      <c r="B26" s="20">
        <v>21</v>
      </c>
      <c r="C26" s="6"/>
      <c r="D26" s="15" t="s">
        <v>48</v>
      </c>
      <c r="E26" s="6" t="s">
        <v>82</v>
      </c>
      <c r="F26" s="6" t="s">
        <v>15</v>
      </c>
      <c r="G26" s="71">
        <f>2*200*50</f>
        <v>20000</v>
      </c>
      <c r="H26" s="1">
        <f t="shared" si="2"/>
        <v>215280</v>
      </c>
      <c r="I26" s="37">
        <v>32.799999999999997</v>
      </c>
      <c r="J26" s="6">
        <v>2007</v>
      </c>
      <c r="K26" s="17">
        <v>2024</v>
      </c>
      <c r="L26" s="3">
        <f t="shared" si="3"/>
        <v>17</v>
      </c>
      <c r="M26" s="16">
        <v>40</v>
      </c>
      <c r="N26" s="3">
        <v>0.05</v>
      </c>
      <c r="O26" s="18">
        <f t="shared" si="4"/>
        <v>2.375E-2</v>
      </c>
      <c r="P26" s="4">
        <v>700</v>
      </c>
      <c r="Q26" s="4">
        <f t="shared" si="10"/>
        <v>7534.73</v>
      </c>
      <c r="R26" s="65">
        <f t="shared" si="9"/>
        <v>150694600</v>
      </c>
      <c r="S26" s="5">
        <f t="shared" si="11"/>
        <v>60842944.75</v>
      </c>
      <c r="T26" s="5">
        <f t="shared" si="12"/>
        <v>89851655.25</v>
      </c>
      <c r="U26" s="3">
        <v>0</v>
      </c>
      <c r="V26" s="5">
        <f t="shared" si="1"/>
        <v>89851655.25</v>
      </c>
    </row>
    <row r="27" spans="2:24" ht="30" x14ac:dyDescent="0.25">
      <c r="B27" s="20">
        <v>22</v>
      </c>
      <c r="C27" s="6"/>
      <c r="D27" s="15" t="s">
        <v>49</v>
      </c>
      <c r="E27" s="6" t="s">
        <v>81</v>
      </c>
      <c r="F27" s="6" t="s">
        <v>15</v>
      </c>
      <c r="G27" s="71">
        <v>18</v>
      </c>
      <c r="H27" s="1">
        <f t="shared" si="2"/>
        <v>193.75199999999998</v>
      </c>
      <c r="I27" s="6">
        <v>9.84</v>
      </c>
      <c r="J27" s="6">
        <v>2007</v>
      </c>
      <c r="K27" s="17">
        <v>2024</v>
      </c>
      <c r="L27" s="3">
        <f t="shared" si="3"/>
        <v>17</v>
      </c>
      <c r="M27" s="16">
        <v>60</v>
      </c>
      <c r="N27" s="3">
        <v>0.05</v>
      </c>
      <c r="O27" s="18">
        <f t="shared" si="4"/>
        <v>1.5833333333333331E-2</v>
      </c>
      <c r="P27" s="4">
        <v>1500</v>
      </c>
      <c r="Q27" s="4">
        <f t="shared" si="10"/>
        <v>16145.849999999999</v>
      </c>
      <c r="R27" s="65">
        <f t="shared" si="9"/>
        <v>290625.3</v>
      </c>
      <c r="S27" s="5">
        <f t="shared" si="11"/>
        <v>78226.643249999979</v>
      </c>
      <c r="T27" s="5">
        <f t="shared" si="12"/>
        <v>212398.65675000002</v>
      </c>
      <c r="U27" s="3">
        <v>0</v>
      </c>
      <c r="V27" s="5">
        <f t="shared" si="1"/>
        <v>212398.65675000002</v>
      </c>
    </row>
    <row r="28" spans="2:24" ht="30" x14ac:dyDescent="0.25">
      <c r="B28" s="20">
        <v>23</v>
      </c>
      <c r="C28" s="6"/>
      <c r="D28" s="15" t="s">
        <v>50</v>
      </c>
      <c r="E28" s="6" t="s">
        <v>81</v>
      </c>
      <c r="F28" s="6" t="s">
        <v>15</v>
      </c>
      <c r="G28" s="71">
        <f>15*4</f>
        <v>60</v>
      </c>
      <c r="H28" s="1">
        <f t="shared" si="2"/>
        <v>645.83999999999992</v>
      </c>
      <c r="I28" s="6">
        <v>11.81</v>
      </c>
      <c r="J28" s="6">
        <v>2007</v>
      </c>
      <c r="K28" s="17">
        <v>2024</v>
      </c>
      <c r="L28" s="3">
        <f t="shared" si="3"/>
        <v>17</v>
      </c>
      <c r="M28" s="16">
        <v>60</v>
      </c>
      <c r="N28" s="3">
        <v>0.05</v>
      </c>
      <c r="O28" s="18">
        <f t="shared" si="4"/>
        <v>1.5833333333333331E-2</v>
      </c>
      <c r="P28" s="4">
        <v>1500</v>
      </c>
      <c r="Q28" s="4">
        <f t="shared" si="10"/>
        <v>16145.849999999999</v>
      </c>
      <c r="R28" s="65">
        <f t="shared" si="9"/>
        <v>968750.99999999988</v>
      </c>
      <c r="S28" s="5">
        <f t="shared" si="11"/>
        <v>260755.47749999992</v>
      </c>
      <c r="T28" s="5">
        <f t="shared" si="12"/>
        <v>707995.52249999996</v>
      </c>
      <c r="U28" s="3">
        <v>0</v>
      </c>
      <c r="V28" s="5">
        <f t="shared" si="1"/>
        <v>707995.52249999996</v>
      </c>
    </row>
    <row r="29" spans="2:24" ht="30" x14ac:dyDescent="0.25">
      <c r="B29" s="20">
        <v>24</v>
      </c>
      <c r="C29" s="6"/>
      <c r="D29" s="15" t="s">
        <v>51</v>
      </c>
      <c r="E29" s="6" t="s">
        <v>81</v>
      </c>
      <c r="F29" s="6" t="s">
        <v>15</v>
      </c>
      <c r="G29" s="71">
        <f>6*9</f>
        <v>54</v>
      </c>
      <c r="H29" s="1">
        <f t="shared" si="2"/>
        <v>581.25599999999997</v>
      </c>
      <c r="I29" s="6">
        <v>9.84</v>
      </c>
      <c r="J29" s="6">
        <v>2007</v>
      </c>
      <c r="K29" s="17">
        <v>2024</v>
      </c>
      <c r="L29" s="3">
        <f t="shared" si="3"/>
        <v>17</v>
      </c>
      <c r="M29" s="16">
        <v>60</v>
      </c>
      <c r="N29" s="3">
        <v>0.05</v>
      </c>
      <c r="O29" s="18">
        <f t="shared" si="4"/>
        <v>1.5833333333333331E-2</v>
      </c>
      <c r="P29" s="4">
        <v>1500</v>
      </c>
      <c r="Q29" s="4">
        <f t="shared" si="10"/>
        <v>16145.849999999999</v>
      </c>
      <c r="R29" s="65">
        <f t="shared" si="9"/>
        <v>871875.89999999991</v>
      </c>
      <c r="S29" s="5">
        <f t="shared" si="11"/>
        <v>234679.92974999995</v>
      </c>
      <c r="T29" s="5">
        <f t="shared" si="12"/>
        <v>637195.97025000001</v>
      </c>
      <c r="U29" s="3">
        <v>0</v>
      </c>
      <c r="V29" s="5">
        <f t="shared" si="1"/>
        <v>637195.97025000001</v>
      </c>
    </row>
    <row r="30" spans="2:24" ht="30" x14ac:dyDescent="0.25">
      <c r="B30" s="20">
        <v>25</v>
      </c>
      <c r="C30" s="6"/>
      <c r="D30" s="15" t="s">
        <v>52</v>
      </c>
      <c r="E30" s="6" t="s">
        <v>82</v>
      </c>
      <c r="F30" s="6" t="s">
        <v>15</v>
      </c>
      <c r="G30" s="71">
        <f>(47.5*10.3)/10.76</f>
        <v>45.46933085501859</v>
      </c>
      <c r="H30" s="1">
        <f t="shared" si="2"/>
        <v>489.43187732342005</v>
      </c>
      <c r="I30" s="6">
        <v>9.84</v>
      </c>
      <c r="J30" s="6">
        <v>2007</v>
      </c>
      <c r="K30" s="17">
        <v>2024</v>
      </c>
      <c r="L30" s="3">
        <f t="shared" si="3"/>
        <v>17</v>
      </c>
      <c r="M30" s="16">
        <v>40</v>
      </c>
      <c r="N30" s="3">
        <v>0.05</v>
      </c>
      <c r="O30" s="18">
        <f t="shared" si="4"/>
        <v>2.375E-2</v>
      </c>
      <c r="P30" s="4">
        <v>700</v>
      </c>
      <c r="Q30" s="4">
        <f t="shared" si="10"/>
        <v>7534.73</v>
      </c>
      <c r="R30" s="65">
        <f t="shared" si="9"/>
        <v>342599.1312732342</v>
      </c>
      <c r="S30" s="5">
        <f t="shared" si="11"/>
        <v>138324.39925156831</v>
      </c>
      <c r="T30" s="5">
        <f t="shared" si="12"/>
        <v>204274.7320216659</v>
      </c>
      <c r="U30" s="3">
        <v>0</v>
      </c>
      <c r="V30" s="5">
        <f t="shared" si="1"/>
        <v>204274.7320216659</v>
      </c>
      <c r="W30" s="9">
        <f>SUM(V6:V30)</f>
        <v>274454781.55732548</v>
      </c>
      <c r="X30" s="9">
        <f>SUM(R6:R30)</f>
        <v>421949546.49077314</v>
      </c>
    </row>
    <row r="31" spans="2:24" x14ac:dyDescent="0.25">
      <c r="B31" s="89" t="s">
        <v>95</v>
      </c>
      <c r="C31" s="90"/>
      <c r="D31" s="90"/>
      <c r="E31" s="90"/>
      <c r="F31" s="90"/>
      <c r="G31" s="90"/>
      <c r="H31" s="90"/>
      <c r="I31" s="90"/>
      <c r="J31" s="90"/>
      <c r="K31" s="90"/>
      <c r="L31" s="90"/>
      <c r="M31" s="90"/>
      <c r="N31" s="90"/>
      <c r="O31" s="90"/>
      <c r="P31" s="90"/>
      <c r="Q31" s="90"/>
      <c r="R31" s="90"/>
      <c r="S31" s="90"/>
      <c r="T31" s="90"/>
      <c r="U31" s="90"/>
      <c r="V31" s="91"/>
    </row>
    <row r="32" spans="2:24" ht="30" x14ac:dyDescent="0.25">
      <c r="B32" s="20">
        <v>26</v>
      </c>
      <c r="C32" s="6"/>
      <c r="D32" s="15" t="s">
        <v>53</v>
      </c>
      <c r="E32" s="6" t="s">
        <v>81</v>
      </c>
      <c r="F32" s="6" t="s">
        <v>15</v>
      </c>
      <c r="G32" s="71">
        <v>646</v>
      </c>
      <c r="H32" s="1">
        <f t="shared" si="2"/>
        <v>6953.5439999999999</v>
      </c>
      <c r="I32" s="6">
        <v>18.37</v>
      </c>
      <c r="J32" s="6">
        <v>2007</v>
      </c>
      <c r="K32" s="17">
        <v>2024</v>
      </c>
      <c r="L32" s="3">
        <f t="shared" si="3"/>
        <v>17</v>
      </c>
      <c r="M32" s="16">
        <v>60</v>
      </c>
      <c r="N32" s="3">
        <v>0.05</v>
      </c>
      <c r="O32" s="18">
        <f t="shared" si="4"/>
        <v>1.5833333333333331E-2</v>
      </c>
      <c r="P32" s="4">
        <v>1200</v>
      </c>
      <c r="Q32" s="4">
        <f t="shared" si="10"/>
        <v>12916.68</v>
      </c>
      <c r="R32" s="65">
        <f t="shared" si="9"/>
        <v>8344175.2800000003</v>
      </c>
      <c r="S32" s="5">
        <f t="shared" si="11"/>
        <v>2245973.8461999996</v>
      </c>
      <c r="T32" s="5">
        <f t="shared" si="12"/>
        <v>6098201.4338000007</v>
      </c>
      <c r="U32" s="3">
        <v>0</v>
      </c>
      <c r="V32" s="5">
        <f t="shared" ref="V32:V49" si="13">IF(T32&gt;N32*R32,T32*(1+U32),R32*N32)</f>
        <v>6098201.4338000007</v>
      </c>
    </row>
    <row r="33" spans="2:22" ht="30" x14ac:dyDescent="0.25">
      <c r="B33" s="20">
        <v>27</v>
      </c>
      <c r="C33" s="6"/>
      <c r="D33" s="15" t="s">
        <v>54</v>
      </c>
      <c r="E33" s="6" t="s">
        <v>82</v>
      </c>
      <c r="F33" s="6" t="s">
        <v>15</v>
      </c>
      <c r="G33" s="71">
        <f>33.5*11.6*(32.11/10.76)+(33.5*7)</f>
        <v>1394.1604089219329</v>
      </c>
      <c r="H33" s="1">
        <f t="shared" si="2"/>
        <v>15006.742641635685</v>
      </c>
      <c r="I33" s="37">
        <v>16.399999999999999</v>
      </c>
      <c r="J33" s="6">
        <v>2007</v>
      </c>
      <c r="K33" s="17">
        <v>2024</v>
      </c>
      <c r="L33" s="3">
        <f t="shared" si="3"/>
        <v>17</v>
      </c>
      <c r="M33" s="16">
        <v>40</v>
      </c>
      <c r="N33" s="3">
        <v>0.05</v>
      </c>
      <c r="O33" s="18">
        <f t="shared" si="4"/>
        <v>2.375E-2</v>
      </c>
      <c r="P33" s="4">
        <v>700</v>
      </c>
      <c r="Q33" s="4">
        <f t="shared" si="10"/>
        <v>7534.73</v>
      </c>
      <c r="R33" s="65">
        <f t="shared" si="9"/>
        <v>10504622.257916356</v>
      </c>
      <c r="S33" s="5">
        <f t="shared" si="11"/>
        <v>4241241.2366337292</v>
      </c>
      <c r="T33" s="5">
        <f t="shared" si="12"/>
        <v>6263381.0212826263</v>
      </c>
      <c r="U33" s="3">
        <v>0</v>
      </c>
      <c r="V33" s="5">
        <f t="shared" si="13"/>
        <v>6263381.0212826263</v>
      </c>
    </row>
    <row r="34" spans="2:22" ht="30" x14ac:dyDescent="0.25">
      <c r="B34" s="20">
        <v>28</v>
      </c>
      <c r="C34" s="6"/>
      <c r="D34" s="15" t="s">
        <v>55</v>
      </c>
      <c r="E34" s="6" t="s">
        <v>81</v>
      </c>
      <c r="F34" s="6" t="s">
        <v>15</v>
      </c>
      <c r="G34" s="71">
        <f>(69.06+174)*(120-95)</f>
        <v>6076.5</v>
      </c>
      <c r="H34" s="1">
        <f t="shared" si="2"/>
        <v>65407.445999999996</v>
      </c>
      <c r="I34" s="6">
        <v>36.08</v>
      </c>
      <c r="J34" s="6">
        <v>2007</v>
      </c>
      <c r="K34" s="17">
        <v>2024</v>
      </c>
      <c r="L34" s="3">
        <f t="shared" si="3"/>
        <v>17</v>
      </c>
      <c r="M34" s="16">
        <v>60</v>
      </c>
      <c r="N34" s="3">
        <v>0.05</v>
      </c>
      <c r="O34" s="18">
        <f t="shared" si="4"/>
        <v>1.5833333333333331E-2</v>
      </c>
      <c r="P34" s="4">
        <v>50</v>
      </c>
      <c r="Q34" s="4">
        <f t="shared" si="10"/>
        <v>538.19499999999994</v>
      </c>
      <c r="R34" s="65">
        <f t="shared" si="9"/>
        <v>3270341.9174999995</v>
      </c>
      <c r="S34" s="5">
        <f t="shared" si="11"/>
        <v>880267.03279374982</v>
      </c>
      <c r="T34" s="5">
        <f t="shared" si="12"/>
        <v>2390074.8847062495</v>
      </c>
      <c r="U34" s="3">
        <v>0</v>
      </c>
      <c r="V34" s="5">
        <f t="shared" si="13"/>
        <v>2390074.8847062495</v>
      </c>
    </row>
    <row r="35" spans="2:22" ht="30" x14ac:dyDescent="0.25">
      <c r="B35" s="20">
        <v>30</v>
      </c>
      <c r="C35" s="6"/>
      <c r="D35" s="15" t="s">
        <v>57</v>
      </c>
      <c r="E35" s="6" t="s">
        <v>81</v>
      </c>
      <c r="F35" s="6" t="s">
        <v>15</v>
      </c>
      <c r="G35" s="71">
        <f>(51.205/10.7)*23</f>
        <v>110.06682242990654</v>
      </c>
      <c r="H35" s="1">
        <f t="shared" si="2"/>
        <v>1184.759276635514</v>
      </c>
      <c r="I35" s="6">
        <v>11.81</v>
      </c>
      <c r="J35" s="6">
        <v>2007</v>
      </c>
      <c r="K35" s="17">
        <v>2024</v>
      </c>
      <c r="L35" s="3">
        <f t="shared" si="3"/>
        <v>17</v>
      </c>
      <c r="M35" s="16">
        <v>60</v>
      </c>
      <c r="N35" s="3">
        <v>0.05</v>
      </c>
      <c r="O35" s="18">
        <f t="shared" si="4"/>
        <v>1.5833333333333331E-2</v>
      </c>
      <c r="P35" s="4">
        <v>1500</v>
      </c>
      <c r="Q35" s="4">
        <f t="shared" si="10"/>
        <v>16145.849999999999</v>
      </c>
      <c r="R35" s="65">
        <f t="shared" si="9"/>
        <v>1777122.4049299064</v>
      </c>
      <c r="S35" s="5">
        <f t="shared" si="11"/>
        <v>478342.11399363307</v>
      </c>
      <c r="T35" s="5">
        <f t="shared" si="12"/>
        <v>1298780.2909362733</v>
      </c>
      <c r="U35" s="3">
        <v>0</v>
      </c>
      <c r="V35" s="5">
        <f t="shared" si="13"/>
        <v>1298780.2909362733</v>
      </c>
    </row>
    <row r="36" spans="2:22" ht="30" x14ac:dyDescent="0.25">
      <c r="B36" s="20">
        <v>31</v>
      </c>
      <c r="C36" s="6"/>
      <c r="D36" s="15" t="s">
        <v>58</v>
      </c>
      <c r="E36" s="6" t="s">
        <v>82</v>
      </c>
      <c r="F36" s="6" t="s">
        <v>15</v>
      </c>
      <c r="G36" s="71">
        <v>1700</v>
      </c>
      <c r="H36" s="1">
        <f t="shared" si="2"/>
        <v>18298.8</v>
      </c>
      <c r="I36" s="6">
        <v>45.93</v>
      </c>
      <c r="J36" s="6">
        <v>2007</v>
      </c>
      <c r="K36" s="17">
        <v>2024</v>
      </c>
      <c r="L36" s="3">
        <f t="shared" si="3"/>
        <v>17</v>
      </c>
      <c r="M36" s="16">
        <v>40</v>
      </c>
      <c r="N36" s="3">
        <v>0.05</v>
      </c>
      <c r="O36" s="18">
        <f t="shared" si="4"/>
        <v>2.375E-2</v>
      </c>
      <c r="P36" s="4">
        <v>700</v>
      </c>
      <c r="Q36" s="4">
        <f t="shared" si="10"/>
        <v>7534.73</v>
      </c>
      <c r="R36" s="65">
        <f t="shared" si="9"/>
        <v>12809041</v>
      </c>
      <c r="S36" s="5">
        <f t="shared" si="11"/>
        <v>5171650.30375</v>
      </c>
      <c r="T36" s="5">
        <f t="shared" si="12"/>
        <v>7637390.69625</v>
      </c>
      <c r="U36" s="3">
        <v>0</v>
      </c>
      <c r="V36" s="5">
        <f t="shared" si="13"/>
        <v>7637390.69625</v>
      </c>
    </row>
    <row r="37" spans="2:22" ht="30" x14ac:dyDescent="0.25">
      <c r="B37" s="20">
        <v>32</v>
      </c>
      <c r="C37" s="6"/>
      <c r="D37" s="15" t="s">
        <v>59</v>
      </c>
      <c r="E37" s="6" t="s">
        <v>81</v>
      </c>
      <c r="F37" s="6" t="s">
        <v>15</v>
      </c>
      <c r="G37" s="71">
        <f>16</f>
        <v>16</v>
      </c>
      <c r="H37" s="1">
        <f t="shared" si="2"/>
        <v>172.22399999999999</v>
      </c>
      <c r="I37" s="6">
        <v>9.84</v>
      </c>
      <c r="J37" s="6">
        <v>2007</v>
      </c>
      <c r="K37" s="17">
        <v>2024</v>
      </c>
      <c r="L37" s="3">
        <f t="shared" si="3"/>
        <v>17</v>
      </c>
      <c r="M37" s="16">
        <v>60</v>
      </c>
      <c r="N37" s="3">
        <v>0.05</v>
      </c>
      <c r="O37" s="18">
        <f t="shared" si="4"/>
        <v>1.5833333333333331E-2</v>
      </c>
      <c r="P37" s="4">
        <v>1500</v>
      </c>
      <c r="Q37" s="4">
        <f t="shared" si="10"/>
        <v>16145.849999999999</v>
      </c>
      <c r="R37" s="65">
        <f t="shared" si="9"/>
        <v>258333.59999999998</v>
      </c>
      <c r="S37" s="5">
        <f t="shared" si="11"/>
        <v>69534.793999999994</v>
      </c>
      <c r="T37" s="5">
        <f t="shared" si="12"/>
        <v>188798.80599999998</v>
      </c>
      <c r="U37" s="3">
        <v>0</v>
      </c>
      <c r="V37" s="5">
        <f t="shared" si="13"/>
        <v>188798.80599999998</v>
      </c>
    </row>
    <row r="38" spans="2:22" ht="30" x14ac:dyDescent="0.25">
      <c r="B38" s="20">
        <v>33</v>
      </c>
      <c r="C38" s="6"/>
      <c r="D38" s="15" t="s">
        <v>60</v>
      </c>
      <c r="E38" s="6" t="s">
        <v>81</v>
      </c>
      <c r="F38" s="6" t="s">
        <v>15</v>
      </c>
      <c r="G38" s="71">
        <f>32</f>
        <v>32</v>
      </c>
      <c r="H38" s="1">
        <f t="shared" si="2"/>
        <v>344.44799999999998</v>
      </c>
      <c r="I38" s="6">
        <v>9.84</v>
      </c>
      <c r="J38" s="6">
        <v>2007</v>
      </c>
      <c r="K38" s="17">
        <v>2024</v>
      </c>
      <c r="L38" s="3">
        <f t="shared" si="3"/>
        <v>17</v>
      </c>
      <c r="M38" s="16">
        <v>60</v>
      </c>
      <c r="N38" s="3">
        <v>0.05</v>
      </c>
      <c r="O38" s="18">
        <f>(1-N38)/M38</f>
        <v>1.5833333333333331E-2</v>
      </c>
      <c r="P38" s="4">
        <v>1500</v>
      </c>
      <c r="Q38" s="4">
        <f t="shared" si="10"/>
        <v>16145.849999999999</v>
      </c>
      <c r="R38" s="65">
        <f t="shared" si="9"/>
        <v>516667.19999999995</v>
      </c>
      <c r="S38" s="5">
        <f t="shared" si="11"/>
        <v>139069.58799999999</v>
      </c>
      <c r="T38" s="5">
        <f t="shared" si="12"/>
        <v>377597.61199999996</v>
      </c>
      <c r="U38" s="3">
        <v>0</v>
      </c>
      <c r="V38" s="5">
        <f t="shared" si="13"/>
        <v>377597.61199999996</v>
      </c>
    </row>
    <row r="39" spans="2:22" ht="30" x14ac:dyDescent="0.25">
      <c r="B39" s="20">
        <v>34</v>
      </c>
      <c r="C39" s="6"/>
      <c r="D39" s="15" t="s">
        <v>61</v>
      </c>
      <c r="E39" s="6" t="s">
        <v>81</v>
      </c>
      <c r="F39" s="6" t="s">
        <v>15</v>
      </c>
      <c r="G39" s="71">
        <v>512</v>
      </c>
      <c r="H39" s="1">
        <f t="shared" si="2"/>
        <v>5511.1679999999997</v>
      </c>
      <c r="I39" s="6">
        <v>32.799999999999997</v>
      </c>
      <c r="J39" s="6">
        <v>2007</v>
      </c>
      <c r="K39" s="17">
        <v>2024</v>
      </c>
      <c r="L39" s="3">
        <f t="shared" si="3"/>
        <v>17</v>
      </c>
      <c r="M39" s="16">
        <v>60</v>
      </c>
      <c r="N39" s="3">
        <v>0.05</v>
      </c>
      <c r="O39" s="18">
        <f t="shared" ref="O39:O58" si="14">(1-N39)/M39</f>
        <v>1.5833333333333331E-2</v>
      </c>
      <c r="P39" s="4">
        <v>1500</v>
      </c>
      <c r="Q39" s="4">
        <f t="shared" si="10"/>
        <v>16145.849999999999</v>
      </c>
      <c r="R39" s="65">
        <f t="shared" ref="R39:R58" si="15">Q39*G39</f>
        <v>8266675.1999999993</v>
      </c>
      <c r="S39" s="5">
        <f t="shared" si="11"/>
        <v>2225113.4079999998</v>
      </c>
      <c r="T39" s="5">
        <f t="shared" si="12"/>
        <v>6041561.7919999994</v>
      </c>
      <c r="U39" s="3">
        <v>0</v>
      </c>
      <c r="V39" s="5">
        <f t="shared" si="13"/>
        <v>6041561.7919999994</v>
      </c>
    </row>
    <row r="40" spans="2:22" ht="30" x14ac:dyDescent="0.25">
      <c r="B40" s="20">
        <v>35</v>
      </c>
      <c r="C40" s="6"/>
      <c r="D40" s="15" t="s">
        <v>62</v>
      </c>
      <c r="E40" s="6" t="s">
        <v>82</v>
      </c>
      <c r="F40" s="6" t="s">
        <v>15</v>
      </c>
      <c r="G40" s="71">
        <v>216</v>
      </c>
      <c r="H40" s="1">
        <f t="shared" si="2"/>
        <v>2325.0239999999999</v>
      </c>
      <c r="I40" s="6">
        <v>9.84</v>
      </c>
      <c r="J40" s="6">
        <v>2007</v>
      </c>
      <c r="K40" s="17">
        <v>2024</v>
      </c>
      <c r="L40" s="3">
        <f t="shared" si="3"/>
        <v>17</v>
      </c>
      <c r="M40" s="16">
        <v>40</v>
      </c>
      <c r="N40" s="3">
        <v>0.05</v>
      </c>
      <c r="O40" s="18">
        <f t="shared" si="14"/>
        <v>2.375E-2</v>
      </c>
      <c r="P40" s="4">
        <v>700</v>
      </c>
      <c r="Q40" s="4">
        <f t="shared" si="10"/>
        <v>7534.73</v>
      </c>
      <c r="R40" s="65">
        <f t="shared" si="15"/>
        <v>1627501.68</v>
      </c>
      <c r="S40" s="5">
        <f t="shared" si="11"/>
        <v>657103.80329999991</v>
      </c>
      <c r="T40" s="5">
        <f t="shared" si="12"/>
        <v>970397.87670000002</v>
      </c>
      <c r="U40" s="3">
        <v>0</v>
      </c>
      <c r="V40" s="5">
        <f t="shared" si="13"/>
        <v>970397.87670000002</v>
      </c>
    </row>
    <row r="41" spans="2:22" ht="30" x14ac:dyDescent="0.25">
      <c r="B41" s="20">
        <v>36</v>
      </c>
      <c r="C41" s="6"/>
      <c r="D41" s="15" t="s">
        <v>63</v>
      </c>
      <c r="E41" s="6" t="s">
        <v>82</v>
      </c>
      <c r="F41" s="6" t="s">
        <v>15</v>
      </c>
      <c r="G41" s="71">
        <f>3*7</f>
        <v>21</v>
      </c>
      <c r="H41" s="1">
        <f t="shared" si="2"/>
        <v>226.04399999999998</v>
      </c>
      <c r="I41" s="6">
        <v>9.84</v>
      </c>
      <c r="J41" s="6">
        <v>2007</v>
      </c>
      <c r="K41" s="17">
        <v>2024</v>
      </c>
      <c r="L41" s="3">
        <f t="shared" si="3"/>
        <v>17</v>
      </c>
      <c r="M41" s="16">
        <v>40</v>
      </c>
      <c r="N41" s="3">
        <v>0.05</v>
      </c>
      <c r="O41" s="18">
        <f t="shared" si="14"/>
        <v>2.375E-2</v>
      </c>
      <c r="P41" s="4">
        <v>700</v>
      </c>
      <c r="Q41" s="4">
        <f t="shared" si="10"/>
        <v>7534.73</v>
      </c>
      <c r="R41" s="65">
        <f t="shared" si="15"/>
        <v>158229.32999999999</v>
      </c>
      <c r="S41" s="5">
        <f t="shared" si="11"/>
        <v>63885.091987499996</v>
      </c>
      <c r="T41" s="5">
        <f t="shared" si="12"/>
        <v>94344.238012499991</v>
      </c>
      <c r="U41" s="3">
        <v>0</v>
      </c>
      <c r="V41" s="5">
        <f t="shared" si="13"/>
        <v>94344.238012499991</v>
      </c>
    </row>
    <row r="42" spans="2:22" ht="30" x14ac:dyDescent="0.25">
      <c r="B42" s="20">
        <v>37</v>
      </c>
      <c r="C42" s="6"/>
      <c r="D42" s="15" t="s">
        <v>64</v>
      </c>
      <c r="E42" s="6" t="s">
        <v>81</v>
      </c>
      <c r="F42" s="6" t="s">
        <v>15</v>
      </c>
      <c r="G42" s="71">
        <f>21*19</f>
        <v>399</v>
      </c>
      <c r="H42" s="1">
        <f t="shared" si="2"/>
        <v>4294.8359999999993</v>
      </c>
      <c r="I42" s="6">
        <v>9.84</v>
      </c>
      <c r="J42" s="6">
        <v>2007</v>
      </c>
      <c r="K42" s="17">
        <v>2024</v>
      </c>
      <c r="L42" s="3">
        <f t="shared" si="3"/>
        <v>17</v>
      </c>
      <c r="M42" s="16">
        <v>60</v>
      </c>
      <c r="N42" s="3">
        <v>0.05</v>
      </c>
      <c r="O42" s="18">
        <f t="shared" si="14"/>
        <v>1.5833333333333331E-2</v>
      </c>
      <c r="P42" s="4">
        <v>1500</v>
      </c>
      <c r="Q42" s="4">
        <f t="shared" si="10"/>
        <v>16145.849999999999</v>
      </c>
      <c r="R42" s="65">
        <f t="shared" si="15"/>
        <v>6442194.1499999994</v>
      </c>
      <c r="S42" s="5">
        <f t="shared" si="11"/>
        <v>1734023.9253749996</v>
      </c>
      <c r="T42" s="5">
        <f t="shared" si="12"/>
        <v>4708170.2246249998</v>
      </c>
      <c r="U42" s="3">
        <v>0</v>
      </c>
      <c r="V42" s="5">
        <f t="shared" si="13"/>
        <v>4708170.2246249998</v>
      </c>
    </row>
    <row r="43" spans="2:22" ht="30" x14ac:dyDescent="0.25">
      <c r="B43" s="20">
        <v>38</v>
      </c>
      <c r="C43" s="6"/>
      <c r="D43" s="15" t="s">
        <v>65</v>
      </c>
      <c r="E43" s="6" t="s">
        <v>82</v>
      </c>
      <c r="F43" s="6" t="s">
        <v>15</v>
      </c>
      <c r="G43" s="71">
        <f>46*5</f>
        <v>230</v>
      </c>
      <c r="H43" s="1">
        <f t="shared" si="2"/>
        <v>2475.7199999999998</v>
      </c>
      <c r="I43" s="6">
        <v>9.84</v>
      </c>
      <c r="J43" s="6">
        <v>2007</v>
      </c>
      <c r="K43" s="17">
        <v>2024</v>
      </c>
      <c r="L43" s="3">
        <f t="shared" si="3"/>
        <v>17</v>
      </c>
      <c r="M43" s="16">
        <v>40</v>
      </c>
      <c r="N43" s="3">
        <v>0.05</v>
      </c>
      <c r="O43" s="18">
        <f t="shared" si="14"/>
        <v>2.375E-2</v>
      </c>
      <c r="P43" s="4">
        <v>700</v>
      </c>
      <c r="Q43" s="4">
        <f t="shared" si="10"/>
        <v>7534.73</v>
      </c>
      <c r="R43" s="65">
        <f t="shared" si="15"/>
        <v>1732987.9</v>
      </c>
      <c r="S43" s="5">
        <f t="shared" si="11"/>
        <v>699693.86462500005</v>
      </c>
      <c r="T43" s="5">
        <f t="shared" si="12"/>
        <v>1033294.0353749999</v>
      </c>
      <c r="U43" s="3">
        <v>0</v>
      </c>
      <c r="V43" s="5">
        <f t="shared" si="13"/>
        <v>1033294.0353749999</v>
      </c>
    </row>
    <row r="44" spans="2:22" ht="30" x14ac:dyDescent="0.25">
      <c r="B44" s="20">
        <v>39</v>
      </c>
      <c r="C44" s="6"/>
      <c r="D44" s="15" t="s">
        <v>66</v>
      </c>
      <c r="E44" s="6" t="s">
        <v>82</v>
      </c>
      <c r="F44" s="6" t="s">
        <v>15</v>
      </c>
      <c r="G44" s="71">
        <f>8*3.5*2</f>
        <v>56</v>
      </c>
      <c r="H44" s="1">
        <f t="shared" si="2"/>
        <v>602.78399999999999</v>
      </c>
      <c r="I44" s="6">
        <v>9.84</v>
      </c>
      <c r="J44" s="6">
        <v>2007</v>
      </c>
      <c r="K44" s="17">
        <v>2024</v>
      </c>
      <c r="L44" s="3">
        <f t="shared" si="3"/>
        <v>17</v>
      </c>
      <c r="M44" s="16">
        <v>40</v>
      </c>
      <c r="N44" s="3">
        <v>0.05</v>
      </c>
      <c r="O44" s="18">
        <f t="shared" si="14"/>
        <v>2.375E-2</v>
      </c>
      <c r="P44" s="4">
        <v>700</v>
      </c>
      <c r="Q44" s="4">
        <f t="shared" si="10"/>
        <v>7534.73</v>
      </c>
      <c r="R44" s="65">
        <f t="shared" si="15"/>
        <v>421944.88</v>
      </c>
      <c r="S44" s="5">
        <f t="shared" si="11"/>
        <v>170360.24529999998</v>
      </c>
      <c r="T44" s="5">
        <f t="shared" si="12"/>
        <v>251584.63470000002</v>
      </c>
      <c r="U44" s="3">
        <v>0</v>
      </c>
      <c r="V44" s="5">
        <f t="shared" si="13"/>
        <v>251584.63470000002</v>
      </c>
    </row>
    <row r="45" spans="2:22" ht="30" x14ac:dyDescent="0.25">
      <c r="B45" s="20">
        <v>40</v>
      </c>
      <c r="C45" s="6"/>
      <c r="D45" s="15" t="s">
        <v>67</v>
      </c>
      <c r="E45" s="6" t="s">
        <v>81</v>
      </c>
      <c r="F45" s="6" t="s">
        <v>15</v>
      </c>
      <c r="G45" s="71">
        <f>11.5*4</f>
        <v>46</v>
      </c>
      <c r="H45" s="1">
        <f t="shared" si="2"/>
        <v>495.14399999999995</v>
      </c>
      <c r="I45" s="6">
        <v>9.84</v>
      </c>
      <c r="J45" s="6">
        <v>2007</v>
      </c>
      <c r="K45" s="17">
        <v>2024</v>
      </c>
      <c r="L45" s="3">
        <f t="shared" si="3"/>
        <v>17</v>
      </c>
      <c r="M45" s="16">
        <v>60</v>
      </c>
      <c r="N45" s="3">
        <v>0.05</v>
      </c>
      <c r="O45" s="18">
        <f t="shared" si="14"/>
        <v>1.5833333333333331E-2</v>
      </c>
      <c r="P45" s="4">
        <v>1500</v>
      </c>
      <c r="Q45" s="4">
        <f t="shared" si="10"/>
        <v>16145.849999999999</v>
      </c>
      <c r="R45" s="65">
        <f t="shared" si="15"/>
        <v>742709.1</v>
      </c>
      <c r="S45" s="5">
        <f t="shared" si="11"/>
        <v>199912.53274999998</v>
      </c>
      <c r="T45" s="5">
        <f t="shared" si="12"/>
        <v>542796.56724999996</v>
      </c>
      <c r="U45" s="3">
        <v>0</v>
      </c>
      <c r="V45" s="5">
        <f t="shared" si="13"/>
        <v>542796.56724999996</v>
      </c>
    </row>
    <row r="46" spans="2:22" ht="30" x14ac:dyDescent="0.25">
      <c r="B46" s="20">
        <v>41</v>
      </c>
      <c r="C46" s="6"/>
      <c r="D46" s="15" t="s">
        <v>68</v>
      </c>
      <c r="E46" s="6" t="s">
        <v>81</v>
      </c>
      <c r="F46" s="6" t="s">
        <v>15</v>
      </c>
      <c r="G46" s="71">
        <v>20</v>
      </c>
      <c r="H46" s="1">
        <f t="shared" si="2"/>
        <v>215.27999999999997</v>
      </c>
      <c r="I46" s="6">
        <v>9.84</v>
      </c>
      <c r="J46" s="6">
        <v>2007</v>
      </c>
      <c r="K46" s="17">
        <v>2024</v>
      </c>
      <c r="L46" s="3">
        <f t="shared" si="3"/>
        <v>17</v>
      </c>
      <c r="M46" s="16">
        <v>60</v>
      </c>
      <c r="N46" s="3">
        <v>0.05</v>
      </c>
      <c r="O46" s="18">
        <f t="shared" si="14"/>
        <v>1.5833333333333331E-2</v>
      </c>
      <c r="P46" s="4">
        <v>1500</v>
      </c>
      <c r="Q46" s="4">
        <f t="shared" si="10"/>
        <v>16145.849999999999</v>
      </c>
      <c r="R46" s="65">
        <f t="shared" si="15"/>
        <v>322917</v>
      </c>
      <c r="S46" s="5">
        <f t="shared" si="11"/>
        <v>86918.492499999978</v>
      </c>
      <c r="T46" s="5">
        <f t="shared" si="12"/>
        <v>235998.50750000001</v>
      </c>
      <c r="U46" s="3">
        <v>0</v>
      </c>
      <c r="V46" s="5">
        <f t="shared" si="13"/>
        <v>235998.50750000001</v>
      </c>
    </row>
    <row r="47" spans="2:22" ht="30" x14ac:dyDescent="0.25">
      <c r="B47" s="20">
        <v>42</v>
      </c>
      <c r="C47" s="6"/>
      <c r="D47" s="15" t="s">
        <v>69</v>
      </c>
      <c r="E47" s="6" t="s">
        <v>81</v>
      </c>
      <c r="F47" s="6" t="s">
        <v>15</v>
      </c>
      <c r="G47" s="71">
        <f>12.8*16.5</f>
        <v>211.20000000000002</v>
      </c>
      <c r="H47" s="1">
        <f t="shared" si="2"/>
        <v>2273.3568</v>
      </c>
      <c r="I47" s="6">
        <v>9.84</v>
      </c>
      <c r="J47" s="6">
        <v>2007</v>
      </c>
      <c r="K47" s="17">
        <v>2024</v>
      </c>
      <c r="L47" s="3">
        <f t="shared" si="3"/>
        <v>17</v>
      </c>
      <c r="M47" s="16">
        <v>60</v>
      </c>
      <c r="N47" s="3">
        <v>0.05</v>
      </c>
      <c r="O47" s="18">
        <f t="shared" si="14"/>
        <v>1.5833333333333331E-2</v>
      </c>
      <c r="P47" s="4">
        <v>1500</v>
      </c>
      <c r="Q47" s="4">
        <f t="shared" si="10"/>
        <v>16145.849999999999</v>
      </c>
      <c r="R47" s="65">
        <f t="shared" si="15"/>
        <v>3410003.52</v>
      </c>
      <c r="S47" s="5">
        <f t="shared" si="11"/>
        <v>917859.28079999983</v>
      </c>
      <c r="T47" s="5">
        <f t="shared" si="12"/>
        <v>2492144.2392000002</v>
      </c>
      <c r="U47" s="3">
        <v>0</v>
      </c>
      <c r="V47" s="5">
        <f t="shared" si="13"/>
        <v>2492144.2392000002</v>
      </c>
    </row>
    <row r="48" spans="2:22" ht="30" x14ac:dyDescent="0.25">
      <c r="B48" s="20">
        <v>43</v>
      </c>
      <c r="C48" s="6"/>
      <c r="D48" s="15" t="s">
        <v>70</v>
      </c>
      <c r="E48" s="6" t="s">
        <v>81</v>
      </c>
      <c r="F48" s="6" t="s">
        <v>15</v>
      </c>
      <c r="G48" s="71">
        <v>30</v>
      </c>
      <c r="H48" s="1">
        <f t="shared" si="2"/>
        <v>322.91999999999996</v>
      </c>
      <c r="I48" s="6">
        <v>13.12</v>
      </c>
      <c r="J48" s="6">
        <v>2007</v>
      </c>
      <c r="K48" s="17">
        <v>2024</v>
      </c>
      <c r="L48" s="3">
        <f t="shared" si="3"/>
        <v>17</v>
      </c>
      <c r="M48" s="16">
        <v>60</v>
      </c>
      <c r="N48" s="3">
        <v>0.05</v>
      </c>
      <c r="O48" s="18">
        <f t="shared" si="14"/>
        <v>1.5833333333333331E-2</v>
      </c>
      <c r="P48" s="4">
        <v>1500</v>
      </c>
      <c r="Q48" s="4">
        <f t="shared" si="10"/>
        <v>16145.849999999999</v>
      </c>
      <c r="R48" s="65">
        <f t="shared" si="15"/>
        <v>484375.49999999994</v>
      </c>
      <c r="S48" s="5">
        <f t="shared" si="11"/>
        <v>130377.73874999996</v>
      </c>
      <c r="T48" s="5">
        <f t="shared" si="12"/>
        <v>353997.76124999998</v>
      </c>
      <c r="U48" s="3">
        <v>0</v>
      </c>
      <c r="V48" s="5">
        <f t="shared" si="13"/>
        <v>353997.76124999998</v>
      </c>
    </row>
    <row r="49" spans="2:24" ht="30" x14ac:dyDescent="0.25">
      <c r="B49" s="20">
        <v>44</v>
      </c>
      <c r="C49" s="6"/>
      <c r="D49" s="15" t="s">
        <v>71</v>
      </c>
      <c r="E49" s="6" t="s">
        <v>81</v>
      </c>
      <c r="F49" s="6" t="s">
        <v>15</v>
      </c>
      <c r="G49" s="71">
        <v>45</v>
      </c>
      <c r="H49" s="1">
        <f t="shared" si="2"/>
        <v>484.38</v>
      </c>
      <c r="I49" s="6">
        <v>13.77</v>
      </c>
      <c r="J49" s="6">
        <v>2007</v>
      </c>
      <c r="K49" s="17">
        <v>2024</v>
      </c>
      <c r="L49" s="3">
        <f t="shared" si="3"/>
        <v>17</v>
      </c>
      <c r="M49" s="16">
        <v>60</v>
      </c>
      <c r="N49" s="3">
        <v>0.05</v>
      </c>
      <c r="O49" s="18">
        <f t="shared" si="14"/>
        <v>1.5833333333333331E-2</v>
      </c>
      <c r="P49" s="4">
        <v>1500</v>
      </c>
      <c r="Q49" s="4">
        <v>50</v>
      </c>
      <c r="R49" s="65">
        <f t="shared" si="15"/>
        <v>2250</v>
      </c>
      <c r="S49" s="5">
        <f t="shared" si="11"/>
        <v>605.62499999999989</v>
      </c>
      <c r="T49" s="5">
        <f t="shared" si="12"/>
        <v>1644.375</v>
      </c>
      <c r="U49" s="3">
        <v>0</v>
      </c>
      <c r="V49" s="5">
        <f t="shared" si="13"/>
        <v>1644.375</v>
      </c>
      <c r="W49" s="9">
        <f>SUM(V32:V49)</f>
        <v>40980158.996587649</v>
      </c>
      <c r="X49" s="9">
        <f>SUM(R32:R49)</f>
        <v>61092091.92034626</v>
      </c>
    </row>
    <row r="50" spans="2:24" ht="15" customHeight="1" x14ac:dyDescent="0.25">
      <c r="B50" s="92" t="s">
        <v>75</v>
      </c>
      <c r="C50" s="93"/>
      <c r="D50" s="93"/>
      <c r="E50" s="93"/>
      <c r="F50" s="93"/>
      <c r="G50" s="93"/>
      <c r="H50" s="93"/>
      <c r="I50" s="93"/>
      <c r="J50" s="93"/>
      <c r="K50" s="93"/>
      <c r="L50" s="93"/>
      <c r="M50" s="93"/>
      <c r="N50" s="93"/>
      <c r="O50" s="93"/>
      <c r="P50" s="93"/>
      <c r="Q50" s="93"/>
      <c r="R50" s="93"/>
      <c r="S50" s="93"/>
      <c r="T50" s="93"/>
      <c r="U50" s="93"/>
      <c r="V50" s="94"/>
    </row>
    <row r="51" spans="2:24" ht="30" x14ac:dyDescent="0.25">
      <c r="B51" s="20">
        <v>46</v>
      </c>
      <c r="C51" s="6"/>
      <c r="D51" s="15" t="s">
        <v>76</v>
      </c>
      <c r="E51" s="6" t="s">
        <v>82</v>
      </c>
      <c r="F51" s="6" t="s">
        <v>15</v>
      </c>
      <c r="G51" s="71">
        <v>375</v>
      </c>
      <c r="H51" s="1">
        <f t="shared" si="2"/>
        <v>4036.4999999999995</v>
      </c>
      <c r="I51" s="6">
        <v>9.84</v>
      </c>
      <c r="J51" s="6">
        <v>2007</v>
      </c>
      <c r="K51" s="17">
        <v>2024</v>
      </c>
      <c r="L51" s="3">
        <f t="shared" si="3"/>
        <v>17</v>
      </c>
      <c r="M51" s="16">
        <v>40</v>
      </c>
      <c r="N51" s="3">
        <v>0.05</v>
      </c>
      <c r="O51" s="18">
        <f t="shared" si="14"/>
        <v>2.375E-2</v>
      </c>
      <c r="P51" s="4">
        <v>700</v>
      </c>
      <c r="Q51" s="4">
        <v>2500</v>
      </c>
      <c r="R51" s="65">
        <f>Q51*G51</f>
        <v>937500</v>
      </c>
      <c r="S51" s="5">
        <f t="shared" si="11"/>
        <v>378515.625</v>
      </c>
      <c r="T51" s="5">
        <f t="shared" si="12"/>
        <v>558984.375</v>
      </c>
      <c r="U51" s="3">
        <v>0</v>
      </c>
      <c r="V51" s="5">
        <f>IF(T51&gt;N51*R51,T51*(1+U51),R51*N51)</f>
        <v>558984.375</v>
      </c>
    </row>
    <row r="52" spans="2:24" ht="30" x14ac:dyDescent="0.25">
      <c r="B52" s="20">
        <v>47</v>
      </c>
      <c r="C52" s="6"/>
      <c r="D52" s="15" t="s">
        <v>77</v>
      </c>
      <c r="E52" s="6" t="s">
        <v>81</v>
      </c>
      <c r="F52" s="6" t="s">
        <v>15</v>
      </c>
      <c r="G52" s="71">
        <f>21.5*9.21</f>
        <v>198.01500000000001</v>
      </c>
      <c r="H52" s="1">
        <f t="shared" si="2"/>
        <v>2131.4334600000002</v>
      </c>
      <c r="I52" s="6">
        <v>9.84</v>
      </c>
      <c r="J52" s="6">
        <v>2007</v>
      </c>
      <c r="K52" s="17">
        <v>2024</v>
      </c>
      <c r="L52" s="3">
        <f t="shared" si="3"/>
        <v>17</v>
      </c>
      <c r="M52" s="16">
        <v>60</v>
      </c>
      <c r="N52" s="3">
        <v>0.05</v>
      </c>
      <c r="O52" s="18">
        <f t="shared" si="14"/>
        <v>1.5833333333333331E-2</v>
      </c>
      <c r="P52" s="4">
        <v>1500</v>
      </c>
      <c r="Q52" s="4">
        <v>2000</v>
      </c>
      <c r="R52" s="65">
        <f t="shared" si="15"/>
        <v>396030.00000000006</v>
      </c>
      <c r="S52" s="5">
        <f t="shared" si="11"/>
        <v>106598.07500000001</v>
      </c>
      <c r="T52" s="5">
        <f t="shared" si="12"/>
        <v>289431.92500000005</v>
      </c>
      <c r="U52" s="3">
        <v>0</v>
      </c>
      <c r="V52" s="5">
        <f>IF(T52&gt;N52*R52,T52*(1+U52),R52*N52)</f>
        <v>289431.92500000005</v>
      </c>
      <c r="W52" s="9">
        <f>SUM(V51:V52)</f>
        <v>848416.3</v>
      </c>
      <c r="X52" s="9">
        <f>SUM(R51:R52)</f>
        <v>1333530</v>
      </c>
    </row>
    <row r="53" spans="2:24" x14ac:dyDescent="0.25">
      <c r="B53" s="89" t="s">
        <v>95</v>
      </c>
      <c r="C53" s="90"/>
      <c r="D53" s="90"/>
      <c r="E53" s="90"/>
      <c r="F53" s="90"/>
      <c r="G53" s="90"/>
      <c r="H53" s="90"/>
      <c r="I53" s="90"/>
      <c r="J53" s="90"/>
      <c r="K53" s="90"/>
      <c r="L53" s="90"/>
      <c r="M53" s="90"/>
      <c r="N53" s="90"/>
      <c r="O53" s="90"/>
      <c r="P53" s="90"/>
      <c r="Q53" s="90"/>
      <c r="R53" s="90"/>
      <c r="S53" s="90"/>
      <c r="T53" s="90"/>
      <c r="U53" s="90"/>
      <c r="V53" s="91"/>
    </row>
    <row r="54" spans="2:24" ht="30" x14ac:dyDescent="0.25">
      <c r="B54" s="20">
        <v>48</v>
      </c>
      <c r="C54" s="6"/>
      <c r="D54" s="15" t="s">
        <v>78</v>
      </c>
      <c r="E54" s="6" t="s">
        <v>81</v>
      </c>
      <c r="F54" s="6" t="s">
        <v>15</v>
      </c>
      <c r="G54" s="71">
        <f>21.5*9.21</f>
        <v>198.01500000000001</v>
      </c>
      <c r="H54" s="1">
        <f t="shared" si="2"/>
        <v>2131.4334600000002</v>
      </c>
      <c r="I54" s="6">
        <v>9.84</v>
      </c>
      <c r="J54" s="6">
        <v>2007</v>
      </c>
      <c r="K54" s="17">
        <v>2024</v>
      </c>
      <c r="L54" s="3">
        <f t="shared" si="3"/>
        <v>17</v>
      </c>
      <c r="M54" s="16">
        <v>60</v>
      </c>
      <c r="N54" s="3">
        <v>0.05</v>
      </c>
      <c r="O54" s="18">
        <f t="shared" si="14"/>
        <v>1.5833333333333331E-2</v>
      </c>
      <c r="P54" s="4">
        <v>1500</v>
      </c>
      <c r="Q54" s="4">
        <f t="shared" si="10"/>
        <v>16145.849999999999</v>
      </c>
      <c r="R54" s="65">
        <f t="shared" si="15"/>
        <v>3197120.4877499999</v>
      </c>
      <c r="S54" s="5">
        <f t="shared" si="11"/>
        <v>860558.26461937488</v>
      </c>
      <c r="T54" s="5">
        <f t="shared" si="12"/>
        <v>2336562.2231306247</v>
      </c>
      <c r="U54" s="3">
        <v>0</v>
      </c>
      <c r="V54" s="5">
        <f>IF(T54&gt;N54*R54,T54*(1+U54),R54*N54)</f>
        <v>2336562.2231306247</v>
      </c>
    </row>
    <row r="55" spans="2:24" ht="30" x14ac:dyDescent="0.25">
      <c r="B55" s="20">
        <v>49</v>
      </c>
      <c r="C55" s="6"/>
      <c r="D55" s="15" t="s">
        <v>79</v>
      </c>
      <c r="E55" s="6" t="s">
        <v>81</v>
      </c>
      <c r="F55" s="6" t="s">
        <v>15</v>
      </c>
      <c r="G55" s="72">
        <v>5400</v>
      </c>
      <c r="H55" s="21">
        <f t="shared" si="2"/>
        <v>58125.599999999999</v>
      </c>
      <c r="I55" s="6">
        <v>22.96</v>
      </c>
      <c r="J55" s="6">
        <v>2007</v>
      </c>
      <c r="K55" s="10">
        <v>2024</v>
      </c>
      <c r="L55" s="14">
        <f>K55-J55</f>
        <v>17</v>
      </c>
      <c r="M55" s="16">
        <v>60</v>
      </c>
      <c r="N55" s="3">
        <v>0.05</v>
      </c>
      <c r="O55" s="18">
        <f t="shared" si="14"/>
        <v>1.5833333333333331E-2</v>
      </c>
      <c r="P55" s="4">
        <v>1500</v>
      </c>
      <c r="Q55" s="4">
        <f t="shared" si="10"/>
        <v>16145.849999999999</v>
      </c>
      <c r="R55" s="67">
        <f t="shared" si="15"/>
        <v>87187589.999999985</v>
      </c>
      <c r="S55" s="5">
        <f t="shared" si="11"/>
        <v>23467992.974999994</v>
      </c>
      <c r="T55" s="23">
        <f t="shared" si="12"/>
        <v>63719597.024999991</v>
      </c>
      <c r="U55" s="3">
        <v>0</v>
      </c>
      <c r="V55" s="5">
        <f>IF(T55&gt;N55*R55,T55*(1+U55),R55*N55)</f>
        <v>63719597.024999991</v>
      </c>
    </row>
    <row r="56" spans="2:24" ht="30" x14ac:dyDescent="0.25">
      <c r="B56" s="20">
        <v>52</v>
      </c>
      <c r="C56" s="6"/>
      <c r="D56" s="15" t="s">
        <v>93</v>
      </c>
      <c r="E56" s="6" t="s">
        <v>81</v>
      </c>
      <c r="F56" s="6" t="s">
        <v>15</v>
      </c>
      <c r="G56" s="72">
        <v>5837</v>
      </c>
      <c r="H56" s="21">
        <f t="shared" si="2"/>
        <v>62829.467999999993</v>
      </c>
      <c r="I56" s="58"/>
      <c r="J56" s="6">
        <v>2013</v>
      </c>
      <c r="K56" s="10">
        <v>2024</v>
      </c>
      <c r="L56" s="14">
        <f t="shared" ref="L56:L57" si="16">K56-J56</f>
        <v>11</v>
      </c>
      <c r="M56" s="16">
        <v>60</v>
      </c>
      <c r="N56" s="3">
        <v>0.05</v>
      </c>
      <c r="O56" s="18">
        <f t="shared" si="14"/>
        <v>1.5833333333333331E-2</v>
      </c>
      <c r="P56" s="4">
        <v>1500</v>
      </c>
      <c r="Q56" s="4">
        <f t="shared" si="10"/>
        <v>16145.849999999999</v>
      </c>
      <c r="R56" s="67">
        <f t="shared" si="15"/>
        <v>94243326.449999988</v>
      </c>
      <c r="S56" s="5">
        <f t="shared" si="11"/>
        <v>16414046.023374997</v>
      </c>
      <c r="T56" s="23">
        <f t="shared" si="12"/>
        <v>77829280.426624984</v>
      </c>
      <c r="U56" s="3">
        <v>0</v>
      </c>
      <c r="V56" s="5">
        <f>IF(T56&gt;N56*R56,T56*(1+U56),R56*N56)</f>
        <v>77829280.426624984</v>
      </c>
    </row>
    <row r="57" spans="2:24" ht="30" x14ac:dyDescent="0.25">
      <c r="B57" s="20">
        <v>53</v>
      </c>
      <c r="C57" s="6"/>
      <c r="D57" s="15" t="s">
        <v>94</v>
      </c>
      <c r="E57" s="6" t="s">
        <v>81</v>
      </c>
      <c r="F57" s="6" t="s">
        <v>15</v>
      </c>
      <c r="G57" s="72">
        <v>125</v>
      </c>
      <c r="H57" s="21">
        <f t="shared" si="2"/>
        <v>1345.5</v>
      </c>
      <c r="I57" s="58"/>
      <c r="J57" s="6">
        <v>2013</v>
      </c>
      <c r="K57" s="10">
        <v>2024</v>
      </c>
      <c r="L57" s="14">
        <f t="shared" si="16"/>
        <v>11</v>
      </c>
      <c r="M57" s="16">
        <v>60</v>
      </c>
      <c r="N57" s="3">
        <v>0.05</v>
      </c>
      <c r="O57" s="18">
        <f t="shared" si="14"/>
        <v>1.5833333333333331E-2</v>
      </c>
      <c r="P57" s="4">
        <v>1500</v>
      </c>
      <c r="Q57" s="4">
        <f>P57*10.7639</f>
        <v>16145.849999999999</v>
      </c>
      <c r="R57" s="67">
        <f>Q57*G57</f>
        <v>2018231.2499999998</v>
      </c>
      <c r="S57" s="5">
        <f t="shared" si="11"/>
        <v>351508.60937499994</v>
      </c>
      <c r="T57" s="23">
        <f t="shared" si="12"/>
        <v>1666722.6406249998</v>
      </c>
      <c r="U57" s="3">
        <v>0</v>
      </c>
      <c r="V57" s="5">
        <f>IF(T57&gt;N57*R57,T57*(1+U57),R57*N57)</f>
        <v>1666722.6406249998</v>
      </c>
    </row>
    <row r="58" spans="2:24" ht="30" x14ac:dyDescent="0.25">
      <c r="B58" s="20">
        <v>54</v>
      </c>
      <c r="C58" s="6"/>
      <c r="D58" s="15" t="s">
        <v>80</v>
      </c>
      <c r="E58" s="6" t="s">
        <v>82</v>
      </c>
      <c r="F58" s="6" t="s">
        <v>15</v>
      </c>
      <c r="G58" s="71">
        <f>70*(18*30)/10.76</f>
        <v>3513.0111524163572</v>
      </c>
      <c r="H58" s="1">
        <f t="shared" si="2"/>
        <v>37814.052044609663</v>
      </c>
      <c r="I58" s="6">
        <v>10.66</v>
      </c>
      <c r="J58" s="6">
        <v>2007</v>
      </c>
      <c r="K58" s="17">
        <v>2024</v>
      </c>
      <c r="L58" s="3">
        <f t="shared" si="3"/>
        <v>17</v>
      </c>
      <c r="M58" s="3">
        <v>40</v>
      </c>
      <c r="N58" s="3">
        <v>0.05</v>
      </c>
      <c r="O58" s="18">
        <f t="shared" si="14"/>
        <v>2.375E-2</v>
      </c>
      <c r="P58" s="4">
        <v>700</v>
      </c>
      <c r="Q58" s="4">
        <f t="shared" si="10"/>
        <v>7534.73</v>
      </c>
      <c r="R58" s="68">
        <f t="shared" si="15"/>
        <v>26469590.520446096</v>
      </c>
      <c r="S58" s="5">
        <f>R58*O58*L58</f>
        <v>10687097.172630111</v>
      </c>
      <c r="T58" s="5">
        <f t="shared" si="12"/>
        <v>15782493.347815985</v>
      </c>
      <c r="U58" s="3">
        <v>0</v>
      </c>
      <c r="V58" s="5">
        <f>IF(T58&gt;N58*R58,T58*(1+U58),R58*N58)</f>
        <v>15782493.347815985</v>
      </c>
      <c r="W58" s="9">
        <f>SUM(V54:V58)</f>
        <v>161334655.66319659</v>
      </c>
      <c r="X58" s="9">
        <f>SUM(R54:R58)</f>
        <v>213115858.70819607</v>
      </c>
    </row>
    <row r="59" spans="2:24" x14ac:dyDescent="0.25">
      <c r="B59" s="2"/>
      <c r="C59" s="73"/>
      <c r="D59" s="74"/>
      <c r="E59" s="74"/>
      <c r="F59" s="74"/>
      <c r="G59" s="74"/>
      <c r="H59" s="74"/>
      <c r="I59" s="74"/>
      <c r="J59" s="74"/>
      <c r="K59" s="74"/>
      <c r="L59" s="74"/>
      <c r="M59" s="74"/>
      <c r="N59" s="74"/>
      <c r="O59" s="74"/>
      <c r="P59" s="74"/>
      <c r="Q59" s="75"/>
      <c r="R59" s="69">
        <f>SUM(R6:R58)</f>
        <v>697491027.11931539</v>
      </c>
      <c r="S59" s="56"/>
      <c r="T59" s="56"/>
      <c r="U59" s="56"/>
      <c r="V59" s="69">
        <f>SUM(V6:V58)</f>
        <v>477618012.51710975</v>
      </c>
    </row>
    <row r="66" spans="2:22" ht="30" x14ac:dyDescent="0.25">
      <c r="B66" s="20">
        <v>50</v>
      </c>
      <c r="C66" s="6" t="s">
        <v>91</v>
      </c>
      <c r="D66" s="15" t="s">
        <v>92</v>
      </c>
      <c r="E66" s="6" t="s">
        <v>81</v>
      </c>
      <c r="F66" s="6" t="s">
        <v>15</v>
      </c>
      <c r="G66" s="72">
        <v>18225</v>
      </c>
      <c r="H66" s="21">
        <f t="shared" ref="H66:H67" si="17">G66*10.764</f>
        <v>196173.9</v>
      </c>
      <c r="I66" s="58"/>
      <c r="J66" s="6">
        <v>2007</v>
      </c>
      <c r="K66" s="10">
        <v>2024</v>
      </c>
      <c r="L66" s="14">
        <f t="shared" ref="L66:L67" si="18">K66-J66</f>
        <v>17</v>
      </c>
      <c r="M66" s="16">
        <v>60</v>
      </c>
      <c r="N66" s="3">
        <v>0.05</v>
      </c>
      <c r="O66" s="18">
        <f t="shared" ref="O66:O67" si="19">(1-N66)/M66</f>
        <v>1.5833333333333331E-2</v>
      </c>
      <c r="P66" s="4">
        <v>1500</v>
      </c>
      <c r="Q66" s="4">
        <f t="shared" ref="Q66:Q67" si="20">P66*10.7639</f>
        <v>16145.849999999999</v>
      </c>
      <c r="R66" s="67">
        <f t="shared" ref="R66:R67" si="21">Q66*G66</f>
        <v>294258116.25</v>
      </c>
      <c r="S66" s="5">
        <f t="shared" ref="S66:S67" si="22">R66*O66*L66</f>
        <v>79204476.290624991</v>
      </c>
      <c r="T66" s="23">
        <f t="shared" ref="T66:T67" si="23">MAX(R66-S66,0)</f>
        <v>215053639.95937502</v>
      </c>
      <c r="U66" s="3">
        <v>0.05</v>
      </c>
      <c r="V66" s="5">
        <f>IF(T66&gt;N66*R66,T66*(1+U66),R66*N66)</f>
        <v>225806321.95734379</v>
      </c>
    </row>
    <row r="67" spans="2:22" ht="30" x14ac:dyDescent="0.25">
      <c r="B67" s="20">
        <v>51</v>
      </c>
      <c r="C67" s="6" t="s">
        <v>91</v>
      </c>
      <c r="D67" s="15" t="s">
        <v>96</v>
      </c>
      <c r="E67" s="6" t="s">
        <v>81</v>
      </c>
      <c r="F67" s="6" t="s">
        <v>15</v>
      </c>
      <c r="G67" s="72">
        <v>58310</v>
      </c>
      <c r="H67" s="21">
        <f t="shared" si="17"/>
        <v>627648.84</v>
      </c>
      <c r="I67" s="58"/>
      <c r="J67" s="6">
        <v>2007</v>
      </c>
      <c r="K67" s="10">
        <v>2024</v>
      </c>
      <c r="L67" s="14">
        <f t="shared" si="18"/>
        <v>17</v>
      </c>
      <c r="M67" s="16">
        <v>60</v>
      </c>
      <c r="N67" s="3">
        <v>0.05</v>
      </c>
      <c r="O67" s="18">
        <f t="shared" si="19"/>
        <v>1.5833333333333331E-2</v>
      </c>
      <c r="P67" s="4">
        <v>1500</v>
      </c>
      <c r="Q67" s="4">
        <f t="shared" si="20"/>
        <v>16145.849999999999</v>
      </c>
      <c r="R67" s="67">
        <f t="shared" si="21"/>
        <v>941464513.49999988</v>
      </c>
      <c r="S67" s="5">
        <f t="shared" si="22"/>
        <v>253410864.88374993</v>
      </c>
      <c r="T67" s="23">
        <f t="shared" si="23"/>
        <v>688053648.61624992</v>
      </c>
      <c r="U67" s="3">
        <v>0.05</v>
      </c>
      <c r="V67" s="5">
        <f>IF(T67&gt;N67*R67,T67*(1+U67),R67*N67)</f>
        <v>722456331.0470624</v>
      </c>
    </row>
    <row r="68" spans="2:22" x14ac:dyDescent="0.25">
      <c r="V68" s="9"/>
    </row>
  </sheetData>
  <autoFilter ref="B4:V59"/>
  <mergeCells count="2">
    <mergeCell ref="C59:Q59"/>
    <mergeCell ref="B3:V3"/>
  </mergeCells>
  <dataValidations disablePrompts="1" count="2">
    <dataValidation type="list" allowBlank="1" showInputMessage="1" showErrorMessage="1" sqref="E6:E12 E17:E20 E23:E25 E27:E29 E32 E37:E39 E42 E52 E34:E35 E45:E49 E66:E67 E54:E57">
      <formula1>$K$2:$K$8</formula1>
    </dataValidation>
    <dataValidation type="list" allowBlank="1" showInputMessage="1" showErrorMessage="1" sqref="F6:F30 F32:F49 F51:F52 F66:F67 F54:F58">
      <formula1>"Very Good, Good, Average, Poor, Ordinary with wreckages in the structure"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
  <sheetViews>
    <sheetView workbookViewId="0">
      <selection activeCell="K8" sqref="K8"/>
    </sheetView>
  </sheetViews>
  <sheetFormatPr defaultRowHeight="15" x14ac:dyDescent="0.25"/>
  <cols>
    <col min="3" max="3" width="32.140625" customWidth="1"/>
    <col min="4" max="5" width="0" hidden="1" customWidth="1"/>
    <col min="6" max="6" width="15" customWidth="1"/>
    <col min="7" max="7" width="37.85546875" customWidth="1"/>
    <col min="8" max="8" width="13.28515625" customWidth="1"/>
    <col min="9" max="9" width="11.28515625" bestFit="1" customWidth="1"/>
    <col min="10" max="10" width="12.42578125" customWidth="1"/>
    <col min="11" max="11" width="22" bestFit="1" customWidth="1"/>
  </cols>
  <sheetData>
    <row r="1" spans="2:11" ht="15.75" thickBot="1" x14ac:dyDescent="0.3"/>
    <row r="2" spans="2:11" x14ac:dyDescent="0.25">
      <c r="B2" s="77" t="s">
        <v>83</v>
      </c>
      <c r="C2" s="78"/>
      <c r="D2" s="78"/>
      <c r="E2" s="78"/>
      <c r="F2" s="78"/>
      <c r="G2" s="78"/>
      <c r="H2" s="78"/>
      <c r="I2" s="78"/>
      <c r="J2" s="78"/>
      <c r="K2" s="79"/>
    </row>
    <row r="3" spans="2:11" ht="51" x14ac:dyDescent="0.25">
      <c r="B3" s="25" t="s">
        <v>0</v>
      </c>
      <c r="C3" s="26" t="s">
        <v>1</v>
      </c>
      <c r="D3" s="26" t="s">
        <v>2</v>
      </c>
      <c r="E3" s="26" t="s">
        <v>3</v>
      </c>
      <c r="F3" s="26" t="s">
        <v>4</v>
      </c>
      <c r="G3" s="26" t="s">
        <v>84</v>
      </c>
      <c r="H3" s="26" t="s">
        <v>85</v>
      </c>
      <c r="I3" s="26" t="s">
        <v>86</v>
      </c>
      <c r="J3" s="26" t="s">
        <v>87</v>
      </c>
      <c r="K3" s="27" t="s">
        <v>88</v>
      </c>
    </row>
    <row r="4" spans="2:11" ht="30" x14ac:dyDescent="0.25">
      <c r="B4" s="28">
        <v>1</v>
      </c>
      <c r="C4" s="29" t="s">
        <v>56</v>
      </c>
      <c r="D4" s="30"/>
      <c r="E4" s="31"/>
      <c r="F4" s="22">
        <v>2007</v>
      </c>
      <c r="G4" s="22" t="s">
        <v>81</v>
      </c>
      <c r="H4" s="32" t="s">
        <v>89</v>
      </c>
      <c r="I4" s="22">
        <v>657.87</v>
      </c>
      <c r="J4" s="33">
        <v>2500</v>
      </c>
      <c r="K4" s="34">
        <f>J4*I4</f>
        <v>1644675</v>
      </c>
    </row>
    <row r="5" spans="2:11" ht="30" x14ac:dyDescent="0.25">
      <c r="B5" s="35">
        <v>2</v>
      </c>
      <c r="C5" s="15" t="s">
        <v>72</v>
      </c>
      <c r="D5" s="36"/>
      <c r="E5" s="2"/>
      <c r="F5" s="6">
        <v>2007</v>
      </c>
      <c r="G5" s="6" t="s">
        <v>81</v>
      </c>
      <c r="H5" s="2" t="s">
        <v>89</v>
      </c>
      <c r="I5" s="37">
        <f>243+1803+184+283+209+133</f>
        <v>2855</v>
      </c>
      <c r="J5" s="38">
        <v>18000</v>
      </c>
      <c r="K5" s="39">
        <f t="shared" ref="K5:K7" si="0">J5*I5</f>
        <v>51390000</v>
      </c>
    </row>
    <row r="6" spans="2:11" ht="30" x14ac:dyDescent="0.25">
      <c r="B6" s="40">
        <v>3</v>
      </c>
      <c r="C6" s="41" t="s">
        <v>73</v>
      </c>
      <c r="D6" s="42"/>
      <c r="E6" s="43"/>
      <c r="F6" s="24">
        <v>2007</v>
      </c>
      <c r="G6" s="24" t="s">
        <v>81</v>
      </c>
      <c r="H6" s="43" t="s">
        <v>89</v>
      </c>
      <c r="I6" s="44">
        <v>4022</v>
      </c>
      <c r="J6" s="45">
        <v>3000</v>
      </c>
      <c r="K6" s="46">
        <f t="shared" si="0"/>
        <v>12066000</v>
      </c>
    </row>
    <row r="7" spans="2:11" ht="30.75" thickBot="1" x14ac:dyDescent="0.3">
      <c r="B7" s="28">
        <v>4</v>
      </c>
      <c r="C7" s="29" t="s">
        <v>74</v>
      </c>
      <c r="D7" s="30"/>
      <c r="E7" s="32"/>
      <c r="F7" s="22">
        <v>2007</v>
      </c>
      <c r="G7" s="22" t="s">
        <v>81</v>
      </c>
      <c r="H7" s="32" t="s">
        <v>89</v>
      </c>
      <c r="I7" s="47">
        <v>5360</v>
      </c>
      <c r="J7" s="33">
        <v>3000</v>
      </c>
      <c r="K7" s="34">
        <f t="shared" si="0"/>
        <v>16080000</v>
      </c>
    </row>
    <row r="8" spans="2:11" ht="15.75" thickBot="1" x14ac:dyDescent="0.3">
      <c r="B8" s="80" t="s">
        <v>90</v>
      </c>
      <c r="C8" s="81"/>
      <c r="D8" s="81"/>
      <c r="E8" s="81"/>
      <c r="F8" s="81"/>
      <c r="G8" s="81"/>
      <c r="H8" s="82"/>
      <c r="I8" s="48">
        <f>SUM(I4:I7)</f>
        <v>12894.869999999999</v>
      </c>
      <c r="J8" s="48"/>
      <c r="K8" s="49">
        <f>SUM(K4:K7)</f>
        <v>81180675</v>
      </c>
    </row>
  </sheetData>
  <mergeCells count="2">
    <mergeCell ref="B2:K2"/>
    <mergeCell ref="B8:H8"/>
  </mergeCells>
  <dataValidations count="1">
    <dataValidation type="list" allowBlank="1" showInputMessage="1" showErrorMessage="1" sqref="G4:G7">
      <formula1>$J$3:$J$3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D9" sqref="D9:I9"/>
    </sheetView>
  </sheetViews>
  <sheetFormatPr defaultRowHeight="15" x14ac:dyDescent="0.25"/>
  <cols>
    <col min="6" max="6" width="11.28515625" customWidth="1"/>
    <col min="8" max="8" width="18.7109375" customWidth="1"/>
    <col min="9" max="9" width="21.42578125" customWidth="1"/>
  </cols>
  <sheetData>
    <row r="1" spans="1:9" x14ac:dyDescent="0.25">
      <c r="A1" t="s">
        <v>99</v>
      </c>
    </row>
    <row r="2" spans="1:9" ht="33" customHeight="1" x14ac:dyDescent="0.25">
      <c r="D2" s="84" t="s">
        <v>114</v>
      </c>
      <c r="E2" s="84"/>
      <c r="F2" s="84"/>
      <c r="G2" s="84"/>
      <c r="H2" s="84"/>
      <c r="I2" s="84"/>
    </row>
    <row r="3" spans="1:9" ht="30" x14ac:dyDescent="0.25">
      <c r="D3" s="51" t="s">
        <v>6</v>
      </c>
      <c r="E3" s="85" t="s">
        <v>100</v>
      </c>
      <c r="F3" s="85"/>
      <c r="G3" s="51" t="s">
        <v>101</v>
      </c>
      <c r="H3" s="51" t="s">
        <v>102</v>
      </c>
      <c r="I3" s="52" t="s">
        <v>103</v>
      </c>
    </row>
    <row r="4" spans="1:9" x14ac:dyDescent="0.25">
      <c r="D4" s="53">
        <v>1</v>
      </c>
      <c r="E4" s="86" t="s">
        <v>95</v>
      </c>
      <c r="F4" s="86"/>
      <c r="G4" s="53" t="s">
        <v>104</v>
      </c>
      <c r="H4" s="60">
        <f>Sugar_Unit_working_Building!R59</f>
        <v>697491027.11931539</v>
      </c>
      <c r="I4" s="61">
        <f>Sugar_Unit_working_Building!V59</f>
        <v>477618012.51710975</v>
      </c>
    </row>
    <row r="5" spans="1:9" x14ac:dyDescent="0.25">
      <c r="D5" s="54">
        <v>2</v>
      </c>
      <c r="E5" s="86" t="s">
        <v>113</v>
      </c>
      <c r="F5" s="86"/>
      <c r="G5" s="55" t="s">
        <v>105</v>
      </c>
      <c r="H5" s="60">
        <f>'Roads &amp; Drainage'!K8</f>
        <v>81180675</v>
      </c>
      <c r="I5" s="61">
        <f>H5</f>
        <v>81180675</v>
      </c>
    </row>
    <row r="6" spans="1:9" x14ac:dyDescent="0.25">
      <c r="D6" s="87" t="s">
        <v>90</v>
      </c>
      <c r="E6" s="87"/>
      <c r="F6" s="87"/>
      <c r="G6" s="87"/>
      <c r="H6" s="59">
        <f>SUM(H4:H5)</f>
        <v>778671702.11931539</v>
      </c>
      <c r="I6" s="59">
        <f>SUM(I4:I5)</f>
        <v>558798687.51710975</v>
      </c>
    </row>
    <row r="7" spans="1:9" x14ac:dyDescent="0.25">
      <c r="D7" s="88" t="s">
        <v>106</v>
      </c>
      <c r="E7" s="88"/>
      <c r="F7" s="88"/>
      <c r="G7" s="88"/>
      <c r="H7" s="88"/>
      <c r="I7" s="88"/>
    </row>
    <row r="8" spans="1:9" ht="30" customHeight="1" x14ac:dyDescent="0.25">
      <c r="D8" s="83" t="s">
        <v>115</v>
      </c>
      <c r="E8" s="83"/>
      <c r="F8" s="83"/>
      <c r="G8" s="83"/>
      <c r="H8" s="83"/>
      <c r="I8" s="83"/>
    </row>
    <row r="9" spans="1:9" ht="48.75" customHeight="1" x14ac:dyDescent="0.25">
      <c r="D9" s="83" t="s">
        <v>107</v>
      </c>
      <c r="E9" s="83"/>
      <c r="F9" s="83"/>
      <c r="G9" s="83"/>
      <c r="H9" s="83"/>
      <c r="I9" s="83"/>
    </row>
    <row r="10" spans="1:9" ht="44.25" customHeight="1" x14ac:dyDescent="0.25">
      <c r="D10" s="83" t="s">
        <v>108</v>
      </c>
      <c r="E10" s="83"/>
      <c r="F10" s="83"/>
      <c r="G10" s="83"/>
      <c r="H10" s="83"/>
      <c r="I10" s="83"/>
    </row>
    <row r="11" spans="1:9" ht="30.75" customHeight="1" x14ac:dyDescent="0.25">
      <c r="D11" s="83" t="s">
        <v>109</v>
      </c>
      <c r="E11" s="83"/>
      <c r="F11" s="83"/>
      <c r="G11" s="83"/>
      <c r="H11" s="83"/>
      <c r="I11" s="83"/>
    </row>
    <row r="12" spans="1:9" ht="47.25" customHeight="1" x14ac:dyDescent="0.25">
      <c r="D12" s="83" t="s">
        <v>110</v>
      </c>
      <c r="E12" s="83"/>
      <c r="F12" s="83"/>
      <c r="G12" s="83"/>
      <c r="H12" s="83"/>
      <c r="I12" s="83"/>
    </row>
    <row r="13" spans="1:9" ht="33.75" customHeight="1" x14ac:dyDescent="0.25">
      <c r="D13" s="83" t="s">
        <v>111</v>
      </c>
      <c r="E13" s="83"/>
      <c r="F13" s="83"/>
      <c r="G13" s="83"/>
      <c r="H13" s="83"/>
      <c r="I13" s="83"/>
    </row>
  </sheetData>
  <mergeCells count="12">
    <mergeCell ref="D13:I13"/>
    <mergeCell ref="D2:I2"/>
    <mergeCell ref="E3:F3"/>
    <mergeCell ref="E4:F4"/>
    <mergeCell ref="E5:F5"/>
    <mergeCell ref="D6:G6"/>
    <mergeCell ref="D7:I7"/>
    <mergeCell ref="D8:I8"/>
    <mergeCell ref="D9:I9"/>
    <mergeCell ref="D10:I10"/>
    <mergeCell ref="D11:I11"/>
    <mergeCell ref="D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Sugar_Unit_working_Building</vt:lpstr>
      <vt:lpstr>Roads &amp; Drainage</vt:lpstr>
      <vt:lpstr>Summary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dc:creator>
  <cp:lastModifiedBy>Abhinav Chaturvedi</cp:lastModifiedBy>
  <dcterms:created xsi:type="dcterms:W3CDTF">2022-06-07T07:34:36Z</dcterms:created>
  <dcterms:modified xsi:type="dcterms:W3CDTF">2024-04-30T09:24:22Z</dcterms:modified>
</cp:coreProperties>
</file>