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ngineer6.RKASSO\Desktop\Drive\WIP\VIS(2023-24)-PL796-693-1076\"/>
    </mc:Choice>
  </mc:AlternateContent>
  <xr:revisionPtr revIDLastSave="0" documentId="13_ncr:1_{78702468-C5E3-4AB3-A837-3871DE1CE35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3" sheetId="3" r:id="rId2"/>
    <sheet name="Calculations" sheetId="4" r:id="rId3"/>
  </sheets>
  <definedNames>
    <definedName name="_xlnm._FilterDatabase" localSheetId="0" hidden="1">Sheet1!$E$3:$E$39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Z19" i="1" s="1"/>
  <c r="P6" i="1"/>
  <c r="N6" i="1"/>
  <c r="K10" i="1"/>
  <c r="K9" i="1"/>
  <c r="K8" i="1"/>
  <c r="K7" i="1"/>
  <c r="K6" i="1"/>
  <c r="F7" i="1"/>
  <c r="F6" i="1"/>
  <c r="F5" i="1"/>
  <c r="F10" i="1"/>
  <c r="G9" i="1"/>
  <c r="P9" i="1" s="1"/>
  <c r="G8" i="1"/>
  <c r="F8" i="1" s="1"/>
  <c r="Z10" i="1"/>
  <c r="N9" i="1"/>
  <c r="B7" i="4"/>
  <c r="Q6" i="1" l="1"/>
  <c r="F9" i="1"/>
  <c r="R6" i="1"/>
  <c r="S6" i="1" s="1"/>
  <c r="U6" i="1" s="1"/>
  <c r="Q9" i="1"/>
  <c r="R9" i="1" s="1"/>
  <c r="S9" i="1" s="1"/>
  <c r="U9" i="1" s="1"/>
  <c r="N8" i="1"/>
  <c r="P8" i="1"/>
  <c r="N7" i="1"/>
  <c r="P7" i="1"/>
  <c r="Q7" i="1" l="1"/>
  <c r="Q8" i="1"/>
  <c r="R8" i="1" s="1"/>
  <c r="S8" i="1" s="1"/>
  <c r="U8" i="1" s="1"/>
  <c r="R7" i="1"/>
  <c r="S7" i="1" s="1"/>
  <c r="U7" i="1" s="1"/>
  <c r="D7" i="3"/>
  <c r="G7" i="3"/>
  <c r="D6" i="3"/>
  <c r="H7" i="3" l="1"/>
  <c r="F11" i="1"/>
  <c r="P10" i="1"/>
  <c r="N10" i="1"/>
  <c r="Q10" i="1" l="1"/>
  <c r="R10" i="1" s="1"/>
  <c r="S10" i="1" s="1"/>
  <c r="U10" i="1" s="1"/>
  <c r="G11" i="1" l="1"/>
  <c r="AA42" i="1" l="1"/>
  <c r="K5" i="1" l="1"/>
  <c r="C3" i="4" l="1"/>
  <c r="B6" i="4" l="1"/>
  <c r="G3" i="4" l="1"/>
  <c r="F6" i="4" s="1"/>
  <c r="B9" i="4" l="1"/>
  <c r="B10" i="4" s="1"/>
  <c r="B12" i="4" s="1"/>
  <c r="P5" i="1"/>
  <c r="P11" i="1" s="1"/>
  <c r="V20" i="1" s="1"/>
  <c r="G6" i="3"/>
  <c r="N5" i="1"/>
  <c r="Q5" i="1" s="1"/>
  <c r="H6" i="3" l="1"/>
  <c r="H8" i="3" s="1"/>
  <c r="H10" i="3" s="1"/>
  <c r="B11" i="4"/>
  <c r="R5" i="1"/>
  <c r="R11" i="1" s="1"/>
  <c r="F13" i="4"/>
  <c r="S5" i="1" l="1"/>
  <c r="S11" i="1" l="1"/>
  <c r="U5" i="1"/>
  <c r="U11" i="1" s="1"/>
  <c r="F7" i="4" l="1"/>
  <c r="F9" i="4" s="1"/>
  <c r="F10" i="4" s="1"/>
  <c r="Z20" i="1"/>
  <c r="Z22" i="1" s="1"/>
  <c r="Z24" i="1" s="1"/>
  <c r="Z25" i="1" l="1"/>
  <c r="Z26" i="1"/>
  <c r="F12" i="4"/>
  <c r="F11" i="4"/>
</calcChain>
</file>

<file path=xl/sharedStrings.xml><?xml version="1.0" encoding="utf-8"?>
<sst xmlns="http://schemas.openxmlformats.org/spreadsheetml/2006/main" count="90" uniqueCount="73">
  <si>
    <t>SR. No.</t>
  </si>
  <si>
    <t>Floor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</si>
  <si>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</si>
  <si>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</si>
  <si>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</si>
  <si>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</si>
  <si>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</si>
  <si>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</si>
  <si>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</si>
  <si>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</si>
  <si>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</si>
  <si>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</si>
  <si>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>Depreciated Replacement Market Value
(INR)</t>
  </si>
  <si>
    <t>TOTAL</t>
  </si>
  <si>
    <t>Remarks:</t>
  </si>
  <si>
    <r>
      <t>Area</t>
    </r>
    <r>
      <rPr>
        <b/>
        <sz val="10"/>
        <rFont val="Calibri"/>
        <family val="2"/>
        <scheme val="minor"/>
      </rPr>
      <t xml:space="preserve"> (in sq. mtr.)</t>
    </r>
  </si>
  <si>
    <t>RCC structure bounded by brick wall</t>
  </si>
  <si>
    <t>Depriciation Factor</t>
  </si>
  <si>
    <t>Particular</t>
  </si>
  <si>
    <t>Govt guidline rate for construction(Per SQM)</t>
  </si>
  <si>
    <t>Guidline Value</t>
  </si>
  <si>
    <t>Particulars</t>
  </si>
  <si>
    <t>R.C.C</t>
  </si>
  <si>
    <t>Tin Shed</t>
  </si>
  <si>
    <t>Tin Shed and Tin Sheet Roof</t>
  </si>
  <si>
    <t>Land</t>
  </si>
  <si>
    <t>Rate</t>
  </si>
  <si>
    <t>Value</t>
  </si>
  <si>
    <t xml:space="preserve"> -   </t>
  </si>
  <si>
    <t>land</t>
  </si>
  <si>
    <t>Building</t>
  </si>
  <si>
    <t>Aesthetic</t>
  </si>
  <si>
    <t>Fair market</t>
  </si>
  <si>
    <t>Round off</t>
  </si>
  <si>
    <t>Realizable</t>
  </si>
  <si>
    <t>Distress</t>
  </si>
  <si>
    <t>FMV</t>
  </si>
  <si>
    <t>Govt.</t>
  </si>
  <si>
    <t>Depreciation amount
(INR)</t>
  </si>
  <si>
    <t xml:space="preserve">Depreciation factor
 </t>
  </si>
  <si>
    <t>RCC</t>
  </si>
  <si>
    <t>Insurance</t>
  </si>
  <si>
    <r>
      <t xml:space="preserve">Area 
</t>
    </r>
    <r>
      <rPr>
        <b/>
        <i/>
        <sz val="10"/>
        <rFont val="Calibri"/>
        <family val="2"/>
        <scheme val="minor"/>
      </rPr>
      <t>(in sq.mtr)</t>
    </r>
  </si>
  <si>
    <t>Final Depreciated Replacement Market Value
(INR)</t>
  </si>
  <si>
    <t>Discounting Factor (For Building Condition)</t>
  </si>
  <si>
    <t>Total</t>
  </si>
  <si>
    <t>2. Construction year of the building is taken as per the information provided by client during survey.</t>
  </si>
  <si>
    <t>Circle</t>
  </si>
  <si>
    <t>land rate</t>
  </si>
  <si>
    <t>area</t>
  </si>
  <si>
    <t>land value</t>
  </si>
  <si>
    <t>building</t>
  </si>
  <si>
    <t>wall</t>
  </si>
  <si>
    <t>total</t>
  </si>
  <si>
    <r>
      <t>3.</t>
    </r>
    <r>
      <rPr>
        <b/>
        <sz val="10"/>
        <color theme="1"/>
        <rFont val="Arial"/>
        <family val="2"/>
      </rPr>
      <t xml:space="preserve"> The valuation is done by considering the depreciated replacement cost approach.</t>
    </r>
  </si>
  <si>
    <t>S.no.</t>
  </si>
  <si>
    <t>First</t>
  </si>
  <si>
    <t>Second</t>
  </si>
  <si>
    <t>Godown</t>
  </si>
  <si>
    <t xml:space="preserve">Showroom </t>
  </si>
  <si>
    <t>Residential Flat</t>
  </si>
  <si>
    <t>Two rooms &amp; Terrace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</si>
  <si>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</si>
  <si>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Fourth</t>
  </si>
  <si>
    <t>Upper Ground</t>
  </si>
  <si>
    <t>Lower Ground</t>
  </si>
  <si>
    <t>Third</t>
  </si>
  <si>
    <t>Godown &amp; Labour rooms</t>
  </si>
  <si>
    <t>Office Cabin &amp; Godown</t>
  </si>
  <si>
    <t>10.2 / 7.5</t>
  </si>
  <si>
    <r>
      <t xml:space="preserve">1. </t>
    </r>
    <r>
      <rPr>
        <b/>
        <sz val="10"/>
        <color theme="1"/>
        <rFont val="Arial"/>
        <family val="2"/>
      </rPr>
      <t>All the details pertaining to the building area statement such as area, floor, type of structure, age of the building etc. has been taken as per the site survey.</t>
    </r>
  </si>
  <si>
    <t>4. We are assuming that all the building structure considered for valuation purpose owned by Mrs. Pampa Chakraborty &amp; Mr. Jayanta Chakraborty.</t>
  </si>
  <si>
    <t>M/s. Om Sai Baba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</si>
</sst>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_ * #,##0.0000_ ;_ * \-#,##0.0000_ ;_ * &quot;-&quot;??_ ;_ @_ 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1" applyNumberFormat="1" applyFont="1"/>
    <xf numFmtId="43" fontId="0" fillId="0" borderId="0" xfId="0" applyNumberFormat="1"/>
    <xf numFmtId="43" fontId="0" fillId="0" borderId="0" xfId="1" applyFont="1"/>
    <xf numFmtId="0" fontId="0" fillId="0" borderId="13" xfId="0" applyBorder="1" applyAlignment="1">
      <alignment horizontal="center" vertical="center" wrapText="1"/>
    </xf>
    <xf numFmtId="0" fontId="0" fillId="3" borderId="0" xfId="0" applyFill="1"/>
    <xf numFmtId="0" fontId="9" fillId="3" borderId="4" xfId="0" applyFont="1" applyFill="1" applyBorder="1" applyAlignment="1">
      <alignment horizontal="center" vertical="center" wrapText="1"/>
    </xf>
    <xf numFmtId="9" fontId="9" fillId="3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3" fontId="4" fillId="2" borderId="16" xfId="1" applyFont="1" applyFill="1" applyBorder="1" applyAlignment="1">
      <alignment horizontal="center" vertical="center" wrapText="1"/>
    </xf>
    <xf numFmtId="164" fontId="4" fillId="2" borderId="17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0" fillId="0" borderId="10" xfId="1" applyFont="1" applyBorder="1" applyAlignment="1">
      <alignment horizontal="center" vertical="center"/>
    </xf>
    <xf numFmtId="43" fontId="1" fillId="0" borderId="10" xfId="1" applyFill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 wrapText="1"/>
    </xf>
    <xf numFmtId="165" fontId="0" fillId="0" borderId="10" xfId="1" applyNumberFormat="1" applyFont="1" applyBorder="1" applyAlignment="1">
      <alignment horizontal="center" vertical="center" wrapText="1"/>
    </xf>
    <xf numFmtId="164" fontId="1" fillId="0" borderId="11" xfId="1" applyNumberFormat="1" applyFill="1" applyBorder="1" applyAlignment="1">
      <alignment horizontal="center" vertical="center" wrapText="1"/>
    </xf>
    <xf numFmtId="164" fontId="1" fillId="0" borderId="14" xfId="1" applyNumberForma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1" fillId="0" borderId="13" xfId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 wrapText="1"/>
    </xf>
    <xf numFmtId="165" fontId="0" fillId="0" borderId="13" xfId="1" applyNumberFormat="1" applyFont="1" applyBorder="1" applyAlignment="1">
      <alignment horizontal="center" vertical="center" wrapText="1"/>
    </xf>
    <xf numFmtId="166" fontId="0" fillId="0" borderId="0" xfId="0" applyNumberFormat="1"/>
    <xf numFmtId="0" fontId="0" fillId="0" borderId="12" xfId="0" applyBorder="1" applyAlignment="1">
      <alignment horizontal="center" vertical="center"/>
    </xf>
    <xf numFmtId="164" fontId="2" fillId="0" borderId="21" xfId="1" applyNumberFormat="1" applyFont="1" applyBorder="1"/>
    <xf numFmtId="0" fontId="2" fillId="0" borderId="0" xfId="0" applyFont="1"/>
    <xf numFmtId="43" fontId="9" fillId="0" borderId="4" xfId="1" applyFont="1" applyBorder="1" applyAlignment="1">
      <alignment horizontal="center" vertical="center" wrapText="1"/>
    </xf>
    <xf numFmtId="164" fontId="9" fillId="3" borderId="4" xfId="1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164" fontId="0" fillId="0" borderId="0" xfId="0" applyNumberFormat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2" fontId="0" fillId="0" borderId="0" xfId="0" applyNumberFormat="1"/>
    <xf numFmtId="2" fontId="0" fillId="0" borderId="22" xfId="0" applyNumberFormat="1" applyBorder="1"/>
    <xf numFmtId="2" fontId="0" fillId="0" borderId="27" xfId="0" applyNumberFormat="1" applyBorder="1"/>
    <xf numFmtId="2" fontId="0" fillId="0" borderId="23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6" xfId="0" applyNumberFormat="1" applyBorder="1"/>
    <xf numFmtId="2" fontId="10" fillId="0" borderId="0" xfId="0" applyNumberFormat="1" applyFont="1"/>
    <xf numFmtId="2" fontId="0" fillId="0" borderId="24" xfId="0" applyNumberFormat="1" applyBorder="1"/>
    <xf numFmtId="2" fontId="0" fillId="0" borderId="25" xfId="0" applyNumberFormat="1" applyBorder="1"/>
    <xf numFmtId="2" fontId="0" fillId="0" borderId="0" xfId="1" applyNumberFormat="1" applyFont="1"/>
    <xf numFmtId="1" fontId="0" fillId="0" borderId="26" xfId="0" applyNumberFormat="1" applyBorder="1"/>
    <xf numFmtId="1" fontId="0" fillId="0" borderId="25" xfId="0" applyNumberFormat="1" applyBorder="1"/>
    <xf numFmtId="1" fontId="10" fillId="0" borderId="0" xfId="0" applyNumberFormat="1" applyFont="1"/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9" fontId="9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0" fontId="0" fillId="0" borderId="30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M42"/>
  <sheetViews>
    <sheetView tabSelected="1" zoomScale="85" zoomScaleNormal="85" workbookViewId="0">
      <selection activeCell="B3" sqref="B3:U16"/>
    </sheetView>
  </sheetViews>
  <sheetFormatPr defaultRowHeight="15" x14ac:dyDescent="0.25"/>
  <cols>
    <col min="1" max="1" width="7.42578125" customWidth="1"/>
    <col min="2" max="2" width="6.28515625" customWidth="1"/>
    <col min="3" max="3" width="22.7109375" bestFit="1" customWidth="1"/>
    <col min="4" max="4" width="14.140625" bestFit="1" customWidth="1"/>
    <col min="5" max="5" width="14.7109375" style="2" customWidth="1"/>
    <col min="6" max="6" width="11.42578125" style="2" hidden="1" customWidth="1"/>
    <col min="7" max="7" width="11.5703125" customWidth="1"/>
    <col min="8" max="8" width="9" style="7" customWidth="1"/>
    <col min="9" max="9" width="13.5703125" customWidth="1"/>
    <col min="10" max="10" width="9.5703125" hidden="1" customWidth="1"/>
    <col min="11" max="11" width="10.42578125" hidden="1" customWidth="1"/>
    <col min="12" max="12" width="11" customWidth="1"/>
    <col min="13" max="13" width="7.85546875" hidden="1" customWidth="1"/>
    <col min="14" max="14" width="12.28515625" hidden="1" customWidth="1"/>
    <col min="15" max="15" width="10.85546875" customWidth="1"/>
    <col min="16" max="16" width="16.7109375" customWidth="1"/>
    <col min="17" max="17" width="16.140625" hidden="1" customWidth="1"/>
    <col min="18" max="18" width="12.42578125" hidden="1" customWidth="1"/>
    <col min="19" max="19" width="19.85546875" hidden="1" customWidth="1"/>
    <col min="20" max="20" width="18.28515625" hidden="1" customWidth="1"/>
    <col min="21" max="21" width="18.28515625" customWidth="1"/>
    <col min="22" max="22" width="14.42578125" bestFit="1" customWidth="1"/>
    <col min="23" max="23" width="14.28515625" style="3" bestFit="1" customWidth="1"/>
    <col min="24" max="24" width="15.42578125" bestFit="1" customWidth="1"/>
    <col min="25" max="25" width="14.42578125" bestFit="1" customWidth="1"/>
    <col min="26" max="26" width="15.42578125" bestFit="1" customWidth="1"/>
    <col min="27" max="27" width="22.28515625" customWidth="1"/>
    <col min="28" max="28" width="14.42578125" bestFit="1" customWidth="1"/>
    <col min="29" max="29" width="10.28515625" bestFit="1" customWidth="1"/>
    <col min="32" max="32" width="14.42578125" bestFit="1" customWidth="1"/>
    <col min="35" max="35" width="12.5703125" customWidth="1"/>
    <col min="39" max="39" width="16" customWidth="1"/>
  </cols>
  <sheetData>
    <row r="3" spans="2:35" ht="29.25" customHeight="1" x14ac:dyDescent="0.25">
      <c r="B3" s="77" t="s">
        <v>72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2:35" ht="60" x14ac:dyDescent="0.25">
      <c r="B4" s="1" t="s">
        <v>55</v>
      </c>
      <c r="C4" s="1" t="s">
        <v>21</v>
      </c>
      <c r="D4" s="1" t="s">
        <v>1</v>
      </c>
      <c r="E4" s="1" t="s">
        <v>2</v>
      </c>
      <c r="F4" s="1" t="s">
        <v>42</v>
      </c>
      <c r="G4" s="1" t="s">
        <v>3</v>
      </c>
      <c r="H4" s="1" t="s">
        <v>62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39</v>
      </c>
      <c r="R4" s="1" t="s">
        <v>38</v>
      </c>
      <c r="S4" s="1" t="s">
        <v>12</v>
      </c>
      <c r="T4" s="1" t="s">
        <v>44</v>
      </c>
      <c r="U4" s="1" t="s">
        <v>43</v>
      </c>
      <c r="W4"/>
      <c r="Z4" s="34"/>
    </row>
    <row r="5" spans="2:35" x14ac:dyDescent="0.25">
      <c r="B5" s="8">
        <v>1</v>
      </c>
      <c r="C5" s="62" t="s">
        <v>58</v>
      </c>
      <c r="D5" s="37" t="s">
        <v>65</v>
      </c>
      <c r="E5" s="52" t="s">
        <v>40</v>
      </c>
      <c r="F5" s="69">
        <f t="shared" ref="F5:F9" si="0">G5/10.7639</f>
        <v>160.0720928288074</v>
      </c>
      <c r="G5" s="67">
        <v>1723</v>
      </c>
      <c r="H5" s="53">
        <v>9.5</v>
      </c>
      <c r="I5" s="37">
        <v>2017</v>
      </c>
      <c r="J5" s="53">
        <v>2024</v>
      </c>
      <c r="K5" s="53">
        <f>J5-I5</f>
        <v>7</v>
      </c>
      <c r="L5" s="53">
        <v>70</v>
      </c>
      <c r="M5" s="54">
        <v>0.1</v>
      </c>
      <c r="N5" s="63">
        <f t="shared" ref="N5:N10" si="1">(1-M5)/L5</f>
        <v>1.2857142857142857E-2</v>
      </c>
      <c r="O5" s="53">
        <v>1200</v>
      </c>
      <c r="P5" s="55">
        <f t="shared" ref="P5:P10" si="2">O5*G5</f>
        <v>2067600</v>
      </c>
      <c r="Q5" s="56">
        <f t="shared" ref="Q5:Q10" si="3">N5*K5</f>
        <v>0.09</v>
      </c>
      <c r="R5" s="64">
        <f t="shared" ref="R5:R10" si="4">P5*Q5</f>
        <v>186084</v>
      </c>
      <c r="S5" s="64">
        <f t="shared" ref="S5:S10" si="5">P5-R5</f>
        <v>1881516</v>
      </c>
      <c r="T5" s="61">
        <v>0</v>
      </c>
      <c r="U5" s="55">
        <f>(1-T5)*S5</f>
        <v>1881516</v>
      </c>
      <c r="W5"/>
    </row>
    <row r="6" spans="2:35" x14ac:dyDescent="0.25">
      <c r="B6" s="8">
        <v>2</v>
      </c>
      <c r="C6" s="62" t="s">
        <v>59</v>
      </c>
      <c r="D6" s="37" t="s">
        <v>64</v>
      </c>
      <c r="E6" s="52" t="s">
        <v>40</v>
      </c>
      <c r="F6" s="69">
        <f t="shared" si="0"/>
        <v>255.57651037263446</v>
      </c>
      <c r="G6" s="67">
        <v>2751</v>
      </c>
      <c r="H6" s="53">
        <v>10</v>
      </c>
      <c r="I6" s="37">
        <v>2017</v>
      </c>
      <c r="J6" s="53">
        <v>2024</v>
      </c>
      <c r="K6" s="53">
        <f t="shared" ref="K6:K10" si="6">J6-I6</f>
        <v>7</v>
      </c>
      <c r="L6" s="53">
        <v>70</v>
      </c>
      <c r="M6" s="54">
        <v>0.1</v>
      </c>
      <c r="N6" s="63">
        <f t="shared" si="1"/>
        <v>1.2857142857142857E-2</v>
      </c>
      <c r="O6" s="53">
        <v>1600</v>
      </c>
      <c r="P6" s="55">
        <f t="shared" ref="P6" si="7">O6*G6</f>
        <v>4401600</v>
      </c>
      <c r="Q6" s="56">
        <f t="shared" ref="Q6" si="8">N6*K6</f>
        <v>0.09</v>
      </c>
      <c r="R6" s="64">
        <f t="shared" ref="R6" si="9">P6*Q6</f>
        <v>396144</v>
      </c>
      <c r="S6" s="64">
        <f t="shared" ref="S6" si="10">P6-R6</f>
        <v>4005456</v>
      </c>
      <c r="T6" s="61">
        <v>0</v>
      </c>
      <c r="U6" s="55">
        <f>(1-T6)*S6</f>
        <v>4005456</v>
      </c>
      <c r="W6"/>
    </row>
    <row r="7" spans="2:35" x14ac:dyDescent="0.25">
      <c r="B7" s="8">
        <v>3</v>
      </c>
      <c r="C7" s="62" t="s">
        <v>68</v>
      </c>
      <c r="D7" s="37" t="s">
        <v>56</v>
      </c>
      <c r="E7" s="52" t="s">
        <v>40</v>
      </c>
      <c r="F7" s="69">
        <f t="shared" si="0"/>
        <v>212.28365183623038</v>
      </c>
      <c r="G7" s="67">
        <v>2285</v>
      </c>
      <c r="H7" s="53" t="s">
        <v>69</v>
      </c>
      <c r="I7" s="37">
        <v>2017</v>
      </c>
      <c r="J7" s="53">
        <v>2024</v>
      </c>
      <c r="K7" s="53">
        <f t="shared" si="6"/>
        <v>7</v>
      </c>
      <c r="L7" s="53">
        <v>70</v>
      </c>
      <c r="M7" s="54">
        <v>0.1</v>
      </c>
      <c r="N7" s="63">
        <f t="shared" si="1"/>
        <v>1.2857142857142857E-2</v>
      </c>
      <c r="O7" s="53">
        <v>1600</v>
      </c>
      <c r="P7" s="55">
        <f t="shared" si="2"/>
        <v>3656000</v>
      </c>
      <c r="Q7" s="56">
        <f t="shared" si="3"/>
        <v>0.09</v>
      </c>
      <c r="R7" s="64">
        <f t="shared" si="4"/>
        <v>329040</v>
      </c>
      <c r="S7" s="64">
        <f t="shared" si="5"/>
        <v>3326960</v>
      </c>
      <c r="T7" s="61">
        <v>0</v>
      </c>
      <c r="U7" s="55">
        <f t="shared" ref="U7:U8" si="11">(1-T7)*S7</f>
        <v>3326960</v>
      </c>
      <c r="W7"/>
    </row>
    <row r="8" spans="2:35" ht="30" x14ac:dyDescent="0.25">
      <c r="B8" s="8">
        <v>4</v>
      </c>
      <c r="C8" s="62" t="s">
        <v>67</v>
      </c>
      <c r="D8" s="37" t="s">
        <v>57</v>
      </c>
      <c r="E8" s="52" t="s">
        <v>40</v>
      </c>
      <c r="F8" s="69">
        <f t="shared" si="0"/>
        <v>258</v>
      </c>
      <c r="G8" s="67">
        <f>258*10.7639</f>
        <v>2777.0861999999997</v>
      </c>
      <c r="H8" s="53">
        <v>10</v>
      </c>
      <c r="I8" s="37">
        <v>2023</v>
      </c>
      <c r="J8" s="53">
        <v>2024</v>
      </c>
      <c r="K8" s="53">
        <f t="shared" si="6"/>
        <v>1</v>
      </c>
      <c r="L8" s="53">
        <v>70</v>
      </c>
      <c r="M8" s="54">
        <v>0.1</v>
      </c>
      <c r="N8" s="63">
        <f t="shared" si="1"/>
        <v>1.2857142857142857E-2</v>
      </c>
      <c r="O8" s="53">
        <v>1400</v>
      </c>
      <c r="P8" s="55">
        <f t="shared" si="2"/>
        <v>3887920.6799999997</v>
      </c>
      <c r="Q8" s="56">
        <f t="shared" si="3"/>
        <v>1.2857142857142857E-2</v>
      </c>
      <c r="R8" s="64">
        <f t="shared" si="4"/>
        <v>49987.551599999999</v>
      </c>
      <c r="S8" s="64">
        <f t="shared" si="5"/>
        <v>3837933.1283999998</v>
      </c>
      <c r="T8" s="61">
        <v>0</v>
      </c>
      <c r="U8" s="55">
        <f t="shared" si="11"/>
        <v>3837933.1283999998</v>
      </c>
      <c r="W8"/>
    </row>
    <row r="9" spans="2:35" x14ac:dyDescent="0.25">
      <c r="B9" s="8">
        <v>5</v>
      </c>
      <c r="C9" s="62" t="s">
        <v>60</v>
      </c>
      <c r="D9" s="37" t="s">
        <v>66</v>
      </c>
      <c r="E9" s="52" t="s">
        <v>40</v>
      </c>
      <c r="F9" s="69">
        <f t="shared" si="0"/>
        <v>258</v>
      </c>
      <c r="G9" s="67">
        <f>258*10.7639</f>
        <v>2777.0861999999997</v>
      </c>
      <c r="H9" s="53">
        <v>9</v>
      </c>
      <c r="I9" s="37">
        <v>2023</v>
      </c>
      <c r="J9" s="53">
        <v>2024</v>
      </c>
      <c r="K9" s="53">
        <f t="shared" si="6"/>
        <v>1</v>
      </c>
      <c r="L9" s="53">
        <v>70</v>
      </c>
      <c r="M9" s="54">
        <v>0.1</v>
      </c>
      <c r="N9" s="63">
        <f t="shared" si="1"/>
        <v>1.2857142857142857E-2</v>
      </c>
      <c r="O9" s="53">
        <v>1600</v>
      </c>
      <c r="P9" s="55">
        <f t="shared" si="2"/>
        <v>4443337.92</v>
      </c>
      <c r="Q9" s="56">
        <f t="shared" si="3"/>
        <v>1.2857142857142857E-2</v>
      </c>
      <c r="R9" s="64">
        <f t="shared" si="4"/>
        <v>57128.630399999995</v>
      </c>
      <c r="S9" s="64">
        <f t="shared" si="5"/>
        <v>4386209.2895999998</v>
      </c>
      <c r="T9" s="61">
        <v>0</v>
      </c>
      <c r="U9" s="55">
        <f t="shared" ref="U9" si="12">(1-T9)*S9</f>
        <v>4386209.2895999998</v>
      </c>
      <c r="W9"/>
      <c r="Y9" s="30" t="s">
        <v>47</v>
      </c>
      <c r="Z9">
        <v>9160</v>
      </c>
    </row>
    <row r="10" spans="2:35" x14ac:dyDescent="0.25">
      <c r="B10" s="8">
        <v>6</v>
      </c>
      <c r="C10" s="62" t="s">
        <v>61</v>
      </c>
      <c r="D10" s="66" t="s">
        <v>63</v>
      </c>
      <c r="E10" s="52" t="s">
        <v>40</v>
      </c>
      <c r="F10" s="69">
        <f>G10/10.7639</f>
        <v>68.748316130770448</v>
      </c>
      <c r="G10" s="67">
        <v>740</v>
      </c>
      <c r="H10" s="53">
        <v>8.6999999999999993</v>
      </c>
      <c r="I10" s="37">
        <v>2023</v>
      </c>
      <c r="J10" s="53">
        <v>2024</v>
      </c>
      <c r="K10" s="53">
        <f t="shared" si="6"/>
        <v>1</v>
      </c>
      <c r="L10" s="53">
        <v>70</v>
      </c>
      <c r="M10" s="54">
        <v>0.1</v>
      </c>
      <c r="N10" s="63">
        <f t="shared" si="1"/>
        <v>1.2857142857142857E-2</v>
      </c>
      <c r="O10" s="53">
        <v>1400</v>
      </c>
      <c r="P10" s="55">
        <f t="shared" si="2"/>
        <v>1036000</v>
      </c>
      <c r="Q10" s="56">
        <f t="shared" si="3"/>
        <v>1.2857142857142857E-2</v>
      </c>
      <c r="R10" s="64">
        <f t="shared" si="4"/>
        <v>13320</v>
      </c>
      <c r="S10" s="64">
        <f t="shared" si="5"/>
        <v>1022680</v>
      </c>
      <c r="T10" s="61">
        <v>0</v>
      </c>
      <c r="U10" s="55">
        <f>(1-T10)*S10</f>
        <v>1022680</v>
      </c>
      <c r="W10"/>
      <c r="Y10" t="s">
        <v>29</v>
      </c>
      <c r="Z10" s="3">
        <f>Z9*Z18</f>
        <v>55418</v>
      </c>
    </row>
    <row r="11" spans="2:35" ht="24" customHeight="1" x14ac:dyDescent="0.25">
      <c r="B11" s="74" t="s">
        <v>45</v>
      </c>
      <c r="C11" s="75"/>
      <c r="D11" s="75"/>
      <c r="E11" s="76"/>
      <c r="F11" s="70">
        <f>SUM(F5:F10)</f>
        <v>1212.6805711684428</v>
      </c>
      <c r="G11" s="68">
        <f>SUM(G5:G10)</f>
        <v>13053.172399999999</v>
      </c>
      <c r="H11" s="57"/>
      <c r="I11" s="58"/>
      <c r="J11" s="57"/>
      <c r="K11" s="57"/>
      <c r="L11" s="57"/>
      <c r="M11" s="57"/>
      <c r="N11" s="57"/>
      <c r="O11" s="57"/>
      <c r="P11" s="59">
        <f>SUM(P5:P10)</f>
        <v>19492458.600000001</v>
      </c>
      <c r="Q11" s="57"/>
      <c r="R11" s="65">
        <f>SUM(R5:R10)</f>
        <v>1031704.182</v>
      </c>
      <c r="S11" s="65">
        <f>SUM(S5:S10)</f>
        <v>18460754.417999998</v>
      </c>
      <c r="T11" s="60"/>
      <c r="U11" s="60">
        <f>SUM(U5:U10)</f>
        <v>18460754.417999998</v>
      </c>
      <c r="W11"/>
      <c r="X11" s="4"/>
    </row>
    <row r="12" spans="2:35" x14ac:dyDescent="0.25">
      <c r="B12" s="80" t="s">
        <v>14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W12"/>
      <c r="Z12" s="5"/>
    </row>
    <row r="13" spans="2:35" ht="16.5" customHeight="1" x14ac:dyDescent="0.25">
      <c r="B13" s="81" t="s">
        <v>70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W13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2:35" x14ac:dyDescent="0.25">
      <c r="B14" s="82" t="s">
        <v>46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W14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2:35" x14ac:dyDescent="0.25">
      <c r="B15" s="79" t="s">
        <v>54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W15"/>
      <c r="AA15" s="5"/>
      <c r="AB15" s="5"/>
      <c r="AC15" s="5"/>
      <c r="AD15" s="5"/>
      <c r="AE15" s="5"/>
      <c r="AF15" s="5"/>
      <c r="AG15" s="5"/>
      <c r="AH15" s="5"/>
      <c r="AI15" s="5"/>
    </row>
    <row r="16" spans="2:35" x14ac:dyDescent="0.25">
      <c r="B16" s="71" t="s">
        <v>71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3"/>
      <c r="W16"/>
      <c r="Y16" s="30" t="s">
        <v>36</v>
      </c>
      <c r="AA16" s="5"/>
      <c r="AB16" s="5"/>
      <c r="AC16" s="5"/>
      <c r="AD16" s="5"/>
      <c r="AE16" s="5"/>
      <c r="AF16" s="5"/>
      <c r="AG16" s="5"/>
      <c r="AH16" s="5"/>
      <c r="AI16" s="5"/>
    </row>
    <row r="17" spans="3:35" x14ac:dyDescent="0.25">
      <c r="E17"/>
      <c r="F17"/>
      <c r="H17"/>
      <c r="W17"/>
      <c r="Y17" s="30" t="s">
        <v>48</v>
      </c>
      <c r="Z17" s="3">
        <f>1000000*1.05</f>
        <v>1050000</v>
      </c>
      <c r="AA17" s="5"/>
      <c r="AB17" s="5"/>
      <c r="AC17" s="5"/>
      <c r="AD17" s="5"/>
      <c r="AE17" s="5"/>
      <c r="AF17" s="5"/>
      <c r="AG17" s="5"/>
      <c r="AH17" s="5"/>
      <c r="AI17" s="5"/>
    </row>
    <row r="18" spans="3:35" ht="28.5" customHeight="1" x14ac:dyDescent="0.25">
      <c r="D18" s="3"/>
      <c r="E18"/>
      <c r="F18"/>
      <c r="H18"/>
      <c r="W18"/>
      <c r="Y18" s="30" t="s">
        <v>49</v>
      </c>
      <c r="Z18">
        <v>6.05</v>
      </c>
      <c r="AA18" s="5"/>
      <c r="AB18" s="5"/>
      <c r="AC18" s="5"/>
      <c r="AD18" s="5"/>
      <c r="AE18" s="5"/>
      <c r="AF18" s="5"/>
      <c r="AG18" s="5"/>
      <c r="AH18" s="5"/>
      <c r="AI18" s="5"/>
    </row>
    <row r="19" spans="3:35" x14ac:dyDescent="0.25">
      <c r="C19" s="3"/>
      <c r="D19" s="3"/>
      <c r="E19"/>
      <c r="F19"/>
      <c r="H19"/>
      <c r="P19" s="3">
        <v>1723</v>
      </c>
      <c r="W19"/>
      <c r="Y19" s="30" t="s">
        <v>50</v>
      </c>
      <c r="Z19" s="3">
        <f>Z18*Z17</f>
        <v>6352500</v>
      </c>
      <c r="AA19" s="5"/>
      <c r="AB19" s="5"/>
      <c r="AC19" s="5"/>
      <c r="AD19" s="5"/>
      <c r="AE19" s="5"/>
      <c r="AF19" s="5"/>
      <c r="AG19" s="5"/>
      <c r="AH19" s="5"/>
      <c r="AI19" s="5"/>
    </row>
    <row r="20" spans="3:35" x14ac:dyDescent="0.25">
      <c r="D20" s="3"/>
      <c r="E20"/>
      <c r="F20"/>
      <c r="H20"/>
      <c r="P20" s="4">
        <v>2751</v>
      </c>
      <c r="R20" s="3"/>
      <c r="V20" s="4">
        <f>0.8*P11</f>
        <v>15593966.880000003</v>
      </c>
      <c r="W20"/>
      <c r="Y20" s="30" t="s">
        <v>51</v>
      </c>
      <c r="Z20" s="35">
        <f>U11</f>
        <v>18460754.417999998</v>
      </c>
      <c r="AA20" s="5"/>
      <c r="AB20" s="5"/>
      <c r="AC20" s="5"/>
      <c r="AD20" s="5"/>
      <c r="AE20" s="5"/>
      <c r="AF20" s="5"/>
      <c r="AG20" s="5"/>
      <c r="AH20" s="5"/>
      <c r="AI20" s="5"/>
    </row>
    <row r="21" spans="3:35" ht="15.75" customHeight="1" x14ac:dyDescent="0.25">
      <c r="D21" s="3"/>
      <c r="E21"/>
      <c r="F21"/>
      <c r="H21"/>
      <c r="I21" s="35"/>
      <c r="P21" s="4">
        <v>2285</v>
      </c>
      <c r="W21"/>
      <c r="Y21" s="30" t="s">
        <v>52</v>
      </c>
      <c r="Z21" s="3">
        <v>90000</v>
      </c>
    </row>
    <row r="22" spans="3:35" ht="15" customHeight="1" x14ac:dyDescent="0.25">
      <c r="D22" s="3"/>
      <c r="E22"/>
      <c r="F22"/>
      <c r="H22"/>
      <c r="W22"/>
      <c r="Y22" s="30" t="s">
        <v>53</v>
      </c>
      <c r="Z22" s="35">
        <f>SUM(Z19:Z21)</f>
        <v>24903254.417999998</v>
      </c>
    </row>
    <row r="23" spans="3:35" x14ac:dyDescent="0.25">
      <c r="D23" s="3"/>
      <c r="E23"/>
      <c r="F23"/>
      <c r="H23"/>
      <c r="I23" s="38"/>
      <c r="W23"/>
    </row>
    <row r="24" spans="3:35" x14ac:dyDescent="0.25">
      <c r="D24" s="3"/>
      <c r="E24"/>
      <c r="F24"/>
      <c r="H24"/>
      <c r="I24" s="35"/>
      <c r="N24" s="5"/>
      <c r="W24"/>
      <c r="Z24" s="3">
        <f>ROUND(Z22,(-6))</f>
        <v>25000000</v>
      </c>
    </row>
    <row r="25" spans="3:35" x14ac:dyDescent="0.25">
      <c r="D25" s="3"/>
      <c r="E25"/>
      <c r="F25"/>
      <c r="H25"/>
      <c r="W25"/>
      <c r="Z25" s="35">
        <f>Z24*0.85</f>
        <v>21250000</v>
      </c>
    </row>
    <row r="26" spans="3:35" x14ac:dyDescent="0.25">
      <c r="D26" s="3"/>
      <c r="E26"/>
      <c r="F26"/>
      <c r="H26"/>
      <c r="W26"/>
      <c r="Z26" s="35">
        <f>Z24*0.75</f>
        <v>18750000</v>
      </c>
    </row>
    <row r="27" spans="3:35" x14ac:dyDescent="0.25">
      <c r="D27" s="3"/>
      <c r="E27"/>
      <c r="F27"/>
      <c r="H27"/>
      <c r="W27"/>
    </row>
    <row r="30" spans="3:35" x14ac:dyDescent="0.25">
      <c r="J30" s="3"/>
      <c r="K30" s="4"/>
      <c r="L30" s="4"/>
      <c r="P30" s="4"/>
      <c r="Q30" s="4"/>
    </row>
    <row r="33" spans="11:39" x14ac:dyDescent="0.25">
      <c r="K33" s="4"/>
      <c r="L33" s="4"/>
      <c r="P33" s="4"/>
      <c r="Q33" s="4"/>
    </row>
    <row r="36" spans="11:39" x14ac:dyDescent="0.25">
      <c r="W36" s="36"/>
      <c r="X36" s="8"/>
      <c r="Y36" s="37"/>
      <c r="Z36" s="37"/>
      <c r="AA36" s="8"/>
      <c r="AB36" s="37"/>
      <c r="AC36" s="8"/>
      <c r="AD36" s="8"/>
      <c r="AE36" s="8"/>
      <c r="AF36" s="9"/>
      <c r="AG36" s="8"/>
      <c r="AH36" s="8"/>
      <c r="AI36" s="32"/>
      <c r="AJ36" s="33"/>
      <c r="AK36" s="8"/>
      <c r="AL36" s="10"/>
      <c r="AM36" s="31"/>
    </row>
    <row r="37" spans="11:39" x14ac:dyDescent="0.25">
      <c r="AF37" s="34"/>
      <c r="AG37" s="8"/>
      <c r="AI37" s="32"/>
      <c r="AJ37" s="33"/>
      <c r="AK37" s="8"/>
      <c r="AL37" s="10"/>
      <c r="AM37" s="31"/>
    </row>
    <row r="38" spans="11:39" x14ac:dyDescent="0.25">
      <c r="K38" s="3"/>
    </row>
    <row r="39" spans="11:39" x14ac:dyDescent="0.25">
      <c r="Q39" s="3"/>
    </row>
    <row r="42" spans="11:39" x14ac:dyDescent="0.25">
      <c r="AA42">
        <f>287.82*0.6</f>
        <v>172.69199999999998</v>
      </c>
    </row>
  </sheetData>
  <mergeCells count="7">
    <mergeCell ref="B16:U16"/>
    <mergeCell ref="B11:E11"/>
    <mergeCell ref="B3:U3"/>
    <mergeCell ref="B15:U15"/>
    <mergeCell ref="B12:U12"/>
    <mergeCell ref="B13:U13"/>
    <mergeCell ref="B14:U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10"/>
  <sheetViews>
    <sheetView topLeftCell="A16" workbookViewId="0">
      <selection activeCell="I26" sqref="I26:K46"/>
    </sheetView>
  </sheetViews>
  <sheetFormatPr defaultRowHeight="15" x14ac:dyDescent="0.25"/>
  <cols>
    <col min="1" max="1" width="5.85546875" customWidth="1"/>
    <col min="2" max="2" width="11.5703125" bestFit="1" customWidth="1"/>
    <col min="3" max="3" width="12.85546875" bestFit="1" customWidth="1"/>
    <col min="4" max="4" width="10" style="5" bestFit="1" customWidth="1"/>
    <col min="5" max="5" width="11.5703125" style="5" bestFit="1" customWidth="1"/>
    <col min="6" max="6" width="17.7109375" style="5" bestFit="1" customWidth="1"/>
    <col min="7" max="7" width="11.85546875" style="5" bestFit="1" customWidth="1"/>
    <col min="8" max="8" width="15.85546875" style="3" customWidth="1"/>
    <col min="17" max="17" width="15.28515625" bestFit="1" customWidth="1"/>
  </cols>
  <sheetData>
    <row r="3" spans="1:17" ht="15.75" thickBot="1" x14ac:dyDescent="0.3"/>
    <row r="4" spans="1:17" ht="16.5" thickBot="1" x14ac:dyDescent="0.3">
      <c r="A4" s="83" t="s">
        <v>20</v>
      </c>
      <c r="B4" s="84"/>
      <c r="C4" s="84"/>
      <c r="D4" s="84"/>
      <c r="E4" s="84"/>
      <c r="F4" s="84"/>
      <c r="G4" s="84"/>
      <c r="H4" s="85"/>
    </row>
    <row r="5" spans="1:17" ht="60.75" thickBot="1" x14ac:dyDescent="0.3">
      <c r="A5" s="11" t="s">
        <v>0</v>
      </c>
      <c r="B5" s="12" t="s">
        <v>18</v>
      </c>
      <c r="C5" s="12" t="s">
        <v>2</v>
      </c>
      <c r="D5" s="13" t="s">
        <v>15</v>
      </c>
      <c r="E5" s="13" t="s">
        <v>3</v>
      </c>
      <c r="F5" s="13" t="s">
        <v>19</v>
      </c>
      <c r="G5" s="13" t="s">
        <v>17</v>
      </c>
      <c r="H5" s="14" t="s">
        <v>20</v>
      </c>
    </row>
    <row r="6" spans="1:17" ht="50.1" customHeight="1" x14ac:dyDescent="0.25">
      <c r="A6" s="15">
        <v>1</v>
      </c>
      <c r="B6" s="16" t="s">
        <v>22</v>
      </c>
      <c r="C6" s="16" t="s">
        <v>16</v>
      </c>
      <c r="D6" s="17">
        <f>E6/10.764</f>
        <v>1568.0973615756225</v>
      </c>
      <c r="E6" s="18">
        <v>16879</v>
      </c>
      <c r="F6" s="19">
        <v>17000</v>
      </c>
      <c r="G6" s="20">
        <f>(1-0.0154)</f>
        <v>0.98460000000000003</v>
      </c>
      <c r="H6" s="21">
        <f>G6*F6*D6</f>
        <v>26247127.257525086</v>
      </c>
      <c r="P6" s="27"/>
      <c r="Q6" s="5"/>
    </row>
    <row r="7" spans="1:17" ht="50.1" customHeight="1" thickBot="1" x14ac:dyDescent="0.3">
      <c r="A7" s="28">
        <v>2</v>
      </c>
      <c r="B7" s="6" t="s">
        <v>23</v>
      </c>
      <c r="C7" s="6" t="s">
        <v>24</v>
      </c>
      <c r="D7" s="23">
        <f>E7/10.764</f>
        <v>24374.024526198442</v>
      </c>
      <c r="E7" s="24">
        <v>262362</v>
      </c>
      <c r="F7" s="25">
        <v>7000</v>
      </c>
      <c r="G7" s="26">
        <f>(1-0.0049)</f>
        <v>0.99509999999999998</v>
      </c>
      <c r="H7" s="22">
        <f>G7*F7*D7</f>
        <v>169782142.64214048</v>
      </c>
      <c r="P7" s="27"/>
      <c r="Q7" s="5"/>
    </row>
    <row r="8" spans="1:17" ht="15.75" thickBot="1" x14ac:dyDescent="0.3">
      <c r="A8" s="86" t="s">
        <v>13</v>
      </c>
      <c r="B8" s="87"/>
      <c r="C8" s="87"/>
      <c r="D8" s="87"/>
      <c r="E8" s="87"/>
      <c r="F8" s="87"/>
      <c r="G8" s="88"/>
      <c r="H8" s="29">
        <f>SUM(H6+H7)</f>
        <v>196029269.89966556</v>
      </c>
    </row>
    <row r="9" spans="1:17" x14ac:dyDescent="0.25">
      <c r="H9" s="3">
        <v>375582130</v>
      </c>
    </row>
    <row r="10" spans="1:17" x14ac:dyDescent="0.25">
      <c r="H10" s="3">
        <f>H8+H9</f>
        <v>571611399.89966559</v>
      </c>
    </row>
  </sheetData>
  <mergeCells count="2">
    <mergeCell ref="A4:H4"/>
    <mergeCell ref="A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B15" sqref="B15:F21"/>
    </sheetView>
  </sheetViews>
  <sheetFormatPr defaultRowHeight="15" x14ac:dyDescent="0.25"/>
  <cols>
    <col min="1" max="1" width="11.140625" style="38" bestFit="1" customWidth="1"/>
    <col min="2" max="2" width="15.42578125" style="38" bestFit="1" customWidth="1"/>
    <col min="3" max="4" width="12.5703125" style="38" bestFit="1" customWidth="1"/>
    <col min="5" max="5" width="11.140625" style="38" bestFit="1" customWidth="1"/>
    <col min="6" max="6" width="15.42578125" style="38" bestFit="1" customWidth="1"/>
    <col min="7" max="8" width="12.5703125" style="38" bestFit="1" customWidth="1"/>
    <col min="9" max="9" width="14.5703125" style="38" bestFit="1" customWidth="1"/>
    <col min="10" max="10" width="9.140625" style="38"/>
    <col min="11" max="11" width="10.5703125" style="38" bestFit="1" customWidth="1"/>
    <col min="12" max="12" width="9.140625" style="38"/>
    <col min="13" max="13" width="12.5703125" style="38" bestFit="1" customWidth="1"/>
    <col min="14" max="16384" width="9.140625" style="38"/>
  </cols>
  <sheetData>
    <row r="1" spans="1:8" ht="15.75" thickBot="1" x14ac:dyDescent="0.3">
      <c r="A1" s="89" t="s">
        <v>37</v>
      </c>
      <c r="B1" s="90"/>
      <c r="C1" s="91"/>
      <c r="E1" s="89" t="s">
        <v>36</v>
      </c>
      <c r="F1" s="90"/>
      <c r="G1" s="91"/>
    </row>
    <row r="2" spans="1:8" x14ac:dyDescent="0.25">
      <c r="A2" s="39" t="s">
        <v>25</v>
      </c>
      <c r="B2" s="40" t="s">
        <v>26</v>
      </c>
      <c r="C2" s="41" t="s">
        <v>27</v>
      </c>
      <c r="E2" s="39" t="s">
        <v>25</v>
      </c>
      <c r="F2" s="40" t="s">
        <v>26</v>
      </c>
      <c r="G2" s="41" t="s">
        <v>27</v>
      </c>
    </row>
    <row r="3" spans="1:8" ht="15.75" thickBot="1" x14ac:dyDescent="0.3">
      <c r="A3" s="42">
        <v>12140.6</v>
      </c>
      <c r="B3" s="43">
        <v>21000</v>
      </c>
      <c r="C3" s="44">
        <f>B3*A3</f>
        <v>254952600</v>
      </c>
      <c r="E3" s="42">
        <v>14520</v>
      </c>
      <c r="F3" s="43">
        <v>49500</v>
      </c>
      <c r="G3" s="49">
        <f>F3*E3</f>
        <v>718740000</v>
      </c>
    </row>
    <row r="4" spans="1:8" x14ac:dyDescent="0.25">
      <c r="C4" s="38">
        <v>0</v>
      </c>
      <c r="F4" s="38" t="s">
        <v>28</v>
      </c>
    </row>
    <row r="5" spans="1:8" ht="15.75" thickBot="1" x14ac:dyDescent="0.3"/>
    <row r="6" spans="1:8" x14ac:dyDescent="0.25">
      <c r="A6" s="39" t="s">
        <v>29</v>
      </c>
      <c r="B6" s="45">
        <f>C3</f>
        <v>254952600</v>
      </c>
      <c r="E6" s="39" t="s">
        <v>29</v>
      </c>
      <c r="F6" s="51">
        <f>G3</f>
        <v>718740000</v>
      </c>
    </row>
    <row r="7" spans="1:8" x14ac:dyDescent="0.25">
      <c r="A7" s="46" t="s">
        <v>30</v>
      </c>
      <c r="B7" s="45">
        <f>1654.3*18000</f>
        <v>29777400</v>
      </c>
      <c r="E7" s="46" t="s">
        <v>30</v>
      </c>
      <c r="F7" s="51">
        <f>Sheet1!U11</f>
        <v>18460754.417999998</v>
      </c>
    </row>
    <row r="8" spans="1:8" x14ac:dyDescent="0.25">
      <c r="A8" s="46" t="s">
        <v>31</v>
      </c>
      <c r="B8" s="47"/>
      <c r="E8" s="46" t="s">
        <v>31</v>
      </c>
      <c r="F8" s="50"/>
    </row>
    <row r="9" spans="1:8" x14ac:dyDescent="0.25">
      <c r="A9" s="46" t="s">
        <v>32</v>
      </c>
      <c r="B9" s="47">
        <f>SUM(B6:B8)</f>
        <v>284730000</v>
      </c>
      <c r="E9" s="46" t="s">
        <v>32</v>
      </c>
      <c r="F9" s="50">
        <f>SUM(F6:F8)</f>
        <v>737200754.41799998</v>
      </c>
    </row>
    <row r="10" spans="1:8" x14ac:dyDescent="0.25">
      <c r="A10" s="46"/>
      <c r="B10" s="47">
        <f>ROUND(B9,-5)</f>
        <v>284700000</v>
      </c>
      <c r="E10" s="46" t="s">
        <v>33</v>
      </c>
      <c r="F10" s="50">
        <f>ROUND(F9,-5)</f>
        <v>737200000</v>
      </c>
    </row>
    <row r="11" spans="1:8" x14ac:dyDescent="0.25">
      <c r="A11" s="46"/>
      <c r="B11" s="47">
        <f>0.85*B10</f>
        <v>241995000</v>
      </c>
      <c r="E11" s="46" t="s">
        <v>34</v>
      </c>
      <c r="F11" s="50">
        <f>0.85*F10</f>
        <v>626620000</v>
      </c>
    </row>
    <row r="12" spans="1:8" ht="15.75" thickBot="1" x14ac:dyDescent="0.3">
      <c r="A12" s="42"/>
      <c r="B12" s="44">
        <f>0.75*B10</f>
        <v>213525000</v>
      </c>
      <c r="E12" s="42" t="s">
        <v>35</v>
      </c>
      <c r="F12" s="49">
        <f>0.75*F10</f>
        <v>552900000</v>
      </c>
    </row>
    <row r="13" spans="1:8" x14ac:dyDescent="0.25">
      <c r="E13" s="38" t="s">
        <v>41</v>
      </c>
      <c r="F13" s="38">
        <f>0.8*Sheet1!P11</f>
        <v>15593966.880000003</v>
      </c>
      <c r="H13" s="47"/>
    </row>
    <row r="16" spans="1:8" x14ac:dyDescent="0.25">
      <c r="B16" s="48"/>
    </row>
  </sheetData>
  <mergeCells count="2">
    <mergeCell ref="E1:G1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Mahesh Joshi</cp:lastModifiedBy>
  <dcterms:created xsi:type="dcterms:W3CDTF">2022-11-04T05:05:51Z</dcterms:created>
  <dcterms:modified xsi:type="dcterms:W3CDTF">2024-04-10T06:19:03Z</dcterms:modified>
</cp:coreProperties>
</file>