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4"/>
  <workbookPr/>
  <mc:AlternateContent xmlns:mc="http://schemas.openxmlformats.org/markup-compatibility/2006">
    <mc:Choice Requires="x15">
      <x15ac:absPath xmlns:x15ac="http://schemas.microsoft.com/office/spreadsheetml/2010/11/ac" url="/Users/babarshah/Desktop/ZAK Documents/Biomass Business/"/>
    </mc:Choice>
  </mc:AlternateContent>
  <xr:revisionPtr revIDLastSave="0" documentId="8_{E3EFDA5C-92DB-4942-9E55-058188910FA3}" xr6:coauthVersionLast="47" xr6:coauthVersionMax="47" xr10:uidLastSave="{00000000-0000-0000-0000-000000000000}"/>
  <bookViews>
    <workbookView xWindow="0" yWindow="500" windowWidth="28800" windowHeight="16360" tabRatio="718" xr2:uid="{00000000-000D-0000-FFFF-FFFF00000000}"/>
  </bookViews>
  <sheets>
    <sheet name="Cover Page" sheetId="12" r:id="rId1"/>
    <sheet name="Assumptions" sheetId="8" r:id="rId2"/>
    <sheet name="Executive Dash Board" sheetId="11" r:id="rId3"/>
    <sheet name="Profit &amp; Loss Statement" sheetId="1" r:id="rId4"/>
    <sheet name="Cash Flow" sheetId="4" r:id="rId5"/>
    <sheet name="DSCR" sheetId="2" r:id="rId6"/>
    <sheet name="Debt Repayment" sheetId="10" r:id="rId7"/>
    <sheet name="NPV_IRR" sheetId="14" r:id="rId8"/>
  </sheets>
  <definedNames>
    <definedName name="_xlnm.Print_Area" localSheetId="4">'Cash Flow'!$A$1:$W$26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9" i="8" l="1"/>
  <c r="C24" i="8"/>
  <c r="C26" i="8"/>
  <c r="C25" i="8"/>
  <c r="H28" i="8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 s="1"/>
  <c r="H16" i="8"/>
  <c r="H19" i="8" s="1"/>
  <c r="V24" i="1"/>
  <c r="U24" i="1"/>
  <c r="T24" i="1"/>
  <c r="S24" i="1"/>
  <c r="R24" i="1"/>
  <c r="C18" i="8"/>
  <c r="C19" i="8" s="1"/>
  <c r="H12" i="8"/>
  <c r="K25" i="1" l="1"/>
  <c r="H40" i="8"/>
  <c r="C14" i="8" s="1"/>
  <c r="C15" i="8" s="1"/>
  <c r="G27" i="1" s="1"/>
  <c r="H36" i="8"/>
  <c r="C13" i="8"/>
  <c r="E38" i="8"/>
  <c r="E40" i="8"/>
  <c r="E39" i="8"/>
  <c r="E42" i="8"/>
  <c r="E44" i="8"/>
  <c r="E41" i="8"/>
  <c r="J6" i="14"/>
  <c r="K6" i="14"/>
  <c r="L5" i="14"/>
  <c r="L6" i="14"/>
  <c r="M5" i="14"/>
  <c r="M6" i="14"/>
  <c r="N5" i="14"/>
  <c r="N6" i="14"/>
  <c r="O5" i="14"/>
  <c r="O6" i="14"/>
  <c r="P5" i="14"/>
  <c r="P6" i="14"/>
  <c r="Q5" i="14"/>
  <c r="Q6" i="14"/>
  <c r="R5" i="14"/>
  <c r="R6" i="14"/>
  <c r="S5" i="14"/>
  <c r="S6" i="14"/>
  <c r="T5" i="14"/>
  <c r="T6" i="14"/>
  <c r="U5" i="14"/>
  <c r="U6" i="14"/>
  <c r="I5" i="11"/>
  <c r="H27" i="8"/>
  <c r="C42" i="8"/>
  <c r="H13" i="8"/>
  <c r="C20" i="4"/>
  <c r="C13" i="2"/>
  <c r="R22" i="4"/>
  <c r="S22" i="4"/>
  <c r="T22" i="4"/>
  <c r="U22" i="4"/>
  <c r="V22" i="4"/>
  <c r="K22" i="4"/>
  <c r="L22" i="4"/>
  <c r="M22" i="4"/>
  <c r="N22" i="4"/>
  <c r="O22" i="4"/>
  <c r="P22" i="4"/>
  <c r="Q22" i="4"/>
  <c r="E37" i="8"/>
  <c r="M10" i="4"/>
  <c r="N10" i="4"/>
  <c r="O10" i="4"/>
  <c r="P10" i="4"/>
  <c r="Q10" i="4"/>
  <c r="R10" i="4"/>
  <c r="S10" i="4"/>
  <c r="T10" i="4"/>
  <c r="U10" i="4"/>
  <c r="V10" i="4"/>
  <c r="J27" i="1" l="1"/>
  <c r="I27" i="1"/>
  <c r="F27" i="1"/>
  <c r="K27" i="1"/>
  <c r="E27" i="1"/>
  <c r="H27" i="1"/>
  <c r="L27" i="1"/>
  <c r="D27" i="1"/>
  <c r="C27" i="1"/>
  <c r="L25" i="1"/>
  <c r="C31" i="8"/>
  <c r="C12" i="1"/>
  <c r="C17" i="1" s="1"/>
  <c r="D12" i="1"/>
  <c r="D17" i="1" s="1"/>
  <c r="H14" i="8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C22" i="1"/>
  <c r="C21" i="1"/>
  <c r="D21" i="1"/>
  <c r="C28" i="8"/>
  <c r="D23" i="1" s="1"/>
  <c r="C23" i="1" l="1"/>
  <c r="C28" i="1" s="1"/>
  <c r="E21" i="1"/>
  <c r="D28" i="1"/>
  <c r="M25" i="1"/>
  <c r="C32" i="8"/>
  <c r="C34" i="8" s="1"/>
  <c r="C3" i="11" s="1"/>
  <c r="E12" i="1"/>
  <c r="E17" i="1" s="1"/>
  <c r="C11" i="4"/>
  <c r="D13" i="12"/>
  <c r="C17" i="4"/>
  <c r="E23" i="1"/>
  <c r="F12" i="1"/>
  <c r="E4" i="10" l="1"/>
  <c r="C9" i="10" s="1"/>
  <c r="C12" i="4"/>
  <c r="F21" i="1"/>
  <c r="E28" i="1"/>
  <c r="N25" i="1"/>
  <c r="C13" i="10"/>
  <c r="I20" i="4" s="1"/>
  <c r="C8" i="10"/>
  <c r="D20" i="4" s="1"/>
  <c r="D7" i="10"/>
  <c r="C10" i="10"/>
  <c r="F20" i="4" s="1"/>
  <c r="C14" i="10"/>
  <c r="J20" i="4" s="1"/>
  <c r="C12" i="10"/>
  <c r="H20" i="4" s="1"/>
  <c r="C11" i="10"/>
  <c r="G20" i="4" s="1"/>
  <c r="J9" i="2"/>
  <c r="J10" i="4"/>
  <c r="I5" i="14"/>
  <c r="E20" i="4"/>
  <c r="G10" i="4"/>
  <c r="G9" i="2"/>
  <c r="F5" i="14"/>
  <c r="B8" i="14"/>
  <c r="C22" i="4"/>
  <c r="E10" i="4"/>
  <c r="D5" i="14"/>
  <c r="E9" i="2"/>
  <c r="F23" i="1"/>
  <c r="C10" i="4"/>
  <c r="B5" i="14"/>
  <c r="C9" i="2"/>
  <c r="K10" i="4"/>
  <c r="J5" i="14"/>
  <c r="L10" i="4"/>
  <c r="K5" i="14"/>
  <c r="H10" i="4"/>
  <c r="H9" i="2"/>
  <c r="G5" i="14"/>
  <c r="I10" i="4"/>
  <c r="I9" i="2"/>
  <c r="H5" i="14"/>
  <c r="D10" i="4"/>
  <c r="C5" i="14"/>
  <c r="D9" i="2"/>
  <c r="E5" i="14"/>
  <c r="F9" i="2"/>
  <c r="F10" i="4"/>
  <c r="F17" i="1"/>
  <c r="G12" i="1"/>
  <c r="F7" i="10" l="1"/>
  <c r="C26" i="1"/>
  <c r="C30" i="1" s="1"/>
  <c r="C32" i="1" s="1"/>
  <c r="F8" i="10"/>
  <c r="F9" i="10" s="1"/>
  <c r="G21" i="1"/>
  <c r="F28" i="1"/>
  <c r="O25" i="1"/>
  <c r="E7" i="10"/>
  <c r="C14" i="2"/>
  <c r="C16" i="2" s="1"/>
  <c r="D8" i="10"/>
  <c r="C16" i="10"/>
  <c r="G23" i="1"/>
  <c r="I13" i="2"/>
  <c r="I22" i="4"/>
  <c r="J22" i="4"/>
  <c r="J13" i="2"/>
  <c r="D13" i="2"/>
  <c r="D22" i="4"/>
  <c r="G13" i="2"/>
  <c r="G22" i="4"/>
  <c r="F13" i="2"/>
  <c r="F22" i="4"/>
  <c r="E13" i="2"/>
  <c r="E22" i="4"/>
  <c r="B6" i="14"/>
  <c r="H22" i="4"/>
  <c r="H13" i="2"/>
  <c r="D9" i="10"/>
  <c r="E26" i="1" s="1"/>
  <c r="H12" i="1"/>
  <c r="G17" i="1"/>
  <c r="E8" i="10" l="1"/>
  <c r="D26" i="1"/>
  <c r="D30" i="1" s="1"/>
  <c r="H21" i="1"/>
  <c r="G28" i="1"/>
  <c r="P25" i="1"/>
  <c r="D14" i="2"/>
  <c r="D16" i="2" s="1"/>
  <c r="C6" i="14"/>
  <c r="D10" i="10"/>
  <c r="F26" i="1" s="1"/>
  <c r="F10" i="10"/>
  <c r="E14" i="2"/>
  <c r="E16" i="2" s="1"/>
  <c r="E9" i="10"/>
  <c r="C34" i="1"/>
  <c r="C35" i="1" s="1"/>
  <c r="H23" i="1"/>
  <c r="H17" i="1"/>
  <c r="I12" i="1"/>
  <c r="I21" i="1" l="1"/>
  <c r="H28" i="1"/>
  <c r="Q25" i="1"/>
  <c r="C7" i="2"/>
  <c r="C11" i="2" s="1"/>
  <c r="C18" i="2" s="1"/>
  <c r="D32" i="1"/>
  <c r="D34" i="1"/>
  <c r="D6" i="14"/>
  <c r="E30" i="1"/>
  <c r="F11" i="10"/>
  <c r="D11" i="10"/>
  <c r="G26" i="1" s="1"/>
  <c r="I23" i="1"/>
  <c r="F14" i="2"/>
  <c r="F16" i="2" s="1"/>
  <c r="E10" i="10"/>
  <c r="I17" i="1"/>
  <c r="J12" i="1"/>
  <c r="J21" i="1" l="1"/>
  <c r="I28" i="1"/>
  <c r="R25" i="1"/>
  <c r="S25" i="1" s="1"/>
  <c r="T25" i="1" s="1"/>
  <c r="U25" i="1" s="1"/>
  <c r="V25" i="1" s="1"/>
  <c r="G14" i="2"/>
  <c r="G16" i="2" s="1"/>
  <c r="E11" i="10"/>
  <c r="E32" i="1"/>
  <c r="E34" i="1"/>
  <c r="D12" i="10"/>
  <c r="H26" i="1" s="1"/>
  <c r="F12" i="10"/>
  <c r="E6" i="14"/>
  <c r="F30" i="1"/>
  <c r="D35" i="1"/>
  <c r="D7" i="2"/>
  <c r="D11" i="2" s="1"/>
  <c r="D18" i="2" s="1"/>
  <c r="J23" i="1"/>
  <c r="C9" i="4"/>
  <c r="C13" i="4" s="1"/>
  <c r="C25" i="4" s="1"/>
  <c r="C26" i="4" s="1"/>
  <c r="B4" i="14"/>
  <c r="B7" i="14" s="1"/>
  <c r="B10" i="14" s="1"/>
  <c r="K12" i="1"/>
  <c r="J17" i="1"/>
  <c r="K21" i="1" l="1"/>
  <c r="J28" i="1"/>
  <c r="K23" i="1"/>
  <c r="F34" i="1"/>
  <c r="F32" i="1"/>
  <c r="F6" i="14"/>
  <c r="G30" i="1"/>
  <c r="E7" i="2"/>
  <c r="E11" i="2" s="1"/>
  <c r="E18" i="2" s="1"/>
  <c r="E35" i="1"/>
  <c r="H14" i="2"/>
  <c r="H16" i="2" s="1"/>
  <c r="E12" i="10"/>
  <c r="C4" i="14"/>
  <c r="C7" i="14" s="1"/>
  <c r="C10" i="14" s="1"/>
  <c r="D9" i="4"/>
  <c r="D13" i="4" s="1"/>
  <c r="D25" i="4" s="1"/>
  <c r="D26" i="4" s="1"/>
  <c r="E24" i="4" s="1"/>
  <c r="D24" i="4"/>
  <c r="F13" i="10"/>
  <c r="D13" i="10"/>
  <c r="I26" i="1" s="1"/>
  <c r="K17" i="1"/>
  <c r="L12" i="1"/>
  <c r="L21" i="1" l="1"/>
  <c r="K28" i="1"/>
  <c r="G34" i="1"/>
  <c r="G32" i="1"/>
  <c r="F7" i="2"/>
  <c r="F11" i="2" s="1"/>
  <c r="F18" i="2" s="1"/>
  <c r="F35" i="1"/>
  <c r="G6" i="14"/>
  <c r="H30" i="1"/>
  <c r="F14" i="10"/>
  <c r="D14" i="10"/>
  <c r="J26" i="1" s="1"/>
  <c r="E9" i="4"/>
  <c r="E13" i="4" s="1"/>
  <c r="E25" i="4" s="1"/>
  <c r="E26" i="4" s="1"/>
  <c r="F24" i="4" s="1"/>
  <c r="D4" i="14"/>
  <c r="D7" i="14" s="1"/>
  <c r="D10" i="14" s="1"/>
  <c r="I14" i="2"/>
  <c r="I16" i="2" s="1"/>
  <c r="E13" i="10"/>
  <c r="K30" i="1"/>
  <c r="K32" i="1" s="1"/>
  <c r="L23" i="1"/>
  <c r="L17" i="1"/>
  <c r="M12" i="1"/>
  <c r="M21" i="1" l="1"/>
  <c r="L28" i="1"/>
  <c r="L30" i="1" s="1"/>
  <c r="L34" i="1" s="1"/>
  <c r="L35" i="1" s="1"/>
  <c r="K34" i="1"/>
  <c r="K35" i="1" s="1"/>
  <c r="K9" i="4" s="1"/>
  <c r="K13" i="4" s="1"/>
  <c r="K25" i="4" s="1"/>
  <c r="M23" i="1"/>
  <c r="H34" i="1"/>
  <c r="H32" i="1"/>
  <c r="F9" i="4"/>
  <c r="F13" i="4" s="1"/>
  <c r="F25" i="4" s="1"/>
  <c r="F26" i="4" s="1"/>
  <c r="G24" i="4" s="1"/>
  <c r="E4" i="14"/>
  <c r="E7" i="14" s="1"/>
  <c r="E10" i="14" s="1"/>
  <c r="H6" i="14"/>
  <c r="I30" i="1"/>
  <c r="J14" i="2"/>
  <c r="J16" i="2" s="1"/>
  <c r="E14" i="10"/>
  <c r="E16" i="10" s="1"/>
  <c r="D16" i="10"/>
  <c r="G35" i="1"/>
  <c r="G7" i="2"/>
  <c r="G11" i="2" s="1"/>
  <c r="G18" i="2" s="1"/>
  <c r="N12" i="1"/>
  <c r="M17" i="1"/>
  <c r="N21" i="1" l="1"/>
  <c r="M28" i="1"/>
  <c r="L32" i="1"/>
  <c r="J4" i="14"/>
  <c r="J7" i="14" s="1"/>
  <c r="J10" i="14" s="1"/>
  <c r="I34" i="1"/>
  <c r="I32" i="1"/>
  <c r="M30" i="1"/>
  <c r="M34" i="1" s="1"/>
  <c r="M35" i="1" s="1"/>
  <c r="N23" i="1"/>
  <c r="G9" i="4"/>
  <c r="G13" i="4" s="1"/>
  <c r="G25" i="4" s="1"/>
  <c r="G26" i="4" s="1"/>
  <c r="H24" i="4" s="1"/>
  <c r="F4" i="14"/>
  <c r="F7" i="14" s="1"/>
  <c r="F10" i="14" s="1"/>
  <c r="H7" i="2"/>
  <c r="H11" i="2" s="1"/>
  <c r="H18" i="2" s="1"/>
  <c r="H35" i="1"/>
  <c r="I6" i="14"/>
  <c r="J30" i="1"/>
  <c r="N17" i="1"/>
  <c r="O12" i="1"/>
  <c r="K4" i="14"/>
  <c r="K7" i="14" s="1"/>
  <c r="K10" i="14" s="1"/>
  <c r="L9" i="4"/>
  <c r="L13" i="4" s="1"/>
  <c r="L25" i="4" s="1"/>
  <c r="O21" i="1" l="1"/>
  <c r="N28" i="1"/>
  <c r="M32" i="1"/>
  <c r="H9" i="4"/>
  <c r="H13" i="4" s="1"/>
  <c r="H25" i="4" s="1"/>
  <c r="H26" i="4" s="1"/>
  <c r="I24" i="4" s="1"/>
  <c r="G4" i="14"/>
  <c r="G7" i="14" s="1"/>
  <c r="G10" i="14" s="1"/>
  <c r="O23" i="1"/>
  <c r="N30" i="1"/>
  <c r="N32" i="1" s="1"/>
  <c r="J34" i="1"/>
  <c r="J32" i="1"/>
  <c r="I7" i="2"/>
  <c r="I11" i="2" s="1"/>
  <c r="I18" i="2" s="1"/>
  <c r="I35" i="1"/>
  <c r="O17" i="1"/>
  <c r="P12" i="1"/>
  <c r="L4" i="14"/>
  <c r="L7" i="14" s="1"/>
  <c r="L10" i="14" s="1"/>
  <c r="M9" i="4"/>
  <c r="M13" i="4" s="1"/>
  <c r="M25" i="4" s="1"/>
  <c r="P21" i="1" l="1"/>
  <c r="O28" i="1"/>
  <c r="O30" i="1" s="1"/>
  <c r="O34" i="1" s="1"/>
  <c r="O35" i="1" s="1"/>
  <c r="N34" i="1"/>
  <c r="N35" i="1" s="1"/>
  <c r="N9" i="4" s="1"/>
  <c r="N13" i="4" s="1"/>
  <c r="N25" i="4" s="1"/>
  <c r="H4" i="14"/>
  <c r="H7" i="14" s="1"/>
  <c r="H10" i="14" s="1"/>
  <c r="I9" i="4"/>
  <c r="I13" i="4" s="1"/>
  <c r="I25" i="4" s="1"/>
  <c r="I26" i="4" s="1"/>
  <c r="J24" i="4" s="1"/>
  <c r="J7" i="2"/>
  <c r="J11" i="2" s="1"/>
  <c r="J18" i="2" s="1"/>
  <c r="C20" i="2" s="1"/>
  <c r="C4" i="11" s="1"/>
  <c r="J35" i="1"/>
  <c r="P23" i="1"/>
  <c r="Q12" i="1"/>
  <c r="P17" i="1"/>
  <c r="Q21" i="1" l="1"/>
  <c r="P28" i="1"/>
  <c r="P30" i="1" s="1"/>
  <c r="P32" i="1" s="1"/>
  <c r="M4" i="14"/>
  <c r="M7" i="14" s="1"/>
  <c r="M10" i="14" s="1"/>
  <c r="O32" i="1"/>
  <c r="Q23" i="1"/>
  <c r="I4" i="14"/>
  <c r="I7" i="14" s="1"/>
  <c r="I10" i="14" s="1"/>
  <c r="J9" i="4"/>
  <c r="J13" i="4" s="1"/>
  <c r="J25" i="4" s="1"/>
  <c r="J26" i="4" s="1"/>
  <c r="N4" i="14"/>
  <c r="N7" i="14" s="1"/>
  <c r="N10" i="14" s="1"/>
  <c r="O9" i="4"/>
  <c r="O13" i="4" s="1"/>
  <c r="O25" i="4" s="1"/>
  <c r="Q17" i="1"/>
  <c r="R12" i="1"/>
  <c r="R21" i="1" l="1"/>
  <c r="S21" i="1" s="1"/>
  <c r="T21" i="1" s="1"/>
  <c r="U21" i="1" s="1"/>
  <c r="V21" i="1" s="1"/>
  <c r="Q28" i="1"/>
  <c r="P34" i="1"/>
  <c r="P35" i="1" s="1"/>
  <c r="O4" i="14" s="1"/>
  <c r="O7" i="14" s="1"/>
  <c r="O10" i="14" s="1"/>
  <c r="K26" i="4"/>
  <c r="K24" i="4"/>
  <c r="Q30" i="1"/>
  <c r="Q34" i="1" s="1"/>
  <c r="Q35" i="1" s="1"/>
  <c r="R23" i="1"/>
  <c r="S12" i="1"/>
  <c r="R17" i="1"/>
  <c r="P9" i="4" l="1"/>
  <c r="P13" i="4" s="1"/>
  <c r="P25" i="4" s="1"/>
  <c r="Q32" i="1"/>
  <c r="S23" i="1"/>
  <c r="R28" i="1"/>
  <c r="R30" i="1" s="1"/>
  <c r="R34" i="1" s="1"/>
  <c r="R35" i="1" s="1"/>
  <c r="L26" i="4"/>
  <c r="L24" i="4"/>
  <c r="T12" i="1"/>
  <c r="S17" i="1"/>
  <c r="P4" i="14"/>
  <c r="P7" i="14" s="1"/>
  <c r="P10" i="14" s="1"/>
  <c r="Q9" i="4"/>
  <c r="Q13" i="4" s="1"/>
  <c r="Q25" i="4" s="1"/>
  <c r="R32" i="1" l="1"/>
  <c r="M24" i="4"/>
  <c r="M26" i="4"/>
  <c r="T23" i="1"/>
  <c r="S28" i="1"/>
  <c r="S30" i="1" s="1"/>
  <c r="S32" i="1" s="1"/>
  <c r="Q4" i="14"/>
  <c r="Q7" i="14" s="1"/>
  <c r="Q10" i="14" s="1"/>
  <c r="R9" i="4"/>
  <c r="R13" i="4" s="1"/>
  <c r="R25" i="4" s="1"/>
  <c r="T17" i="1"/>
  <c r="U12" i="1"/>
  <c r="T28" i="1" l="1"/>
  <c r="T30" i="1" s="1"/>
  <c r="T32" i="1" s="1"/>
  <c r="U23" i="1"/>
  <c r="S34" i="1"/>
  <c r="S35" i="1" s="1"/>
  <c r="S9" i="4" s="1"/>
  <c r="S13" i="4" s="1"/>
  <c r="S25" i="4" s="1"/>
  <c r="N26" i="4"/>
  <c r="N24" i="4"/>
  <c r="V12" i="1"/>
  <c r="V17" i="1" s="1"/>
  <c r="U17" i="1"/>
  <c r="T34" i="1" l="1"/>
  <c r="T35" i="1" s="1"/>
  <c r="R4" i="14"/>
  <c r="R7" i="14" s="1"/>
  <c r="R10" i="14" s="1"/>
  <c r="O24" i="4"/>
  <c r="O26" i="4"/>
  <c r="U28" i="1"/>
  <c r="U30" i="1" s="1"/>
  <c r="U34" i="1" s="1"/>
  <c r="U35" i="1" s="1"/>
  <c r="V23" i="1"/>
  <c r="V28" i="1" s="1"/>
  <c r="V30" i="1" s="1"/>
  <c r="V34" i="1" s="1"/>
  <c r="V35" i="1" s="1"/>
  <c r="S4" i="14"/>
  <c r="S7" i="14" s="1"/>
  <c r="S10" i="14" s="1"/>
  <c r="T9" i="4"/>
  <c r="T13" i="4" s="1"/>
  <c r="T25" i="4" s="1"/>
  <c r="U32" i="1" l="1"/>
  <c r="V32" i="1"/>
  <c r="P24" i="4"/>
  <c r="P26" i="4"/>
  <c r="U4" i="14"/>
  <c r="U7" i="14" s="1"/>
  <c r="U10" i="14" s="1"/>
  <c r="V9" i="4"/>
  <c r="V13" i="4" s="1"/>
  <c r="V25" i="4" s="1"/>
  <c r="U9" i="4"/>
  <c r="U13" i="4" s="1"/>
  <c r="U25" i="4" s="1"/>
  <c r="T4" i="14"/>
  <c r="T7" i="14" s="1"/>
  <c r="T10" i="14" s="1"/>
  <c r="Q24" i="4" l="1"/>
  <c r="Q26" i="4"/>
  <c r="B15" i="14"/>
  <c r="C6" i="11" s="1"/>
  <c r="B13" i="14"/>
  <c r="C5" i="11" s="1"/>
  <c r="C7" i="11" s="1"/>
  <c r="R26" i="4" l="1"/>
  <c r="R24" i="4"/>
  <c r="S26" i="4" l="1"/>
  <c r="S24" i="4"/>
  <c r="T26" i="4" l="1"/>
  <c r="T24" i="4"/>
  <c r="U24" i="4" l="1"/>
  <c r="U26" i="4"/>
  <c r="V26" i="4" l="1"/>
  <c r="V24" i="4"/>
</calcChain>
</file>

<file path=xl/sharedStrings.xml><?xml version="1.0" encoding="utf-8"?>
<sst xmlns="http://schemas.openxmlformats.org/spreadsheetml/2006/main" count="304" uniqueCount="172">
  <si>
    <t>Year</t>
  </si>
  <si>
    <t>FY</t>
  </si>
  <si>
    <t>Capacity</t>
  </si>
  <si>
    <t>Expenditure</t>
  </si>
  <si>
    <t>Power</t>
  </si>
  <si>
    <t>Labour &amp; salaries</t>
  </si>
  <si>
    <t>Depreciation</t>
  </si>
  <si>
    <t>Total Expenditure</t>
  </si>
  <si>
    <t>I</t>
  </si>
  <si>
    <t>II</t>
  </si>
  <si>
    <t>III</t>
  </si>
  <si>
    <t>IV</t>
  </si>
  <si>
    <t>V</t>
  </si>
  <si>
    <t>VI</t>
  </si>
  <si>
    <t>VII</t>
  </si>
  <si>
    <t>2022-23</t>
  </si>
  <si>
    <t>2023-24</t>
  </si>
  <si>
    <t>2024-25</t>
  </si>
  <si>
    <t>Net profit</t>
  </si>
  <si>
    <t>Total(A)</t>
  </si>
  <si>
    <t>Term loan installment</t>
  </si>
  <si>
    <t>Interst on term loan</t>
  </si>
  <si>
    <t>Total(B)</t>
  </si>
  <si>
    <t>DSCR(A/B)</t>
  </si>
  <si>
    <t>Total</t>
  </si>
  <si>
    <t>Inflows</t>
  </si>
  <si>
    <t>Outflows</t>
  </si>
  <si>
    <t>Construction of building,</t>
  </si>
  <si>
    <t>Plant and machinery</t>
  </si>
  <si>
    <t>Repayment of term loan</t>
  </si>
  <si>
    <t>Total outflows</t>
  </si>
  <si>
    <t>Interest</t>
  </si>
  <si>
    <t>Particulars</t>
  </si>
  <si>
    <t>Consultancy charges</t>
  </si>
  <si>
    <t>Working capital</t>
  </si>
  <si>
    <t>No of days</t>
  </si>
  <si>
    <t>Investment</t>
  </si>
  <si>
    <t>Gross Income</t>
  </si>
  <si>
    <t>Total Income</t>
  </si>
  <si>
    <t>VIII</t>
  </si>
  <si>
    <t>2025-26</t>
  </si>
  <si>
    <t>Income</t>
  </si>
  <si>
    <t>Avg DSCR</t>
  </si>
  <si>
    <t>NPV</t>
  </si>
  <si>
    <t>IRR</t>
  </si>
  <si>
    <t>Grand Total</t>
  </si>
  <si>
    <t>Cost of power</t>
  </si>
  <si>
    <t>Rs/unit</t>
  </si>
  <si>
    <t>Rs/year</t>
  </si>
  <si>
    <t>tons/day</t>
  </si>
  <si>
    <t>Rs/ton</t>
  </si>
  <si>
    <t>Principal</t>
  </si>
  <si>
    <t>Sr No</t>
  </si>
  <si>
    <t>Balance Principal amount</t>
  </si>
  <si>
    <t>Term Loan repayment schedule</t>
  </si>
  <si>
    <t>Supervisors</t>
  </si>
  <si>
    <t>Nos</t>
  </si>
  <si>
    <t>Salary</t>
  </si>
  <si>
    <t>Operators</t>
  </si>
  <si>
    <t>Labours</t>
  </si>
  <si>
    <t>Security</t>
  </si>
  <si>
    <t>Expenditure for a year</t>
  </si>
  <si>
    <t>Expenditure/year</t>
  </si>
  <si>
    <t>Payback period</t>
  </si>
  <si>
    <t>Years</t>
  </si>
  <si>
    <t>Basic Assumptions</t>
  </si>
  <si>
    <t>Projected DSCR</t>
  </si>
  <si>
    <t>Rs Crs</t>
  </si>
  <si>
    <t>Auxiliary Power Consumption</t>
  </si>
  <si>
    <t>Units</t>
  </si>
  <si>
    <t>INR</t>
  </si>
  <si>
    <t>Repair &amp; Maintenance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</si>
  <si>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</si>
  <si>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</si>
  <si>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</si>
  <si>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</si>
  <si>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</si>
  <si>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</si>
  <si>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</si>
  <si>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</si>
  <si>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</si>
  <si>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</si>
  <si>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</si>
  <si>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</si>
  <si>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</si>
  <si>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</si>
  <si>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</si>
  <si>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</si>
  <si>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</si>
  <si>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</si>
  <si>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</si>
  <si>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</si>
  <si>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</si>
  <si>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</si>
  <si>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</si>
  <si>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</si>
  <si>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Renenue from Sale of</t>
  </si>
  <si>
    <t>Purchase of Raw material</t>
  </si>
  <si>
    <t>Inflation Rate</t>
  </si>
  <si>
    <t>3% per year</t>
  </si>
  <si>
    <t>Interest on Bank Loan</t>
  </si>
  <si>
    <t>Profit &amp; Loss Statement</t>
  </si>
  <si>
    <t>Inflow from Equity</t>
  </si>
  <si>
    <t>Inflow from Debt</t>
  </si>
  <si>
    <t>Total Inflows</t>
  </si>
  <si>
    <t>Opening Balance</t>
  </si>
  <si>
    <t>Surplus/Deficit</t>
  </si>
  <si>
    <t>Closing Balance</t>
  </si>
  <si>
    <t>Projected Cash Flow Statement (in Rs Lacs)</t>
  </si>
  <si>
    <t>Net Profit (Pre-tax)</t>
  </si>
  <si>
    <t>Profit After Tax</t>
  </si>
  <si>
    <t>Net profit (Pre-Tax)</t>
  </si>
  <si>
    <t>PAT</t>
  </si>
  <si>
    <t>Operating Cash Flows</t>
  </si>
  <si>
    <t>Free Cash Flows</t>
  </si>
  <si>
    <t>NPV &amp; IRR</t>
  </si>
  <si>
    <t>(+) Depreciation</t>
  </si>
  <si>
    <t>(+) Interest</t>
  </si>
  <si>
    <t>(-) Capital Expenditure</t>
  </si>
  <si>
    <t>Executive Dash Board</t>
  </si>
  <si>
    <t>Avg. DSCR</t>
  </si>
  <si>
    <t>Rate of Interest</t>
  </si>
  <si>
    <t>INR Cr</t>
  </si>
  <si>
    <t>Cr</t>
  </si>
  <si>
    <t>EBIDTA (in Crs)</t>
  </si>
  <si>
    <t>Electro-Mechanical Equipments*</t>
  </si>
  <si>
    <t>Note:</t>
  </si>
  <si>
    <t>* Assumed 5% R&amp;M cost</t>
  </si>
  <si>
    <t>** Assumed 10% R&amp;M cost</t>
  </si>
  <si>
    <t>*** Assumed 2% R&amp;M cost</t>
  </si>
  <si>
    <t>Average Cost of raw material</t>
  </si>
  <si>
    <t>2038-39</t>
  </si>
  <si>
    <t>2039-40</t>
  </si>
  <si>
    <t>2040-41</t>
  </si>
  <si>
    <t>2041-42</t>
  </si>
  <si>
    <t>Plant Manager</t>
  </si>
  <si>
    <t>Rs/Kg</t>
  </si>
  <si>
    <t>Hammer</t>
  </si>
  <si>
    <t>Pellet Mill</t>
  </si>
  <si>
    <t>Preliminary Expenses</t>
  </si>
  <si>
    <t>LAND for the plant 1 Acre</t>
  </si>
  <si>
    <t>Biomass Pellet Production</t>
  </si>
  <si>
    <t>Kg/Day</t>
  </si>
  <si>
    <t>Income from Biomass Pellet</t>
  </si>
  <si>
    <t>Raw material required Agriculture residue - Paddy Straw</t>
  </si>
  <si>
    <t>Lighting Load</t>
  </si>
  <si>
    <t>Total Connected Load</t>
  </si>
  <si>
    <t>All Other Machinery</t>
  </si>
  <si>
    <t xml:space="preserve">Total charges per year </t>
  </si>
  <si>
    <t xml:space="preserve">Maintenance </t>
  </si>
  <si>
    <t>Land Leese charges + Misc.</t>
  </si>
  <si>
    <t>Misc</t>
  </si>
  <si>
    <t>Dryer</t>
  </si>
  <si>
    <t xml:space="preserve"> dryer</t>
  </si>
  <si>
    <t>KW</t>
  </si>
  <si>
    <t xml:space="preserve">Biomass Pellets </t>
  </si>
  <si>
    <t>Particulars for Biomass Pellets</t>
  </si>
  <si>
    <t xml:space="preserve">Chipper </t>
  </si>
  <si>
    <t>Torrefection Machine / Furnace</t>
  </si>
  <si>
    <t>Total running load</t>
  </si>
  <si>
    <t>BIOMASS PELLET MANUFACTURING UNIT OF 50 MTPD</t>
  </si>
  <si>
    <t>Promter's equity</t>
  </si>
  <si>
    <t>Civil, Shed &amp; Electricals</t>
  </si>
  <si>
    <t>Land On Lease in Acre</t>
  </si>
  <si>
    <t>Land Lease Charges per year (100K/Yr)</t>
  </si>
  <si>
    <t>Term loan from bank (incl Working Capital)</t>
  </si>
  <si>
    <t xml:space="preserve">Price of Biomass Pellets </t>
  </si>
  <si>
    <t>Transportation cost of supply</t>
  </si>
  <si>
    <t>Expenditure/day at 20 Hours running</t>
  </si>
  <si>
    <t>Chipper Grinder machine</t>
  </si>
  <si>
    <t>(-Transportation in Rs/kg)</t>
  </si>
  <si>
    <t>Dec,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</si>
</sst>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0.0%"/>
    <numFmt numFmtId="167" formatCode="0.000"/>
    <numFmt numFmtId="168" formatCode="0.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Helv"/>
      <charset val="204"/>
    </font>
    <font>
      <sz val="2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sz val="16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10" fillId="2" borderId="0" xfId="6" applyFont="1" applyFill="1" applyBorder="1" applyAlignment="1">
      <alignment horizontal="center"/>
    </xf>
    <xf numFmtId="0" fontId="11" fillId="2" borderId="0" xfId="7" applyFill="1"/>
    <xf numFmtId="0" fontId="9" fillId="2" borderId="0" xfId="6" applyFill="1" applyBorder="1"/>
    <xf numFmtId="0" fontId="11" fillId="2" borderId="5" xfId="7" applyFill="1" applyBorder="1"/>
    <xf numFmtId="0" fontId="11" fillId="2" borderId="6" xfId="7" applyFill="1" applyBorder="1"/>
    <xf numFmtId="0" fontId="11" fillId="2" borderId="7" xfId="7" applyFill="1" applyBorder="1"/>
    <xf numFmtId="0" fontId="11" fillId="2" borderId="8" xfId="7" applyFill="1" applyBorder="1"/>
    <xf numFmtId="0" fontId="11" fillId="2" borderId="9" xfId="7" applyFill="1" applyBorder="1"/>
    <xf numFmtId="0" fontId="12" fillId="2" borderId="0" xfId="7" applyFont="1" applyFill="1"/>
    <xf numFmtId="0" fontId="13" fillId="2" borderId="0" xfId="7" applyFont="1" applyFill="1"/>
    <xf numFmtId="0" fontId="14" fillId="2" borderId="0" xfId="7" applyFont="1" applyFill="1"/>
    <xf numFmtId="0" fontId="15" fillId="2" borderId="0" xfId="7" applyFont="1" applyFill="1"/>
    <xf numFmtId="0" fontId="11" fillId="2" borderId="10" xfId="7" applyFill="1" applyBorder="1"/>
    <xf numFmtId="0" fontId="11" fillId="2" borderId="11" xfId="7" applyFill="1" applyBorder="1"/>
    <xf numFmtId="0" fontId="11" fillId="2" borderId="12" xfId="7" applyFill="1" applyBorder="1"/>
    <xf numFmtId="1" fontId="0" fillId="0" borderId="13" xfId="0" applyNumberFormat="1" applyBorder="1" applyAlignment="1">
      <alignment horizontal="center"/>
    </xf>
    <xf numFmtId="0" fontId="16" fillId="3" borderId="1" xfId="0" applyFont="1" applyFill="1" applyBorder="1"/>
    <xf numFmtId="165" fontId="17" fillId="0" borderId="1" xfId="0" applyNumberFormat="1" applyFont="1" applyBorder="1" applyAlignment="1">
      <alignment vertical="center"/>
    </xf>
    <xf numFmtId="2" fontId="0" fillId="0" borderId="1" xfId="0" applyNumberFormat="1" applyBorder="1"/>
    <xf numFmtId="165" fontId="17" fillId="0" borderId="1" xfId="0" applyNumberFormat="1" applyFont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/>
    <xf numFmtId="9" fontId="0" fillId="0" borderId="0" xfId="0" applyNumberFormat="1"/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8" fontId="18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/>
    <xf numFmtId="168" fontId="0" fillId="6" borderId="1" xfId="0" applyNumberForma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/>
    <xf numFmtId="2" fontId="0" fillId="7" borderId="1" xfId="0" applyNumberFormat="1" applyFill="1" applyBorder="1" applyAlignment="1">
      <alignment horizontal="center"/>
    </xf>
    <xf numFmtId="0" fontId="0" fillId="8" borderId="1" xfId="0" applyFill="1" applyBorder="1"/>
    <xf numFmtId="2" fontId="0" fillId="8" borderId="1" xfId="0" applyNumberForma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/>
    <xf numFmtId="2" fontId="0" fillId="10" borderId="1" xfId="0" applyNumberFormat="1" applyFill="1" applyBorder="1" applyAlignment="1">
      <alignment horizontal="center"/>
    </xf>
    <xf numFmtId="0" fontId="0" fillId="10" borderId="1" xfId="0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</cellXfs>
  <cellStyles count="8">
    <cellStyle name="Comma" xfId="1" builtinId="3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_Financial Model-v6" xfId="7" xr:uid="{00000000-0005-0000-0000-000006000000}"/>
    <cellStyle name="Normal_Udaan Hosp nov 24 (version 12) with 25% free realistic US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Normal="100" workbookViewId="0">
      <selection activeCell="C18" sqref="C18"/>
    </sheetView>
  </sheetViews>
  <sheetFormatPr baseColWidth="10" defaultColWidth="9.1640625" defaultRowHeight="13"/>
  <cols>
    <col min="1" max="1" width="4.1640625" style="20" customWidth="1"/>
    <col min="2" max="2" width="9.6640625" style="20" customWidth="1"/>
    <col min="3" max="3" width="18.6640625" style="20" customWidth="1"/>
    <col min="4" max="15" width="9.1640625" style="20"/>
    <col min="16" max="16" width="18.33203125" style="20" customWidth="1"/>
    <col min="17" max="17" width="28.5" style="20" customWidth="1"/>
    <col min="18" max="16384" width="9.1640625" style="20"/>
  </cols>
  <sheetData>
    <row r="1" spans="1:17" ht="14" thickBot="1">
      <c r="A1" s="19"/>
    </row>
    <row r="2" spans="1:17">
      <c r="A2" s="21"/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>
      <c r="A3" s="21"/>
      <c r="B3" s="25"/>
      <c r="Q3" s="26"/>
    </row>
    <row r="4" spans="1:17">
      <c r="A4" s="21"/>
      <c r="B4" s="25"/>
      <c r="Q4" s="26"/>
    </row>
    <row r="5" spans="1:17">
      <c r="A5" s="21"/>
      <c r="B5" s="25"/>
      <c r="Q5" s="26"/>
    </row>
    <row r="6" spans="1:17">
      <c r="A6" s="21"/>
      <c r="B6" s="25"/>
      <c r="Q6" s="26"/>
    </row>
    <row r="7" spans="1:17">
      <c r="A7" s="21"/>
      <c r="B7" s="25"/>
      <c r="Q7" s="26"/>
    </row>
    <row r="8" spans="1:17">
      <c r="A8" s="21"/>
      <c r="B8" s="25"/>
      <c r="Q8" s="26"/>
    </row>
    <row r="9" spans="1:17">
      <c r="A9" s="21"/>
      <c r="B9" s="25"/>
      <c r="Q9" s="26"/>
    </row>
    <row r="10" spans="1:17">
      <c r="A10" s="21"/>
      <c r="B10" s="25"/>
      <c r="Q10" s="26"/>
    </row>
    <row r="11" spans="1:17" ht="30" customHeight="1">
      <c r="A11" s="21"/>
      <c r="B11" s="25"/>
      <c r="C11" s="27" t="s">
        <v>160</v>
      </c>
      <c r="Q11" s="26"/>
    </row>
    <row r="12" spans="1:17" ht="30" customHeight="1">
      <c r="A12" s="21"/>
      <c r="B12" s="25"/>
      <c r="C12" s="27"/>
      <c r="Q12" s="26"/>
    </row>
    <row r="13" spans="1:17" ht="20">
      <c r="A13" s="21"/>
      <c r="B13" s="25"/>
      <c r="C13" s="28" t="s">
        <v>36</v>
      </c>
      <c r="D13" s="28">
        <f>Assumptions!C15</f>
        <v>8.7288250000000005</v>
      </c>
      <c r="E13" s="28" t="s">
        <v>123</v>
      </c>
      <c r="Q13" s="26"/>
    </row>
    <row r="14" spans="1:17">
      <c r="A14" s="21"/>
      <c r="B14" s="25"/>
      <c r="Q14" s="26"/>
    </row>
    <row r="15" spans="1:17">
      <c r="A15" s="21"/>
      <c r="B15" s="25"/>
      <c r="Q15" s="26"/>
    </row>
    <row r="16" spans="1:17" ht="23">
      <c r="A16" s="21"/>
      <c r="B16" s="25"/>
      <c r="C16" s="29"/>
      <c r="Q16" s="26"/>
    </row>
    <row r="17" spans="1:17">
      <c r="A17" s="21"/>
      <c r="B17" s="25"/>
      <c r="Q17" s="26"/>
    </row>
    <row r="18" spans="1:17" ht="20">
      <c r="A18" s="21"/>
      <c r="B18" s="25"/>
      <c r="C18" s="30" t="s">
        <v>171</v>
      </c>
      <c r="Q18" s="26"/>
    </row>
    <row r="19" spans="1:17">
      <c r="A19" s="21"/>
      <c r="B19" s="25"/>
      <c r="Q19" s="26"/>
    </row>
    <row r="20" spans="1:17">
      <c r="A20" s="21"/>
      <c r="B20" s="25"/>
      <c r="Q20" s="26"/>
    </row>
    <row r="21" spans="1:17">
      <c r="A21" s="21"/>
      <c r="B21" s="25"/>
      <c r="Q21" s="26"/>
    </row>
    <row r="22" spans="1:17">
      <c r="A22" s="21"/>
      <c r="B22" s="25"/>
      <c r="Q22" s="26"/>
    </row>
    <row r="23" spans="1:17">
      <c r="A23" s="21"/>
      <c r="B23" s="25"/>
      <c r="Q23" s="26"/>
    </row>
    <row r="24" spans="1:17">
      <c r="A24" s="21"/>
      <c r="B24" s="25"/>
      <c r="Q24" s="26"/>
    </row>
    <row r="25" spans="1:17">
      <c r="A25" s="21"/>
      <c r="B25" s="25"/>
      <c r="Q25" s="26"/>
    </row>
    <row r="26" spans="1:17">
      <c r="A26" s="21"/>
      <c r="B26" s="25"/>
      <c r="Q26" s="26"/>
    </row>
    <row r="27" spans="1:17">
      <c r="A27" s="21"/>
      <c r="B27" s="25"/>
      <c r="Q27" s="26"/>
    </row>
    <row r="28" spans="1:17">
      <c r="A28" s="21"/>
      <c r="B28" s="25"/>
      <c r="Q28" s="26"/>
    </row>
    <row r="29" spans="1:17">
      <c r="A29" s="21"/>
      <c r="B29" s="25"/>
      <c r="Q29" s="26"/>
    </row>
    <row r="30" spans="1:17">
      <c r="A30" s="21"/>
      <c r="B30" s="25"/>
      <c r="Q30" s="26"/>
    </row>
    <row r="31" spans="1:17">
      <c r="A31" s="21"/>
      <c r="B31" s="25"/>
      <c r="Q31" s="26"/>
    </row>
    <row r="32" spans="1:17">
      <c r="B32" s="25"/>
      <c r="Q32" s="26"/>
    </row>
    <row r="33" spans="2:17">
      <c r="B33" s="25"/>
      <c r="Q33" s="26"/>
    </row>
    <row r="34" spans="2:17">
      <c r="B34" s="25"/>
      <c r="Q34" s="26"/>
    </row>
    <row r="35" spans="2:17">
      <c r="B35" s="25"/>
      <c r="Q35" s="26"/>
    </row>
    <row r="36" spans="2:17">
      <c r="B36" s="25"/>
      <c r="Q36" s="26"/>
    </row>
    <row r="37" spans="2:17">
      <c r="B37" s="25"/>
      <c r="Q37" s="26"/>
    </row>
    <row r="38" spans="2:17">
      <c r="B38" s="25"/>
      <c r="Q38" s="26"/>
    </row>
    <row r="39" spans="2:17">
      <c r="B39" s="25"/>
      <c r="Q39" s="26"/>
    </row>
    <row r="40" spans="2:17">
      <c r="B40" s="25"/>
      <c r="Q40" s="26"/>
    </row>
    <row r="41" spans="2:17">
      <c r="B41" s="25"/>
      <c r="Q41" s="26"/>
    </row>
    <row r="42" spans="2:17">
      <c r="B42" s="25"/>
      <c r="Q42" s="26"/>
    </row>
    <row r="43" spans="2:17">
      <c r="B43" s="25"/>
      <c r="Q43" s="26"/>
    </row>
    <row r="44" spans="2:17">
      <c r="B44" s="25"/>
      <c r="Q44" s="26"/>
    </row>
    <row r="45" spans="2:17">
      <c r="B45" s="25"/>
      <c r="Q45" s="26"/>
    </row>
    <row r="46" spans="2:17">
      <c r="B46" s="25"/>
      <c r="Q46" s="26"/>
    </row>
    <row r="47" spans="2:17">
      <c r="B47" s="25"/>
      <c r="Q47" s="26"/>
    </row>
    <row r="48" spans="2:17">
      <c r="B48" s="25"/>
      <c r="Q48" s="26"/>
    </row>
    <row r="49" spans="2:17">
      <c r="B49" s="25"/>
      <c r="Q49" s="26"/>
    </row>
    <row r="50" spans="2:17">
      <c r="B50" s="25"/>
      <c r="Q50" s="26"/>
    </row>
    <row r="51" spans="2:17">
      <c r="B51" s="25"/>
      <c r="Q51" s="26"/>
    </row>
    <row r="52" spans="2:17">
      <c r="B52" s="25"/>
      <c r="Q52" s="26"/>
    </row>
    <row r="53" spans="2:17">
      <c r="B53" s="25"/>
      <c r="Q53" s="26"/>
    </row>
    <row r="54" spans="2:17">
      <c r="B54" s="25"/>
      <c r="Q54" s="26"/>
    </row>
    <row r="55" spans="2:17">
      <c r="B55" s="25"/>
      <c r="Q55" s="26"/>
    </row>
    <row r="56" spans="2:17">
      <c r="B56" s="25"/>
      <c r="Q56" s="26"/>
    </row>
    <row r="57" spans="2:17">
      <c r="B57" s="25"/>
      <c r="Q57" s="26"/>
    </row>
    <row r="58" spans="2:17">
      <c r="B58" s="25"/>
      <c r="Q58" s="26"/>
    </row>
    <row r="59" spans="2:17">
      <c r="B59" s="25"/>
      <c r="Q59" s="26"/>
    </row>
    <row r="60" spans="2:17">
      <c r="B60" s="25"/>
      <c r="Q60" s="26"/>
    </row>
    <row r="61" spans="2:17" ht="14" thickBot="1"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/>
    </row>
  </sheetData>
  <pageMargins left="0.7" right="0.7" top="0.75" bottom="0.75" header="0.3" footer="0.3"/>
  <pageSetup paperSize="9" scale="41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2"/>
  <sheetViews>
    <sheetView topLeftCell="A18" zoomScale="130" zoomScaleNormal="130" workbookViewId="0">
      <selection activeCell="C24" sqref="C24:C26"/>
    </sheetView>
  </sheetViews>
  <sheetFormatPr baseColWidth="10" defaultColWidth="8.83203125" defaultRowHeight="15"/>
  <cols>
    <col min="2" max="2" width="37.5" customWidth="1"/>
    <col min="3" max="3" width="11" bestFit="1" customWidth="1"/>
    <col min="5" max="5" width="11.5" customWidth="1"/>
    <col min="6" max="6" width="1.33203125" customWidth="1"/>
    <col min="7" max="7" width="41.6640625" customWidth="1"/>
    <col min="8" max="8" width="16.1640625" bestFit="1" customWidth="1"/>
    <col min="9" max="9" width="11.6640625" bestFit="1" customWidth="1"/>
    <col min="13" max="13" width="10.1640625" bestFit="1" customWidth="1"/>
    <col min="14" max="14" width="11" bestFit="1" customWidth="1"/>
  </cols>
  <sheetData>
    <row r="1" spans="2:15" ht="27" thickBot="1">
      <c r="B1" s="72" t="s">
        <v>65</v>
      </c>
      <c r="C1" s="73"/>
      <c r="D1" s="73"/>
      <c r="E1" s="73"/>
      <c r="F1" s="73"/>
      <c r="G1" s="73"/>
      <c r="H1" s="73"/>
      <c r="I1" s="74"/>
    </row>
    <row r="3" spans="2:15">
      <c r="B3" s="9" t="s">
        <v>156</v>
      </c>
      <c r="C3" s="10" t="s">
        <v>67</v>
      </c>
      <c r="H3" s="13"/>
    </row>
    <row r="4" spans="2:15">
      <c r="B4" s="7" t="s">
        <v>152</v>
      </c>
      <c r="C4" s="8">
        <v>0.6</v>
      </c>
      <c r="H4" s="13"/>
    </row>
    <row r="5" spans="2:15">
      <c r="B5" s="7" t="s">
        <v>157</v>
      </c>
      <c r="C5" s="8">
        <v>0.3</v>
      </c>
      <c r="G5" s="2" t="s">
        <v>141</v>
      </c>
      <c r="H5" s="4">
        <v>40000</v>
      </c>
      <c r="I5" s="4" t="s">
        <v>142</v>
      </c>
      <c r="L5" s="13"/>
      <c r="M5" s="13"/>
      <c r="N5" s="13"/>
      <c r="O5" s="13"/>
    </row>
    <row r="6" spans="2:15">
      <c r="B6" s="7" t="s">
        <v>137</v>
      </c>
      <c r="C6" s="8">
        <v>0.3</v>
      </c>
      <c r="G6" s="2"/>
      <c r="H6" s="4"/>
      <c r="I6" s="4"/>
    </row>
    <row r="7" spans="2:15">
      <c r="B7" s="7" t="s">
        <v>138</v>
      </c>
      <c r="C7" s="8">
        <v>2.1</v>
      </c>
      <c r="G7" s="2" t="s">
        <v>35</v>
      </c>
      <c r="H7" s="4">
        <v>330</v>
      </c>
      <c r="I7" s="4"/>
      <c r="L7" s="13"/>
      <c r="M7" s="13"/>
      <c r="N7" s="18"/>
      <c r="O7" s="13"/>
    </row>
    <row r="8" spans="2:15">
      <c r="B8" s="7" t="s">
        <v>162</v>
      </c>
      <c r="C8" s="8">
        <v>1.02</v>
      </c>
      <c r="G8" s="2"/>
      <c r="H8" s="52"/>
      <c r="I8" s="4"/>
    </row>
    <row r="9" spans="2:15">
      <c r="B9" s="58" t="s">
        <v>158</v>
      </c>
      <c r="C9" s="59">
        <v>2.5</v>
      </c>
      <c r="G9" s="2" t="s">
        <v>166</v>
      </c>
      <c r="H9" s="4">
        <v>9</v>
      </c>
      <c r="I9" s="4" t="s">
        <v>136</v>
      </c>
      <c r="L9" s="13"/>
      <c r="M9" s="13"/>
      <c r="N9" s="18"/>
      <c r="O9" s="13"/>
    </row>
    <row r="10" spans="2:15">
      <c r="B10" s="7" t="s">
        <v>139</v>
      </c>
      <c r="C10" s="8">
        <v>0.1</v>
      </c>
      <c r="G10" s="2" t="s">
        <v>170</v>
      </c>
      <c r="H10" s="4">
        <v>1.5</v>
      </c>
      <c r="I10" s="4" t="s">
        <v>136</v>
      </c>
    </row>
    <row r="11" spans="2:15">
      <c r="B11" s="50" t="s">
        <v>140</v>
      </c>
      <c r="C11" s="8">
        <v>0</v>
      </c>
      <c r="G11" s="2" t="s">
        <v>46</v>
      </c>
      <c r="H11" s="4">
        <v>8.5</v>
      </c>
      <c r="I11" s="4" t="s">
        <v>47</v>
      </c>
    </row>
    <row r="12" spans="2:15">
      <c r="B12" s="2" t="s">
        <v>33</v>
      </c>
      <c r="C12" s="8">
        <v>0.25</v>
      </c>
      <c r="G12" s="2" t="s">
        <v>143</v>
      </c>
      <c r="H12" s="52">
        <f>H5*H9*H7</f>
        <v>118800000</v>
      </c>
      <c r="I12" s="4" t="s">
        <v>48</v>
      </c>
    </row>
    <row r="13" spans="2:15">
      <c r="B13" s="3" t="s">
        <v>24</v>
      </c>
      <c r="C13" s="6">
        <f>SUM(C4:C12)</f>
        <v>7.17</v>
      </c>
      <c r="G13" s="2"/>
      <c r="H13" s="17">
        <f>H6*H7*H10*1000</f>
        <v>0</v>
      </c>
      <c r="I13" s="4" t="s">
        <v>48</v>
      </c>
    </row>
    <row r="14" spans="2:15">
      <c r="B14" s="7" t="s">
        <v>34</v>
      </c>
      <c r="C14" s="57">
        <f>((H18*H16*90)+(H40/12)+(E44/12))/10000000</f>
        <v>1.5588249999999999</v>
      </c>
      <c r="G14" s="2" t="s">
        <v>37</v>
      </c>
      <c r="H14" s="53">
        <f>H12+H13+H8</f>
        <v>118800000</v>
      </c>
      <c r="I14" s="4" t="s">
        <v>48</v>
      </c>
    </row>
    <row r="15" spans="2:15">
      <c r="B15" s="7" t="s">
        <v>45</v>
      </c>
      <c r="C15" s="12">
        <f>SUM(C13:C14)</f>
        <v>8.7288250000000005</v>
      </c>
      <c r="I15" s="13"/>
    </row>
    <row r="16" spans="2:15">
      <c r="G16" s="2" t="s">
        <v>144</v>
      </c>
      <c r="H16" s="55">
        <f>H5/0.7/1000</f>
        <v>57.142857142857146</v>
      </c>
      <c r="I16" s="4" t="s">
        <v>49</v>
      </c>
    </row>
    <row r="17" spans="2:9">
      <c r="B17" s="2" t="s">
        <v>163</v>
      </c>
      <c r="C17" s="2">
        <v>4</v>
      </c>
      <c r="G17" s="48"/>
      <c r="H17" s="49"/>
      <c r="I17" s="4"/>
    </row>
    <row r="18" spans="2:9">
      <c r="B18" s="2" t="s">
        <v>164</v>
      </c>
      <c r="C18" s="2">
        <f>100000/10000000</f>
        <v>0.01</v>
      </c>
      <c r="G18" s="2" t="s">
        <v>130</v>
      </c>
      <c r="H18" s="11">
        <v>2800</v>
      </c>
      <c r="I18" s="4" t="s">
        <v>50</v>
      </c>
    </row>
    <row r="19" spans="2:9">
      <c r="B19" s="2" t="s">
        <v>148</v>
      </c>
      <c r="C19" s="2">
        <f>C18*C17</f>
        <v>0.04</v>
      </c>
      <c r="G19" s="3" t="s">
        <v>3</v>
      </c>
      <c r="H19" s="53">
        <f>(H16)*H18*H7</f>
        <v>52800000</v>
      </c>
      <c r="I19" s="6" t="s">
        <v>48</v>
      </c>
    </row>
    <row r="21" spans="2:9">
      <c r="B21" s="1" t="s">
        <v>71</v>
      </c>
    </row>
    <row r="22" spans="2:9">
      <c r="B22" s="3" t="s">
        <v>32</v>
      </c>
      <c r="C22" s="6" t="s">
        <v>67</v>
      </c>
    </row>
    <row r="23" spans="2:9">
      <c r="B23" s="2"/>
      <c r="C23" s="4"/>
      <c r="G23" s="75" t="s">
        <v>68</v>
      </c>
      <c r="H23" s="75"/>
      <c r="I23" s="75"/>
    </row>
    <row r="24" spans="2:9">
      <c r="B24" s="7" t="s">
        <v>125</v>
      </c>
      <c r="C24" s="4">
        <f>0.2*(C4+C5+C6)</f>
        <v>0.24</v>
      </c>
    </row>
    <row r="25" spans="2:9">
      <c r="B25" s="2" t="s">
        <v>138</v>
      </c>
      <c r="C25" s="4">
        <f>0.2*C7</f>
        <v>0.42000000000000004</v>
      </c>
      <c r="G25" s="7" t="s">
        <v>169</v>
      </c>
      <c r="H25" s="55">
        <v>48</v>
      </c>
      <c r="I25" s="4" t="s">
        <v>154</v>
      </c>
    </row>
    <row r="26" spans="2:9">
      <c r="B26" s="2" t="s">
        <v>147</v>
      </c>
      <c r="C26" s="4">
        <f>0.05*(C9)</f>
        <v>0.125</v>
      </c>
      <c r="G26" s="7" t="s">
        <v>153</v>
      </c>
      <c r="H26" s="55">
        <v>41</v>
      </c>
      <c r="I26" s="4" t="s">
        <v>154</v>
      </c>
    </row>
    <row r="27" spans="2:9">
      <c r="B27" s="2"/>
      <c r="C27" s="4"/>
      <c r="G27" s="7" t="s">
        <v>137</v>
      </c>
      <c r="H27" s="55">
        <f>65*0.745</f>
        <v>48.424999999999997</v>
      </c>
      <c r="I27" s="4" t="s">
        <v>154</v>
      </c>
    </row>
    <row r="28" spans="2:9">
      <c r="B28" s="2" t="s">
        <v>24</v>
      </c>
      <c r="C28" s="12">
        <f>SUM(C22:C27)</f>
        <v>0.78500000000000003</v>
      </c>
      <c r="G28" s="7" t="s">
        <v>138</v>
      </c>
      <c r="H28" s="55">
        <f>92*0.745*2</f>
        <v>137.08000000000001</v>
      </c>
      <c r="I28" s="4" t="s">
        <v>154</v>
      </c>
    </row>
    <row r="29" spans="2:9">
      <c r="G29" s="2" t="s">
        <v>145</v>
      </c>
      <c r="H29" s="4">
        <v>10</v>
      </c>
      <c r="I29" s="4" t="s">
        <v>154</v>
      </c>
    </row>
    <row r="30" spans="2:9">
      <c r="B30" s="3" t="s">
        <v>32</v>
      </c>
      <c r="C30" s="6" t="s">
        <v>67</v>
      </c>
      <c r="G30" s="2" t="s">
        <v>151</v>
      </c>
      <c r="H30" s="4">
        <v>10</v>
      </c>
      <c r="I30" s="4" t="s">
        <v>154</v>
      </c>
    </row>
    <row r="31" spans="2:9">
      <c r="B31" s="2" t="s">
        <v>161</v>
      </c>
      <c r="C31" s="15">
        <f>C13*0.3</f>
        <v>2.1509999999999998</v>
      </c>
      <c r="G31" s="2"/>
      <c r="H31" s="4"/>
      <c r="I31" s="4"/>
    </row>
    <row r="32" spans="2:9">
      <c r="B32" s="2" t="s">
        <v>165</v>
      </c>
      <c r="C32" s="15">
        <f>(C14)+(C13*0.7)</f>
        <v>6.5778249999999989</v>
      </c>
      <c r="G32" s="2"/>
      <c r="H32" s="4"/>
      <c r="I32" s="4"/>
    </row>
    <row r="33" spans="2:9">
      <c r="B33" s="2"/>
      <c r="C33" s="4"/>
      <c r="G33" s="2"/>
      <c r="H33" s="4"/>
      <c r="I33" s="4"/>
    </row>
    <row r="34" spans="2:9">
      <c r="B34" s="3" t="s">
        <v>36</v>
      </c>
      <c r="C34" s="54">
        <f>SUM(C31:C33)</f>
        <v>8.7288249999999987</v>
      </c>
      <c r="G34" s="2"/>
      <c r="H34" s="4"/>
      <c r="I34" s="4"/>
    </row>
    <row r="35" spans="2:9">
      <c r="G35" s="2"/>
      <c r="H35" s="4"/>
      <c r="I35" s="4"/>
    </row>
    <row r="36" spans="2:9">
      <c r="B36" s="6" t="s">
        <v>32</v>
      </c>
      <c r="C36" s="6" t="s">
        <v>56</v>
      </c>
      <c r="D36" s="6" t="s">
        <v>57</v>
      </c>
      <c r="E36" s="6" t="s">
        <v>24</v>
      </c>
      <c r="G36" s="2" t="s">
        <v>146</v>
      </c>
      <c r="H36" s="55">
        <f>SUM(H25:H30)</f>
        <v>294.505</v>
      </c>
      <c r="I36" s="4"/>
    </row>
    <row r="37" spans="2:9">
      <c r="B37" s="2" t="s">
        <v>135</v>
      </c>
      <c r="C37" s="4">
        <v>1</v>
      </c>
      <c r="D37" s="4">
        <v>75000</v>
      </c>
      <c r="E37" s="4">
        <f>C37*D37</f>
        <v>75000</v>
      </c>
      <c r="G37" s="2"/>
      <c r="H37" s="4"/>
      <c r="I37" s="4"/>
    </row>
    <row r="38" spans="2:9">
      <c r="B38" s="2" t="s">
        <v>55</v>
      </c>
      <c r="C38" s="4">
        <v>1</v>
      </c>
      <c r="D38" s="4">
        <v>45000</v>
      </c>
      <c r="E38" s="4">
        <f t="shared" ref="E38:E41" si="0">C38*D38</f>
        <v>45000</v>
      </c>
      <c r="G38" s="3" t="s">
        <v>159</v>
      </c>
      <c r="H38" s="6">
        <v>190</v>
      </c>
      <c r="I38" s="4" t="s">
        <v>69</v>
      </c>
    </row>
    <row r="39" spans="2:9">
      <c r="B39" s="2" t="s">
        <v>58</v>
      </c>
      <c r="C39" s="4">
        <v>3</v>
      </c>
      <c r="D39" s="4">
        <v>25000</v>
      </c>
      <c r="E39" s="4">
        <f t="shared" si="0"/>
        <v>75000</v>
      </c>
      <c r="G39" s="2" t="s">
        <v>168</v>
      </c>
      <c r="H39" s="4">
        <f>H38*H11*20</f>
        <v>32300</v>
      </c>
      <c r="I39" s="4" t="s">
        <v>70</v>
      </c>
    </row>
    <row r="40" spans="2:9">
      <c r="B40" s="2" t="s">
        <v>59</v>
      </c>
      <c r="C40" s="4">
        <v>4</v>
      </c>
      <c r="D40" s="4">
        <v>15000</v>
      </c>
      <c r="E40" s="4">
        <f t="shared" si="0"/>
        <v>60000</v>
      </c>
      <c r="G40" s="3" t="s">
        <v>62</v>
      </c>
      <c r="H40" s="16">
        <f>H39*H7</f>
        <v>10659000</v>
      </c>
      <c r="I40" s="4" t="s">
        <v>70</v>
      </c>
    </row>
    <row r="41" spans="2:9">
      <c r="B41" s="2" t="s">
        <v>60</v>
      </c>
      <c r="C41" s="4">
        <v>3</v>
      </c>
      <c r="D41" s="4">
        <v>15000</v>
      </c>
      <c r="E41" s="4">
        <f t="shared" si="0"/>
        <v>45000</v>
      </c>
    </row>
    <row r="42" spans="2:9">
      <c r="B42" s="2" t="s">
        <v>24</v>
      </c>
      <c r="C42" s="4">
        <f>SUM(C37:C41)</f>
        <v>12</v>
      </c>
      <c r="D42" s="2"/>
      <c r="E42" s="6">
        <f>SUM(E37:E41)</f>
        <v>300000</v>
      </c>
    </row>
    <row r="43" spans="2:9">
      <c r="B43" s="2"/>
      <c r="C43" s="2"/>
      <c r="D43" s="2"/>
      <c r="E43" s="3"/>
    </row>
    <row r="44" spans="2:9">
      <c r="B44" s="2" t="s">
        <v>61</v>
      </c>
      <c r="C44" s="2"/>
      <c r="D44" s="2"/>
      <c r="E44" s="16">
        <f>E42*12</f>
        <v>3600000</v>
      </c>
    </row>
    <row r="47" spans="2:9">
      <c r="B47" s="14" t="s">
        <v>98</v>
      </c>
      <c r="C47" s="14" t="s">
        <v>99</v>
      </c>
    </row>
    <row r="49" spans="2:2">
      <c r="B49" s="1" t="s">
        <v>126</v>
      </c>
    </row>
    <row r="50" spans="2:2">
      <c r="B50" t="s">
        <v>127</v>
      </c>
    </row>
    <row r="51" spans="2:2">
      <c r="B51" t="s">
        <v>128</v>
      </c>
    </row>
    <row r="52" spans="2:2">
      <c r="B52" t="s">
        <v>129</v>
      </c>
    </row>
  </sheetData>
  <mergeCells count="2">
    <mergeCell ref="B1:I1"/>
    <mergeCell ref="G23:I23"/>
  </mergeCells>
  <pageMargins left="0.7" right="0.7" top="0.75" bottom="0.75" header="0.3" footer="0.3"/>
  <pageSetup scale="57" orientation="portrait" horizontalDpi="12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7"/>
  <sheetViews>
    <sheetView zoomScaleNormal="100" workbookViewId="0">
      <selection activeCell="K14" sqref="K14"/>
    </sheetView>
  </sheetViews>
  <sheetFormatPr baseColWidth="10" defaultColWidth="8.83203125" defaultRowHeight="15"/>
  <cols>
    <col min="2" max="2" width="21.6640625" customWidth="1"/>
    <col min="3" max="3" width="19.6640625" customWidth="1"/>
    <col min="4" max="4" width="21.33203125" customWidth="1"/>
  </cols>
  <sheetData>
    <row r="1" spans="2:9">
      <c r="B1" s="1"/>
    </row>
    <row r="2" spans="2:9" ht="21">
      <c r="B2" s="76" t="s">
        <v>119</v>
      </c>
      <c r="C2" s="76"/>
      <c r="D2" s="76"/>
    </row>
    <row r="3" spans="2:9" ht="21">
      <c r="B3" s="43" t="s">
        <v>36</v>
      </c>
      <c r="C3" s="56">
        <f>Assumptions!C34</f>
        <v>8.7288249999999987</v>
      </c>
      <c r="D3" s="43" t="s">
        <v>122</v>
      </c>
    </row>
    <row r="4" spans="2:9" ht="21">
      <c r="B4" s="43" t="s">
        <v>120</v>
      </c>
      <c r="C4" s="44">
        <f>DSCR!C20</f>
        <v>2.0589473417226811</v>
      </c>
      <c r="D4" s="43"/>
    </row>
    <row r="5" spans="2:9" ht="21">
      <c r="B5" s="43" t="s">
        <v>44</v>
      </c>
      <c r="C5" s="46">
        <f>NPV_IRR!B13</f>
        <v>0.30658211074680541</v>
      </c>
      <c r="D5" s="43"/>
      <c r="I5">
        <f>100/20</f>
        <v>5</v>
      </c>
    </row>
    <row r="6" spans="2:9" ht="21">
      <c r="B6" s="43" t="s">
        <v>43</v>
      </c>
      <c r="C6" s="44">
        <f>NPV_IRR!B15</f>
        <v>11.942516884836872</v>
      </c>
      <c r="D6" s="43" t="s">
        <v>122</v>
      </c>
    </row>
    <row r="7" spans="2:9" ht="21">
      <c r="B7" s="43" t="s">
        <v>63</v>
      </c>
      <c r="C7" s="44">
        <f>(100/C5)/100</f>
        <v>3.261768919145652</v>
      </c>
      <c r="D7" s="43" t="s">
        <v>64</v>
      </c>
    </row>
  </sheetData>
  <mergeCells count="1">
    <mergeCell ref="B2:D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V37"/>
  <sheetViews>
    <sheetView zoomScaleNormal="100" workbookViewId="0">
      <selection activeCell="B2" sqref="B2:L35"/>
    </sheetView>
  </sheetViews>
  <sheetFormatPr baseColWidth="10" defaultColWidth="8.83203125" defaultRowHeight="15"/>
  <cols>
    <col min="2" max="2" width="23.33203125" bestFit="1" customWidth="1"/>
    <col min="3" max="4" width="9.1640625" bestFit="1" customWidth="1"/>
  </cols>
  <sheetData>
    <row r="2" spans="2:22" ht="21">
      <c r="B2" s="77" t="s">
        <v>101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4" spans="2:22">
      <c r="B4" s="60" t="s">
        <v>0</v>
      </c>
      <c r="C4" s="60" t="s">
        <v>8</v>
      </c>
      <c r="D4" s="60" t="s">
        <v>9</v>
      </c>
      <c r="E4" s="60" t="s">
        <v>10</v>
      </c>
      <c r="F4" s="60" t="s">
        <v>11</v>
      </c>
      <c r="G4" s="60" t="s">
        <v>12</v>
      </c>
      <c r="H4" s="60" t="s">
        <v>13</v>
      </c>
      <c r="I4" s="60" t="s">
        <v>14</v>
      </c>
      <c r="J4" s="60" t="s">
        <v>39</v>
      </c>
      <c r="K4" s="60" t="s">
        <v>84</v>
      </c>
      <c r="L4" s="60" t="s">
        <v>85</v>
      </c>
      <c r="M4" s="6" t="s">
        <v>86</v>
      </c>
      <c r="N4" s="6" t="s">
        <v>87</v>
      </c>
      <c r="O4" s="6" t="s">
        <v>88</v>
      </c>
      <c r="P4" s="6" t="s">
        <v>89</v>
      </c>
      <c r="Q4" s="6" t="s">
        <v>90</v>
      </c>
      <c r="R4" s="6" t="s">
        <v>91</v>
      </c>
      <c r="S4" s="6" t="s">
        <v>92</v>
      </c>
      <c r="T4" s="6" t="s">
        <v>93</v>
      </c>
      <c r="U4" s="6" t="s">
        <v>94</v>
      </c>
      <c r="V4" s="6" t="s">
        <v>95</v>
      </c>
    </row>
    <row r="5" spans="2:22">
      <c r="B5" s="60" t="s">
        <v>1</v>
      </c>
      <c r="C5" s="60" t="s">
        <v>16</v>
      </c>
      <c r="D5" s="60" t="s">
        <v>17</v>
      </c>
      <c r="E5" s="60" t="s">
        <v>40</v>
      </c>
      <c r="F5" s="60" t="s">
        <v>72</v>
      </c>
      <c r="G5" s="60" t="s">
        <v>73</v>
      </c>
      <c r="H5" s="60" t="s">
        <v>74</v>
      </c>
      <c r="I5" s="60" t="s">
        <v>75</v>
      </c>
      <c r="J5" s="60" t="s">
        <v>76</v>
      </c>
      <c r="K5" s="60" t="s">
        <v>77</v>
      </c>
      <c r="L5" s="60" t="s">
        <v>78</v>
      </c>
      <c r="M5" s="45" t="s">
        <v>79</v>
      </c>
      <c r="N5" s="45" t="s">
        <v>80</v>
      </c>
      <c r="O5" s="45" t="s">
        <v>81</v>
      </c>
      <c r="P5" s="45" t="s">
        <v>82</v>
      </c>
      <c r="Q5" s="45" t="s">
        <v>83</v>
      </c>
      <c r="R5" s="45" t="s">
        <v>131</v>
      </c>
      <c r="S5" s="45" t="s">
        <v>132</v>
      </c>
      <c r="T5" s="45" t="s">
        <v>133</v>
      </c>
      <c r="U5" s="45" t="s">
        <v>134</v>
      </c>
      <c r="V5" s="45" t="s">
        <v>134</v>
      </c>
    </row>
    <row r="6" spans="2:22">
      <c r="B6" s="2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2:22">
      <c r="B7" s="2" t="s">
        <v>2</v>
      </c>
      <c r="C7" s="5">
        <v>0.7</v>
      </c>
      <c r="D7" s="5">
        <v>0.8</v>
      </c>
      <c r="E7" s="5">
        <v>0.8</v>
      </c>
      <c r="F7" s="5">
        <v>0.8</v>
      </c>
      <c r="G7" s="5">
        <v>0.9</v>
      </c>
      <c r="H7" s="5">
        <v>0.9</v>
      </c>
      <c r="I7" s="5">
        <v>0.9</v>
      </c>
      <c r="J7" s="5">
        <v>0.9</v>
      </c>
      <c r="K7" s="5">
        <v>0.9</v>
      </c>
      <c r="L7" s="5">
        <v>0.9</v>
      </c>
      <c r="M7" s="5">
        <v>0.9</v>
      </c>
      <c r="N7" s="5">
        <v>0.9</v>
      </c>
      <c r="O7" s="5">
        <v>0.9</v>
      </c>
      <c r="P7" s="5">
        <v>0.9</v>
      </c>
      <c r="Q7" s="5">
        <v>0.9</v>
      </c>
      <c r="R7" s="5">
        <v>0.9</v>
      </c>
      <c r="S7" s="5">
        <v>0.9</v>
      </c>
      <c r="T7" s="5">
        <v>0.9</v>
      </c>
      <c r="U7" s="5">
        <v>0.9</v>
      </c>
      <c r="V7" s="5">
        <v>0.9</v>
      </c>
    </row>
    <row r="8" spans="2:22">
      <c r="B8" s="2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2">
      <c r="B9" s="3" t="s">
        <v>41</v>
      </c>
      <c r="C9" s="4"/>
      <c r="D9" s="4"/>
      <c r="E9" s="4"/>
      <c r="F9" s="4"/>
      <c r="G9" s="4"/>
      <c r="H9" s="4"/>
      <c r="I9" s="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2:22">
      <c r="B10" s="2"/>
      <c r="C10" s="4"/>
      <c r="D10" s="4"/>
      <c r="E10" s="4"/>
      <c r="F10" s="4"/>
      <c r="G10" s="4"/>
      <c r="H10" s="4"/>
      <c r="I10" s="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2">
      <c r="B11" s="3" t="s">
        <v>96</v>
      </c>
      <c r="C11" s="11"/>
      <c r="D11" s="4"/>
      <c r="E11" s="4"/>
      <c r="F11" s="4"/>
      <c r="G11" s="4"/>
      <c r="H11" s="4"/>
      <c r="I11" s="4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2:22">
      <c r="B12" s="61" t="s">
        <v>155</v>
      </c>
      <c r="C12" s="62">
        <f>Assumptions!$H$12*'Profit &amp; Loss Statement'!C7/10000000</f>
        <v>8.3160000000000007</v>
      </c>
      <c r="D12" s="62">
        <f>Assumptions!$H$12*'Profit &amp; Loss Statement'!D7/10000000</f>
        <v>9.5039999999999996</v>
      </c>
      <c r="E12" s="62">
        <f>D12*1.03</f>
        <v>9.7891200000000005</v>
      </c>
      <c r="F12" s="62">
        <f t="shared" ref="F12:V12" si="0">E12*1.03</f>
        <v>10.0827936</v>
      </c>
      <c r="G12" s="62">
        <f t="shared" si="0"/>
        <v>10.385277408</v>
      </c>
      <c r="H12" s="62">
        <f t="shared" si="0"/>
        <v>10.69683573024</v>
      </c>
      <c r="I12" s="62">
        <f t="shared" si="0"/>
        <v>11.0177408021472</v>
      </c>
      <c r="J12" s="62">
        <f t="shared" si="0"/>
        <v>11.348273026211617</v>
      </c>
      <c r="K12" s="62">
        <f t="shared" si="0"/>
        <v>11.688721216997966</v>
      </c>
      <c r="L12" s="62">
        <f t="shared" si="0"/>
        <v>12.039382853507904</v>
      </c>
      <c r="M12" s="55">
        <f t="shared" si="0"/>
        <v>12.400564339113142</v>
      </c>
      <c r="N12" s="55">
        <f t="shared" si="0"/>
        <v>12.772581269286537</v>
      </c>
      <c r="O12" s="55">
        <f t="shared" si="0"/>
        <v>13.155758707365134</v>
      </c>
      <c r="P12" s="55">
        <f t="shared" si="0"/>
        <v>13.550431468586089</v>
      </c>
      <c r="Q12" s="55">
        <f t="shared" si="0"/>
        <v>13.956944412643672</v>
      </c>
      <c r="R12" s="55">
        <f t="shared" si="0"/>
        <v>14.375652745022983</v>
      </c>
      <c r="S12" s="55">
        <f>R12*1.03</f>
        <v>14.806922327373673</v>
      </c>
      <c r="T12" s="55">
        <f t="shared" si="0"/>
        <v>15.251129997194884</v>
      </c>
      <c r="U12" s="55">
        <f t="shared" si="0"/>
        <v>15.70866389711073</v>
      </c>
      <c r="V12" s="55">
        <f t="shared" si="0"/>
        <v>16.179923814024054</v>
      </c>
    </row>
    <row r="13" spans="2:22">
      <c r="B13" s="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2:22">
      <c r="B14" s="2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2:22">
      <c r="B15" s="2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2:22">
      <c r="B16" s="2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2:22">
      <c r="B17" s="63" t="s">
        <v>38</v>
      </c>
      <c r="C17" s="62">
        <f>SUM(C12:C16)</f>
        <v>8.3160000000000007</v>
      </c>
      <c r="D17" s="62">
        <f t="shared" ref="D17:V17" si="1">SUM(D12:D16)</f>
        <v>9.5039999999999996</v>
      </c>
      <c r="E17" s="62">
        <f>SUM(E12:E16)</f>
        <v>9.7891200000000005</v>
      </c>
      <c r="F17" s="62">
        <f>SUM(F12:F16)</f>
        <v>10.0827936</v>
      </c>
      <c r="G17" s="62">
        <f>SUM(G12:G16)</f>
        <v>10.385277408</v>
      </c>
      <c r="H17" s="62">
        <f t="shared" si="1"/>
        <v>10.69683573024</v>
      </c>
      <c r="I17" s="62">
        <f t="shared" si="1"/>
        <v>11.0177408021472</v>
      </c>
      <c r="J17" s="62">
        <f t="shared" si="1"/>
        <v>11.348273026211617</v>
      </c>
      <c r="K17" s="62">
        <f t="shared" si="1"/>
        <v>11.688721216997966</v>
      </c>
      <c r="L17" s="62">
        <f t="shared" si="1"/>
        <v>12.039382853507904</v>
      </c>
      <c r="M17" s="55">
        <f t="shared" si="1"/>
        <v>12.400564339113142</v>
      </c>
      <c r="N17" s="55">
        <f t="shared" si="1"/>
        <v>12.772581269286537</v>
      </c>
      <c r="O17" s="55">
        <f t="shared" si="1"/>
        <v>13.155758707365134</v>
      </c>
      <c r="P17" s="55">
        <f t="shared" si="1"/>
        <v>13.550431468586089</v>
      </c>
      <c r="Q17" s="55">
        <f t="shared" si="1"/>
        <v>13.956944412643672</v>
      </c>
      <c r="R17" s="55">
        <f t="shared" si="1"/>
        <v>14.375652745022983</v>
      </c>
      <c r="S17" s="55">
        <f t="shared" si="1"/>
        <v>14.806922327373673</v>
      </c>
      <c r="T17" s="55">
        <f t="shared" si="1"/>
        <v>15.251129997194884</v>
      </c>
      <c r="U17" s="55">
        <f t="shared" si="1"/>
        <v>15.70866389711073</v>
      </c>
      <c r="V17" s="55">
        <f t="shared" si="1"/>
        <v>16.179923814024054</v>
      </c>
    </row>
    <row r="18" spans="2:22">
      <c r="B18" s="2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2:22">
      <c r="B19" s="3" t="s">
        <v>3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2:22">
      <c r="B20" s="2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2:22">
      <c r="B21" s="2" t="s">
        <v>97</v>
      </c>
      <c r="C21" s="15">
        <f>(Assumptions!$H$19/10000000)*C7</f>
        <v>3.6959999999999997</v>
      </c>
      <c r="D21" s="15">
        <f>(Assumptions!$H$19/10000000)*D7</f>
        <v>4.2240000000000002</v>
      </c>
      <c r="E21" s="15">
        <f>D21*1.03</f>
        <v>4.3507199999999999</v>
      </c>
      <c r="F21" s="15">
        <f t="shared" ref="F21:V21" si="2">E21*1.03</f>
        <v>4.4812415999999997</v>
      </c>
      <c r="G21" s="15">
        <f t="shared" si="2"/>
        <v>4.6156788479999999</v>
      </c>
      <c r="H21" s="15">
        <f t="shared" si="2"/>
        <v>4.7541492134399999</v>
      </c>
      <c r="I21" s="15">
        <f t="shared" si="2"/>
        <v>4.8967736898431999</v>
      </c>
      <c r="J21" s="15">
        <f t="shared" si="2"/>
        <v>5.0436769005384958</v>
      </c>
      <c r="K21" s="15">
        <f t="shared" si="2"/>
        <v>5.194987207554651</v>
      </c>
      <c r="L21" s="15">
        <f t="shared" si="2"/>
        <v>5.3508368237812904</v>
      </c>
      <c r="M21" s="15">
        <f t="shared" si="2"/>
        <v>5.5113619284947291</v>
      </c>
      <c r="N21" s="15">
        <f t="shared" si="2"/>
        <v>5.6767027863495709</v>
      </c>
      <c r="O21" s="15">
        <f t="shared" si="2"/>
        <v>5.8470038699400586</v>
      </c>
      <c r="P21" s="15">
        <f t="shared" si="2"/>
        <v>6.0224139860382602</v>
      </c>
      <c r="Q21" s="15">
        <f t="shared" si="2"/>
        <v>6.2030864056194082</v>
      </c>
      <c r="R21" s="15">
        <f t="shared" si="2"/>
        <v>6.3891789977879903</v>
      </c>
      <c r="S21" s="15">
        <f t="shared" si="2"/>
        <v>6.5808543677216305</v>
      </c>
      <c r="T21" s="15">
        <f t="shared" si="2"/>
        <v>6.7782799987532796</v>
      </c>
      <c r="U21" s="15">
        <f t="shared" si="2"/>
        <v>6.9816283987158778</v>
      </c>
      <c r="V21" s="15">
        <f t="shared" si="2"/>
        <v>7.1910772506773544</v>
      </c>
    </row>
    <row r="22" spans="2:22">
      <c r="B22" s="2" t="s">
        <v>4</v>
      </c>
      <c r="C22" s="15">
        <f>((Assumptions!$H$40/10000000)*'Profit &amp; Loss Statement'!C7)</f>
        <v>0.74612999999999996</v>
      </c>
      <c r="D22" s="15">
        <f>(Assumptions!$H$40/10000000)*'Profit &amp; Loss Statement'!D7</f>
        <v>0.85272000000000014</v>
      </c>
      <c r="E22" s="15">
        <f>1.03*D22</f>
        <v>0.87830160000000013</v>
      </c>
      <c r="F22" s="15">
        <f t="shared" ref="F22:V22" si="3">1.03*E22</f>
        <v>0.90465064800000017</v>
      </c>
      <c r="G22" s="15">
        <f t="shared" si="3"/>
        <v>0.93179016744000021</v>
      </c>
      <c r="H22" s="15">
        <f t="shared" si="3"/>
        <v>0.95974387246320025</v>
      </c>
      <c r="I22" s="15">
        <f t="shared" si="3"/>
        <v>0.98853618863709625</v>
      </c>
      <c r="J22" s="15">
        <f t="shared" si="3"/>
        <v>1.0181922742962091</v>
      </c>
      <c r="K22" s="15">
        <f t="shared" si="3"/>
        <v>1.0487380425250954</v>
      </c>
      <c r="L22" s="15">
        <f t="shared" si="3"/>
        <v>1.0802001838008484</v>
      </c>
      <c r="M22" s="15">
        <f t="shared" si="3"/>
        <v>1.1126061893148738</v>
      </c>
      <c r="N22" s="15">
        <f t="shared" si="3"/>
        <v>1.1459843749943199</v>
      </c>
      <c r="O22" s="15">
        <f t="shared" si="3"/>
        <v>1.1803639062441496</v>
      </c>
      <c r="P22" s="15">
        <f t="shared" si="3"/>
        <v>1.215774823431474</v>
      </c>
      <c r="Q22" s="15">
        <f t="shared" si="3"/>
        <v>1.2522480681344184</v>
      </c>
      <c r="R22" s="15">
        <f t="shared" si="3"/>
        <v>1.289815510178451</v>
      </c>
      <c r="S22" s="15">
        <f t="shared" si="3"/>
        <v>1.3285099754838046</v>
      </c>
      <c r="T22" s="15">
        <f t="shared" si="3"/>
        <v>1.3683652747483188</v>
      </c>
      <c r="U22" s="15">
        <f t="shared" si="3"/>
        <v>1.4094162329907685</v>
      </c>
      <c r="V22" s="15">
        <f t="shared" si="3"/>
        <v>1.4516987199804916</v>
      </c>
    </row>
    <row r="23" spans="2:22">
      <c r="B23" s="2" t="s">
        <v>149</v>
      </c>
      <c r="C23" s="15">
        <f>Assumptions!C28</f>
        <v>0.78500000000000003</v>
      </c>
      <c r="D23" s="15">
        <f>Assumptions!$C$28</f>
        <v>0.78500000000000003</v>
      </c>
      <c r="E23" s="15">
        <f>D23*1.03</f>
        <v>0.8085500000000001</v>
      </c>
      <c r="F23" s="15">
        <f t="shared" ref="F23:V23" si="4">E23*1.03</f>
        <v>0.83280650000000012</v>
      </c>
      <c r="G23" s="15">
        <f t="shared" si="4"/>
        <v>0.85779069500000016</v>
      </c>
      <c r="H23" s="15">
        <f t="shared" si="4"/>
        <v>0.88352441585000019</v>
      </c>
      <c r="I23" s="15">
        <f t="shared" si="4"/>
        <v>0.91003014832550022</v>
      </c>
      <c r="J23" s="15">
        <f t="shared" si="4"/>
        <v>0.93733105277526529</v>
      </c>
      <c r="K23" s="15">
        <f t="shared" si="4"/>
        <v>0.96545098435852328</v>
      </c>
      <c r="L23" s="15">
        <f t="shared" si="4"/>
        <v>0.99441451388927904</v>
      </c>
      <c r="M23" s="15">
        <f t="shared" si="4"/>
        <v>1.0242469493059574</v>
      </c>
      <c r="N23" s="15">
        <f t="shared" si="4"/>
        <v>1.054974357785136</v>
      </c>
      <c r="O23" s="15">
        <f t="shared" si="4"/>
        <v>1.0866235885186901</v>
      </c>
      <c r="P23" s="15">
        <f t="shared" si="4"/>
        <v>1.1192222961742508</v>
      </c>
      <c r="Q23" s="15">
        <f t="shared" si="4"/>
        <v>1.1527989650594783</v>
      </c>
      <c r="R23" s="15">
        <f t="shared" si="4"/>
        <v>1.1873829340112627</v>
      </c>
      <c r="S23" s="15">
        <f t="shared" si="4"/>
        <v>1.2230044220316005</v>
      </c>
      <c r="T23" s="15">
        <f t="shared" si="4"/>
        <v>1.2596945546925487</v>
      </c>
      <c r="U23" s="15">
        <f t="shared" si="4"/>
        <v>1.2974853913333251</v>
      </c>
      <c r="V23" s="15">
        <f t="shared" si="4"/>
        <v>1.3364099530733249</v>
      </c>
    </row>
    <row r="24" spans="2:22">
      <c r="B24" s="2" t="s">
        <v>167</v>
      </c>
      <c r="C24" s="15">
        <f>Assumptions!H5*Assumptions!H7*Assumptions!H10*'Profit &amp; Loss Statement'!C7/10000000</f>
        <v>1.3859999999999999</v>
      </c>
      <c r="D24" s="15">
        <f>Assumptions!H5*Assumptions!H7*Assumptions!H10*'Profit &amp; Loss Statement'!D7/10000000</f>
        <v>1.5840000000000001</v>
      </c>
      <c r="E24" s="15">
        <f>Assumptions!H5*Assumptions!H7*Assumptions!H10*'Profit &amp; Loss Statement'!E7/10000000</f>
        <v>1.5840000000000001</v>
      </c>
      <c r="F24" s="15">
        <f>Assumptions!H5*Assumptions!H7*Assumptions!H10*'Profit &amp; Loss Statement'!F7/10000000</f>
        <v>1.5840000000000001</v>
      </c>
      <c r="G24" s="15">
        <f>Assumptions!H5*Assumptions!H7*Assumptions!H10*'Profit &amp; Loss Statement'!G7/10000000</f>
        <v>1.782</v>
      </c>
      <c r="H24" s="15">
        <f>Assumptions!H5*Assumptions!H7*Assumptions!H10*'Profit &amp; Loss Statement'!H7/10000000</f>
        <v>1.782</v>
      </c>
      <c r="I24" s="15">
        <f>Assumptions!H5*Assumptions!H7*Assumptions!H10*'Profit &amp; Loss Statement'!I7/10000000</f>
        <v>1.782</v>
      </c>
      <c r="J24" s="15">
        <f>Assumptions!H5*Assumptions!H7*Assumptions!H10*'Profit &amp; Loss Statement'!J7/10000000</f>
        <v>1.782</v>
      </c>
      <c r="K24" s="15">
        <f>Assumptions!H5*Assumptions!H7*Assumptions!H10*'Profit &amp; Loss Statement'!K7/10000000</f>
        <v>1.782</v>
      </c>
      <c r="L24" s="15">
        <f>Assumptions!H5*Assumptions!H7*Assumptions!H10*'Profit &amp; Loss Statement'!L7/10000000</f>
        <v>1.782</v>
      </c>
      <c r="M24" s="15">
        <f>Assumptions!H5*Assumptions!H7*Assumptions!H10*'Profit &amp; Loss Statement'!M7/10000000</f>
        <v>1.782</v>
      </c>
      <c r="N24" s="15">
        <f>Assumptions!H5*Assumptions!H7*Assumptions!H10*'Profit &amp; Loss Statement'!N7/10000000</f>
        <v>1.782</v>
      </c>
      <c r="O24" s="15">
        <f>Assumptions!H5*Assumptions!H7*Assumptions!H10*'Profit &amp; Loss Statement'!O7/10000000</f>
        <v>1.782</v>
      </c>
      <c r="P24" s="15">
        <f>Assumptions!H5*Assumptions!H7*Assumptions!H10*'Profit &amp; Loss Statement'!P7/10000000</f>
        <v>1.782</v>
      </c>
      <c r="Q24" s="15">
        <f>Assumptions!H5*Assumptions!H7*Assumptions!H10*'Profit &amp; Loss Statement'!Q7/10000000</f>
        <v>1.782</v>
      </c>
      <c r="R24" s="15">
        <f>Assumptions!H5*Assumptions!H7*Assumptions!H10*'Profit &amp; Loss Statement'!R7/10000000</f>
        <v>1.782</v>
      </c>
      <c r="S24" s="15">
        <f>Assumptions!H5*Assumptions!H7*Assumptions!H10*'Profit &amp; Loss Statement'!S7/10000000</f>
        <v>1.782</v>
      </c>
      <c r="T24" s="15">
        <f>Assumptions!H5*Assumptions!H7*Assumptions!H10*'Profit &amp; Loss Statement'!T7/10000000</f>
        <v>1.782</v>
      </c>
      <c r="U24" s="15">
        <f>Assumptions!H5*Assumptions!H7*Assumptions!H10*'Profit &amp; Loss Statement'!U7/10000000</f>
        <v>1.782</v>
      </c>
      <c r="V24" s="15">
        <f>Assumptions!H5*Assumptions!H7*Assumptions!H10*'Profit &amp; Loss Statement'!V7/10000000</f>
        <v>1.782</v>
      </c>
    </row>
    <row r="25" spans="2:22">
      <c r="B25" s="2" t="s">
        <v>5</v>
      </c>
      <c r="C25" s="15">
        <f>(Assumptions!E44/10000000)</f>
        <v>0.36</v>
      </c>
      <c r="D25" s="15">
        <f>(Assumptions!$E$44/10000000)</f>
        <v>0.36</v>
      </c>
      <c r="E25" s="15">
        <f>D25*1.03</f>
        <v>0.37080000000000002</v>
      </c>
      <c r="F25" s="15">
        <f t="shared" ref="F25:V25" si="5">E25*1.03</f>
        <v>0.38192400000000004</v>
      </c>
      <c r="G25" s="15">
        <f t="shared" si="5"/>
        <v>0.39338172000000005</v>
      </c>
      <c r="H25" s="15">
        <f t="shared" si="5"/>
        <v>0.40518317160000006</v>
      </c>
      <c r="I25" s="15">
        <f t="shared" si="5"/>
        <v>0.41733866674800008</v>
      </c>
      <c r="J25" s="15">
        <f t="shared" si="5"/>
        <v>0.42985882675044007</v>
      </c>
      <c r="K25" s="15">
        <f t="shared" si="5"/>
        <v>0.44275459155295327</v>
      </c>
      <c r="L25" s="15">
        <f t="shared" si="5"/>
        <v>0.45603722929954188</v>
      </c>
      <c r="M25" s="15">
        <f t="shared" si="5"/>
        <v>0.46971834617852815</v>
      </c>
      <c r="N25" s="15">
        <f t="shared" si="5"/>
        <v>0.48380989656388401</v>
      </c>
      <c r="O25" s="15">
        <f t="shared" si="5"/>
        <v>0.49832419346080054</v>
      </c>
      <c r="P25" s="15">
        <f t="shared" si="5"/>
        <v>0.51327391926462451</v>
      </c>
      <c r="Q25" s="15">
        <f t="shared" si="5"/>
        <v>0.52867213684256331</v>
      </c>
      <c r="R25" s="15">
        <f t="shared" si="5"/>
        <v>0.54453230094784022</v>
      </c>
      <c r="S25" s="15">
        <f t="shared" si="5"/>
        <v>0.56086826997627548</v>
      </c>
      <c r="T25" s="15">
        <f t="shared" si="5"/>
        <v>0.57769431807556371</v>
      </c>
      <c r="U25" s="15">
        <f t="shared" si="5"/>
        <v>0.59502514761783065</v>
      </c>
      <c r="V25" s="15">
        <f t="shared" si="5"/>
        <v>0.61287590204636555</v>
      </c>
    </row>
    <row r="26" spans="2:22">
      <c r="B26" s="2" t="s">
        <v>100</v>
      </c>
      <c r="C26" s="15">
        <f>'Debt Repayment'!D7</f>
        <v>0.72356074999999986</v>
      </c>
      <c r="D26" s="15">
        <f>'Debt Repayment'!D8</f>
        <v>0.72356074999999986</v>
      </c>
      <c r="E26" s="15">
        <f>'Debt Repayment'!D9</f>
        <v>0.62019492857142844</v>
      </c>
      <c r="F26" s="15">
        <f>'Debt Repayment'!D10</f>
        <v>0.51682910714285701</v>
      </c>
      <c r="G26" s="15">
        <f>'Debt Repayment'!D11</f>
        <v>0.41346328571428564</v>
      </c>
      <c r="H26" s="15">
        <f>'Debt Repayment'!D12</f>
        <v>0.31009746428571422</v>
      </c>
      <c r="I26" s="15">
        <f>'Debt Repayment'!D13</f>
        <v>0.20673164285714282</v>
      </c>
      <c r="J26" s="15">
        <f>'Debt Repayment'!D14</f>
        <v>0.10336582142857141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2:22">
      <c r="B27" s="2" t="s">
        <v>6</v>
      </c>
      <c r="C27" s="15">
        <f>Assumptions!$C$15*10%</f>
        <v>0.87288250000000012</v>
      </c>
      <c r="D27" s="15">
        <f>Assumptions!$C$15*10%</f>
        <v>0.87288250000000012</v>
      </c>
      <c r="E27" s="15">
        <f>Assumptions!$C$15*10%</f>
        <v>0.87288250000000012</v>
      </c>
      <c r="F27" s="15">
        <f>Assumptions!$C$15*10%</f>
        <v>0.87288250000000012</v>
      </c>
      <c r="G27" s="15">
        <f>Assumptions!$C$15*10%</f>
        <v>0.87288250000000012</v>
      </c>
      <c r="H27" s="15">
        <f>Assumptions!$C$15*10%</f>
        <v>0.87288250000000012</v>
      </c>
      <c r="I27" s="15">
        <f>Assumptions!$C$15*10%</f>
        <v>0.87288250000000012</v>
      </c>
      <c r="J27" s="15">
        <f>Assumptions!$C$15*10%</f>
        <v>0.87288250000000012</v>
      </c>
      <c r="K27" s="15">
        <f>Assumptions!$C$15*10%</f>
        <v>0.87288250000000012</v>
      </c>
      <c r="L27" s="15">
        <f>Assumptions!$C$15*10%</f>
        <v>0.87288250000000012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2:22">
      <c r="B28" s="2" t="s">
        <v>150</v>
      </c>
      <c r="C28" s="15">
        <f>(SUM(C21:C25)*2%)+Assumptions!C19</f>
        <v>0.17946260000000003</v>
      </c>
      <c r="D28" s="15">
        <f>(SUM(D21:D25)*2%)+Assumptions!C19</f>
        <v>0.19611440000000002</v>
      </c>
      <c r="E28" s="15">
        <f>(SUM(E21:E25)*2%)+Assumptions!C19</f>
        <v>0.19984743200000005</v>
      </c>
      <c r="F28" s="15">
        <f>(SUM(F21:F25)*2%)+Assumptions!C19</f>
        <v>0.20369245496000002</v>
      </c>
      <c r="G28" s="15">
        <f>(SUM(G21:G25)*2%)+Assumptions!C19</f>
        <v>0.21161282860880001</v>
      </c>
      <c r="H28" s="15">
        <f>(SUM(H21:H25)*2%)+Assumptions!C19</f>
        <v>0.21569201346706401</v>
      </c>
      <c r="I28" s="15">
        <f>(SUM(I21:I25)*2%)+Assumptions!C19</f>
        <v>0.21989357387107594</v>
      </c>
      <c r="J28" s="15">
        <f>(SUM(J21:J25)*2%)+Assumptions!C19</f>
        <v>0.2242211810872082</v>
      </c>
      <c r="K28" s="15">
        <f>(SUM(K21:K25)*2%)+Assumptions!C19</f>
        <v>0.22867861651982449</v>
      </c>
      <c r="L28" s="15">
        <f>(SUM(L21:L25)*2%)+Assumptions!C19</f>
        <v>0.23326977501541921</v>
      </c>
      <c r="M28" s="15">
        <f>(SUM(M21:M25)*2%)+Assumptions!C19</f>
        <v>0.23799866826588176</v>
      </c>
      <c r="N28" s="15">
        <f>(SUM(N21:N25)*2%)+Assumptions!C19</f>
        <v>0.24286942831385824</v>
      </c>
      <c r="O28" s="15">
        <f>(SUM(O21:O25)*2%)+Assumptions!C19</f>
        <v>0.247886311163274</v>
      </c>
      <c r="P28" s="15">
        <f>(SUM(P21:P25)*2%)+Assumptions!C19</f>
        <v>0.25305370049817222</v>
      </c>
      <c r="Q28" s="15">
        <f>(SUM(Q21:Q25)*2%)+Assumptions!C19</f>
        <v>0.25837611151311735</v>
      </c>
      <c r="R28" s="15">
        <f>(SUM(R21:R25)*2%)+Assumptions!C19</f>
        <v>0.26385819485851086</v>
      </c>
      <c r="S28" s="15">
        <f>(SUM(S21:S25)*2%)+Assumptions!C19</f>
        <v>0.26950474070426622</v>
      </c>
      <c r="T28" s="15">
        <f>(SUM(T21:T25)*2%)+Assumptions!C19</f>
        <v>0.27532068292539419</v>
      </c>
      <c r="U28" s="15">
        <f>(SUM(U21:U25)*2%)+Assumptions!C19</f>
        <v>0.28131110341315607</v>
      </c>
      <c r="V28" s="15">
        <f>(SUM(V21:V25)*2%)+Assumptions!C19</f>
        <v>0.28748123651555074</v>
      </c>
    </row>
    <row r="29" spans="2:22">
      <c r="B29" s="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2:22">
      <c r="B30" s="64" t="s">
        <v>7</v>
      </c>
      <c r="C30" s="65">
        <f t="shared" ref="C30:V30" si="6">SUM(C21:C26)+C28</f>
        <v>7.8761533500000001</v>
      </c>
      <c r="D30" s="65">
        <f t="shared" si="6"/>
        <v>8.7253951500000007</v>
      </c>
      <c r="E30" s="65">
        <f t="shared" si="6"/>
        <v>8.8124139605714298</v>
      </c>
      <c r="F30" s="65">
        <f t="shared" si="6"/>
        <v>8.9051443101028589</v>
      </c>
      <c r="G30" s="65">
        <f t="shared" si="6"/>
        <v>9.2057175447630861</v>
      </c>
      <c r="H30" s="65">
        <f t="shared" si="6"/>
        <v>9.3103901511059792</v>
      </c>
      <c r="I30" s="65">
        <f t="shared" si="6"/>
        <v>9.4213039102820151</v>
      </c>
      <c r="J30" s="65">
        <f t="shared" si="6"/>
        <v>9.538646056876189</v>
      </c>
      <c r="K30" s="65">
        <f t="shared" si="6"/>
        <v>9.662609442511048</v>
      </c>
      <c r="L30" s="65">
        <f t="shared" si="6"/>
        <v>9.8967585257863782</v>
      </c>
      <c r="M30" s="15">
        <f t="shared" si="6"/>
        <v>10.137932081559969</v>
      </c>
      <c r="N30" s="15">
        <f t="shared" si="6"/>
        <v>10.386340844006769</v>
      </c>
      <c r="O30" s="15">
        <f t="shared" si="6"/>
        <v>10.642201869326973</v>
      </c>
      <c r="P30" s="15">
        <f t="shared" si="6"/>
        <v>10.905738725406783</v>
      </c>
      <c r="Q30" s="15">
        <f t="shared" si="6"/>
        <v>11.177181687168984</v>
      </c>
      <c r="R30" s="15">
        <f t="shared" si="6"/>
        <v>11.456767937784054</v>
      </c>
      <c r="S30" s="15">
        <f t="shared" si="6"/>
        <v>11.744741775917577</v>
      </c>
      <c r="T30" s="15">
        <f t="shared" si="6"/>
        <v>12.041354829195104</v>
      </c>
      <c r="U30" s="15">
        <f t="shared" si="6"/>
        <v>12.346866274070958</v>
      </c>
      <c r="V30" s="15">
        <f t="shared" si="6"/>
        <v>12.661543062293086</v>
      </c>
    </row>
    <row r="31" spans="2:22">
      <c r="B31" s="3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2:22">
      <c r="B32" s="3" t="s">
        <v>124</v>
      </c>
      <c r="C32" s="15">
        <f t="shared" ref="C32:V32" si="7">(C17-C30)</f>
        <v>0.43984665000000067</v>
      </c>
      <c r="D32" s="15">
        <f t="shared" si="7"/>
        <v>0.7786048499999989</v>
      </c>
      <c r="E32" s="15">
        <f t="shared" si="7"/>
        <v>0.9767060394285707</v>
      </c>
      <c r="F32" s="15">
        <f t="shared" si="7"/>
        <v>1.1776492898971416</v>
      </c>
      <c r="G32" s="15">
        <f t="shared" si="7"/>
        <v>1.1795598632369142</v>
      </c>
      <c r="H32" s="15">
        <f t="shared" si="7"/>
        <v>1.3864455791340209</v>
      </c>
      <c r="I32" s="15">
        <f t="shared" si="7"/>
        <v>1.596436891865185</v>
      </c>
      <c r="J32" s="15">
        <f t="shared" si="7"/>
        <v>1.8096269693354277</v>
      </c>
      <c r="K32" s="15">
        <f t="shared" si="7"/>
        <v>2.0261117744869175</v>
      </c>
      <c r="L32" s="15">
        <f t="shared" si="7"/>
        <v>2.142624327721526</v>
      </c>
      <c r="M32" s="15">
        <f t="shared" si="7"/>
        <v>2.2626322575531734</v>
      </c>
      <c r="N32" s="15">
        <f t="shared" si="7"/>
        <v>2.3862404252797678</v>
      </c>
      <c r="O32" s="15">
        <f t="shared" si="7"/>
        <v>2.513556838038161</v>
      </c>
      <c r="P32" s="15">
        <f t="shared" si="7"/>
        <v>2.6446927431793057</v>
      </c>
      <c r="Q32" s="15">
        <f t="shared" si="7"/>
        <v>2.7797627254746882</v>
      </c>
      <c r="R32" s="15">
        <f t="shared" si="7"/>
        <v>2.9188848072389284</v>
      </c>
      <c r="S32" s="15">
        <f t="shared" si="7"/>
        <v>3.0621805514560965</v>
      </c>
      <c r="T32" s="15">
        <f t="shared" si="7"/>
        <v>3.2097751679997799</v>
      </c>
      <c r="U32" s="15">
        <f t="shared" si="7"/>
        <v>3.3617976230397719</v>
      </c>
      <c r="V32" s="15">
        <f t="shared" si="7"/>
        <v>3.5183807517309678</v>
      </c>
    </row>
    <row r="33" spans="2:22">
      <c r="B33" s="2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2:22">
      <c r="B34" s="3" t="s">
        <v>109</v>
      </c>
      <c r="C34" s="15">
        <f t="shared" ref="C34:V34" si="8">C17-C30</f>
        <v>0.43984665000000067</v>
      </c>
      <c r="D34" s="15">
        <f t="shared" si="8"/>
        <v>0.7786048499999989</v>
      </c>
      <c r="E34" s="15">
        <f t="shared" si="8"/>
        <v>0.9767060394285707</v>
      </c>
      <c r="F34" s="15">
        <f t="shared" si="8"/>
        <v>1.1776492898971416</v>
      </c>
      <c r="G34" s="15">
        <f t="shared" si="8"/>
        <v>1.1795598632369142</v>
      </c>
      <c r="H34" s="15">
        <f t="shared" si="8"/>
        <v>1.3864455791340209</v>
      </c>
      <c r="I34" s="15">
        <f t="shared" si="8"/>
        <v>1.596436891865185</v>
      </c>
      <c r="J34" s="15">
        <f t="shared" si="8"/>
        <v>1.8096269693354277</v>
      </c>
      <c r="K34" s="15">
        <f t="shared" si="8"/>
        <v>2.0261117744869175</v>
      </c>
      <c r="L34" s="15">
        <f t="shared" si="8"/>
        <v>2.142624327721526</v>
      </c>
      <c r="M34" s="15">
        <f t="shared" si="8"/>
        <v>2.2626322575531734</v>
      </c>
      <c r="N34" s="15">
        <f t="shared" si="8"/>
        <v>2.3862404252797678</v>
      </c>
      <c r="O34" s="15">
        <f t="shared" si="8"/>
        <v>2.513556838038161</v>
      </c>
      <c r="P34" s="15">
        <f t="shared" si="8"/>
        <v>2.6446927431793057</v>
      </c>
      <c r="Q34" s="15">
        <f t="shared" si="8"/>
        <v>2.7797627254746882</v>
      </c>
      <c r="R34" s="15">
        <f t="shared" si="8"/>
        <v>2.9188848072389284</v>
      </c>
      <c r="S34" s="15">
        <f t="shared" si="8"/>
        <v>3.0621805514560965</v>
      </c>
      <c r="T34" s="15">
        <f t="shared" si="8"/>
        <v>3.2097751679997799</v>
      </c>
      <c r="U34" s="15">
        <f t="shared" si="8"/>
        <v>3.3617976230397719</v>
      </c>
      <c r="V34" s="15">
        <f t="shared" si="8"/>
        <v>3.5183807517309678</v>
      </c>
    </row>
    <row r="35" spans="2:22">
      <c r="B35" s="66" t="s">
        <v>110</v>
      </c>
      <c r="C35" s="67">
        <f>C34*0.67</f>
        <v>0.29469725550000048</v>
      </c>
      <c r="D35" s="67">
        <f t="shared" ref="D35:V35" si="9">D34*0.67</f>
        <v>0.52166524949999926</v>
      </c>
      <c r="E35" s="67">
        <f t="shared" si="9"/>
        <v>0.65439304641714247</v>
      </c>
      <c r="F35" s="67">
        <f t="shared" si="9"/>
        <v>0.78902502423108489</v>
      </c>
      <c r="G35" s="67">
        <f t="shared" si="9"/>
        <v>0.79030510836873258</v>
      </c>
      <c r="H35" s="67">
        <f t="shared" si="9"/>
        <v>0.92891853801979407</v>
      </c>
      <c r="I35" s="67">
        <f t="shared" si="9"/>
        <v>1.0696127175496739</v>
      </c>
      <c r="J35" s="67">
        <f t="shared" si="9"/>
        <v>1.2124500694547367</v>
      </c>
      <c r="K35" s="67">
        <f t="shared" si="9"/>
        <v>1.3574948889062348</v>
      </c>
      <c r="L35" s="67">
        <f t="shared" si="9"/>
        <v>1.4355582995734224</v>
      </c>
      <c r="M35" s="15">
        <f t="shared" si="9"/>
        <v>1.5159636125606264</v>
      </c>
      <c r="N35" s="15">
        <f t="shared" si="9"/>
        <v>1.5987810849374444</v>
      </c>
      <c r="O35" s="15">
        <f t="shared" si="9"/>
        <v>1.6840830814855681</v>
      </c>
      <c r="P35" s="15">
        <f t="shared" si="9"/>
        <v>1.7719441379301348</v>
      </c>
      <c r="Q35" s="15">
        <f t="shared" si="9"/>
        <v>1.8624410260680413</v>
      </c>
      <c r="R35" s="15">
        <f t="shared" si="9"/>
        <v>1.9556528208500821</v>
      </c>
      <c r="S35" s="15">
        <f t="shared" si="9"/>
        <v>2.0516609694755847</v>
      </c>
      <c r="T35" s="15">
        <f t="shared" si="9"/>
        <v>2.1505493625598526</v>
      </c>
      <c r="U35" s="15">
        <f t="shared" si="9"/>
        <v>2.2524044074366474</v>
      </c>
      <c r="V35" s="15">
        <f t="shared" si="9"/>
        <v>2.3573151036597486</v>
      </c>
    </row>
    <row r="36" spans="2:22">
      <c r="C36" s="47"/>
      <c r="D36" s="47"/>
      <c r="E36" s="47"/>
      <c r="F36" s="47"/>
      <c r="G36" s="47"/>
    </row>
    <row r="37" spans="2:22">
      <c r="C37" s="47"/>
      <c r="D37" s="47"/>
      <c r="E37" s="47"/>
      <c r="F37" s="47"/>
      <c r="G37" s="47"/>
    </row>
  </sheetData>
  <mergeCells count="1">
    <mergeCell ref="B2:L2"/>
  </mergeCells>
  <pageMargins left="0.7" right="0.7" top="0.75" bottom="0.75" header="0.3" footer="0.3"/>
  <pageSetup scale="40" orientation="portrait" horizontalDpi="12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26"/>
  <sheetViews>
    <sheetView zoomScaleNormal="100" workbookViewId="0">
      <selection activeCell="B2" sqref="B2:L26"/>
    </sheetView>
  </sheetViews>
  <sheetFormatPr baseColWidth="10" defaultColWidth="8.83203125" defaultRowHeight="15"/>
  <cols>
    <col min="2" max="2" width="20" customWidth="1"/>
  </cols>
  <sheetData>
    <row r="2" spans="2:26" ht="21">
      <c r="B2" s="77" t="s">
        <v>108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4" spans="2:26">
      <c r="B4" s="68" t="s">
        <v>0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39</v>
      </c>
      <c r="K4" s="68" t="s">
        <v>84</v>
      </c>
      <c r="L4" s="68" t="s">
        <v>85</v>
      </c>
      <c r="M4" s="45" t="s">
        <v>86</v>
      </c>
      <c r="N4" s="45" t="s">
        <v>87</v>
      </c>
      <c r="O4" s="45" t="s">
        <v>88</v>
      </c>
      <c r="P4" s="45" t="s">
        <v>89</v>
      </c>
      <c r="Q4" s="45" t="s">
        <v>90</v>
      </c>
      <c r="R4" s="45" t="s">
        <v>91</v>
      </c>
      <c r="S4" s="45" t="s">
        <v>92</v>
      </c>
      <c r="T4" s="45" t="s">
        <v>93</v>
      </c>
      <c r="U4" s="45" t="s">
        <v>94</v>
      </c>
      <c r="V4" s="45" t="s">
        <v>95</v>
      </c>
    </row>
    <row r="5" spans="2:26">
      <c r="B5" s="68" t="s">
        <v>1</v>
      </c>
      <c r="C5" s="68" t="s">
        <v>15</v>
      </c>
      <c r="D5" s="68" t="s">
        <v>16</v>
      </c>
      <c r="E5" s="68" t="s">
        <v>17</v>
      </c>
      <c r="F5" s="68" t="s">
        <v>40</v>
      </c>
      <c r="G5" s="68" t="s">
        <v>72</v>
      </c>
      <c r="H5" s="68" t="s">
        <v>73</v>
      </c>
      <c r="I5" s="68" t="s">
        <v>74</v>
      </c>
      <c r="J5" s="68" t="s">
        <v>75</v>
      </c>
      <c r="K5" s="68" t="s">
        <v>76</v>
      </c>
      <c r="L5" s="68" t="s">
        <v>77</v>
      </c>
      <c r="M5" s="45" t="s">
        <v>78</v>
      </c>
      <c r="N5" s="45" t="s">
        <v>79</v>
      </c>
      <c r="O5" s="45" t="s">
        <v>80</v>
      </c>
      <c r="P5" s="45" t="s">
        <v>81</v>
      </c>
      <c r="Q5" s="45" t="s">
        <v>82</v>
      </c>
      <c r="R5" s="45" t="s">
        <v>83</v>
      </c>
      <c r="S5" s="45" t="s">
        <v>131</v>
      </c>
      <c r="T5" s="45" t="s">
        <v>132</v>
      </c>
      <c r="U5" s="45" t="s">
        <v>133</v>
      </c>
      <c r="V5" s="45" t="s">
        <v>134</v>
      </c>
    </row>
    <row r="6" spans="2:26">
      <c r="B6" s="2"/>
      <c r="C6" s="2"/>
      <c r="D6" s="2"/>
      <c r="E6" s="2"/>
      <c r="F6" s="2"/>
      <c r="G6" s="2"/>
      <c r="H6" s="2"/>
      <c r="I6" s="2"/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2:26">
      <c r="B7" s="3" t="s">
        <v>25</v>
      </c>
      <c r="C7" s="4"/>
      <c r="D7" s="4"/>
      <c r="E7" s="4"/>
      <c r="F7" s="4"/>
      <c r="G7" s="4"/>
      <c r="H7" s="4"/>
      <c r="I7" s="4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2:26">
      <c r="B8" s="2"/>
      <c r="C8" s="4"/>
      <c r="D8" s="4"/>
      <c r="E8" s="4"/>
      <c r="F8" s="4"/>
      <c r="G8" s="4"/>
      <c r="H8" s="4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>
      <c r="B9" s="2" t="s">
        <v>18</v>
      </c>
      <c r="C9" s="15">
        <f>'Profit &amp; Loss Statement'!C35</f>
        <v>0.29469725550000048</v>
      </c>
      <c r="D9" s="15">
        <f>'Profit &amp; Loss Statement'!D35</f>
        <v>0.52166524949999926</v>
      </c>
      <c r="E9" s="15">
        <f>'Profit &amp; Loss Statement'!E35</f>
        <v>0.65439304641714247</v>
      </c>
      <c r="F9" s="15">
        <f>'Profit &amp; Loss Statement'!F35</f>
        <v>0.78902502423108489</v>
      </c>
      <c r="G9" s="15">
        <f>'Profit &amp; Loss Statement'!G35</f>
        <v>0.79030510836873258</v>
      </c>
      <c r="H9" s="15">
        <f>'Profit &amp; Loss Statement'!H35</f>
        <v>0.92891853801979407</v>
      </c>
      <c r="I9" s="15">
        <f>'Profit &amp; Loss Statement'!I35</f>
        <v>1.0696127175496739</v>
      </c>
      <c r="J9" s="15">
        <f>'Profit &amp; Loss Statement'!J35</f>
        <v>1.2124500694547367</v>
      </c>
      <c r="K9" s="15">
        <f>'Profit &amp; Loss Statement'!K35</f>
        <v>1.3574948889062348</v>
      </c>
      <c r="L9" s="15">
        <f>'Profit &amp; Loss Statement'!L35</f>
        <v>1.4355582995734224</v>
      </c>
      <c r="M9" s="15">
        <f>'Profit &amp; Loss Statement'!M35</f>
        <v>1.5159636125606264</v>
      </c>
      <c r="N9" s="15">
        <f>'Profit &amp; Loss Statement'!N35</f>
        <v>1.5987810849374444</v>
      </c>
      <c r="O9" s="15">
        <f>'Profit &amp; Loss Statement'!O35</f>
        <v>1.6840830814855681</v>
      </c>
      <c r="P9" s="15">
        <f>'Profit &amp; Loss Statement'!P35</f>
        <v>1.7719441379301348</v>
      </c>
      <c r="Q9" s="15">
        <f>'Profit &amp; Loss Statement'!Q35</f>
        <v>1.8624410260680413</v>
      </c>
      <c r="R9" s="15">
        <f>'Profit &amp; Loss Statement'!R35</f>
        <v>1.9556528208500821</v>
      </c>
      <c r="S9" s="15">
        <f>'Profit &amp; Loss Statement'!S35</f>
        <v>2.0516609694755847</v>
      </c>
      <c r="T9" s="15">
        <f>'Profit &amp; Loss Statement'!T35</f>
        <v>2.1505493625598526</v>
      </c>
      <c r="U9" s="15">
        <f>'Profit &amp; Loss Statement'!U35</f>
        <v>2.2524044074366474</v>
      </c>
      <c r="V9" s="15">
        <f>'Profit &amp; Loss Statement'!V35</f>
        <v>2.3573151036597486</v>
      </c>
      <c r="W9" s="34"/>
      <c r="X9" s="11"/>
      <c r="Y9" s="11"/>
      <c r="Z9" s="11"/>
    </row>
    <row r="10" spans="2:26">
      <c r="B10" s="2" t="s">
        <v>6</v>
      </c>
      <c r="C10" s="15">
        <f>'Profit &amp; Loss Statement'!C27</f>
        <v>0.87288250000000012</v>
      </c>
      <c r="D10" s="15">
        <f>'Profit &amp; Loss Statement'!D27</f>
        <v>0.87288250000000012</v>
      </c>
      <c r="E10" s="15">
        <f>'Profit &amp; Loss Statement'!E27</f>
        <v>0.87288250000000012</v>
      </c>
      <c r="F10" s="15">
        <f>'Profit &amp; Loss Statement'!F27</f>
        <v>0.87288250000000012</v>
      </c>
      <c r="G10" s="15">
        <f>'Profit &amp; Loss Statement'!G27</f>
        <v>0.87288250000000012</v>
      </c>
      <c r="H10" s="15">
        <f>'Profit &amp; Loss Statement'!H27</f>
        <v>0.87288250000000012</v>
      </c>
      <c r="I10" s="15">
        <f>'Profit &amp; Loss Statement'!I27</f>
        <v>0.87288250000000012</v>
      </c>
      <c r="J10" s="15">
        <f>'Profit &amp; Loss Statement'!J27</f>
        <v>0.87288250000000012</v>
      </c>
      <c r="K10" s="15">
        <f>'Profit &amp; Loss Statement'!K27</f>
        <v>0.87288250000000012</v>
      </c>
      <c r="L10" s="15">
        <f>'Profit &amp; Loss Statement'!L27</f>
        <v>0.87288250000000012</v>
      </c>
      <c r="M10" s="15">
        <f>'Profit &amp; Loss Statement'!M27</f>
        <v>0</v>
      </c>
      <c r="N10" s="15">
        <f>'Profit &amp; Loss Statement'!N27</f>
        <v>0</v>
      </c>
      <c r="O10" s="15">
        <f>'Profit &amp; Loss Statement'!O27</f>
        <v>0</v>
      </c>
      <c r="P10" s="15">
        <f>'Profit &amp; Loss Statement'!P27</f>
        <v>0</v>
      </c>
      <c r="Q10" s="15">
        <f>'Profit &amp; Loss Statement'!Q27</f>
        <v>0</v>
      </c>
      <c r="R10" s="15">
        <f>'Profit &amp; Loss Statement'!R27</f>
        <v>0</v>
      </c>
      <c r="S10" s="15">
        <f>'Profit &amp; Loss Statement'!S27</f>
        <v>0</v>
      </c>
      <c r="T10" s="15">
        <f>'Profit &amp; Loss Statement'!T27</f>
        <v>0</v>
      </c>
      <c r="U10" s="15">
        <f>'Profit &amp; Loss Statement'!U27</f>
        <v>0</v>
      </c>
      <c r="V10" s="15">
        <f>'Profit &amp; Loss Statement'!V27</f>
        <v>0</v>
      </c>
    </row>
    <row r="11" spans="2:26">
      <c r="B11" s="2" t="s">
        <v>102</v>
      </c>
      <c r="C11" s="15">
        <f>Assumptions!C31</f>
        <v>2.1509999999999998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2:26">
      <c r="B12" s="2" t="s">
        <v>103</v>
      </c>
      <c r="C12" s="15">
        <f>Assumptions!C32</f>
        <v>6.5778249999999989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6">
      <c r="B13" s="69" t="s">
        <v>104</v>
      </c>
      <c r="C13" s="70">
        <f>SUM(C9:C12)</f>
        <v>9.896404755499999</v>
      </c>
      <c r="D13" s="70">
        <f t="shared" ref="D13:J13" si="0">SUM(D9:D11)</f>
        <v>1.3945477494999994</v>
      </c>
      <c r="E13" s="70">
        <f t="shared" si="0"/>
        <v>1.5272755464171426</v>
      </c>
      <c r="F13" s="70">
        <f t="shared" si="0"/>
        <v>1.661907524231085</v>
      </c>
      <c r="G13" s="70">
        <f t="shared" si="0"/>
        <v>1.6631876083687327</v>
      </c>
      <c r="H13" s="70">
        <f t="shared" si="0"/>
        <v>1.8018010380197942</v>
      </c>
      <c r="I13" s="70">
        <f t="shared" si="0"/>
        <v>1.9424952175496739</v>
      </c>
      <c r="J13" s="70">
        <f t="shared" si="0"/>
        <v>2.0853325694547369</v>
      </c>
      <c r="K13" s="70">
        <f t="shared" ref="K13:U13" si="1">SUM(K9:K11)</f>
        <v>2.230377388906235</v>
      </c>
      <c r="L13" s="70">
        <f t="shared" si="1"/>
        <v>2.3084407995734226</v>
      </c>
      <c r="M13" s="15">
        <f t="shared" si="1"/>
        <v>1.5159636125606264</v>
      </c>
      <c r="N13" s="15">
        <f t="shared" si="1"/>
        <v>1.5987810849374444</v>
      </c>
      <c r="O13" s="15">
        <f t="shared" si="1"/>
        <v>1.6840830814855681</v>
      </c>
      <c r="P13" s="15">
        <f t="shared" si="1"/>
        <v>1.7719441379301348</v>
      </c>
      <c r="Q13" s="15">
        <f>SUM(Q9:Q11)</f>
        <v>1.8624410260680413</v>
      </c>
      <c r="R13" s="15">
        <f t="shared" si="1"/>
        <v>1.9556528208500821</v>
      </c>
      <c r="S13" s="15">
        <f t="shared" si="1"/>
        <v>2.0516609694755847</v>
      </c>
      <c r="T13" s="15">
        <f t="shared" si="1"/>
        <v>2.1505493625598526</v>
      </c>
      <c r="U13" s="15">
        <f t="shared" si="1"/>
        <v>2.2524044074366474</v>
      </c>
      <c r="V13" s="15">
        <f>SUM(V9:V11)</f>
        <v>2.3573151036597486</v>
      </c>
    </row>
    <row r="14" spans="2:26">
      <c r="B14" s="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2:26">
      <c r="B15" s="3" t="s">
        <v>26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2:26">
      <c r="B16" s="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>
      <c r="B17" s="2" t="s">
        <v>27</v>
      </c>
      <c r="C17" s="15">
        <f>Assumptions!C15</f>
        <v>8.7288250000000005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>
      <c r="B18" s="2" t="s">
        <v>28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>
      <c r="B19" s="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2:22">
      <c r="B20" s="2" t="s">
        <v>29</v>
      </c>
      <c r="C20" s="15">
        <f>'Debt Repayment'!C7</f>
        <v>0</v>
      </c>
      <c r="D20" s="15">
        <f>'Debt Repayment'!C8</f>
        <v>0.93968928571428556</v>
      </c>
      <c r="E20" s="15">
        <f>'Debt Repayment'!C9</f>
        <v>0.93968928571428556</v>
      </c>
      <c r="F20" s="15">
        <f>'Debt Repayment'!C10</f>
        <v>0.93968928571428556</v>
      </c>
      <c r="G20" s="15">
        <f>'Debt Repayment'!C11</f>
        <v>0.93968928571428556</v>
      </c>
      <c r="H20" s="15">
        <f>'Debt Repayment'!C12</f>
        <v>0.93968928571428556</v>
      </c>
      <c r="I20" s="15">
        <f>'Debt Repayment'!C13</f>
        <v>0.93968928571428556</v>
      </c>
      <c r="J20" s="15">
        <f>'Debt Repayment'!C14</f>
        <v>0.93968928571428556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</row>
    <row r="21" spans="2:22">
      <c r="B21" s="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2">
      <c r="B22" s="69" t="s">
        <v>30</v>
      </c>
      <c r="C22" s="70">
        <f>SUM(C17:C21)</f>
        <v>8.7288250000000005</v>
      </c>
      <c r="D22" s="70">
        <f t="shared" ref="D22:V22" si="2">SUM(D17:D21)</f>
        <v>0.93968928571428556</v>
      </c>
      <c r="E22" s="70">
        <f t="shared" si="2"/>
        <v>0.93968928571428556</v>
      </c>
      <c r="F22" s="70">
        <f t="shared" si="2"/>
        <v>0.93968928571428556</v>
      </c>
      <c r="G22" s="70">
        <f t="shared" si="2"/>
        <v>0.93968928571428556</v>
      </c>
      <c r="H22" s="70">
        <f t="shared" si="2"/>
        <v>0.93968928571428556</v>
      </c>
      <c r="I22" s="70">
        <f t="shared" si="2"/>
        <v>0.93968928571428556</v>
      </c>
      <c r="J22" s="70">
        <f t="shared" si="2"/>
        <v>0.93968928571428556</v>
      </c>
      <c r="K22" s="70">
        <f t="shared" si="2"/>
        <v>0</v>
      </c>
      <c r="L22" s="70">
        <f t="shared" si="2"/>
        <v>0</v>
      </c>
      <c r="M22" s="15">
        <f t="shared" si="2"/>
        <v>0</v>
      </c>
      <c r="N22" s="15">
        <f t="shared" si="2"/>
        <v>0</v>
      </c>
      <c r="O22" s="15">
        <f t="shared" si="2"/>
        <v>0</v>
      </c>
      <c r="P22" s="15">
        <f t="shared" si="2"/>
        <v>0</v>
      </c>
      <c r="Q22" s="15">
        <f t="shared" si="2"/>
        <v>0</v>
      </c>
      <c r="R22" s="15">
        <f t="shared" si="2"/>
        <v>0</v>
      </c>
      <c r="S22" s="15">
        <f t="shared" si="2"/>
        <v>0</v>
      </c>
      <c r="T22" s="15">
        <f t="shared" si="2"/>
        <v>0</v>
      </c>
      <c r="U22" s="15">
        <f t="shared" si="2"/>
        <v>0</v>
      </c>
      <c r="V22" s="15">
        <f t="shared" si="2"/>
        <v>0</v>
      </c>
    </row>
    <row r="23" spans="2:22">
      <c r="B23" s="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>
      <c r="B24" s="2" t="s">
        <v>105</v>
      </c>
      <c r="C24" s="15">
        <v>0</v>
      </c>
      <c r="D24" s="15">
        <f>C26</f>
        <v>1.1675797554999985</v>
      </c>
      <c r="E24" s="15">
        <f t="shared" ref="E24:J24" si="3">D26</f>
        <v>1.6224382192857123</v>
      </c>
      <c r="F24" s="15">
        <f t="shared" si="3"/>
        <v>2.2100244799885695</v>
      </c>
      <c r="G24" s="15">
        <f t="shared" si="3"/>
        <v>2.932242718505369</v>
      </c>
      <c r="H24" s="15">
        <f t="shared" si="3"/>
        <v>3.6557410411598159</v>
      </c>
      <c r="I24" s="15">
        <f t="shared" si="3"/>
        <v>4.517852793465325</v>
      </c>
      <c r="J24" s="15">
        <f t="shared" si="3"/>
        <v>5.5206587253007129</v>
      </c>
      <c r="K24" s="15">
        <f t="shared" ref="K24:Q24" si="4">J26</f>
        <v>6.6663020090411642</v>
      </c>
      <c r="L24" s="15">
        <f t="shared" si="4"/>
        <v>8.8966793979473984</v>
      </c>
      <c r="M24" s="15">
        <f t="shared" si="4"/>
        <v>11.20512019752082</v>
      </c>
      <c r="N24" s="15">
        <f t="shared" si="4"/>
        <v>12.721083810081446</v>
      </c>
      <c r="O24" s="15">
        <f t="shared" si="4"/>
        <v>14.31986489501889</v>
      </c>
      <c r="P24" s="15">
        <f t="shared" si="4"/>
        <v>16.00394797650446</v>
      </c>
      <c r="Q24" s="15">
        <f t="shared" si="4"/>
        <v>17.775892114434594</v>
      </c>
      <c r="R24" s="15">
        <f t="shared" ref="R24:V24" si="5">Q26</f>
        <v>19.638333140502635</v>
      </c>
      <c r="S24" s="15">
        <f t="shared" si="5"/>
        <v>21.593985961352718</v>
      </c>
      <c r="T24" s="15">
        <f t="shared" si="5"/>
        <v>23.645646930828303</v>
      </c>
      <c r="U24" s="15">
        <f t="shared" si="5"/>
        <v>25.796196293388157</v>
      </c>
      <c r="V24" s="15">
        <f t="shared" si="5"/>
        <v>28.048600700824803</v>
      </c>
    </row>
    <row r="25" spans="2:22">
      <c r="B25" s="2" t="s">
        <v>106</v>
      </c>
      <c r="C25" s="15">
        <f>C13-C22</f>
        <v>1.1675797554999985</v>
      </c>
      <c r="D25" s="15">
        <f>D13-D22</f>
        <v>0.45485846378571382</v>
      </c>
      <c r="E25" s="15">
        <f t="shared" ref="E25:J25" si="6">E13-E22</f>
        <v>0.58758626070285702</v>
      </c>
      <c r="F25" s="15">
        <f t="shared" si="6"/>
        <v>0.72221823851679945</v>
      </c>
      <c r="G25" s="15">
        <f t="shared" si="6"/>
        <v>0.72349832265444713</v>
      </c>
      <c r="H25" s="15">
        <f t="shared" si="6"/>
        <v>0.86211175230550863</v>
      </c>
      <c r="I25" s="15">
        <f t="shared" si="6"/>
        <v>1.0028059318353884</v>
      </c>
      <c r="J25" s="15">
        <f t="shared" si="6"/>
        <v>1.1456432837404513</v>
      </c>
      <c r="K25" s="15">
        <f t="shared" ref="K25:Q25" si="7">K13-K22</f>
        <v>2.230377388906235</v>
      </c>
      <c r="L25" s="15">
        <f t="shared" si="7"/>
        <v>2.3084407995734226</v>
      </c>
      <c r="M25" s="15">
        <f t="shared" si="7"/>
        <v>1.5159636125606264</v>
      </c>
      <c r="N25" s="15">
        <f t="shared" si="7"/>
        <v>1.5987810849374444</v>
      </c>
      <c r="O25" s="15">
        <f t="shared" si="7"/>
        <v>1.6840830814855681</v>
      </c>
      <c r="P25" s="15">
        <f t="shared" si="7"/>
        <v>1.7719441379301348</v>
      </c>
      <c r="Q25" s="15">
        <f t="shared" si="7"/>
        <v>1.8624410260680413</v>
      </c>
      <c r="R25" s="15">
        <f t="shared" ref="R25:V25" si="8">R13-R22</f>
        <v>1.9556528208500821</v>
      </c>
      <c r="S25" s="15">
        <f t="shared" si="8"/>
        <v>2.0516609694755847</v>
      </c>
      <c r="T25" s="15">
        <f t="shared" si="8"/>
        <v>2.1505493625598526</v>
      </c>
      <c r="U25" s="15">
        <f t="shared" si="8"/>
        <v>2.2524044074366474</v>
      </c>
      <c r="V25" s="15">
        <f t="shared" si="8"/>
        <v>2.3573151036597486</v>
      </c>
    </row>
    <row r="26" spans="2:22">
      <c r="B26" s="71" t="s">
        <v>107</v>
      </c>
      <c r="C26" s="70">
        <f>C25</f>
        <v>1.1675797554999985</v>
      </c>
      <c r="D26" s="70">
        <f>C26+D25</f>
        <v>1.6224382192857123</v>
      </c>
      <c r="E26" s="70">
        <f t="shared" ref="E26:J26" si="9">D26+E25</f>
        <v>2.2100244799885695</v>
      </c>
      <c r="F26" s="70">
        <f t="shared" si="9"/>
        <v>2.932242718505369</v>
      </c>
      <c r="G26" s="70">
        <f t="shared" si="9"/>
        <v>3.6557410411598159</v>
      </c>
      <c r="H26" s="70">
        <f t="shared" si="9"/>
        <v>4.517852793465325</v>
      </c>
      <c r="I26" s="70">
        <f t="shared" si="9"/>
        <v>5.5206587253007129</v>
      </c>
      <c r="J26" s="70">
        <f t="shared" si="9"/>
        <v>6.6663020090411642</v>
      </c>
      <c r="K26" s="70">
        <f t="shared" ref="K26" si="10">J26+K25</f>
        <v>8.8966793979473984</v>
      </c>
      <c r="L26" s="70">
        <f t="shared" ref="L26" si="11">K26+L25</f>
        <v>11.20512019752082</v>
      </c>
      <c r="M26" s="15">
        <f t="shared" ref="M26" si="12">L26+M25</f>
        <v>12.721083810081446</v>
      </c>
      <c r="N26" s="15">
        <f t="shared" ref="N26" si="13">M26+N25</f>
        <v>14.31986489501889</v>
      </c>
      <c r="O26" s="15">
        <f t="shared" ref="O26" si="14">N26+O25</f>
        <v>16.00394797650446</v>
      </c>
      <c r="P26" s="15">
        <f t="shared" ref="P26" si="15">O26+P25</f>
        <v>17.775892114434594</v>
      </c>
      <c r="Q26" s="15">
        <f t="shared" ref="Q26" si="16">P26+Q25</f>
        <v>19.638333140502635</v>
      </c>
      <c r="R26" s="15">
        <f t="shared" ref="R26" si="17">Q26+R25</f>
        <v>21.593985961352718</v>
      </c>
      <c r="S26" s="15">
        <f t="shared" ref="S26" si="18">R26+S25</f>
        <v>23.645646930828303</v>
      </c>
      <c r="T26" s="15">
        <f t="shared" ref="T26" si="19">S26+T25</f>
        <v>25.796196293388157</v>
      </c>
      <c r="U26" s="15">
        <f t="shared" ref="U26:V26" si="20">T26+U25</f>
        <v>28.048600700824803</v>
      </c>
      <c r="V26" s="15">
        <f t="shared" si="20"/>
        <v>30.40591580448455</v>
      </c>
    </row>
  </sheetData>
  <mergeCells count="1">
    <mergeCell ref="B2:L2"/>
  </mergeCells>
  <phoneticPr fontId="20" type="noConversion"/>
  <pageMargins left="0.7" right="0.7" top="0.75" bottom="0.75" header="0.3" footer="0.3"/>
  <pageSetup paperSize="9" scale="38" orientation="portrait" horizontalDpi="0" verticalDpi="0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0"/>
  <sheetViews>
    <sheetView zoomScaleNormal="100" workbookViewId="0">
      <selection activeCell="F23" sqref="F23"/>
    </sheetView>
  </sheetViews>
  <sheetFormatPr baseColWidth="10" defaultColWidth="8.83203125" defaultRowHeight="15"/>
  <cols>
    <col min="2" max="2" width="20.33203125" bestFit="1" customWidth="1"/>
  </cols>
  <sheetData>
    <row r="1" spans="2:12" ht="16" thickBot="1"/>
    <row r="2" spans="2:12" ht="22" thickBot="1">
      <c r="B2" s="79" t="s">
        <v>66</v>
      </c>
      <c r="C2" s="80"/>
      <c r="D2" s="80"/>
      <c r="E2" s="80"/>
      <c r="F2" s="80"/>
      <c r="G2" s="80"/>
      <c r="H2" s="80"/>
      <c r="I2" s="80"/>
      <c r="J2" s="81"/>
    </row>
    <row r="4" spans="2:12">
      <c r="B4" s="45" t="s">
        <v>0</v>
      </c>
      <c r="C4" s="45" t="s">
        <v>8</v>
      </c>
      <c r="D4" s="45" t="s">
        <v>9</v>
      </c>
      <c r="E4" s="45" t="s">
        <v>10</v>
      </c>
      <c r="F4" s="45" t="s">
        <v>11</v>
      </c>
      <c r="G4" s="45" t="s">
        <v>12</v>
      </c>
      <c r="H4" s="45" t="s">
        <v>13</v>
      </c>
      <c r="I4" s="45" t="s">
        <v>14</v>
      </c>
      <c r="J4" s="45" t="s">
        <v>39</v>
      </c>
    </row>
    <row r="5" spans="2:12">
      <c r="B5" s="45" t="s">
        <v>1</v>
      </c>
      <c r="C5" s="45" t="s">
        <v>15</v>
      </c>
      <c r="D5" s="45" t="s">
        <v>16</v>
      </c>
      <c r="E5" s="45" t="s">
        <v>17</v>
      </c>
      <c r="F5" s="45" t="s">
        <v>40</v>
      </c>
      <c r="G5" s="45" t="s">
        <v>72</v>
      </c>
      <c r="H5" s="45" t="s">
        <v>73</v>
      </c>
      <c r="I5" s="45" t="s">
        <v>74</v>
      </c>
      <c r="J5" s="45" t="s">
        <v>75</v>
      </c>
      <c r="L5" s="13"/>
    </row>
    <row r="6" spans="2:12">
      <c r="B6" s="2"/>
      <c r="C6" s="2"/>
      <c r="D6" s="2"/>
      <c r="E6" s="2"/>
      <c r="F6" s="2"/>
      <c r="G6" s="2"/>
      <c r="H6" s="2"/>
      <c r="I6" s="2"/>
      <c r="J6" s="2"/>
    </row>
    <row r="7" spans="2:12">
      <c r="B7" s="2" t="s">
        <v>111</v>
      </c>
      <c r="C7" s="12">
        <f>'Profit &amp; Loss Statement'!C34</f>
        <v>0.43984665000000067</v>
      </c>
      <c r="D7" s="12">
        <f>'Profit &amp; Loss Statement'!D34</f>
        <v>0.7786048499999989</v>
      </c>
      <c r="E7" s="12">
        <f>'Profit &amp; Loss Statement'!E34</f>
        <v>0.9767060394285707</v>
      </c>
      <c r="F7" s="12">
        <f>'Profit &amp; Loss Statement'!F34</f>
        <v>1.1776492898971416</v>
      </c>
      <c r="G7" s="12">
        <f>'Profit &amp; Loss Statement'!G34</f>
        <v>1.1795598632369142</v>
      </c>
      <c r="H7" s="12">
        <f>'Profit &amp; Loss Statement'!H34</f>
        <v>1.3864455791340209</v>
      </c>
      <c r="I7" s="12">
        <f>'Profit &amp; Loss Statement'!I34</f>
        <v>1.596436891865185</v>
      </c>
      <c r="J7" s="12">
        <f>'Profit &amp; Loss Statement'!J34</f>
        <v>1.8096269693354277</v>
      </c>
    </row>
    <row r="8" spans="2:12">
      <c r="B8" s="2"/>
      <c r="C8" s="15"/>
      <c r="D8" s="15"/>
      <c r="E8" s="15"/>
      <c r="F8" s="15"/>
      <c r="G8" s="15"/>
      <c r="H8" s="15"/>
      <c r="I8" s="15"/>
      <c r="J8" s="15"/>
    </row>
    <row r="9" spans="2:12">
      <c r="B9" s="2" t="s">
        <v>6</v>
      </c>
      <c r="C9" s="15">
        <f>'Profit &amp; Loss Statement'!C27</f>
        <v>0.87288250000000012</v>
      </c>
      <c r="D9" s="15">
        <f>'Profit &amp; Loss Statement'!D27</f>
        <v>0.87288250000000012</v>
      </c>
      <c r="E9" s="15">
        <f>'Profit &amp; Loss Statement'!E27</f>
        <v>0.87288250000000012</v>
      </c>
      <c r="F9" s="15">
        <f>'Profit &amp; Loss Statement'!F27</f>
        <v>0.87288250000000012</v>
      </c>
      <c r="G9" s="15">
        <f>'Profit &amp; Loss Statement'!G27</f>
        <v>0.87288250000000012</v>
      </c>
      <c r="H9" s="15">
        <f>'Profit &amp; Loss Statement'!H27</f>
        <v>0.87288250000000012</v>
      </c>
      <c r="I9" s="15">
        <f>'Profit &amp; Loss Statement'!I27</f>
        <v>0.87288250000000012</v>
      </c>
      <c r="J9" s="15">
        <f>'Profit &amp; Loss Statement'!J27</f>
        <v>0.87288250000000012</v>
      </c>
    </row>
    <row r="10" spans="2:12">
      <c r="B10" s="2"/>
      <c r="C10" s="15"/>
      <c r="D10" s="15"/>
      <c r="E10" s="15"/>
      <c r="F10" s="15"/>
      <c r="G10" s="15"/>
      <c r="H10" s="15"/>
      <c r="I10" s="15"/>
      <c r="J10" s="15"/>
    </row>
    <row r="11" spans="2:12">
      <c r="B11" s="3" t="s">
        <v>19</v>
      </c>
      <c r="C11" s="15">
        <f t="shared" ref="C11:J11" si="0">SUM(C7:C10)</f>
        <v>1.3127291500000009</v>
      </c>
      <c r="D11" s="15">
        <f t="shared" si="0"/>
        <v>1.6514873499999991</v>
      </c>
      <c r="E11" s="15">
        <f t="shared" si="0"/>
        <v>1.8495885394285709</v>
      </c>
      <c r="F11" s="15">
        <f t="shared" si="0"/>
        <v>2.0505317898971418</v>
      </c>
      <c r="G11" s="15">
        <f t="shared" si="0"/>
        <v>2.0524423632369144</v>
      </c>
      <c r="H11" s="15">
        <f t="shared" si="0"/>
        <v>2.2593280791340211</v>
      </c>
      <c r="I11" s="15">
        <f t="shared" si="0"/>
        <v>2.4693193918651852</v>
      </c>
      <c r="J11" s="15">
        <f t="shared" si="0"/>
        <v>2.6825094693354279</v>
      </c>
    </row>
    <row r="12" spans="2:12">
      <c r="B12" s="2"/>
      <c r="C12" s="15"/>
      <c r="D12" s="15"/>
      <c r="E12" s="15"/>
      <c r="F12" s="15"/>
      <c r="G12" s="15"/>
      <c r="H12" s="15"/>
      <c r="I12" s="15"/>
      <c r="J12" s="15"/>
    </row>
    <row r="13" spans="2:12">
      <c r="B13" s="2" t="s">
        <v>20</v>
      </c>
      <c r="C13" s="15">
        <f>'Cash Flow'!C20</f>
        <v>0</v>
      </c>
      <c r="D13" s="15">
        <f>'Cash Flow'!D20</f>
        <v>0.93968928571428556</v>
      </c>
      <c r="E13" s="15">
        <f>'Cash Flow'!E20</f>
        <v>0.93968928571428556</v>
      </c>
      <c r="F13" s="15">
        <f>'Cash Flow'!F20</f>
        <v>0.93968928571428556</v>
      </c>
      <c r="G13" s="15">
        <f>'Cash Flow'!G20</f>
        <v>0.93968928571428556</v>
      </c>
      <c r="H13" s="15">
        <f>'Cash Flow'!H20</f>
        <v>0.93968928571428556</v>
      </c>
      <c r="I13" s="15">
        <f>'Cash Flow'!I20</f>
        <v>0.93968928571428556</v>
      </c>
      <c r="J13" s="15">
        <f>'Cash Flow'!J20</f>
        <v>0.93968928571428556</v>
      </c>
    </row>
    <row r="14" spans="2:12">
      <c r="B14" s="2" t="s">
        <v>21</v>
      </c>
      <c r="C14" s="15">
        <f>'Debt Repayment'!D7</f>
        <v>0.72356074999999986</v>
      </c>
      <c r="D14" s="15">
        <f>'Debt Repayment'!D8</f>
        <v>0.72356074999999986</v>
      </c>
      <c r="E14" s="15">
        <f>'Debt Repayment'!D9</f>
        <v>0.62019492857142844</v>
      </c>
      <c r="F14" s="15">
        <f>'Debt Repayment'!D10</f>
        <v>0.51682910714285701</v>
      </c>
      <c r="G14" s="15">
        <f>'Debt Repayment'!D11</f>
        <v>0.41346328571428564</v>
      </c>
      <c r="H14" s="15">
        <f>'Debt Repayment'!D12</f>
        <v>0.31009746428571422</v>
      </c>
      <c r="I14" s="15">
        <f>'Debt Repayment'!D13</f>
        <v>0.20673164285714282</v>
      </c>
      <c r="J14" s="15">
        <f>'Debt Repayment'!D14</f>
        <v>0.10336582142857141</v>
      </c>
    </row>
    <row r="15" spans="2:12">
      <c r="B15" s="2"/>
      <c r="C15" s="15"/>
      <c r="D15" s="15"/>
      <c r="E15" s="15"/>
      <c r="F15" s="15"/>
      <c r="G15" s="15"/>
      <c r="H15" s="15"/>
      <c r="I15" s="15"/>
      <c r="J15" s="15"/>
    </row>
    <row r="16" spans="2:12">
      <c r="B16" s="3" t="s">
        <v>22</v>
      </c>
      <c r="C16" s="15">
        <f>SUM(C13:C15)</f>
        <v>0.72356074999999986</v>
      </c>
      <c r="D16" s="15">
        <f t="shared" ref="D16:J16" si="1">SUM(D13:D15)</f>
        <v>1.6632500357142854</v>
      </c>
      <c r="E16" s="15">
        <f t="shared" si="1"/>
        <v>1.5598842142857139</v>
      </c>
      <c r="F16" s="15">
        <f t="shared" si="1"/>
        <v>1.4565183928571426</v>
      </c>
      <c r="G16" s="15">
        <f t="shared" si="1"/>
        <v>1.3531525714285713</v>
      </c>
      <c r="H16" s="15">
        <f t="shared" si="1"/>
        <v>1.2497867499999997</v>
      </c>
      <c r="I16" s="15">
        <f t="shared" si="1"/>
        <v>1.1464209285714284</v>
      </c>
      <c r="J16" s="15">
        <f t="shared" si="1"/>
        <v>1.0430551071428569</v>
      </c>
    </row>
    <row r="17" spans="2:10">
      <c r="B17" s="2"/>
      <c r="C17" s="15"/>
      <c r="D17" s="15"/>
      <c r="E17" s="15"/>
      <c r="F17" s="15"/>
      <c r="G17" s="15"/>
      <c r="H17" s="15"/>
      <c r="I17" s="15"/>
      <c r="J17" s="15"/>
    </row>
    <row r="18" spans="2:10">
      <c r="B18" s="3" t="s">
        <v>23</v>
      </c>
      <c r="C18" s="15">
        <f>(C11+C14)/C16</f>
        <v>2.8142625204587191</v>
      </c>
      <c r="D18" s="15">
        <f t="shared" ref="D18:J18" si="2">(D11+D14)/D16</f>
        <v>1.4279561394868876</v>
      </c>
      <c r="E18" s="15">
        <f t="shared" si="2"/>
        <v>1.5833120467411981</v>
      </c>
      <c r="F18" s="15">
        <f t="shared" si="2"/>
        <v>1.7626697401354472</v>
      </c>
      <c r="G18" s="15">
        <f t="shared" si="2"/>
        <v>1.8223411764630917</v>
      </c>
      <c r="H18" s="15">
        <f t="shared" si="2"/>
        <v>2.0558911697693514</v>
      </c>
      <c r="I18" s="15">
        <f t="shared" si="2"/>
        <v>2.33426568551657</v>
      </c>
      <c r="J18" s="15">
        <f t="shared" si="2"/>
        <v>2.670880255210184</v>
      </c>
    </row>
    <row r="19" spans="2:10">
      <c r="B19" s="2"/>
      <c r="C19" s="15"/>
      <c r="D19" s="15"/>
      <c r="E19" s="15"/>
      <c r="F19" s="15"/>
      <c r="G19" s="15"/>
      <c r="H19" s="15"/>
      <c r="I19" s="15"/>
      <c r="J19" s="15"/>
    </row>
    <row r="20" spans="2:10">
      <c r="B20" s="3" t="s">
        <v>42</v>
      </c>
      <c r="C20" s="12">
        <f>(C18+D18+E18+F18+G18+H18+I18+J18)/8</f>
        <v>2.0589473417226811</v>
      </c>
      <c r="D20" s="15"/>
      <c r="E20" s="15"/>
      <c r="F20" s="15"/>
      <c r="G20" s="15"/>
      <c r="H20" s="15"/>
      <c r="I20" s="15"/>
      <c r="J20" s="15"/>
    </row>
  </sheetData>
  <mergeCells count="1">
    <mergeCell ref="B2:J2"/>
  </mergeCells>
  <pageMargins left="0.7" right="0.7" top="0.75" bottom="0.75" header="0.3" footer="0.3"/>
  <pageSetup paperSize="9" scale="82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16"/>
  <sheetViews>
    <sheetView zoomScaleNormal="100" workbookViewId="0">
      <selection activeCell="B2" sqref="B2:F16"/>
    </sheetView>
  </sheetViews>
  <sheetFormatPr baseColWidth="10" defaultColWidth="8.83203125" defaultRowHeight="15"/>
  <cols>
    <col min="3" max="3" width="9" bestFit="1" customWidth="1"/>
    <col min="6" max="6" width="23.6640625" bestFit="1" customWidth="1"/>
  </cols>
  <sheetData>
    <row r="1" spans="2:6" ht="16" thickBot="1"/>
    <row r="2" spans="2:6" ht="22" thickBot="1">
      <c r="B2" s="79" t="s">
        <v>54</v>
      </c>
      <c r="C2" s="80"/>
      <c r="D2" s="80"/>
      <c r="E2" s="80"/>
      <c r="F2" s="81"/>
    </row>
    <row r="4" spans="2:6">
      <c r="B4" s="82" t="s">
        <v>51</v>
      </c>
      <c r="C4" s="82"/>
      <c r="D4" s="82"/>
      <c r="E4" s="83">
        <f>Assumptions!C32</f>
        <v>6.5778249999999989</v>
      </c>
      <c r="F4" s="82"/>
    </row>
    <row r="5" spans="2:6">
      <c r="B5" s="82" t="s">
        <v>121</v>
      </c>
      <c r="C5" s="82"/>
      <c r="D5" s="82"/>
      <c r="E5" s="84">
        <v>0.11</v>
      </c>
      <c r="F5" s="82"/>
    </row>
    <row r="6" spans="2:6">
      <c r="B6" s="10" t="s">
        <v>52</v>
      </c>
      <c r="C6" s="10" t="s">
        <v>51</v>
      </c>
      <c r="D6" s="10" t="s">
        <v>31</v>
      </c>
      <c r="E6" s="10" t="s">
        <v>24</v>
      </c>
      <c r="F6" s="10" t="s">
        <v>53</v>
      </c>
    </row>
    <row r="7" spans="2:6">
      <c r="B7" s="8">
        <v>1</v>
      </c>
      <c r="C7" s="57">
        <v>0</v>
      </c>
      <c r="D7" s="57">
        <f>E5*E4</f>
        <v>0.72356074999999986</v>
      </c>
      <c r="E7" s="57">
        <f>C7+D7</f>
        <v>0.72356074999999986</v>
      </c>
      <c r="F7" s="57">
        <f>E4</f>
        <v>6.5778249999999989</v>
      </c>
    </row>
    <row r="8" spans="2:6">
      <c r="B8" s="8">
        <v>2</v>
      </c>
      <c r="C8" s="57">
        <f>$E$4/7</f>
        <v>0.93968928571428556</v>
      </c>
      <c r="D8" s="57">
        <f>F7*E5</f>
        <v>0.72356074999999986</v>
      </c>
      <c r="E8" s="57">
        <f t="shared" ref="E8:E14" si="0">C8+D8</f>
        <v>1.6632500357142854</v>
      </c>
      <c r="F8" s="57">
        <f t="shared" ref="F8:F14" si="1">F7-C8</f>
        <v>5.6381357142857134</v>
      </c>
    </row>
    <row r="9" spans="2:6">
      <c r="B9" s="8">
        <v>3</v>
      </c>
      <c r="C9" s="57">
        <f t="shared" ref="C9:C14" si="2">$E$4/7</f>
        <v>0.93968928571428556</v>
      </c>
      <c r="D9" s="57">
        <f>F8*E5</f>
        <v>0.62019492857142844</v>
      </c>
      <c r="E9" s="57">
        <f t="shared" si="0"/>
        <v>1.5598842142857139</v>
      </c>
      <c r="F9" s="57">
        <f t="shared" si="1"/>
        <v>4.6984464285714278</v>
      </c>
    </row>
    <row r="10" spans="2:6">
      <c r="B10" s="8">
        <v>4</v>
      </c>
      <c r="C10" s="57">
        <f t="shared" si="2"/>
        <v>0.93968928571428556</v>
      </c>
      <c r="D10" s="57">
        <f>F9*E5</f>
        <v>0.51682910714285701</v>
      </c>
      <c r="E10" s="57">
        <f t="shared" si="0"/>
        <v>1.4565183928571426</v>
      </c>
      <c r="F10" s="57">
        <f t="shared" si="1"/>
        <v>3.7587571428571422</v>
      </c>
    </row>
    <row r="11" spans="2:6">
      <c r="B11" s="8">
        <v>5</v>
      </c>
      <c r="C11" s="57">
        <f t="shared" si="2"/>
        <v>0.93968928571428556</v>
      </c>
      <c r="D11" s="57">
        <f>F10*E5</f>
        <v>0.41346328571428564</v>
      </c>
      <c r="E11" s="57">
        <f t="shared" si="0"/>
        <v>1.3531525714285713</v>
      </c>
      <c r="F11" s="57">
        <f t="shared" si="1"/>
        <v>2.8190678571428567</v>
      </c>
    </row>
    <row r="12" spans="2:6">
      <c r="B12" s="8">
        <v>6</v>
      </c>
      <c r="C12" s="57">
        <f t="shared" si="2"/>
        <v>0.93968928571428556</v>
      </c>
      <c r="D12" s="57">
        <f>F11*E5</f>
        <v>0.31009746428571422</v>
      </c>
      <c r="E12" s="57">
        <f t="shared" si="0"/>
        <v>1.2497867499999997</v>
      </c>
      <c r="F12" s="57">
        <f t="shared" si="1"/>
        <v>1.8793785714285711</v>
      </c>
    </row>
    <row r="13" spans="2:6">
      <c r="B13" s="8">
        <v>7</v>
      </c>
      <c r="C13" s="57">
        <f t="shared" si="2"/>
        <v>0.93968928571428556</v>
      </c>
      <c r="D13" s="57">
        <f>F12*E5</f>
        <v>0.20673164285714282</v>
      </c>
      <c r="E13" s="57">
        <f t="shared" si="0"/>
        <v>1.1464209285714284</v>
      </c>
      <c r="F13" s="57">
        <f t="shared" si="1"/>
        <v>0.93968928571428556</v>
      </c>
    </row>
    <row r="14" spans="2:6">
      <c r="B14" s="8">
        <v>8</v>
      </c>
      <c r="C14" s="57">
        <f t="shared" si="2"/>
        <v>0.93968928571428556</v>
      </c>
      <c r="D14" s="57">
        <f>F13*E5</f>
        <v>0.10336582142857141</v>
      </c>
      <c r="E14" s="57">
        <f t="shared" si="0"/>
        <v>1.0430551071428569</v>
      </c>
      <c r="F14" s="57">
        <f t="shared" si="1"/>
        <v>0</v>
      </c>
    </row>
    <row r="15" spans="2:6">
      <c r="B15" s="4"/>
      <c r="C15" s="4"/>
      <c r="D15" s="4"/>
      <c r="E15" s="4"/>
      <c r="F15" s="4"/>
    </row>
    <row r="16" spans="2:6">
      <c r="B16" s="4"/>
      <c r="C16" s="12">
        <f>SUM(C7:C15)</f>
        <v>6.5778249999999989</v>
      </c>
      <c r="D16" s="12">
        <f>SUM(D7:D15)</f>
        <v>3.6178037499999989</v>
      </c>
      <c r="E16" s="12">
        <f>SUM(E7:E15)</f>
        <v>10.195628749999999</v>
      </c>
      <c r="F16" s="4"/>
    </row>
  </sheetData>
  <mergeCells count="5">
    <mergeCell ref="B4:D4"/>
    <mergeCell ref="E4:F4"/>
    <mergeCell ref="B5:D5"/>
    <mergeCell ref="E5:F5"/>
    <mergeCell ref="B2:F2"/>
  </mergeCells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5"/>
  <sheetViews>
    <sheetView zoomScaleNormal="100" workbookViewId="0">
      <selection activeCell="B18" sqref="B18"/>
    </sheetView>
  </sheetViews>
  <sheetFormatPr baseColWidth="10" defaultColWidth="11.5" defaultRowHeight="15"/>
  <cols>
    <col min="1" max="1" width="14.1640625" bestFit="1" customWidth="1"/>
  </cols>
  <sheetData>
    <row r="1" spans="1:21">
      <c r="A1" s="35" t="s">
        <v>115</v>
      </c>
    </row>
    <row r="2" spans="1:21" s="1" customFormat="1">
      <c r="A2" s="3" t="s">
        <v>0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39</v>
      </c>
      <c r="J2" s="6" t="s">
        <v>84</v>
      </c>
      <c r="K2" s="6" t="s">
        <v>85</v>
      </c>
      <c r="L2" s="6" t="s">
        <v>86</v>
      </c>
      <c r="M2" s="6" t="s">
        <v>87</v>
      </c>
      <c r="N2" s="6" t="s">
        <v>88</v>
      </c>
      <c r="O2" s="6" t="s">
        <v>89</v>
      </c>
      <c r="P2" s="6" t="s">
        <v>90</v>
      </c>
      <c r="Q2" s="6" t="s">
        <v>91</v>
      </c>
      <c r="R2" s="6" t="s">
        <v>92</v>
      </c>
      <c r="S2" s="6" t="s">
        <v>93</v>
      </c>
      <c r="T2" s="6" t="s">
        <v>94</v>
      </c>
      <c r="U2" s="6" t="s">
        <v>95</v>
      </c>
    </row>
    <row r="3" spans="1:21" s="1" customFormat="1">
      <c r="A3" s="3" t="s">
        <v>1</v>
      </c>
      <c r="B3" s="45" t="s">
        <v>15</v>
      </c>
      <c r="C3" s="45" t="s">
        <v>16</v>
      </c>
      <c r="D3" s="45" t="s">
        <v>17</v>
      </c>
      <c r="E3" s="45" t="s">
        <v>40</v>
      </c>
      <c r="F3" s="45" t="s">
        <v>72</v>
      </c>
      <c r="G3" s="45" t="s">
        <v>73</v>
      </c>
      <c r="H3" s="45" t="s">
        <v>74</v>
      </c>
      <c r="I3" s="45" t="s">
        <v>75</v>
      </c>
      <c r="J3" s="45" t="s">
        <v>76</v>
      </c>
      <c r="K3" s="45" t="s">
        <v>77</v>
      </c>
      <c r="L3" s="45" t="s">
        <v>78</v>
      </c>
      <c r="M3" s="45" t="s">
        <v>79</v>
      </c>
      <c r="N3" s="45" t="s">
        <v>80</v>
      </c>
      <c r="O3" s="45" t="s">
        <v>81</v>
      </c>
      <c r="P3" s="45" t="s">
        <v>82</v>
      </c>
      <c r="Q3" s="45" t="s">
        <v>83</v>
      </c>
      <c r="R3" s="45" t="s">
        <v>131</v>
      </c>
      <c r="S3" s="45" t="s">
        <v>132</v>
      </c>
      <c r="T3" s="45" t="s">
        <v>133</v>
      </c>
      <c r="U3" s="45" t="s">
        <v>134</v>
      </c>
    </row>
    <row r="4" spans="1:21">
      <c r="A4" s="36" t="s">
        <v>112</v>
      </c>
      <c r="B4" s="11">
        <f>'Profit &amp; Loss Statement'!C35</f>
        <v>0.29469725550000048</v>
      </c>
      <c r="C4" s="11">
        <f>'Profit &amp; Loss Statement'!D35</f>
        <v>0.52166524949999926</v>
      </c>
      <c r="D4" s="11">
        <f>'Profit &amp; Loss Statement'!E35</f>
        <v>0.65439304641714247</v>
      </c>
      <c r="E4" s="11">
        <f>'Profit &amp; Loss Statement'!F35</f>
        <v>0.78902502423108489</v>
      </c>
      <c r="F4" s="11">
        <f>'Profit &amp; Loss Statement'!G35</f>
        <v>0.79030510836873258</v>
      </c>
      <c r="G4" s="11">
        <f>'Profit &amp; Loss Statement'!H35</f>
        <v>0.92891853801979407</v>
      </c>
      <c r="H4" s="11">
        <f>'Profit &amp; Loss Statement'!I35</f>
        <v>1.0696127175496739</v>
      </c>
      <c r="I4" s="11">
        <f>'Profit &amp; Loss Statement'!J35</f>
        <v>1.2124500694547367</v>
      </c>
      <c r="J4" s="11">
        <f>'Profit &amp; Loss Statement'!K35</f>
        <v>1.3574948889062348</v>
      </c>
      <c r="K4" s="11">
        <f>'Profit &amp; Loss Statement'!L35</f>
        <v>1.4355582995734224</v>
      </c>
      <c r="L4" s="11">
        <f>'Profit &amp; Loss Statement'!M35</f>
        <v>1.5159636125606264</v>
      </c>
      <c r="M4" s="11">
        <f>'Profit &amp; Loss Statement'!N35</f>
        <v>1.5987810849374444</v>
      </c>
      <c r="N4" s="11">
        <f>'Profit &amp; Loss Statement'!O35</f>
        <v>1.6840830814855681</v>
      </c>
      <c r="O4" s="11">
        <f>'Profit &amp; Loss Statement'!P35</f>
        <v>1.7719441379301348</v>
      </c>
      <c r="P4" s="11">
        <f>'Profit &amp; Loss Statement'!Q35</f>
        <v>1.8624410260680413</v>
      </c>
      <c r="Q4" s="11">
        <f>'Profit &amp; Loss Statement'!R35</f>
        <v>1.9556528208500821</v>
      </c>
      <c r="R4" s="11">
        <f>'Profit &amp; Loss Statement'!S35</f>
        <v>2.0516609694755847</v>
      </c>
      <c r="S4" s="11">
        <f>'Profit &amp; Loss Statement'!T35</f>
        <v>2.1505493625598526</v>
      </c>
      <c r="T4" s="11">
        <f>'Profit &amp; Loss Statement'!U35</f>
        <v>2.2524044074366474</v>
      </c>
      <c r="U4" s="11">
        <f>'Profit &amp; Loss Statement'!V35</f>
        <v>2.3573151036597486</v>
      </c>
    </row>
    <row r="5" spans="1:21">
      <c r="A5" s="36" t="s">
        <v>116</v>
      </c>
      <c r="B5" s="11">
        <f>'Profit &amp; Loss Statement'!C27</f>
        <v>0.87288250000000012</v>
      </c>
      <c r="C5" s="11">
        <f>'Profit &amp; Loss Statement'!D27</f>
        <v>0.87288250000000012</v>
      </c>
      <c r="D5" s="11">
        <f>'Profit &amp; Loss Statement'!E27</f>
        <v>0.87288250000000012</v>
      </c>
      <c r="E5" s="11">
        <f>'Profit &amp; Loss Statement'!F27</f>
        <v>0.87288250000000012</v>
      </c>
      <c r="F5" s="11">
        <f>'Profit &amp; Loss Statement'!G27</f>
        <v>0.87288250000000012</v>
      </c>
      <c r="G5" s="11">
        <f>'Profit &amp; Loss Statement'!H27</f>
        <v>0.87288250000000012</v>
      </c>
      <c r="H5" s="11">
        <f>'Profit &amp; Loss Statement'!I27</f>
        <v>0.87288250000000012</v>
      </c>
      <c r="I5" s="11">
        <f>'Profit &amp; Loss Statement'!J27</f>
        <v>0.87288250000000012</v>
      </c>
      <c r="J5" s="11">
        <f>'Profit &amp; Loss Statement'!K27</f>
        <v>0.87288250000000012</v>
      </c>
      <c r="K5" s="11">
        <f>'Profit &amp; Loss Statement'!L27</f>
        <v>0.87288250000000012</v>
      </c>
      <c r="L5" s="11">
        <f>'Profit &amp; Loss Statement'!M27</f>
        <v>0</v>
      </c>
      <c r="M5" s="11">
        <f>'Profit &amp; Loss Statement'!N27</f>
        <v>0</v>
      </c>
      <c r="N5" s="11">
        <f>'Profit &amp; Loss Statement'!O27</f>
        <v>0</v>
      </c>
      <c r="O5" s="11">
        <f>'Profit &amp; Loss Statement'!P27</f>
        <v>0</v>
      </c>
      <c r="P5" s="11">
        <f>'Profit &amp; Loss Statement'!Q27</f>
        <v>0</v>
      </c>
      <c r="Q5" s="11">
        <f>'Profit &amp; Loss Statement'!R27</f>
        <v>0</v>
      </c>
      <c r="R5" s="11">
        <f>'Profit &amp; Loss Statement'!S27</f>
        <v>0</v>
      </c>
      <c r="S5" s="11">
        <f>'Profit &amp; Loss Statement'!T27</f>
        <v>0</v>
      </c>
      <c r="T5" s="11">
        <f>'Profit &amp; Loss Statement'!U27</f>
        <v>0</v>
      </c>
      <c r="U5" s="11">
        <f>'Profit &amp; Loss Statement'!V27</f>
        <v>0</v>
      </c>
    </row>
    <row r="6" spans="1:21">
      <c r="A6" s="36" t="s">
        <v>117</v>
      </c>
      <c r="B6" s="11">
        <f>'Profit &amp; Loss Statement'!C26</f>
        <v>0.72356074999999986</v>
      </c>
      <c r="C6" s="11">
        <f>'Profit &amp; Loss Statement'!D26</f>
        <v>0.72356074999999986</v>
      </c>
      <c r="D6" s="11">
        <f>'Profit &amp; Loss Statement'!E26</f>
        <v>0.62019492857142844</v>
      </c>
      <c r="E6" s="11">
        <f>'Profit &amp; Loss Statement'!F26</f>
        <v>0.51682910714285701</v>
      </c>
      <c r="F6" s="11">
        <f>'Profit &amp; Loss Statement'!G26</f>
        <v>0.41346328571428564</v>
      </c>
      <c r="G6" s="11">
        <f>'Profit &amp; Loss Statement'!H26</f>
        <v>0.31009746428571422</v>
      </c>
      <c r="H6" s="11">
        <f>'Profit &amp; Loss Statement'!I26</f>
        <v>0.20673164285714282</v>
      </c>
      <c r="I6" s="11">
        <f>'Profit &amp; Loss Statement'!J26</f>
        <v>0.10336582142857141</v>
      </c>
      <c r="J6" s="11">
        <f>'Profit &amp; Loss Statement'!K26</f>
        <v>0</v>
      </c>
      <c r="K6" s="11">
        <f>'Profit &amp; Loss Statement'!L26</f>
        <v>0</v>
      </c>
      <c r="L6" s="11">
        <f>'Profit &amp; Loss Statement'!M26</f>
        <v>0</v>
      </c>
      <c r="M6" s="11">
        <f>'Profit &amp; Loss Statement'!N26</f>
        <v>0</v>
      </c>
      <c r="N6" s="11">
        <f>'Profit &amp; Loss Statement'!O26</f>
        <v>0</v>
      </c>
      <c r="O6" s="11">
        <f>'Profit &amp; Loss Statement'!P26</f>
        <v>0</v>
      </c>
      <c r="P6" s="11">
        <f>'Profit &amp; Loss Statement'!Q26</f>
        <v>0</v>
      </c>
      <c r="Q6" s="11">
        <f>'Profit &amp; Loss Statement'!R26</f>
        <v>0</v>
      </c>
      <c r="R6" s="11">
        <f>'Profit &amp; Loss Statement'!S26</f>
        <v>0</v>
      </c>
      <c r="S6" s="11">
        <f>'Profit &amp; Loss Statement'!T26</f>
        <v>0</v>
      </c>
      <c r="T6" s="11">
        <f>'Profit &amp; Loss Statement'!U26</f>
        <v>0</v>
      </c>
      <c r="U6" s="11">
        <f>'Profit &amp; Loss Statement'!V26</f>
        <v>0</v>
      </c>
    </row>
    <row r="7" spans="1:21">
      <c r="A7" s="36" t="s">
        <v>113</v>
      </c>
      <c r="B7" s="11">
        <f>SUM(B4:B6)</f>
        <v>1.8911405055000006</v>
      </c>
      <c r="C7" s="11">
        <f t="shared" ref="C7:H7" si="0">SUM(C4:C6)</f>
        <v>2.118108499499999</v>
      </c>
      <c r="D7" s="11">
        <f t="shared" si="0"/>
        <v>2.1474704749885709</v>
      </c>
      <c r="E7" s="11">
        <f t="shared" si="0"/>
        <v>2.1787366313739422</v>
      </c>
      <c r="F7" s="11">
        <f t="shared" si="0"/>
        <v>2.0766508940830182</v>
      </c>
      <c r="G7" s="11">
        <f t="shared" si="0"/>
        <v>2.1118985023055084</v>
      </c>
      <c r="H7" s="11">
        <f t="shared" si="0"/>
        <v>2.1492268604068165</v>
      </c>
      <c r="I7" s="11">
        <f>SUM(I4:I6)</f>
        <v>2.1886983908833084</v>
      </c>
      <c r="J7" s="11">
        <f t="shared" ref="J7" si="1">SUM(J4:J6)</f>
        <v>2.230377388906235</v>
      </c>
      <c r="K7" s="11">
        <f t="shared" ref="K7" si="2">SUM(K4:K6)</f>
        <v>2.3084407995734226</v>
      </c>
      <c r="L7" s="11">
        <f t="shared" ref="L7" si="3">SUM(L4:L6)</f>
        <v>1.5159636125606264</v>
      </c>
      <c r="M7" s="11">
        <f t="shared" ref="M7" si="4">SUM(M4:M6)</f>
        <v>1.5987810849374444</v>
      </c>
      <c r="N7" s="11">
        <f t="shared" ref="N7" si="5">SUM(N4:N6)</f>
        <v>1.6840830814855681</v>
      </c>
      <c r="O7" s="11">
        <f>SUM(O4:O6)</f>
        <v>1.7719441379301348</v>
      </c>
      <c r="P7" s="11">
        <f t="shared" ref="P7" si="6">SUM(P4:P6)</f>
        <v>1.8624410260680413</v>
      </c>
      <c r="Q7" s="11">
        <f t="shared" ref="Q7" si="7">SUM(Q4:Q6)</f>
        <v>1.9556528208500821</v>
      </c>
      <c r="R7" s="11">
        <f t="shared" ref="R7" si="8">SUM(R4:R6)</f>
        <v>2.0516609694755847</v>
      </c>
      <c r="S7" s="11">
        <f>SUM(S4:S6)</f>
        <v>2.1505493625598526</v>
      </c>
      <c r="T7" s="11">
        <f t="shared" ref="T7" si="9">SUM(T4:T6)</f>
        <v>2.2524044074366474</v>
      </c>
      <c r="U7" s="11">
        <f t="shared" ref="U7" si="10">SUM(U4:U6)</f>
        <v>2.3573151036597486</v>
      </c>
    </row>
    <row r="8" spans="1:21">
      <c r="A8" s="36" t="s">
        <v>118</v>
      </c>
      <c r="B8" s="11">
        <f>'Cash Flow'!C17</f>
        <v>8.7288250000000005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</row>
    <row r="9" spans="1:21">
      <c r="A9" s="3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1" s="13" customFormat="1">
      <c r="A10" s="38" t="s">
        <v>114</v>
      </c>
      <c r="B10" s="11">
        <f>B7-B8</f>
        <v>-6.8376844944999995</v>
      </c>
      <c r="C10" s="11">
        <f t="shared" ref="C10:U10" si="11">C7-C8</f>
        <v>2.118108499499999</v>
      </c>
      <c r="D10" s="11">
        <f t="shared" si="11"/>
        <v>2.1474704749885709</v>
      </c>
      <c r="E10" s="11">
        <f t="shared" si="11"/>
        <v>2.1787366313739422</v>
      </c>
      <c r="F10" s="11">
        <f t="shared" si="11"/>
        <v>2.0766508940830182</v>
      </c>
      <c r="G10" s="11">
        <f t="shared" si="11"/>
        <v>2.1118985023055084</v>
      </c>
      <c r="H10" s="11">
        <f t="shared" si="11"/>
        <v>2.1492268604068165</v>
      </c>
      <c r="I10" s="11">
        <f t="shared" si="11"/>
        <v>2.1886983908833084</v>
      </c>
      <c r="J10" s="11">
        <f t="shared" si="11"/>
        <v>2.230377388906235</v>
      </c>
      <c r="K10" s="11">
        <f t="shared" si="11"/>
        <v>2.3084407995734226</v>
      </c>
      <c r="L10" s="11">
        <f t="shared" si="11"/>
        <v>1.5159636125606264</v>
      </c>
      <c r="M10" s="11">
        <f t="shared" si="11"/>
        <v>1.5987810849374444</v>
      </c>
      <c r="N10" s="11">
        <f t="shared" si="11"/>
        <v>1.6840830814855681</v>
      </c>
      <c r="O10" s="11">
        <f t="shared" si="11"/>
        <v>1.7719441379301348</v>
      </c>
      <c r="P10" s="11">
        <f t="shared" si="11"/>
        <v>1.8624410260680413</v>
      </c>
      <c r="Q10" s="11">
        <f t="shared" si="11"/>
        <v>1.9556528208500821</v>
      </c>
      <c r="R10" s="11">
        <f t="shared" si="11"/>
        <v>2.0516609694755847</v>
      </c>
      <c r="S10" s="11">
        <f t="shared" si="11"/>
        <v>2.1505493625598526</v>
      </c>
      <c r="T10" s="11">
        <f t="shared" si="11"/>
        <v>2.2524044074366474</v>
      </c>
      <c r="U10" s="11">
        <f t="shared" si="11"/>
        <v>2.3573151036597486</v>
      </c>
    </row>
    <row r="13" spans="1:21" ht="21">
      <c r="A13" s="39" t="s">
        <v>44</v>
      </c>
      <c r="B13" s="40">
        <f>IRR(B10:U10)</f>
        <v>0.30658211074680541</v>
      </c>
      <c r="C13" s="51"/>
    </row>
    <row r="14" spans="1:21" ht="21">
      <c r="A14" s="41"/>
      <c r="B14" s="41"/>
    </row>
    <row r="15" spans="1:21" ht="21">
      <c r="A15" s="39" t="s">
        <v>43</v>
      </c>
      <c r="B15" s="42">
        <f>NPV(8%,B10:U10)</f>
        <v>11.942516884836872</v>
      </c>
    </row>
  </sheetData>
  <pageMargins left="0.7" right="0.7" top="0.75" bottom="0.75" header="0.3" footer="0.3"/>
  <pageSetup paperSize="9" scale="3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Page</vt:lpstr>
      <vt:lpstr>Assumptions</vt:lpstr>
      <vt:lpstr>Executive Dash Board</vt:lpstr>
      <vt:lpstr>Profit &amp; Loss Statement</vt:lpstr>
      <vt:lpstr>Cash Flow</vt:lpstr>
      <vt:lpstr>DSCR</vt:lpstr>
      <vt:lpstr>Debt Repayment</vt:lpstr>
      <vt:lpstr>NPV_IRR</vt:lpstr>
      <vt:lpstr>'Cash Flow'!Print_Area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Babar Shah</cp:lastModifiedBy>
  <cp:lastPrinted>2022-02-01T12:46:52Z</cp:lastPrinted>
  <dcterms:created xsi:type="dcterms:W3CDTF">2017-11-25T06:14:47Z</dcterms:created>
  <dcterms:modified xsi:type="dcterms:W3CDTF">2024-03-18T10:44:41Z</dcterms:modified>
</cp:coreProperties>
</file>