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welcome\Desktop\Gujarat Themis Biosyn Ltd\RK Working\"/>
    </mc:Choice>
  </mc:AlternateContent>
  <xr:revisionPtr revIDLastSave="0" documentId="13_ncr:1_{DE45699E-DAC4-4C10-9FFB-6FA0800059AF}" xr6:coauthVersionLast="47" xr6:coauthVersionMax="47" xr10:uidLastSave="{00000000-0000-0000-0000-000000000000}"/>
  <bookViews>
    <workbookView xWindow="-108" yWindow="-108" windowWidth="23256" windowHeight="12576" firstSheet="3" activeTab="10" xr2:uid="{00000000-000D-0000-FFFF-FFFF00000000}"/>
  </bookViews>
  <sheets>
    <sheet name="Assumptions" sheetId="21" r:id="rId1"/>
    <sheet name="Capex Assumption" sheetId="26" r:id="rId2"/>
    <sheet name="NEW FERMENTOR (50KL) (2)" sheetId="32" r:id="rId3"/>
    <sheet name="Est Prod, Sales" sheetId="17" r:id="rId4"/>
    <sheet name="P&amp;L" sheetId="2" r:id="rId5"/>
    <sheet name="BS" sheetId="3" r:id="rId6"/>
    <sheet name="CFS" sheetId="4" r:id="rId7"/>
    <sheet name="Debt Sch" sheetId="23" r:id="rId8"/>
    <sheet name="WC" sheetId="5" r:id="rId9"/>
    <sheet name="Historical Ratio Analysis" sheetId="31" r:id="rId10"/>
    <sheet name="Forecasted Ratio Analysis" sheetId="29" r:id="rId11"/>
    <sheet name="Other Ratios" sheetId="22" r:id="rId12"/>
    <sheet name="BEP, Sensitivity " sheetId="27" r:id="rId13"/>
    <sheet name="NPV" sheetId="35" r:id="rId14"/>
    <sheet name="12% Debt Sch" sheetId="33" r:id="rId15"/>
    <sheet name="Costs" sheetId="34" state="hidden" r:id="rId16"/>
    <sheet name="Sheet1" sheetId="25" r:id="rId17"/>
    <sheet name="NEW FERMENTOR (50KL)" sheetId="24" state="hidden" r:id="rId18"/>
    <sheet name="Project Cost" sheetId="13" state="hidden" r:id="rId19"/>
    <sheet name="New Capacity" sheetId="14" state="hidden" r:id="rId20"/>
    <sheet name="Impact from add cap" sheetId="15" state="hidden" r:id="rId21"/>
    <sheet name="Current &amp; Proj.sales" sheetId="16" state="hidden" r:id="rId22"/>
    <sheet name="Last 3y prod,sales" sheetId="18" state="hidden" r:id="rId23"/>
    <sheet name="Fermentation Block work status" sheetId="19" state="hidden"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s>
  <definedNames>
    <definedName name="_______MR10"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_MR10"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_MR10"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_MR10"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_t1"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_t1"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_t1"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_t1"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_ta1" localSheetId="14" hidden="1">{#N/A,#N/A,TRUE,"Financials";#N/A,#N/A,TRUE,"Operating Statistics";#N/A,#N/A,TRUE,"Capex &amp; Depreciation";#N/A,#N/A,TRUE,"Debt"}</definedName>
    <definedName name="_______ta1" localSheetId="0" hidden="1">{#N/A,#N/A,TRUE,"Financials";#N/A,#N/A,TRUE,"Operating Statistics";#N/A,#N/A,TRUE,"Capex &amp; Depreciation";#N/A,#N/A,TRUE,"Debt"}</definedName>
    <definedName name="_______ta1" localSheetId="7" hidden="1">{#N/A,#N/A,TRUE,"Financials";#N/A,#N/A,TRUE,"Operating Statistics";#N/A,#N/A,TRUE,"Capex &amp; Depreciation";#N/A,#N/A,TRUE,"Debt"}</definedName>
    <definedName name="_______ta1" localSheetId="11" hidden="1">{#N/A,#N/A,TRUE,"Financials";#N/A,#N/A,TRUE,"Operating Statistics";#N/A,#N/A,TRUE,"Capex &amp; Depreciation";#N/A,#N/A,TRUE,"Debt"}</definedName>
    <definedName name="_______ta1" hidden="1">{#N/A,#N/A,TRUE,"Financials";#N/A,#N/A,TRUE,"Operating Statistics";#N/A,#N/A,TRUE,"Capex &amp; Depreciation";#N/A,#N/A,TRUE,"Debt"}</definedName>
    <definedName name="_______tb1" localSheetId="14" hidden="1">{#N/A,#N/A,FALSE,"One Pager";#N/A,#N/A,FALSE,"Technical"}</definedName>
    <definedName name="_______tb1" localSheetId="0" hidden="1">{#N/A,#N/A,FALSE,"One Pager";#N/A,#N/A,FALSE,"Technical"}</definedName>
    <definedName name="_______tb1" localSheetId="7" hidden="1">{#N/A,#N/A,FALSE,"One Pager";#N/A,#N/A,FALSE,"Technical"}</definedName>
    <definedName name="_______tb1" localSheetId="11" hidden="1">{#N/A,#N/A,FALSE,"One Pager";#N/A,#N/A,FALSE,"Technical"}</definedName>
    <definedName name="_______tb1" hidden="1">{#N/A,#N/A,FALSE,"One Pager";#N/A,#N/A,FALSE,"Technical"}</definedName>
    <definedName name="______MR10"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MR10"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MR10"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MR10"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Nov09" localSheetId="14" hidden="1">{"'August 2000'!$A$1:$J$101"}</definedName>
    <definedName name="______Nov09" localSheetId="0" hidden="1">{"'August 2000'!$A$1:$J$101"}</definedName>
    <definedName name="______Nov09" localSheetId="7" hidden="1">{"'August 2000'!$A$1:$J$101"}</definedName>
    <definedName name="______Nov09" localSheetId="11" hidden="1">{"'August 2000'!$A$1:$J$101"}</definedName>
    <definedName name="______Nov09" hidden="1">{"'August 2000'!$A$1:$J$101"}</definedName>
    <definedName name="______t1"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t1"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t1"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t1"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__ta1" localSheetId="14" hidden="1">{#N/A,#N/A,TRUE,"Financials";#N/A,#N/A,TRUE,"Operating Statistics";#N/A,#N/A,TRUE,"Capex &amp; Depreciation";#N/A,#N/A,TRUE,"Debt"}</definedName>
    <definedName name="______ta1" localSheetId="0" hidden="1">{#N/A,#N/A,TRUE,"Financials";#N/A,#N/A,TRUE,"Operating Statistics";#N/A,#N/A,TRUE,"Capex &amp; Depreciation";#N/A,#N/A,TRUE,"Debt"}</definedName>
    <definedName name="______ta1" localSheetId="7" hidden="1">{#N/A,#N/A,TRUE,"Financials";#N/A,#N/A,TRUE,"Operating Statistics";#N/A,#N/A,TRUE,"Capex &amp; Depreciation";#N/A,#N/A,TRUE,"Debt"}</definedName>
    <definedName name="______ta1" localSheetId="11" hidden="1">{#N/A,#N/A,TRUE,"Financials";#N/A,#N/A,TRUE,"Operating Statistics";#N/A,#N/A,TRUE,"Capex &amp; Depreciation";#N/A,#N/A,TRUE,"Debt"}</definedName>
    <definedName name="______ta1" hidden="1">{#N/A,#N/A,TRUE,"Financials";#N/A,#N/A,TRUE,"Operating Statistics";#N/A,#N/A,TRUE,"Capex &amp; Depreciation";#N/A,#N/A,TRUE,"Debt"}</definedName>
    <definedName name="______tb1" localSheetId="14" hidden="1">{#N/A,#N/A,FALSE,"One Pager";#N/A,#N/A,FALSE,"Technical"}</definedName>
    <definedName name="______tb1" localSheetId="0" hidden="1">{#N/A,#N/A,FALSE,"One Pager";#N/A,#N/A,FALSE,"Technical"}</definedName>
    <definedName name="______tb1" localSheetId="7" hidden="1">{#N/A,#N/A,FALSE,"One Pager";#N/A,#N/A,FALSE,"Technical"}</definedName>
    <definedName name="______tb1" localSheetId="11" hidden="1">{#N/A,#N/A,FALSE,"One Pager";#N/A,#N/A,FALSE,"Technical"}</definedName>
    <definedName name="______tb1" hidden="1">{#N/A,#N/A,FALSE,"One Pager";#N/A,#N/A,FALSE,"Technical"}</definedName>
    <definedName name="_____as10" localSheetId="14" hidden="1">{"'August 2000'!$A$1:$J$101"}</definedName>
    <definedName name="_____as10" localSheetId="0" hidden="1">{"'August 2000'!$A$1:$J$101"}</definedName>
    <definedName name="_____as10" localSheetId="7" hidden="1">{"'August 2000'!$A$1:$J$101"}</definedName>
    <definedName name="_____as10" localSheetId="11" hidden="1">{"'August 2000'!$A$1:$J$101"}</definedName>
    <definedName name="_____as10" hidden="1">{"'August 2000'!$A$1:$J$101"}</definedName>
    <definedName name="_____Nov09" localSheetId="14" hidden="1">{"'August 2000'!$A$1:$J$101"}</definedName>
    <definedName name="_____Nov09" localSheetId="0" hidden="1">{"'August 2000'!$A$1:$J$101"}</definedName>
    <definedName name="_____Nov09" localSheetId="7" hidden="1">{"'August 2000'!$A$1:$J$101"}</definedName>
    <definedName name="_____Nov09" localSheetId="11" hidden="1">{"'August 2000'!$A$1:$J$101"}</definedName>
    <definedName name="_____Nov09" hidden="1">{"'August 2000'!$A$1:$J$101"}</definedName>
    <definedName name="____as10" localSheetId="14" hidden="1">{"'August 2000'!$A$1:$J$101"}</definedName>
    <definedName name="____as10" localSheetId="0" hidden="1">{"'August 2000'!$A$1:$J$101"}</definedName>
    <definedName name="____as10" localSheetId="7" hidden="1">{"'August 2000'!$A$1:$J$101"}</definedName>
    <definedName name="____as10" localSheetId="11" hidden="1">{"'August 2000'!$A$1:$J$101"}</definedName>
    <definedName name="____as10" hidden="1">{"'August 2000'!$A$1:$J$101"}</definedName>
    <definedName name="____MR10"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MR10"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MR10"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MR10"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t1"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t1"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t1"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t1"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_ta1" localSheetId="14" hidden="1">{#N/A,#N/A,TRUE,"Financials";#N/A,#N/A,TRUE,"Operating Statistics";#N/A,#N/A,TRUE,"Capex &amp; Depreciation";#N/A,#N/A,TRUE,"Debt"}</definedName>
    <definedName name="____ta1" localSheetId="0" hidden="1">{#N/A,#N/A,TRUE,"Financials";#N/A,#N/A,TRUE,"Operating Statistics";#N/A,#N/A,TRUE,"Capex &amp; Depreciation";#N/A,#N/A,TRUE,"Debt"}</definedName>
    <definedName name="____ta1" localSheetId="7" hidden="1">{#N/A,#N/A,TRUE,"Financials";#N/A,#N/A,TRUE,"Operating Statistics";#N/A,#N/A,TRUE,"Capex &amp; Depreciation";#N/A,#N/A,TRUE,"Debt"}</definedName>
    <definedName name="____ta1" localSheetId="11" hidden="1">{#N/A,#N/A,TRUE,"Financials";#N/A,#N/A,TRUE,"Operating Statistics";#N/A,#N/A,TRUE,"Capex &amp; Depreciation";#N/A,#N/A,TRUE,"Debt"}</definedName>
    <definedName name="____ta1" hidden="1">{#N/A,#N/A,TRUE,"Financials";#N/A,#N/A,TRUE,"Operating Statistics";#N/A,#N/A,TRUE,"Capex &amp; Depreciation";#N/A,#N/A,TRUE,"Debt"}</definedName>
    <definedName name="____tb1" localSheetId="14" hidden="1">{#N/A,#N/A,FALSE,"One Pager";#N/A,#N/A,FALSE,"Technical"}</definedName>
    <definedName name="____tb1" localSheetId="0" hidden="1">{#N/A,#N/A,FALSE,"One Pager";#N/A,#N/A,FALSE,"Technical"}</definedName>
    <definedName name="____tb1" localSheetId="7" hidden="1">{#N/A,#N/A,FALSE,"One Pager";#N/A,#N/A,FALSE,"Technical"}</definedName>
    <definedName name="____tb1" localSheetId="11" hidden="1">{#N/A,#N/A,FALSE,"One Pager";#N/A,#N/A,FALSE,"Technical"}</definedName>
    <definedName name="____tb1" hidden="1">{#N/A,#N/A,FALSE,"One Pager";#N/A,#N/A,FALSE,"Technical"}</definedName>
    <definedName name="___as10" localSheetId="14" hidden="1">{"'August 2000'!$A$1:$J$101"}</definedName>
    <definedName name="___as10" localSheetId="0" hidden="1">{"'August 2000'!$A$1:$J$101"}</definedName>
    <definedName name="___as10" localSheetId="7" hidden="1">{"'August 2000'!$A$1:$J$101"}</definedName>
    <definedName name="___as10" localSheetId="11" hidden="1">{"'August 2000'!$A$1:$J$101"}</definedName>
    <definedName name="___as10" hidden="1">{"'August 2000'!$A$1:$J$101"}</definedName>
    <definedName name="___MR10"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Nov09" localSheetId="14" hidden="1">{"'August 2000'!$A$1:$J$101"}</definedName>
    <definedName name="___Nov09" localSheetId="0" hidden="1">{"'August 2000'!$A$1:$J$101"}</definedName>
    <definedName name="___Nov09" localSheetId="7" hidden="1">{"'August 2000'!$A$1:$J$101"}</definedName>
    <definedName name="___Nov09" localSheetId="11" hidden="1">{"'August 2000'!$A$1:$J$101"}</definedName>
    <definedName name="___Nov09" hidden="1">{"'August 2000'!$A$1:$J$101"}</definedName>
    <definedName name="___t1"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_ta1" localSheetId="14" hidden="1">{#N/A,#N/A,TRUE,"Financials";#N/A,#N/A,TRUE,"Operating Statistics";#N/A,#N/A,TRUE,"Capex &amp; Depreciation";#N/A,#N/A,TRUE,"Debt"}</definedName>
    <definedName name="___ta1" localSheetId="0" hidden="1">{#N/A,#N/A,TRUE,"Financials";#N/A,#N/A,TRUE,"Operating Statistics";#N/A,#N/A,TRUE,"Capex &amp; Depreciation";#N/A,#N/A,TRUE,"Debt"}</definedName>
    <definedName name="___ta1" localSheetId="7" hidden="1">{#N/A,#N/A,TRUE,"Financials";#N/A,#N/A,TRUE,"Operating Statistics";#N/A,#N/A,TRUE,"Capex &amp; Depreciation";#N/A,#N/A,TRUE,"Debt"}</definedName>
    <definedName name="___ta1" localSheetId="11" hidden="1">{#N/A,#N/A,TRUE,"Financials";#N/A,#N/A,TRUE,"Operating Statistics";#N/A,#N/A,TRUE,"Capex &amp; Depreciation";#N/A,#N/A,TRUE,"Debt"}</definedName>
    <definedName name="___ta1" hidden="1">{#N/A,#N/A,TRUE,"Financials";#N/A,#N/A,TRUE,"Operating Statistics";#N/A,#N/A,TRUE,"Capex &amp; Depreciation";#N/A,#N/A,TRUE,"Debt"}</definedName>
    <definedName name="___tb1" localSheetId="14" hidden="1">{#N/A,#N/A,FALSE,"One Pager";#N/A,#N/A,FALSE,"Technical"}</definedName>
    <definedName name="___tb1" localSheetId="0" hidden="1">{#N/A,#N/A,FALSE,"One Pager";#N/A,#N/A,FALSE,"Technical"}</definedName>
    <definedName name="___tb1" localSheetId="7" hidden="1">{#N/A,#N/A,FALSE,"One Pager";#N/A,#N/A,FALSE,"Technical"}</definedName>
    <definedName name="___tb1" localSheetId="11" hidden="1">{#N/A,#N/A,FALSE,"One Pager";#N/A,#N/A,FALSE,"Technical"}</definedName>
    <definedName name="___tb1" hidden="1">{#N/A,#N/A,FALSE,"One Pager";#N/A,#N/A,FALSE,"Technical"}</definedName>
    <definedName name="__1" hidden="1">#REF!</definedName>
    <definedName name="__123Graph_A" localSheetId="14" hidden="1">#REF!</definedName>
    <definedName name="__123Graph_A" localSheetId="0" hidden="1">#REF!</definedName>
    <definedName name="__123Graph_A" localSheetId="7" hidden="1">#REF!</definedName>
    <definedName name="__123Graph_A" localSheetId="11" hidden="1">#REF!</definedName>
    <definedName name="__123Graph_A" hidden="1">#REF!</definedName>
    <definedName name="__123Graph_AChart1" localSheetId="14" hidden="1">#REF!</definedName>
    <definedName name="__123Graph_AChart1" localSheetId="0" hidden="1">#REF!</definedName>
    <definedName name="__123Graph_AChart1" localSheetId="7" hidden="1">#REF!</definedName>
    <definedName name="__123Graph_AChart1" localSheetId="11" hidden="1">#REF!</definedName>
    <definedName name="__123Graph_AChart1" hidden="1">#REF!</definedName>
    <definedName name="__123Graph_AChart10" localSheetId="0" hidden="1">#REF!</definedName>
    <definedName name="__123Graph_AChart10" localSheetId="11" hidden="1">#REF!</definedName>
    <definedName name="__123Graph_AChart10" hidden="1">#REF!</definedName>
    <definedName name="__123Graph_AChart11" localSheetId="0" hidden="1">#REF!</definedName>
    <definedName name="__123Graph_AChart11" localSheetId="11" hidden="1">#REF!</definedName>
    <definedName name="__123Graph_AChart11" hidden="1">#REF!</definedName>
    <definedName name="__123Graph_AChart12" hidden="1">#REF!</definedName>
    <definedName name="__123Graph_AChart2" localSheetId="0" hidden="1">#REF!</definedName>
    <definedName name="__123Graph_AChart2" localSheetId="11" hidden="1">#REF!</definedName>
    <definedName name="__123Graph_AChart2" hidden="1">#REF!</definedName>
    <definedName name="__123Graph_AChart3" localSheetId="0" hidden="1">#REF!</definedName>
    <definedName name="__123Graph_AChart3" localSheetId="11" hidden="1">#REF!</definedName>
    <definedName name="__123Graph_AChart3" hidden="1">#REF!</definedName>
    <definedName name="__123Graph_AChart4" localSheetId="0" hidden="1">#REF!</definedName>
    <definedName name="__123Graph_AChart4" localSheetId="11" hidden="1">#REF!</definedName>
    <definedName name="__123Graph_AChart4" hidden="1">#REF!</definedName>
    <definedName name="__123Graph_AChart5" hidden="1">#REF!</definedName>
    <definedName name="__123Graph_AChart6" hidden="1">#REF!</definedName>
    <definedName name="__123Graph_AChart7" hidden="1">#REF!</definedName>
    <definedName name="__123Graph_AChart8" hidden="1">#REF!</definedName>
    <definedName name="__123Graph_AChart9" hidden="1">#REF!</definedName>
    <definedName name="__123Graph_ACurrent" localSheetId="0" hidden="1">#REF!</definedName>
    <definedName name="__123Graph_ACurrent" localSheetId="11" hidden="1">#REF!</definedName>
    <definedName name="__123Graph_ACurrent" hidden="1">#REF!</definedName>
    <definedName name="__123Graph_AIncome" localSheetId="0" hidden="1">#REF!</definedName>
    <definedName name="__123Graph_AIncome" localSheetId="11" hidden="1">#REF!</definedName>
    <definedName name="__123Graph_AIncome" hidden="1">#REF!</definedName>
    <definedName name="__123Graph_ASummary" localSheetId="0" hidden="1">#REF!</definedName>
    <definedName name="__123Graph_ASummary" localSheetId="11" hidden="1">#REF!</definedName>
    <definedName name="__123Graph_ASummary" hidden="1">#REF!</definedName>
    <definedName name="__123Graph_B" hidden="1">#REF!</definedName>
    <definedName name="__123Graph_BCHART1" hidden="1">'[1]Power &amp; Fuel (S)'!#REF!</definedName>
    <definedName name="__123Graph_BCHART2" hidden="1">'[1]Power &amp; Fuel (S)'!#REF!</definedName>
    <definedName name="__123Graph_BCURRENT" hidden="1">'[1]Power &amp; Fuel (S)'!#REF!</definedName>
    <definedName name="__123Graph_BIncome" hidden="1">#REF!</definedName>
    <definedName name="__123Graph_BSummary" hidden="1">#REF!</definedName>
    <definedName name="__123Graph_C" localSheetId="14" hidden="1">#REF!</definedName>
    <definedName name="__123Graph_C" localSheetId="0" hidden="1">#REF!</definedName>
    <definedName name="__123Graph_C" localSheetId="7" hidden="1">#REF!</definedName>
    <definedName name="__123Graph_C" localSheetId="11" hidden="1">#REF!</definedName>
    <definedName name="__123Graph_C" hidden="1">#REF!</definedName>
    <definedName name="__123Graph_CCHART1" localSheetId="14" hidden="1">'[1]Power &amp; Fuel (S)'!#REF!</definedName>
    <definedName name="__123Graph_CCHART1" localSheetId="0" hidden="1">'[1]Power &amp; Fuel (S)'!#REF!</definedName>
    <definedName name="__123Graph_CCHART1" localSheetId="7" hidden="1">'[1]Power &amp; Fuel (S)'!#REF!</definedName>
    <definedName name="__123Graph_CCHART1" localSheetId="11" hidden="1">'[1]Power &amp; Fuel (S)'!#REF!</definedName>
    <definedName name="__123Graph_CCHART1" hidden="1">'[1]Power &amp; Fuel (S)'!#REF!</definedName>
    <definedName name="__123Graph_CCHART2" localSheetId="14" hidden="1">'[1]Power &amp; Fuel (S)'!#REF!</definedName>
    <definedName name="__123Graph_CCHART2" localSheetId="0" hidden="1">'[1]Power &amp; Fuel (S)'!#REF!</definedName>
    <definedName name="__123Graph_CCHART2" localSheetId="7" hidden="1">'[1]Power &amp; Fuel (S)'!#REF!</definedName>
    <definedName name="__123Graph_CCHART2" localSheetId="11" hidden="1">'[1]Power &amp; Fuel (S)'!#REF!</definedName>
    <definedName name="__123Graph_CCHART2" hidden="1">'[1]Power &amp; Fuel (S)'!#REF!</definedName>
    <definedName name="__123Graph_CCURRENT" localSheetId="14" hidden="1">'[1]Power &amp; Fuel (S)'!#REF!</definedName>
    <definedName name="__123Graph_CCURRENT" localSheetId="0" hidden="1">'[1]Power &amp; Fuel (S)'!#REF!</definedName>
    <definedName name="__123Graph_CCURRENT" localSheetId="7" hidden="1">'[1]Power &amp; Fuel (S)'!#REF!</definedName>
    <definedName name="__123Graph_CCURRENT" localSheetId="11" hidden="1">'[1]Power &amp; Fuel (S)'!#REF!</definedName>
    <definedName name="__123Graph_CCURRENT" hidden="1">'[1]Power &amp; Fuel (S)'!#REF!</definedName>
    <definedName name="__123Graph_D" localSheetId="14" hidden="1">#REF!</definedName>
    <definedName name="__123Graph_D" localSheetId="0" hidden="1">#REF!</definedName>
    <definedName name="__123Graph_D" localSheetId="7" hidden="1">#REF!</definedName>
    <definedName name="__123Graph_D" localSheetId="11" hidden="1">#REF!</definedName>
    <definedName name="__123Graph_D" hidden="1">#REF!</definedName>
    <definedName name="__123Graph_DCHART1" localSheetId="14" hidden="1">'[1]Power &amp; Fuel (S)'!#REF!</definedName>
    <definedName name="__123Graph_DCHART1" localSheetId="0" hidden="1">'[1]Power &amp; Fuel (S)'!#REF!</definedName>
    <definedName name="__123Graph_DCHART1" localSheetId="7" hidden="1">'[1]Power &amp; Fuel (S)'!#REF!</definedName>
    <definedName name="__123Graph_DCHART1" localSheetId="11" hidden="1">'[1]Power &amp; Fuel (S)'!#REF!</definedName>
    <definedName name="__123Graph_DCHART1" hidden="1">'[1]Power &amp; Fuel (S)'!#REF!</definedName>
    <definedName name="__123Graph_DCHART2" localSheetId="14" hidden="1">'[1]Power &amp; Fuel (S)'!#REF!</definedName>
    <definedName name="__123Graph_DCHART2" localSheetId="0" hidden="1">'[1]Power &amp; Fuel (S)'!#REF!</definedName>
    <definedName name="__123Graph_DCHART2" localSheetId="7" hidden="1">'[1]Power &amp; Fuel (S)'!#REF!</definedName>
    <definedName name="__123Graph_DCHART2" localSheetId="11" hidden="1">'[1]Power &amp; Fuel (S)'!#REF!</definedName>
    <definedName name="__123Graph_DCHART2" hidden="1">'[1]Power &amp; Fuel (S)'!#REF!</definedName>
    <definedName name="__123Graph_DCURRENT" localSheetId="14" hidden="1">'[1]Power &amp; Fuel (S)'!#REF!</definedName>
    <definedName name="__123Graph_DCURRENT" localSheetId="0" hidden="1">'[1]Power &amp; Fuel (S)'!#REF!</definedName>
    <definedName name="__123Graph_DCURRENT" localSheetId="7" hidden="1">'[1]Power &amp; Fuel (S)'!#REF!</definedName>
    <definedName name="__123Graph_DCURRENT" localSheetId="11" hidden="1">'[1]Power &amp; Fuel (S)'!#REF!</definedName>
    <definedName name="__123Graph_DCURRENT" hidden="1">'[1]Power &amp; Fuel (S)'!#REF!</definedName>
    <definedName name="__123Graph_E" localSheetId="14" hidden="1">#REF!</definedName>
    <definedName name="__123Graph_E" localSheetId="0" hidden="1">#REF!</definedName>
    <definedName name="__123Graph_E" localSheetId="7" hidden="1">#REF!</definedName>
    <definedName name="__123Graph_E" localSheetId="11" hidden="1">#REF!</definedName>
    <definedName name="__123Graph_E" hidden="1">#REF!</definedName>
    <definedName name="__123Graph_ECHART1" localSheetId="0" hidden="1">'[1]Power &amp; Fuel (S)'!#REF!</definedName>
    <definedName name="__123Graph_ECHART1" localSheetId="11" hidden="1">'[1]Power &amp; Fuel (S)'!#REF!</definedName>
    <definedName name="__123Graph_ECHART1" hidden="1">'[1]Power &amp; Fuel (S)'!#REF!</definedName>
    <definedName name="__123Graph_ECHART2" localSheetId="14" hidden="1">'[1]Power &amp; Fuel (S)'!#REF!</definedName>
    <definedName name="__123Graph_ECHART2" localSheetId="0" hidden="1">'[1]Power &amp; Fuel (S)'!#REF!</definedName>
    <definedName name="__123Graph_ECHART2" localSheetId="7" hidden="1">'[1]Power &amp; Fuel (S)'!#REF!</definedName>
    <definedName name="__123Graph_ECHART2" localSheetId="11" hidden="1">'[1]Power &amp; Fuel (S)'!#REF!</definedName>
    <definedName name="__123Graph_ECHART2" hidden="1">'[1]Power &amp; Fuel (S)'!#REF!</definedName>
    <definedName name="__123Graph_ECURRENT" hidden="1">'[1]Power &amp; Fuel (S)'!#REF!</definedName>
    <definedName name="__123Graph_F" hidden="1">#REF!</definedName>
    <definedName name="__123Graph_FCHART1" hidden="1">'[1]Power &amp; Fuel (S)'!#REF!</definedName>
    <definedName name="__123Graph_FCHART2" hidden="1">'[1]Power &amp; Fuel (S)'!#REF!</definedName>
    <definedName name="__123Graph_FCURRENT" hidden="1">'[1]Power &amp; Fuel (S)'!#REF!</definedName>
    <definedName name="__123Graph_X" localSheetId="14" hidden="1">#REF!</definedName>
    <definedName name="__123Graph_X" localSheetId="0" hidden="1">#REF!</definedName>
    <definedName name="__123Graph_X" localSheetId="7" hidden="1">#REF!</definedName>
    <definedName name="__123Graph_X" localSheetId="11" hidden="1">#REF!</definedName>
    <definedName name="__123Graph_X" hidden="1">#REF!</definedName>
    <definedName name="__123Graph_XCHART1" localSheetId="14" hidden="1">'[1]Power &amp; Fuel (S)'!#REF!</definedName>
    <definedName name="__123Graph_XCHART1" localSheetId="0" hidden="1">'[1]Power &amp; Fuel (S)'!#REF!</definedName>
    <definedName name="__123Graph_XCHART1" localSheetId="7" hidden="1">'[1]Power &amp; Fuel (S)'!#REF!</definedName>
    <definedName name="__123Graph_XCHART1" localSheetId="11" hidden="1">'[1]Power &amp; Fuel (S)'!#REF!</definedName>
    <definedName name="__123Graph_XCHART1" hidden="1">'[1]Power &amp; Fuel (S)'!#REF!</definedName>
    <definedName name="__123Graph_XCHART2" localSheetId="0" hidden="1">'[1]Power &amp; Fuel (S)'!#REF!</definedName>
    <definedName name="__123Graph_XCHART2" localSheetId="11" hidden="1">'[1]Power &amp; Fuel (S)'!#REF!</definedName>
    <definedName name="__123Graph_XCHART2" hidden="1">'[1]Power &amp; Fuel (S)'!#REF!</definedName>
    <definedName name="__123Graph_XCURRENT" hidden="1">'[1]Power &amp; Fuel (S)'!#REF!</definedName>
    <definedName name="__123Graph_XIncome" hidden="1">#REF!</definedName>
    <definedName name="__drs8" localSheetId="14" hidden="1">{"'August 2000'!$A$1:$J$101"}</definedName>
    <definedName name="__drs8" localSheetId="0" hidden="1">{"'August 2000'!$A$1:$J$101"}</definedName>
    <definedName name="__drs8" localSheetId="7" hidden="1">{"'August 2000'!$A$1:$J$101"}</definedName>
    <definedName name="__drs8" localSheetId="11" hidden="1">{"'August 2000'!$A$1:$J$101"}</definedName>
    <definedName name="__drs8" hidden="1">{"'August 2000'!$A$1:$J$101"}</definedName>
    <definedName name="__fa1" localSheetId="14" hidden="1">{"plansummary",#N/A,FALSE,"PlanSummary";"sales",#N/A,FALSE,"Sales Rec";"productivity",#N/A,FALSE,"Productivity Rec";"capitalspending",#N/A,FALSE,"Capital Spending"}</definedName>
    <definedName name="__fa1" localSheetId="0" hidden="1">{"plansummary",#N/A,FALSE,"PlanSummary";"sales",#N/A,FALSE,"Sales Rec";"productivity",#N/A,FALSE,"Productivity Rec";"capitalspending",#N/A,FALSE,"Capital Spending"}</definedName>
    <definedName name="__fa1" localSheetId="7" hidden="1">{"plansummary",#N/A,FALSE,"PlanSummary";"sales",#N/A,FALSE,"Sales Rec";"productivity",#N/A,FALSE,"Productivity Rec";"capitalspending",#N/A,FALSE,"Capital Spending"}</definedName>
    <definedName name="__fa1" localSheetId="11" hidden="1">{"plansummary",#N/A,FALSE,"PlanSummary";"sales",#N/A,FALSE,"Sales Rec";"productivity",#N/A,FALSE,"Productivity Rec";"capitalspending",#N/A,FALSE,"Capital Spending"}</definedName>
    <definedName name="__fa1" hidden="1">{"plansummary",#N/A,FALSE,"PlanSummary";"sales",#N/A,FALSE,"Sales Rec";"productivity",#N/A,FALSE,"Productivity Rec";"capitalspending",#N/A,FALSE,"Capital Spending"}</definedName>
    <definedName name="__fa2" localSheetId="14" hidden="1">{"plansummary",#N/A,FALSE,"PlanSummary";"sales",#N/A,FALSE,"Sales Rec";"productivity",#N/A,FALSE,"Productivity Rec";"capitalspending",#N/A,FALSE,"Capital Spending"}</definedName>
    <definedName name="__fa2" localSheetId="0" hidden="1">{"plansummary",#N/A,FALSE,"PlanSummary";"sales",#N/A,FALSE,"Sales Rec";"productivity",#N/A,FALSE,"Productivity Rec";"capitalspending",#N/A,FALSE,"Capital Spending"}</definedName>
    <definedName name="__fa2" localSheetId="7" hidden="1">{"plansummary",#N/A,FALSE,"PlanSummary";"sales",#N/A,FALSE,"Sales Rec";"productivity",#N/A,FALSE,"Productivity Rec";"capitalspending",#N/A,FALSE,"Capital Spending"}</definedName>
    <definedName name="__fa2" localSheetId="11" hidden="1">{"plansummary",#N/A,FALSE,"PlanSummary";"sales",#N/A,FALSE,"Sales Rec";"productivity",#N/A,FALSE,"Productivity Rec";"capitalspending",#N/A,FALSE,"Capital Spending"}</definedName>
    <definedName name="__fa2" hidden="1">{"plansummary",#N/A,FALSE,"PlanSummary";"sales",#N/A,FALSE,"Sales Rec";"productivity",#N/A,FALSE,"Productivity Rec";"capitalspending",#N/A,FALSE,"Capital Spending"}</definedName>
    <definedName name="__fa3" localSheetId="14" hidden="1">{"plansummary",#N/A,FALSE,"PlanSummary";"sales",#N/A,FALSE,"Sales Rec";"productivity",#N/A,FALSE,"Productivity Rec";"capitalspending",#N/A,FALSE,"Capital Spending"}</definedName>
    <definedName name="__fa3" localSheetId="0" hidden="1">{"plansummary",#N/A,FALSE,"PlanSummary";"sales",#N/A,FALSE,"Sales Rec";"productivity",#N/A,FALSE,"Productivity Rec";"capitalspending",#N/A,FALSE,"Capital Spending"}</definedName>
    <definedName name="__fa3" localSheetId="7" hidden="1">{"plansummary",#N/A,FALSE,"PlanSummary";"sales",#N/A,FALSE,"Sales Rec";"productivity",#N/A,FALSE,"Productivity Rec";"capitalspending",#N/A,FALSE,"Capital Spending"}</definedName>
    <definedName name="__fa3" localSheetId="11" hidden="1">{"plansummary",#N/A,FALSE,"PlanSummary";"sales",#N/A,FALSE,"Sales Rec";"productivity",#N/A,FALSE,"Productivity Rec";"capitalspending",#N/A,FALSE,"Capital Spending"}</definedName>
    <definedName name="__fa3" hidden="1">{"plansummary",#N/A,FALSE,"PlanSummary";"sales",#N/A,FALSE,"Sales Rec";"productivity",#N/A,FALSE,"Productivity Rec";"capitalspending",#N/A,FALSE,"Capital Spending"}</definedName>
    <definedName name="__FDS_HYPERLINK_TOGGLE_STATE__" hidden="1">"ON"</definedName>
    <definedName name="__IntlFixup" hidden="1">TRUE</definedName>
    <definedName name="__IntlFixupTable" hidden="1">#REF!</definedName>
    <definedName name="__MR10"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Nov09" localSheetId="14" hidden="1">{"'August 2000'!$A$1:$J$101"}</definedName>
    <definedName name="__Nov09" localSheetId="0" hidden="1">{"'August 2000'!$A$1:$J$101"}</definedName>
    <definedName name="__Nov09" localSheetId="7" hidden="1">{"'August 2000'!$A$1:$J$101"}</definedName>
    <definedName name="__Nov09" localSheetId="11" hidden="1">{"'August 2000'!$A$1:$J$101"}</definedName>
    <definedName name="__Nov09" hidden="1">{"'August 2000'!$A$1:$J$101"}</definedName>
    <definedName name="__t1"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_ta1" localSheetId="14" hidden="1">{#N/A,#N/A,TRUE,"Financials";#N/A,#N/A,TRUE,"Operating Statistics";#N/A,#N/A,TRUE,"Capex &amp; Depreciation";#N/A,#N/A,TRUE,"Debt"}</definedName>
    <definedName name="__ta1" localSheetId="0" hidden="1">{#N/A,#N/A,TRUE,"Financials";#N/A,#N/A,TRUE,"Operating Statistics";#N/A,#N/A,TRUE,"Capex &amp; Depreciation";#N/A,#N/A,TRUE,"Debt"}</definedName>
    <definedName name="__ta1" localSheetId="7" hidden="1">{#N/A,#N/A,TRUE,"Financials";#N/A,#N/A,TRUE,"Operating Statistics";#N/A,#N/A,TRUE,"Capex &amp; Depreciation";#N/A,#N/A,TRUE,"Debt"}</definedName>
    <definedName name="__ta1" localSheetId="11" hidden="1">{#N/A,#N/A,TRUE,"Financials";#N/A,#N/A,TRUE,"Operating Statistics";#N/A,#N/A,TRUE,"Capex &amp; Depreciation";#N/A,#N/A,TRUE,"Debt"}</definedName>
    <definedName name="__ta1" hidden="1">{#N/A,#N/A,TRUE,"Financials";#N/A,#N/A,TRUE,"Operating Statistics";#N/A,#N/A,TRUE,"Capex &amp; Depreciation";#N/A,#N/A,TRUE,"Debt"}</definedName>
    <definedName name="__tb1" localSheetId="14" hidden="1">{#N/A,#N/A,FALSE,"One Pager";#N/A,#N/A,FALSE,"Technical"}</definedName>
    <definedName name="__tb1" localSheetId="0" hidden="1">{#N/A,#N/A,FALSE,"One Pager";#N/A,#N/A,FALSE,"Technical"}</definedName>
    <definedName name="__tb1" localSheetId="7" hidden="1">{#N/A,#N/A,FALSE,"One Pager";#N/A,#N/A,FALSE,"Technical"}</definedName>
    <definedName name="__tb1" localSheetId="11" hidden="1">{#N/A,#N/A,FALSE,"One Pager";#N/A,#N/A,FALSE,"Technical"}</definedName>
    <definedName name="__tb1" hidden="1">{#N/A,#N/A,FALSE,"One Pager";#N/A,#N/A,FALSE,"Technical"}</definedName>
    <definedName name="_1__123Graph_AAdmin_Expenses" hidden="1">#REF!</definedName>
    <definedName name="_1__123Graph_ACHART_1" hidden="1">#REF!</definedName>
    <definedName name="_10__123Graph_FCHART_1" hidden="1">#REF!</definedName>
    <definedName name="_11__123Graph_LBL_ACHART_1" hidden="1">#REF!</definedName>
    <definedName name="_12__123Graph_LBL_CCHART_1" hidden="1">#REF!</definedName>
    <definedName name="_123" hidden="1">#REF!</definedName>
    <definedName name="_13__123Graph_LBL_DCHART_1" hidden="1">#REF!</definedName>
    <definedName name="_14__123Graph_LBL_ECHART_1" hidden="1">#REF!</definedName>
    <definedName name="_15__123Graph_XCHART_1" hidden="1">#REF!</definedName>
    <definedName name="_2__123Graph_ACHART_2" hidden="1">#REF!</definedName>
    <definedName name="_2__123Graph_AService_Expense" hidden="1">#REF!</definedName>
    <definedName name="_3__123Graph_ACHART_3" hidden="1">#REF!</definedName>
    <definedName name="_3__123Graph_BAdmin_Expenses" hidden="1">#REF!</definedName>
    <definedName name="_4__123Graph_BCHART_1" hidden="1">#REF!</definedName>
    <definedName name="_4__123Graph_BService_Expense" hidden="1">#REF!</definedName>
    <definedName name="_5__123Graph_BCHART_3" hidden="1">#REF!</definedName>
    <definedName name="_5__123Graph_XAdmin_Expenses" hidden="1">#REF!</definedName>
    <definedName name="_6__123Graph_CCHART_1" hidden="1">#REF!</definedName>
    <definedName name="_6__123Graph_XService_Expense" hidden="1">#REF!</definedName>
    <definedName name="_7.__Current_Liabilities___Provisions">#REF!</definedName>
    <definedName name="_7__123Graph_CCHART_3" hidden="1">#REF!</definedName>
    <definedName name="_8__123Graph_DCHART_1" hidden="1">#REF!</definedName>
    <definedName name="_9__123Graph_ECHART_1" hidden="1">#REF!</definedName>
    <definedName name="_as10" localSheetId="14" hidden="1">{"'August 2000'!$A$1:$J$101"}</definedName>
    <definedName name="_as10" localSheetId="0" hidden="1">{"'August 2000'!$A$1:$J$101"}</definedName>
    <definedName name="_as10" localSheetId="7" hidden="1">{"'August 2000'!$A$1:$J$101"}</definedName>
    <definedName name="_as10" localSheetId="11" hidden="1">{"'August 2000'!$A$1:$J$101"}</definedName>
    <definedName name="_as10" hidden="1">{"'August 2000'!$A$1:$J$101"}</definedName>
    <definedName name="_b69000">#REF!</definedName>
    <definedName name="_bdm.37A8781564CE406BBBA912C3F309BF50.edm" hidden="1">#REF!</definedName>
    <definedName name="_bdm.A6745B57B7754BAEBFCBA9DD822111E7.edm" hidden="1">#REF!</definedName>
    <definedName name="_Dist_Bin" hidden="1">#REF!</definedName>
    <definedName name="_Dist_Values" hidden="1">#REF!</definedName>
    <definedName name="_fa1" localSheetId="14" hidden="1">{"plansummary",#N/A,FALSE,"PlanSummary";"sales",#N/A,FALSE,"Sales Rec";"productivity",#N/A,FALSE,"Productivity Rec";"capitalspending",#N/A,FALSE,"Capital Spending"}</definedName>
    <definedName name="_fa1" localSheetId="0" hidden="1">{"plansummary",#N/A,FALSE,"PlanSummary";"sales",#N/A,FALSE,"Sales Rec";"productivity",#N/A,FALSE,"Productivity Rec";"capitalspending",#N/A,FALSE,"Capital Spending"}</definedName>
    <definedName name="_fa1" localSheetId="7" hidden="1">{"plansummary",#N/A,FALSE,"PlanSummary";"sales",#N/A,FALSE,"Sales Rec";"productivity",#N/A,FALSE,"Productivity Rec";"capitalspending",#N/A,FALSE,"Capital Spending"}</definedName>
    <definedName name="_fa1" localSheetId="11" hidden="1">{"plansummary",#N/A,FALSE,"PlanSummary";"sales",#N/A,FALSE,"Sales Rec";"productivity",#N/A,FALSE,"Productivity Rec";"capitalspending",#N/A,FALSE,"Capital Spending"}</definedName>
    <definedName name="_fa1" hidden="1">{"plansummary",#N/A,FALSE,"PlanSummary";"sales",#N/A,FALSE,"Sales Rec";"productivity",#N/A,FALSE,"Productivity Rec";"capitalspending",#N/A,FALSE,"Capital Spending"}</definedName>
    <definedName name="_fa2" localSheetId="14" hidden="1">{"plansummary",#N/A,FALSE,"PlanSummary";"sales",#N/A,FALSE,"Sales Rec";"productivity",#N/A,FALSE,"Productivity Rec";"capitalspending",#N/A,FALSE,"Capital Spending"}</definedName>
    <definedName name="_fa2" localSheetId="0" hidden="1">{"plansummary",#N/A,FALSE,"PlanSummary";"sales",#N/A,FALSE,"Sales Rec";"productivity",#N/A,FALSE,"Productivity Rec";"capitalspending",#N/A,FALSE,"Capital Spending"}</definedName>
    <definedName name="_fa2" localSheetId="7" hidden="1">{"plansummary",#N/A,FALSE,"PlanSummary";"sales",#N/A,FALSE,"Sales Rec";"productivity",#N/A,FALSE,"Productivity Rec";"capitalspending",#N/A,FALSE,"Capital Spending"}</definedName>
    <definedName name="_fa2" localSheetId="11" hidden="1">{"plansummary",#N/A,FALSE,"PlanSummary";"sales",#N/A,FALSE,"Sales Rec";"productivity",#N/A,FALSE,"Productivity Rec";"capitalspending",#N/A,FALSE,"Capital Spending"}</definedName>
    <definedName name="_fa2" hidden="1">{"plansummary",#N/A,FALSE,"PlanSummary";"sales",#N/A,FALSE,"Sales Rec";"productivity",#N/A,FALSE,"Productivity Rec";"capitalspending",#N/A,FALSE,"Capital Spending"}</definedName>
    <definedName name="_fa3" localSheetId="14" hidden="1">{"plansummary",#N/A,FALSE,"PlanSummary";"sales",#N/A,FALSE,"Sales Rec";"productivity",#N/A,FALSE,"Productivity Rec";"capitalspending",#N/A,FALSE,"Capital Spending"}</definedName>
    <definedName name="_fa3" localSheetId="0" hidden="1">{"plansummary",#N/A,FALSE,"PlanSummary";"sales",#N/A,FALSE,"Sales Rec";"productivity",#N/A,FALSE,"Productivity Rec";"capitalspending",#N/A,FALSE,"Capital Spending"}</definedName>
    <definedName name="_fa3" localSheetId="7" hidden="1">{"plansummary",#N/A,FALSE,"PlanSummary";"sales",#N/A,FALSE,"Sales Rec";"productivity",#N/A,FALSE,"Productivity Rec";"capitalspending",#N/A,FALSE,"Capital Spending"}</definedName>
    <definedName name="_fa3" localSheetId="11" hidden="1">{"plansummary",#N/A,FALSE,"PlanSummary";"sales",#N/A,FALSE,"Sales Rec";"productivity",#N/A,FALSE,"Productivity Rec";"capitalspending",#N/A,FALSE,"Capital Spending"}</definedName>
    <definedName name="_fa3" hidden="1">{"plansummary",#N/A,FALSE,"PlanSummary";"sales",#N/A,FALSE,"Sales Rec";"productivity",#N/A,FALSE,"Productivity Rec";"capitalspending",#N/A,FALSE,"Capital Spending"}</definedName>
    <definedName name="_Fill" localSheetId="14" hidden="1">#REF!</definedName>
    <definedName name="_Fill" localSheetId="0" hidden="1">#REF!</definedName>
    <definedName name="_Fill" localSheetId="7" hidden="1">#REF!</definedName>
    <definedName name="_Fill" localSheetId="11" hidden="1">#REF!</definedName>
    <definedName name="_Fill" hidden="1">#REF!</definedName>
    <definedName name="_xlnm._FilterDatabase" localSheetId="14" hidden="1">#REF!</definedName>
    <definedName name="_xlnm._FilterDatabase" localSheetId="0" hidden="1">#REF!</definedName>
    <definedName name="_xlnm._FilterDatabase" localSheetId="7" hidden="1">#REF!</definedName>
    <definedName name="_xlnm._FilterDatabase" localSheetId="11" hidden="1">#REF!</definedName>
    <definedName name="_xlnm._FilterDatabase" hidden="1">#REF!</definedName>
    <definedName name="_Key1" localSheetId="14" hidden="1">#REF!</definedName>
    <definedName name="_Key1" localSheetId="0" hidden="1">#REF!</definedName>
    <definedName name="_Key1" localSheetId="7" hidden="1">#REF!</definedName>
    <definedName name="_Key1" localSheetId="11" hidden="1">#REF!</definedName>
    <definedName name="_Key1" hidden="1">#REF!</definedName>
    <definedName name="_Key2" localSheetId="0" hidden="1">#REF!</definedName>
    <definedName name="_Key2" localSheetId="11" hidden="1">#REF!</definedName>
    <definedName name="_Key2" hidden="1">#REF!</definedName>
    <definedName name="_MR10"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MR1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Nov09" localSheetId="14" hidden="1">{"'August 2000'!$A$1:$J$101"}</definedName>
    <definedName name="_Nov09" localSheetId="0" hidden="1">{"'August 2000'!$A$1:$J$101"}</definedName>
    <definedName name="_Nov09" localSheetId="7" hidden="1">{"'August 2000'!$A$1:$J$101"}</definedName>
    <definedName name="_Nov09" localSheetId="11" hidden="1">{"'August 2000'!$A$1:$J$101"}</definedName>
    <definedName name="_Nov09" hidden="1">{"'August 2000'!$A$1:$J$101"}</definedName>
    <definedName name="_Order1">255</definedName>
    <definedName name="_Order2" hidden="1">255</definedName>
    <definedName name="_Parse_Out" hidden="1">#REF!</definedName>
    <definedName name="_pl18">#REF!</definedName>
    <definedName name="_Regression_X" hidden="1">#REF!</definedName>
    <definedName name="_sale" hidden="1">#REF!</definedName>
    <definedName name="_Sort" hidden="1">#REF!</definedName>
    <definedName name="_t1"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_ta1" localSheetId="14" hidden="1">{#N/A,#N/A,TRUE,"Financials";#N/A,#N/A,TRUE,"Operating Statistics";#N/A,#N/A,TRUE,"Capex &amp; Depreciation";#N/A,#N/A,TRUE,"Debt"}</definedName>
    <definedName name="_ta1" localSheetId="0" hidden="1">{#N/A,#N/A,TRUE,"Financials";#N/A,#N/A,TRUE,"Operating Statistics";#N/A,#N/A,TRUE,"Capex &amp; Depreciation";#N/A,#N/A,TRUE,"Debt"}</definedName>
    <definedName name="_ta1" localSheetId="7" hidden="1">{#N/A,#N/A,TRUE,"Financials";#N/A,#N/A,TRUE,"Operating Statistics";#N/A,#N/A,TRUE,"Capex &amp; Depreciation";#N/A,#N/A,TRUE,"Debt"}</definedName>
    <definedName name="_ta1" localSheetId="11" hidden="1">{#N/A,#N/A,TRUE,"Financials";#N/A,#N/A,TRUE,"Operating Statistics";#N/A,#N/A,TRUE,"Capex &amp; Depreciation";#N/A,#N/A,TRUE,"Debt"}</definedName>
    <definedName name="_ta1" hidden="1">{#N/A,#N/A,TRUE,"Financials";#N/A,#N/A,TRUE,"Operating Statistics";#N/A,#N/A,TRUE,"Capex &amp; Depreciation";#N/A,#N/A,TRUE,"Debt"}</definedName>
    <definedName name="_Table1_In1" hidden="1">#REF!</definedName>
    <definedName name="_Table1_Out" hidden="1">#REF!</definedName>
    <definedName name="_Tax7">#REF!</definedName>
    <definedName name="_Tax8">#REF!</definedName>
    <definedName name="_TB1" localSheetId="14">{#N/A,#N/A,FALSE,"One Pager";#N/A,#N/A,FALSE,"Technical"}</definedName>
    <definedName name="_TB1" localSheetId="0">{#N/A,#N/A,FALSE,"One Pager";#N/A,#N/A,FALSE,"Technical"}</definedName>
    <definedName name="_TB1" localSheetId="7">{#N/A,#N/A,FALSE,"One Pager";#N/A,#N/A,FALSE,"Technical"}</definedName>
    <definedName name="_TB1" localSheetId="11">{#N/A,#N/A,FALSE,"One Pager";#N/A,#N/A,FALSE,"Technical"}</definedName>
    <definedName name="_TB1">{#N/A,#N/A,FALSE,"One Pager";#N/A,#N/A,FALSE,"Technical"}</definedName>
    <definedName name="_TL2">'[2]Fin. Proj.'!#REF!</definedName>
    <definedName name="A" localSheetId="13">'[3]P &amp; L'!$B$1</definedName>
    <definedName name="A">#REF!</definedName>
    <definedName name="A_3">#REF!</definedName>
    <definedName name="A981..A1000_">#N/A</definedName>
    <definedName name="AA" localSheetId="14">{#N/A,#N/A,TRUE,"Introduction";#N/A,#N/A,TRUE,"Operating Statistics";#N/A,#N/A,TRUE,"Capex &amp; Depreciation";#N/A,#N/A,TRUE,"Equity";#N/A,#N/A,TRUE,"Debt";#N/A,#N/A,TRUE,"Debt (2)";#N/A,#N/A,TRUE,"Financials";#N/A,#N/A,TRUE,"Market Info";#N/A,#N/A,TRUE,"Company Card";#N/A,#N/A,TRUE,"One Pager";#N/A,#N/A,TRUE,"First Page";#N/A,#N/A,TRUE,"Technical";#N/A,#N/A,TRUE,"Range Names"}</definedName>
    <definedName name="AA" localSheetId="0">{#N/A,#N/A,TRUE,"Introduction";#N/A,#N/A,TRUE,"Operating Statistics";#N/A,#N/A,TRUE,"Capex &amp; Depreciation";#N/A,#N/A,TRUE,"Equity";#N/A,#N/A,TRUE,"Debt";#N/A,#N/A,TRUE,"Debt (2)";#N/A,#N/A,TRUE,"Financials";#N/A,#N/A,TRUE,"Market Info";#N/A,#N/A,TRUE,"Company Card";#N/A,#N/A,TRUE,"One Pager";#N/A,#N/A,TRUE,"First Page";#N/A,#N/A,TRUE,"Technical";#N/A,#N/A,TRUE,"Range Names"}</definedName>
    <definedName name="AA" localSheetId="7">{#N/A,#N/A,TRUE,"Introduction";#N/A,#N/A,TRUE,"Operating Statistics";#N/A,#N/A,TRUE,"Capex &amp; Depreciation";#N/A,#N/A,TRUE,"Equity";#N/A,#N/A,TRUE,"Debt";#N/A,#N/A,TRUE,"Debt (2)";#N/A,#N/A,TRUE,"Financials";#N/A,#N/A,TRUE,"Market Info";#N/A,#N/A,TRUE,"Company Card";#N/A,#N/A,TRUE,"One Pager";#N/A,#N/A,TRUE,"First Page";#N/A,#N/A,TRUE,"Technical";#N/A,#N/A,TRUE,"Range Names"}</definedName>
    <definedName name="AA" localSheetId="11">{#N/A,#N/A,TRUE,"Introduction";#N/A,#N/A,TRUE,"Operating Statistics";#N/A,#N/A,TRUE,"Capex &amp; Depreciation";#N/A,#N/A,TRUE,"Equity";#N/A,#N/A,TRUE,"Debt";#N/A,#N/A,TRUE,"Debt (2)";#N/A,#N/A,TRUE,"Financials";#N/A,#N/A,TRUE,"Market Info";#N/A,#N/A,TRUE,"Company Card";#N/A,#N/A,TRUE,"One Pager";#N/A,#N/A,TRUE,"First Page";#N/A,#N/A,TRUE,"Technical";#N/A,#N/A,TRUE,"Range Names"}</definedName>
    <definedName name="AA">{#N/A,#N/A,TRUE,"Introduction";#N/A,#N/A,TRUE,"Operating Statistics";#N/A,#N/A,TRUE,"Capex &amp; Depreciation";#N/A,#N/A,TRUE,"Equity";#N/A,#N/A,TRUE,"Debt";#N/A,#N/A,TRUE,"Debt (2)";#N/A,#N/A,TRUE,"Financials";#N/A,#N/A,TRUE,"Market Info";#N/A,#N/A,TRUE,"Company Card";#N/A,#N/A,TRUE,"One Pager";#N/A,#N/A,TRUE,"First Page";#N/A,#N/A,TRUE,"Technical";#N/A,#N/A,TRUE,"Range Names"}</definedName>
    <definedName name="AA.Report.Files" hidden="1">#REF!</definedName>
    <definedName name="AA.Reports.Available" hidden="1">#REF!</definedName>
    <definedName name="AAA">'[4]Fin. Proj.'!#REF!</definedName>
    <definedName name="AAA_DOCTOPS" hidden="1">"AAA_SET"</definedName>
    <definedName name="AAA_duser" hidden="1">"OFF"</definedName>
    <definedName name="aaaa" localSheetId="14">{#N/A,#N/A,TRUE,"Introduction";#N/A,#N/A,TRUE,"Operating Statistics";#N/A,#N/A,TRUE,"Capex &amp; Depreciation";#N/A,#N/A,TRUE,"Equity";#N/A,#N/A,TRUE,"Debt";#N/A,#N/A,TRUE,"Debt (2)";#N/A,#N/A,TRUE,"Financials";#N/A,#N/A,TRUE,"Market Info";#N/A,#N/A,TRUE,"Company Card";#N/A,#N/A,TRUE,"One Pager";#N/A,#N/A,TRUE,"First Page";#N/A,#N/A,TRUE,"Technical";#N/A,#N/A,TRUE,"Range Names"}</definedName>
    <definedName name="aaaa" localSheetId="0">{#N/A,#N/A,TRUE,"Introduction";#N/A,#N/A,TRUE,"Operating Statistics";#N/A,#N/A,TRUE,"Capex &amp; Depreciation";#N/A,#N/A,TRUE,"Equity";#N/A,#N/A,TRUE,"Debt";#N/A,#N/A,TRUE,"Debt (2)";#N/A,#N/A,TRUE,"Financials";#N/A,#N/A,TRUE,"Market Info";#N/A,#N/A,TRUE,"Company Card";#N/A,#N/A,TRUE,"One Pager";#N/A,#N/A,TRUE,"First Page";#N/A,#N/A,TRUE,"Technical";#N/A,#N/A,TRUE,"Range Names"}</definedName>
    <definedName name="aaaa" localSheetId="7">{#N/A,#N/A,TRUE,"Introduction";#N/A,#N/A,TRUE,"Operating Statistics";#N/A,#N/A,TRUE,"Capex &amp; Depreciation";#N/A,#N/A,TRUE,"Equity";#N/A,#N/A,TRUE,"Debt";#N/A,#N/A,TRUE,"Debt (2)";#N/A,#N/A,TRUE,"Financials";#N/A,#N/A,TRUE,"Market Info";#N/A,#N/A,TRUE,"Company Card";#N/A,#N/A,TRUE,"One Pager";#N/A,#N/A,TRUE,"First Page";#N/A,#N/A,TRUE,"Technical";#N/A,#N/A,TRUE,"Range Names"}</definedName>
    <definedName name="aaaa" localSheetId="11">{#N/A,#N/A,TRUE,"Introduction";#N/A,#N/A,TRUE,"Operating Statistics";#N/A,#N/A,TRUE,"Capex &amp; Depreciation";#N/A,#N/A,TRUE,"Equity";#N/A,#N/A,TRUE,"Debt";#N/A,#N/A,TRUE,"Debt (2)";#N/A,#N/A,TRUE,"Financials";#N/A,#N/A,TRUE,"Market Info";#N/A,#N/A,TRUE,"Company Card";#N/A,#N/A,TRUE,"One Pager";#N/A,#N/A,TRUE,"First Page";#N/A,#N/A,TRUE,"Technical";#N/A,#N/A,TRUE,"Range Names"}</definedName>
    <definedName name="aaaa">{#N/A,#N/A,TRUE,"Introduction";#N/A,#N/A,TRUE,"Operating Statistics";#N/A,#N/A,TRUE,"Capex &amp; Depreciation";#N/A,#N/A,TRUE,"Equity";#N/A,#N/A,TRUE,"Debt";#N/A,#N/A,TRUE,"Debt (2)";#N/A,#N/A,TRUE,"Financials";#N/A,#N/A,TRUE,"Market Info";#N/A,#N/A,TRUE,"Company Card";#N/A,#N/A,TRUE,"One Pager";#N/A,#N/A,TRUE,"First Page";#N/A,#N/A,TRUE,"Technical";#N/A,#N/A,TRUE,"Range Names"}</definedName>
    <definedName name="AAB_Addin5" hidden="1">"AAB_Description for addin 5,Description for addin 5,Description for addin 5,Description for addin 5,Description for addin 5,Description for addin 5"</definedName>
    <definedName name="ab">#REF!</definedName>
    <definedName name="ABC" localSheetId="14">{#N/A,#N/A,TRUE,"Financials";#N/A,#N/A,TRUE,"Operating Statistics";#N/A,#N/A,TRUE,"Capex &amp; Depreciation";#N/A,#N/A,TRUE,"Debt"}</definedName>
    <definedName name="ABC" localSheetId="0">{#N/A,#N/A,TRUE,"Financials";#N/A,#N/A,TRUE,"Operating Statistics";#N/A,#N/A,TRUE,"Capex &amp; Depreciation";#N/A,#N/A,TRUE,"Debt"}</definedName>
    <definedName name="ABC" localSheetId="7">{#N/A,#N/A,TRUE,"Financials";#N/A,#N/A,TRUE,"Operating Statistics";#N/A,#N/A,TRUE,"Capex &amp; Depreciation";#N/A,#N/A,TRUE,"Debt"}</definedName>
    <definedName name="ABC" localSheetId="11">{#N/A,#N/A,TRUE,"Financials";#N/A,#N/A,TRUE,"Operating Statistics";#N/A,#N/A,TRUE,"Capex &amp; Depreciation";#N/A,#N/A,TRUE,"Debt"}</definedName>
    <definedName name="ABC">{#N/A,#N/A,TRUE,"Financials";#N/A,#N/A,TRUE,"Operating Statistics";#N/A,#N/A,TRUE,"Capex &amp; Depreciation";#N/A,#N/A,TRUE,"Debt"}</definedName>
    <definedName name="abc.doc" localSheetId="14" hidden="1">{"'Income Statement'!$D$96:$E$101"}</definedName>
    <definedName name="abc.doc" localSheetId="0" hidden="1">{"'Income Statement'!$D$96:$E$101"}</definedName>
    <definedName name="abc.doc" localSheetId="7" hidden="1">{"'Income Statement'!$D$96:$E$101"}</definedName>
    <definedName name="abc.doc" localSheetId="11" hidden="1">{"'Income Statement'!$D$96:$E$101"}</definedName>
    <definedName name="abc.doc" hidden="1">{"'Income Statement'!$D$96:$E$101"}</definedName>
    <definedName name="Acct_No">#REF!</definedName>
    <definedName name="AKA" localSheetId="14" hidden="1">{"'August 2000'!$A$1:$J$101"}</definedName>
    <definedName name="AKA" localSheetId="0" hidden="1">{"'August 2000'!$A$1:$J$101"}</definedName>
    <definedName name="AKA" localSheetId="7" hidden="1">{"'August 2000'!$A$1:$J$101"}</definedName>
    <definedName name="AKA" localSheetId="11" hidden="1">{"'August 2000'!$A$1:$J$101"}</definedName>
    <definedName name="AKA" hidden="1">{"'August 2000'!$A$1:$J$101"}</definedName>
    <definedName name="AM">#REF!</definedName>
    <definedName name="ANNEXA">#REF!</definedName>
    <definedName name="ANNEXB">#REF!</definedName>
    <definedName name="ANNEXC">#REF!</definedName>
    <definedName name="ANNEXCXFHJ">#REF!</definedName>
    <definedName name="ANNEXD">#REF!</definedName>
    <definedName name="ANNEXE">#REF!</definedName>
    <definedName name="ANNEXF">#REF!</definedName>
    <definedName name="ANNEXG">#REF!</definedName>
    <definedName name="ANNEXH">#REF!</definedName>
    <definedName name="ANNEXI">#REF!</definedName>
    <definedName name="ANNEXJ">#REF!</definedName>
    <definedName name="annx">#REF!</definedName>
    <definedName name="anscount" hidden="1">1</definedName>
    <definedName name="AOE_Coordinator">#REF!</definedName>
    <definedName name="AOE_Fees">#REF!</definedName>
    <definedName name="ar" hidden="1">#REF!</definedName>
    <definedName name="AS">#N/A</definedName>
    <definedName name="AS2DocOpenMode" hidden="1">"AS2DocumentEdit"</definedName>
    <definedName name="AS2NamedRange" hidden="1">2</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 hidden="1">#REF!</definedName>
    <definedName name="asas" hidden="1">#REF!</definedName>
    <definedName name="asdfdasfsda" localSheetId="14" hidden="1">OFFSET([5]!Data.Top.Left,1,0)</definedName>
    <definedName name="asdfdasfsda" localSheetId="9" hidden="1">OFFSET([5]!Data.Top.Left,1,0)</definedName>
    <definedName name="asdfdasfsda" localSheetId="11" hidden="1">OFFSET([5]!Data.Top.Left,1,0)</definedName>
    <definedName name="asdfdasfsda" hidden="1">OFFSET([5]!Data.Top.Left,1,0)</definedName>
    <definedName name="asdfg" localSheetId="14">[6]RNT!#REF!</definedName>
    <definedName name="asdfg" localSheetId="0">[6]RNT!#REF!</definedName>
    <definedName name="asdfg" localSheetId="7">[6]RNT!#REF!</definedName>
    <definedName name="asdfg" localSheetId="11">[6]RNT!#REF!</definedName>
    <definedName name="asdfg">[6]RNT!#REF!</definedName>
    <definedName name="Associate" localSheetId="14">#REF!</definedName>
    <definedName name="Associate" localSheetId="0">#REF!</definedName>
    <definedName name="Associate" localSheetId="7">#REF!</definedName>
    <definedName name="Associate" localSheetId="11">#REF!</definedName>
    <definedName name="Associate">#REF!</definedName>
    <definedName name="assum1" localSheetId="14">#REF!</definedName>
    <definedName name="assum1" localSheetId="0">#REF!</definedName>
    <definedName name="assum1" localSheetId="7">#REF!</definedName>
    <definedName name="assum1" localSheetId="11">#REF!</definedName>
    <definedName name="assum1">#REF!</definedName>
    <definedName name="ata" localSheetId="14">[6]RNT!#REF!</definedName>
    <definedName name="ata" localSheetId="0">[6]RNT!#REF!</definedName>
    <definedName name="ata" localSheetId="7">[6]RNT!#REF!</definedName>
    <definedName name="ata" localSheetId="11">[6]RNT!#REF!</definedName>
    <definedName name="ata">[6]RNT!#REF!</definedName>
    <definedName name="atish" localSheetId="1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tish" localSheetId="0"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tish" localSheetId="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tish" localSheetId="1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tish"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UTOMATION">#REF!</definedName>
    <definedName name="AvailableHrs">'[7]Staffing Sheet'!$V$17</definedName>
    <definedName name="AveRctOOP">'[8]Data Elements-Exp Driv &amp; Assump'!#REF!</definedName>
    <definedName name="AY">[9]TaxComputn!$A$2</definedName>
    <definedName name="B" localSheetId="14">{#N/A,#N/A,FALSE,"One Pager";#N/A,#N/A,FALSE,"Technical"}</definedName>
    <definedName name="B" localSheetId="0">{#N/A,#N/A,FALSE,"One Pager";#N/A,#N/A,FALSE,"Technical"}</definedName>
    <definedName name="B" localSheetId="7">{#N/A,#N/A,FALSE,"One Pager";#N/A,#N/A,FALSE,"Technical"}</definedName>
    <definedName name="B" localSheetId="11">{#N/A,#N/A,FALSE,"One Pager";#N/A,#N/A,FALSE,"Technical"}</definedName>
    <definedName name="B">{#N/A,#N/A,FALSE,"One Pager";#N/A,#N/A,FALSE,"Technical"}</definedName>
    <definedName name="b_3">#REF!</definedName>
    <definedName name="BAL">[10]Cmadata!#REF!</definedName>
    <definedName name="balance_type">1</definedName>
    <definedName name="basic">#REF!</definedName>
    <definedName name="bbbb">#REF!</definedName>
    <definedName name="Beg_Bal">#REF!</definedName>
    <definedName name="Beginning_Balance">#N/A</definedName>
    <definedName name="BG_Del" hidden="1">15</definedName>
    <definedName name="BG_Ins" hidden="1">4</definedName>
    <definedName name="BG_Mod" hidden="1">6</definedName>
    <definedName name="Bgr" hidden="1">#REF!</definedName>
    <definedName name="BHAVESH">#REF!</definedName>
    <definedName name="Bhl"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hl"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hl"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hl"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hl"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ijalpur2"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BKFIN">[10]Cmadata!#REF!</definedName>
    <definedName name="blower" localSheetId="14">#REF!</definedName>
    <definedName name="blower" localSheetId="0">#REF!</definedName>
    <definedName name="blower" localSheetId="7">#REF!</definedName>
    <definedName name="blower" localSheetId="11">#REF!</definedName>
    <definedName name="blower">#REF!</definedName>
    <definedName name="bs" localSheetId="14">'[11]Fin. Proj.'!#REF!</definedName>
    <definedName name="bs" localSheetId="7">'[11]Fin. Proj.'!#REF!</definedName>
    <definedName name="bs">'[11]Fin. Proj.'!#REF!</definedName>
    <definedName name="BS_Exchg" localSheetId="14">#REF!</definedName>
    <definedName name="BS_Exchg" localSheetId="0">#REF!</definedName>
    <definedName name="BS_Exchg" localSheetId="7">#REF!</definedName>
    <definedName name="BS_Exchg" localSheetId="11">#REF!</definedName>
    <definedName name="BS_Exchg">#REF!</definedName>
    <definedName name="BSDEC02" localSheetId="14"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BSDEC02" localSheetId="0"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BSDEC02" localSheetId="7"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BSDEC02" localSheetId="1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BSDEC02"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bsheet">#REF!</definedName>
    <definedName name="bsl">#REF!</definedName>
    <definedName name="bss" localSheetId="14"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bss" localSheetId="0"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bss" localSheetId="7"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bss" localSheetId="1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bss"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BTT_DAStaff" localSheetId="14">[7]!BTT_DAStaff</definedName>
    <definedName name="BTT_DAStaff" localSheetId="9">[7]!BTT_DAStaff</definedName>
    <definedName name="BTT_DAStaff" localSheetId="11">[7]!BTT_DAStaff</definedName>
    <definedName name="BTT_DAStaff">[7]!BTT_DAStaff</definedName>
    <definedName name="bu">[12]Control!$C$4</definedName>
    <definedName name="Business" localSheetId="14">#REF!</definedName>
    <definedName name="Business" localSheetId="0">#REF!</definedName>
    <definedName name="Business" localSheetId="7">#REF!</definedName>
    <definedName name="Business" localSheetId="11">#REF!</definedName>
    <definedName name="Business">#REF!</definedName>
    <definedName name="Business_Unit_DSO">[13]Tables!$C$17</definedName>
    <definedName name="ByPosition" localSheetId="14">#REF!</definedName>
    <definedName name="ByPosition" localSheetId="0">#REF!</definedName>
    <definedName name="ByPosition" localSheetId="7">#REF!</definedName>
    <definedName name="ByPosition" localSheetId="11">#REF!</definedName>
    <definedName name="ByPosition">#REF!</definedName>
    <definedName name="C_" localSheetId="14">#REF!</definedName>
    <definedName name="C_" localSheetId="0">#REF!</definedName>
    <definedName name="C_" localSheetId="7">#REF!</definedName>
    <definedName name="C_" localSheetId="11">#REF!</definedName>
    <definedName name="C_">#REF!</definedName>
    <definedName name="CA_LIA" localSheetId="14">[10]Cmadata!#REF!</definedName>
    <definedName name="CA_LIA" localSheetId="0">[10]Cmadata!#REF!</definedName>
    <definedName name="CA_LIA" localSheetId="7">[10]Cmadata!#REF!</definedName>
    <definedName name="CA_LIA" localSheetId="11">[10]Cmadata!#REF!</definedName>
    <definedName name="CA_LIA">[10]Cmadata!#REF!</definedName>
    <definedName name="cam_exp">'[14]Lease rents'!$C$25</definedName>
    <definedName name="CAP" localSheetId="14">#REF!</definedName>
    <definedName name="CAP" localSheetId="0">#REF!</definedName>
    <definedName name="CAP" localSheetId="7">#REF!</definedName>
    <definedName name="CAP" localSheetId="11">#REF!</definedName>
    <definedName name="CAP">#REF!</definedName>
    <definedName name="CASH" localSheetId="14">[10]Cmadata!#REF!</definedName>
    <definedName name="CASH" localSheetId="7">[10]Cmadata!#REF!</definedName>
    <definedName name="CASH">[10]Cmadata!#REF!</definedName>
    <definedName name="CASH_FLOW" localSheetId="14">#REF!</definedName>
    <definedName name="CASH_FLOW" localSheetId="0">#REF!</definedName>
    <definedName name="CASH_FLOW" localSheetId="7">#REF!</definedName>
    <definedName name="CASH_FLOW" localSheetId="11">#REF!</definedName>
    <definedName name="CASH_FLOW">#REF!</definedName>
    <definedName name="CASHFLOW" localSheetId="14">#REF!</definedName>
    <definedName name="CASHFLOW" localSheetId="0">#REF!</definedName>
    <definedName name="CASHFLOW" localSheetId="7">#REF!</definedName>
    <definedName name="CASHFLOW" localSheetId="11">#REF!</definedName>
    <definedName name="CASHFLOW">#REF!</definedName>
    <definedName name="cat">NA()</definedName>
    <definedName name="cenvat" localSheetId="14" hidden="1">{"'August 2000'!$A$1:$J$101"}</definedName>
    <definedName name="cenvat" localSheetId="0" hidden="1">{"'August 2000'!$A$1:$J$101"}</definedName>
    <definedName name="cenvat" localSheetId="7" hidden="1">{"'August 2000'!$A$1:$J$101"}</definedName>
    <definedName name="cenvat" localSheetId="11" hidden="1">{"'August 2000'!$A$1:$J$101"}</definedName>
    <definedName name="cenvat" hidden="1">{"'August 2000'!$A$1:$J$101"}</definedName>
    <definedName name="cf">#REF!</definedName>
    <definedName name="chlncount">[15]list!$A$64:$A$67</definedName>
    <definedName name="CIQWBGuid" hidden="1">"7e008688-8c01-4423-bae3-1c1436774555"</definedName>
    <definedName name="CIVIL">#REF!</definedName>
    <definedName name="clause">[15]list!$A$75:$A$194</definedName>
    <definedName name="clauses">[15]list!$A$75:$B$194</definedName>
    <definedName name="clausestart">[15]list!$A$75</definedName>
    <definedName name="cma"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cma"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cma"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cma"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cm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co">1</definedName>
    <definedName name="Code" localSheetId="14" hidden="1">#REF!</definedName>
    <definedName name="Code" localSheetId="0" hidden="1">#REF!</definedName>
    <definedName name="Code" localSheetId="7" hidden="1">#REF!</definedName>
    <definedName name="Code" localSheetId="11" hidden="1">#REF!</definedName>
    <definedName name="Code" hidden="1">#REF!</definedName>
    <definedName name="Combi"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Combi"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Combi"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Combi"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Combi"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comp2003" localSheetId="14"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comp2003" localSheetId="0"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comp2003" localSheetId="7"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comp2003" localSheetId="1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comp2003"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ConRep1" localSheetId="14" hidden="1">{#N/A,#N/A,TRUE,"Data Elements-Staffing";#N/A,#N/A,TRUE,"Data Elements-Exp Driv &amp; Assump";#N/A,#N/A,TRUE,"Staffing Sheet";#N/A,#N/A,TRUE,"Income";#N/A,#N/A,TRUE,"Income Summary";#N/A,#N/A,TRUE,"Staffing Summary"}</definedName>
    <definedName name="ConRep1" localSheetId="0" hidden="1">{#N/A,#N/A,TRUE,"Data Elements-Staffing";#N/A,#N/A,TRUE,"Data Elements-Exp Driv &amp; Assump";#N/A,#N/A,TRUE,"Staffing Sheet";#N/A,#N/A,TRUE,"Income";#N/A,#N/A,TRUE,"Income Summary";#N/A,#N/A,TRUE,"Staffing Summary"}</definedName>
    <definedName name="ConRep1" localSheetId="7" hidden="1">{#N/A,#N/A,TRUE,"Data Elements-Staffing";#N/A,#N/A,TRUE,"Data Elements-Exp Driv &amp; Assump";#N/A,#N/A,TRUE,"Staffing Sheet";#N/A,#N/A,TRUE,"Income";#N/A,#N/A,TRUE,"Income Summary";#N/A,#N/A,TRUE,"Staffing Summary"}</definedName>
    <definedName name="ConRep1" localSheetId="11" hidden="1">{#N/A,#N/A,TRUE,"Data Elements-Staffing";#N/A,#N/A,TRUE,"Data Elements-Exp Driv &amp; Assump";#N/A,#N/A,TRUE,"Staffing Sheet";#N/A,#N/A,TRUE,"Income";#N/A,#N/A,TRUE,"Income Summary";#N/A,#N/A,TRUE,"Staffing Summary"}</definedName>
    <definedName name="ConRep1" hidden="1">{#N/A,#N/A,TRUE,"Data Elements-Staffing";#N/A,#N/A,TRUE,"Data Elements-Exp Driv &amp; Assump";#N/A,#N/A,TRUE,"Staffing Sheet";#N/A,#N/A,TRUE,"Income";#N/A,#N/A,TRUE,"Income Summary";#N/A,#N/A,TRUE,"Staffing Summary"}</definedName>
    <definedName name="cons98">#REF!</definedName>
    <definedName name="constitut">[15]list!$A$8:$A$14</definedName>
    <definedName name="COPMR" localSheetId="14">#REF!</definedName>
    <definedName name="COPMR" localSheetId="0">#REF!</definedName>
    <definedName name="COPMR" localSheetId="7">#REF!</definedName>
    <definedName name="COPMR" localSheetId="11">#REF!</definedName>
    <definedName name="COPMR">#REF!</definedName>
    <definedName name="copy" localSheetId="14" hidden="1">{#N/A,#N/A,TRUE,"Cover";#N/A,#N/A,TRUE,"Results-Summ";#N/A,#N/A,TRUE,"Top10-FS";#N/A,#N/A,TRUE,"Top10-TP";#N/A,#N/A,TRUE,"3MthFor";#N/A,#N/A,TRUE,"Bus-Dev";#N/A,#N/A,TRUE,"Top10-Cat";#N/A,#N/A,TRUE,"Top10-Con";#N/A,#N/A,TRUE,"Top10-QSR";#N/A,#N/A,TRUE,"Top10-RM";#N/A,#N/A,TRUE,"Top10-FrF"}</definedName>
    <definedName name="copy" localSheetId="0" hidden="1">{#N/A,#N/A,TRUE,"Cover";#N/A,#N/A,TRUE,"Results-Summ";#N/A,#N/A,TRUE,"Top10-FS";#N/A,#N/A,TRUE,"Top10-TP";#N/A,#N/A,TRUE,"3MthFor";#N/A,#N/A,TRUE,"Bus-Dev";#N/A,#N/A,TRUE,"Top10-Cat";#N/A,#N/A,TRUE,"Top10-Con";#N/A,#N/A,TRUE,"Top10-QSR";#N/A,#N/A,TRUE,"Top10-RM";#N/A,#N/A,TRUE,"Top10-FrF"}</definedName>
    <definedName name="copy" localSheetId="7" hidden="1">{#N/A,#N/A,TRUE,"Cover";#N/A,#N/A,TRUE,"Results-Summ";#N/A,#N/A,TRUE,"Top10-FS";#N/A,#N/A,TRUE,"Top10-TP";#N/A,#N/A,TRUE,"3MthFor";#N/A,#N/A,TRUE,"Bus-Dev";#N/A,#N/A,TRUE,"Top10-Cat";#N/A,#N/A,TRUE,"Top10-Con";#N/A,#N/A,TRUE,"Top10-QSR";#N/A,#N/A,TRUE,"Top10-RM";#N/A,#N/A,TRUE,"Top10-FrF"}</definedName>
    <definedName name="copy" localSheetId="11" hidden="1">{#N/A,#N/A,TRUE,"Cover";#N/A,#N/A,TRUE,"Results-Summ";#N/A,#N/A,TRUE,"Top10-FS";#N/A,#N/A,TRUE,"Top10-TP";#N/A,#N/A,TRUE,"3MthFor";#N/A,#N/A,TRUE,"Bus-Dev";#N/A,#N/A,TRUE,"Top10-Cat";#N/A,#N/A,TRUE,"Top10-Con";#N/A,#N/A,TRUE,"Top10-QSR";#N/A,#N/A,TRUE,"Top10-RM";#N/A,#N/A,TRUE,"Top10-FrF"}</definedName>
    <definedName name="copy" hidden="1">{#N/A,#N/A,TRUE,"Cover";#N/A,#N/A,TRUE,"Results-Summ";#N/A,#N/A,TRUE,"Top10-FS";#N/A,#N/A,TRUE,"Top10-TP";#N/A,#N/A,TRUE,"3MthFor";#N/A,#N/A,TRUE,"Bus-Dev";#N/A,#N/A,TRUE,"Top10-Cat";#N/A,#N/A,TRUE,"Top10-Con";#N/A,#N/A,TRUE,"Top10-QSR";#N/A,#N/A,TRUE,"Top10-RM";#N/A,#N/A,TRUE,"Top10-FrF"}</definedName>
    <definedName name="CPP">#REF!</definedName>
    <definedName name="cr">[16]Input!$D$260</definedName>
    <definedName name="CRALastYr" localSheetId="14">#REF!</definedName>
    <definedName name="CRALastYr" localSheetId="0">#REF!</definedName>
    <definedName name="CRALastYr" localSheetId="7">#REF!</definedName>
    <definedName name="CRALastYr" localSheetId="11">#REF!</definedName>
    <definedName name="CRALastYr">#REF!</definedName>
    <definedName name="crit" localSheetId="14">#REF!,#REF!,#REF!</definedName>
    <definedName name="crit" localSheetId="0">#REF!,#REF!,#REF!</definedName>
    <definedName name="crit" localSheetId="7">#REF!,#REF!,#REF!</definedName>
    <definedName name="crit" localSheetId="11">#REF!,#REF!,#REF!</definedName>
    <definedName name="crit">#REF!,#REF!,#REF!</definedName>
    <definedName name="Csdfs" localSheetId="14"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Csdfs" localSheetId="0"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Csdfs" localSheetId="7"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Csdfs" localSheetId="1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Csdfs"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Curr_Cat">[17]Parms!$I$11</definedName>
    <definedName name="Curr_Period">[17]Parms!$C$11</definedName>
    <definedName name="CWIP">[18]Schedule!#REF!</definedName>
    <definedName name="CWIPP">[19]Schedule!#REF!</definedName>
    <definedName name="d" localSheetId="14">#REF!</definedName>
    <definedName name="d" localSheetId="0">#REF!</definedName>
    <definedName name="d" localSheetId="7">#REF!</definedName>
    <definedName name="d" localSheetId="11">#REF!</definedName>
    <definedName name="d">#REF!</definedName>
    <definedName name="das" localSheetId="14" hidden="1">{#N/A,#N/A,TRUE,"Data Elements-Staffing";#N/A,#N/A,TRUE,"Data Elements-Exp Driv &amp; Assump";#N/A,#N/A,TRUE,"Staffing Sheet";#N/A,#N/A,TRUE,"Income";#N/A,#N/A,TRUE,"Income Summary";#N/A,#N/A,TRUE,"Staffing Summary"}</definedName>
    <definedName name="das" localSheetId="0" hidden="1">{#N/A,#N/A,TRUE,"Data Elements-Staffing";#N/A,#N/A,TRUE,"Data Elements-Exp Driv &amp; Assump";#N/A,#N/A,TRUE,"Staffing Sheet";#N/A,#N/A,TRUE,"Income";#N/A,#N/A,TRUE,"Income Summary";#N/A,#N/A,TRUE,"Staffing Summary"}</definedName>
    <definedName name="das" localSheetId="7" hidden="1">{#N/A,#N/A,TRUE,"Data Elements-Staffing";#N/A,#N/A,TRUE,"Data Elements-Exp Driv &amp; Assump";#N/A,#N/A,TRUE,"Staffing Sheet";#N/A,#N/A,TRUE,"Income";#N/A,#N/A,TRUE,"Income Summary";#N/A,#N/A,TRUE,"Staffing Summary"}</definedName>
    <definedName name="das" localSheetId="11" hidden="1">{#N/A,#N/A,TRUE,"Data Elements-Staffing";#N/A,#N/A,TRUE,"Data Elements-Exp Driv &amp; Assump";#N/A,#N/A,TRUE,"Staffing Sheet";#N/A,#N/A,TRUE,"Income";#N/A,#N/A,TRUE,"Income Summary";#N/A,#N/A,TRUE,"Staffing Summary"}</definedName>
    <definedName name="das" hidden="1">{#N/A,#N/A,TRUE,"Data Elements-Staffing";#N/A,#N/A,TRUE,"Data Elements-Exp Driv &amp; Assump";#N/A,#N/A,TRUE,"Staffing Sheet";#N/A,#N/A,TRUE,"Income";#N/A,#N/A,TRUE,"Income Summary";#N/A,#N/A,TRUE,"Staffing Summary"}</definedName>
    <definedName name="Data">#REF!</definedName>
    <definedName name="Data.Dump" localSheetId="14" hidden="1">OFFSET([5]!Data.Top.Left,1,0)</definedName>
    <definedName name="Data.Dump" localSheetId="9" hidden="1">OFFSET([5]!Data.Top.Left,1,0)</definedName>
    <definedName name="Data.Dump" localSheetId="11" hidden="1">OFFSET([5]!Data.Top.Left,1,0)</definedName>
    <definedName name="Data.Dump" hidden="1">OFFSET([5]!Data.Top.Left,1,0)</definedName>
    <definedName name="_xlnm.Database" localSheetId="14">#REF!</definedName>
    <definedName name="_xlnm.Database" localSheetId="0">#REF!</definedName>
    <definedName name="_xlnm.Database" localSheetId="7">#REF!</definedName>
    <definedName name="_xlnm.Database" localSheetId="11">#REF!</definedName>
    <definedName name="_xlnm.Database">#REF!</definedName>
    <definedName name="Database.File" localSheetId="14" hidden="1">#REF!</definedName>
    <definedName name="Database.File" localSheetId="7" hidden="1">#REF!</definedName>
    <definedName name="Database.File" hidden="1">#REF!</definedName>
    <definedName name="Days_AR" localSheetId="14">#REF!</definedName>
    <definedName name="Days_AR" localSheetId="7">#REF!</definedName>
    <definedName name="Days_AR">#REF!</definedName>
    <definedName name="ÐCompanyName" hidden="1">#REF!</definedName>
    <definedName name="dd">#REF!</definedName>
    <definedName name="DDDD" hidden="1">#REF!</definedName>
    <definedName name="ddddddggg" hidden="1">#REF!</definedName>
    <definedName name="dds" localSheetId="14" hidden="1">{#N/A,#N/A,TRUE,"Data Elements-Staffing";#N/A,#N/A,TRUE,"Data Elements-Exp Driv &amp; Assump";#N/A,#N/A,TRUE,"Staffing Sheet";#N/A,#N/A,TRUE,"Income";#N/A,#N/A,TRUE,"Income Summary";#N/A,#N/A,TRUE,"Staffing Summary"}</definedName>
    <definedName name="dds" localSheetId="0" hidden="1">{#N/A,#N/A,TRUE,"Data Elements-Staffing";#N/A,#N/A,TRUE,"Data Elements-Exp Driv &amp; Assump";#N/A,#N/A,TRUE,"Staffing Sheet";#N/A,#N/A,TRUE,"Income";#N/A,#N/A,TRUE,"Income Summary";#N/A,#N/A,TRUE,"Staffing Summary"}</definedName>
    <definedName name="dds" localSheetId="7" hidden="1">{#N/A,#N/A,TRUE,"Data Elements-Staffing";#N/A,#N/A,TRUE,"Data Elements-Exp Driv &amp; Assump";#N/A,#N/A,TRUE,"Staffing Sheet";#N/A,#N/A,TRUE,"Income";#N/A,#N/A,TRUE,"Income Summary";#N/A,#N/A,TRUE,"Staffing Summary"}</definedName>
    <definedName name="dds" localSheetId="11" hidden="1">{#N/A,#N/A,TRUE,"Data Elements-Staffing";#N/A,#N/A,TRUE,"Data Elements-Exp Driv &amp; Assump";#N/A,#N/A,TRUE,"Staffing Sheet";#N/A,#N/A,TRUE,"Income";#N/A,#N/A,TRUE,"Income Summary";#N/A,#N/A,TRUE,"Staffing Summary"}</definedName>
    <definedName name="dds" hidden="1">{#N/A,#N/A,TRUE,"Data Elements-Staffing";#N/A,#N/A,TRUE,"Data Elements-Exp Driv &amp; Assump";#N/A,#N/A,TRUE,"Staffing Sheet";#N/A,#N/A,TRUE,"Income";#N/A,#N/A,TRUE,"Income Summary";#N/A,#N/A,TRUE,"Staffing Summary"}</definedName>
    <definedName name="deb" localSheetId="14" hidden="1">{#N/A,#N/A,TRUE,"Data Elements-Staffing";#N/A,#N/A,TRUE,"Data Elements-Exp Driv &amp; Assump";#N/A,#N/A,TRUE,"Staffing Sheet";#N/A,#N/A,TRUE,"Income";#N/A,#N/A,TRUE,"Income Summary";#N/A,#N/A,TRUE,"Staffing Summary"}</definedName>
    <definedName name="deb" localSheetId="0" hidden="1">{#N/A,#N/A,TRUE,"Data Elements-Staffing";#N/A,#N/A,TRUE,"Data Elements-Exp Driv &amp; Assump";#N/A,#N/A,TRUE,"Staffing Sheet";#N/A,#N/A,TRUE,"Income";#N/A,#N/A,TRUE,"Income Summary";#N/A,#N/A,TRUE,"Staffing Summary"}</definedName>
    <definedName name="deb" localSheetId="7" hidden="1">{#N/A,#N/A,TRUE,"Data Elements-Staffing";#N/A,#N/A,TRUE,"Data Elements-Exp Driv &amp; Assump";#N/A,#N/A,TRUE,"Staffing Sheet";#N/A,#N/A,TRUE,"Income";#N/A,#N/A,TRUE,"Income Summary";#N/A,#N/A,TRUE,"Staffing Summary"}</definedName>
    <definedName name="deb" localSheetId="11" hidden="1">{#N/A,#N/A,TRUE,"Data Elements-Staffing";#N/A,#N/A,TRUE,"Data Elements-Exp Driv &amp; Assump";#N/A,#N/A,TRUE,"Staffing Sheet";#N/A,#N/A,TRUE,"Income";#N/A,#N/A,TRUE,"Income Summary";#N/A,#N/A,TRUE,"Staffing Summary"}</definedName>
    <definedName name="deb" hidden="1">{#N/A,#N/A,TRUE,"Data Elements-Staffing";#N/A,#N/A,TRUE,"Data Elements-Exp Driv &amp; Assump";#N/A,#N/A,TRUE,"Staffing Sheet";#N/A,#N/A,TRUE,"Income";#N/A,#N/A,TRUE,"Income Summary";#N/A,#N/A,TRUE,"Staffing Summary"}</definedName>
    <definedName name="DEBT">[20]RNT!$C$38</definedName>
    <definedName name="Debts">'[21]CASH FLOW AND BALANCE SHEET'!#REF!</definedName>
    <definedName name="Deduct1" localSheetId="14">#REF!</definedName>
    <definedName name="Deduct1" localSheetId="0">#REF!</definedName>
    <definedName name="Deduct1" localSheetId="7">#REF!</definedName>
    <definedName name="Deduct1" localSheetId="11">#REF!</definedName>
    <definedName name="Deduct1">#REF!</definedName>
    <definedName name="deduct3" localSheetId="14">#REF!</definedName>
    <definedName name="deduct3" localSheetId="0">#REF!</definedName>
    <definedName name="deduct3" localSheetId="7">#REF!</definedName>
    <definedName name="deduct3" localSheetId="11">#REF!</definedName>
    <definedName name="deduct3">#REF!</definedName>
    <definedName name="DeducteeNames_ListSource_Common" localSheetId="14">#REF!</definedName>
    <definedName name="DeducteeNames_ListSource_Common" localSheetId="0">#REF!</definedName>
    <definedName name="DeducteeNames_ListSource_Common" localSheetId="7">#REF!</definedName>
    <definedName name="DeducteeNames_ListSource_Common" localSheetId="11">#REF!</definedName>
    <definedName name="DeducteeNames_ListSource_Common">#REF!</definedName>
    <definedName name="def" localSheetId="14" hidden="1">{#N/A,#N/A,TRUE,"Financials";#N/A,#N/A,TRUE,"Operating Statistics";#N/A,#N/A,TRUE,"Capex &amp; Depreciation";#N/A,#N/A,TRUE,"Debt"}</definedName>
    <definedName name="def" localSheetId="0" hidden="1">{#N/A,#N/A,TRUE,"Financials";#N/A,#N/A,TRUE,"Operating Statistics";#N/A,#N/A,TRUE,"Capex &amp; Depreciation";#N/A,#N/A,TRUE,"Debt"}</definedName>
    <definedName name="def" localSheetId="7" hidden="1">{#N/A,#N/A,TRUE,"Financials";#N/A,#N/A,TRUE,"Operating Statistics";#N/A,#N/A,TRUE,"Capex &amp; Depreciation";#N/A,#N/A,TRUE,"Debt"}</definedName>
    <definedName name="def" localSheetId="11" hidden="1">{#N/A,#N/A,TRUE,"Financials";#N/A,#N/A,TRUE,"Operating Statistics";#N/A,#N/A,TRUE,"Capex &amp; Depreciation";#N/A,#N/A,TRUE,"Debt"}</definedName>
    <definedName name="def" hidden="1">{#N/A,#N/A,TRUE,"Financials";#N/A,#N/A,TRUE,"Operating Statistics";#N/A,#N/A,TRUE,"Capex &amp; Depreciation";#N/A,#N/A,TRUE,"Debt"}</definedName>
    <definedName name="DemandItems">#REF!</definedName>
    <definedName name="dep">'[22]B-S'!$B$174:$J$200</definedName>
    <definedName name="dev" localSheetId="1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ev" localSheetId="0"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ev" localSheetId="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ev" localSheetId="1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ev"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faerf">#REF!</definedName>
    <definedName name="dfr">#N/A</definedName>
    <definedName name="dhakjs" localSheetId="14" hidden="1">{"'August 2000'!$A$1:$J$101"}</definedName>
    <definedName name="dhakjs" localSheetId="0" hidden="1">{"'August 2000'!$A$1:$J$101"}</definedName>
    <definedName name="dhakjs" localSheetId="7" hidden="1">{"'August 2000'!$A$1:$J$101"}</definedName>
    <definedName name="dhakjs" localSheetId="11" hidden="1">{"'August 2000'!$A$1:$J$101"}</definedName>
    <definedName name="dhakjs" hidden="1">{"'August 2000'!$A$1:$J$101"}</definedName>
    <definedName name="Discount" hidden="1">#REF!</definedName>
    <definedName name="display_area_2" hidden="1">#REF!</definedName>
    <definedName name="DM" localSheetId="14" hidden="1">{#N/A,#N/A,TRUE,"Cover";#N/A,#N/A,TRUE,"Results-Summ";#N/A,#N/A,TRUE,"Top10-FP";#N/A,#N/A,TRUE,"3MthFor";#N/A,#N/A,TRUE,"Bus-Dev";#N/A,#N/A,TRUE,"Top5-Dai";#N/A,#N/A,TRUE,"Top5-ICR";#N/A,#N/A,TRUE,"Top5-EFats";#N/A,#N/A,TRUE,"Top5-OP"}</definedName>
    <definedName name="DM" localSheetId="0" hidden="1">{#N/A,#N/A,TRUE,"Cover";#N/A,#N/A,TRUE,"Results-Summ";#N/A,#N/A,TRUE,"Top10-FP";#N/A,#N/A,TRUE,"3MthFor";#N/A,#N/A,TRUE,"Bus-Dev";#N/A,#N/A,TRUE,"Top5-Dai";#N/A,#N/A,TRUE,"Top5-ICR";#N/A,#N/A,TRUE,"Top5-EFats";#N/A,#N/A,TRUE,"Top5-OP"}</definedName>
    <definedName name="DM" localSheetId="7" hidden="1">{#N/A,#N/A,TRUE,"Cover";#N/A,#N/A,TRUE,"Results-Summ";#N/A,#N/A,TRUE,"Top10-FP";#N/A,#N/A,TRUE,"3MthFor";#N/A,#N/A,TRUE,"Bus-Dev";#N/A,#N/A,TRUE,"Top5-Dai";#N/A,#N/A,TRUE,"Top5-ICR";#N/A,#N/A,TRUE,"Top5-EFats";#N/A,#N/A,TRUE,"Top5-OP"}</definedName>
    <definedName name="DM" localSheetId="11" hidden="1">{#N/A,#N/A,TRUE,"Cover";#N/A,#N/A,TRUE,"Results-Summ";#N/A,#N/A,TRUE,"Top10-FP";#N/A,#N/A,TRUE,"3MthFor";#N/A,#N/A,TRUE,"Bus-Dev";#N/A,#N/A,TRUE,"Top5-Dai";#N/A,#N/A,TRUE,"Top5-ICR";#N/A,#N/A,TRUE,"Top5-EFats";#N/A,#N/A,TRUE,"Top5-OP"}</definedName>
    <definedName name="DM" hidden="1">{#N/A,#N/A,TRUE,"Cover";#N/A,#N/A,TRUE,"Results-Summ";#N/A,#N/A,TRUE,"Top10-FP";#N/A,#N/A,TRUE,"3MthFor";#N/A,#N/A,TRUE,"Bus-Dev";#N/A,#N/A,TRUE,"Top5-Dai";#N/A,#N/A,TRUE,"Top5-ICR";#N/A,#N/A,TRUE,"Top5-EFats";#N/A,#N/A,TRUE,"Top5-OP"}</definedName>
    <definedName name="DME_BeforeCloseCompleted" hidden="1">"True"</definedName>
    <definedName name="DME_DocumentFlags" hidden="1">"1"</definedName>
    <definedName name="DME_DocumentID" hidden="1">"::ODMA\DME-MSE\London-24631"</definedName>
    <definedName name="DME_DocumentOpened" hidden="1">"True"</definedName>
    <definedName name="DME_DocumentTitle" hidden="1">"London-24631 - Standard Model"</definedName>
    <definedName name="DME_LocalFile" hidden="1">"False"</definedName>
    <definedName name="DME_NextWindowNumber" hidden="1">"2"</definedName>
    <definedName name="DSCR">#REF!</definedName>
    <definedName name="dtrr" localSheetId="14" hidden="1">{#N/A,#N/A,TRUE,"Data Elements-Staffing";#N/A,#N/A,TRUE,"Data Elements-Exp Driv &amp; Assump";#N/A,#N/A,TRUE,"Staffing Sheet";#N/A,#N/A,TRUE,"Income";#N/A,#N/A,TRUE,"Income Summary";#N/A,#N/A,TRUE,"Staffing Summary"}</definedName>
    <definedName name="dtrr" localSheetId="0" hidden="1">{#N/A,#N/A,TRUE,"Data Elements-Staffing";#N/A,#N/A,TRUE,"Data Elements-Exp Driv &amp; Assump";#N/A,#N/A,TRUE,"Staffing Sheet";#N/A,#N/A,TRUE,"Income";#N/A,#N/A,TRUE,"Income Summary";#N/A,#N/A,TRUE,"Staffing Summary"}</definedName>
    <definedName name="dtrr" localSheetId="7" hidden="1">{#N/A,#N/A,TRUE,"Data Elements-Staffing";#N/A,#N/A,TRUE,"Data Elements-Exp Driv &amp; Assump";#N/A,#N/A,TRUE,"Staffing Sheet";#N/A,#N/A,TRUE,"Income";#N/A,#N/A,TRUE,"Income Summary";#N/A,#N/A,TRUE,"Staffing Summary"}</definedName>
    <definedName name="dtrr" localSheetId="11" hidden="1">{#N/A,#N/A,TRUE,"Data Elements-Staffing";#N/A,#N/A,TRUE,"Data Elements-Exp Driv &amp; Assump";#N/A,#N/A,TRUE,"Staffing Sheet";#N/A,#N/A,TRUE,"Income";#N/A,#N/A,TRUE,"Income Summary";#N/A,#N/A,TRUE,"Staffing Summary"}</definedName>
    <definedName name="dtrr" hidden="1">{#N/A,#N/A,TRUE,"Data Elements-Staffing";#N/A,#N/A,TRUE,"Data Elements-Exp Driv &amp; Assump";#N/A,#N/A,TRUE,"Staffing Sheet";#N/A,#N/A,TRUE,"Income";#N/A,#N/A,TRUE,"Income Summary";#N/A,#N/A,TRUE,"Staffing Summary"}</definedName>
    <definedName name="ÐYesNoDropdown" hidden="1">#REF!</definedName>
    <definedName name="E" localSheetId="14">{#N/A,#N/A,TRUE,"Data Elements-Staffing";#N/A,#N/A,TRUE,"Data Elements-Exp Driv &amp; Assump";#N/A,#N/A,TRUE,"Staffing Sheet";#N/A,#N/A,TRUE,"Income";#N/A,#N/A,TRUE,"Income Summary";#N/A,#N/A,TRUE,"Staffing Summary"}</definedName>
    <definedName name="E" localSheetId="0">{#N/A,#N/A,TRUE,"Data Elements-Staffing";#N/A,#N/A,TRUE,"Data Elements-Exp Driv &amp; Assump";#N/A,#N/A,TRUE,"Staffing Sheet";#N/A,#N/A,TRUE,"Income";#N/A,#N/A,TRUE,"Income Summary";#N/A,#N/A,TRUE,"Staffing Summary"}</definedName>
    <definedName name="E" localSheetId="7">{#N/A,#N/A,TRUE,"Data Elements-Staffing";#N/A,#N/A,TRUE,"Data Elements-Exp Driv &amp; Assump";#N/A,#N/A,TRUE,"Staffing Sheet";#N/A,#N/A,TRUE,"Income";#N/A,#N/A,TRUE,"Income Summary";#N/A,#N/A,TRUE,"Staffing Summary"}</definedName>
    <definedName name="E" localSheetId="11">{#N/A,#N/A,TRUE,"Data Elements-Staffing";#N/A,#N/A,TRUE,"Data Elements-Exp Driv &amp; Assump";#N/A,#N/A,TRUE,"Staffing Sheet";#N/A,#N/A,TRUE,"Income";#N/A,#N/A,TRUE,"Income Summary";#N/A,#N/A,TRUE,"Staffing Summary"}</definedName>
    <definedName name="E">{#N/A,#N/A,TRUE,"Data Elements-Staffing";#N/A,#N/A,TRUE,"Data Elements-Exp Driv &amp; Assump";#N/A,#N/A,TRUE,"Staffing Sheet";#N/A,#N/A,TRUE,"Income";#N/A,#N/A,TRUE,"Income Summary";#N/A,#N/A,TRUE,"Staffing Summary"}</definedName>
    <definedName name="ee" localSheetId="14">{#N/A,#N/A,TRUE,"Data Elements-Staffing";#N/A,#N/A,TRUE,"Data Elements-Exp Driv &amp; Assump";#N/A,#N/A,TRUE,"Staffing Sheet";#N/A,#N/A,TRUE,"Income";#N/A,#N/A,TRUE,"Income Summary";#N/A,#N/A,TRUE,"Staffing Summary"}</definedName>
    <definedName name="ee" localSheetId="0">{#N/A,#N/A,TRUE,"Data Elements-Staffing";#N/A,#N/A,TRUE,"Data Elements-Exp Driv &amp; Assump";#N/A,#N/A,TRUE,"Staffing Sheet";#N/A,#N/A,TRUE,"Income";#N/A,#N/A,TRUE,"Income Summary";#N/A,#N/A,TRUE,"Staffing Summary"}</definedName>
    <definedName name="ee" localSheetId="7">{#N/A,#N/A,TRUE,"Data Elements-Staffing";#N/A,#N/A,TRUE,"Data Elements-Exp Driv &amp; Assump";#N/A,#N/A,TRUE,"Staffing Sheet";#N/A,#N/A,TRUE,"Income";#N/A,#N/A,TRUE,"Income Summary";#N/A,#N/A,TRUE,"Staffing Summary"}</definedName>
    <definedName name="ee" localSheetId="11">{#N/A,#N/A,TRUE,"Data Elements-Staffing";#N/A,#N/A,TRUE,"Data Elements-Exp Driv &amp; Assump";#N/A,#N/A,TRUE,"Staffing Sheet";#N/A,#N/A,TRUE,"Income";#N/A,#N/A,TRUE,"Income Summary";#N/A,#N/A,TRUE,"Staffing Summary"}</definedName>
    <definedName name="ee">{#N/A,#N/A,TRUE,"Data Elements-Staffing";#N/A,#N/A,TRUE,"Data Elements-Exp Driv &amp; Assump";#N/A,#N/A,TRUE,"Staffing Sheet";#N/A,#N/A,TRUE,"Income";#N/A,#N/A,TRUE,"Income Summary";#N/A,#N/A,TRUE,"Staffing Summary"}</definedName>
    <definedName name="EL">#REF!</definedName>
    <definedName name="EL_3">#REF!</definedName>
    <definedName name="electrical">#REF!</definedName>
    <definedName name="Electricity" localSheetId="1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Electricity" localSheetId="0"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Electricity" localSheetId="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Electricity" localSheetId="1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Electricity"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EMI_FACTOR">#REF!</definedName>
    <definedName name="Employee_._List__CS_">#REF!</definedName>
    <definedName name="End_Bal">#REF!</definedName>
    <definedName name="Ending_Balance">#N/A</definedName>
    <definedName name="ENGEL" hidden="1">#REF!</definedName>
    <definedName name="EP_BonusTable">'[23]Firm &amp; SBUG Metrics M, SM, Dir'!$E$19:$J$20</definedName>
    <definedName name="EPMWorkbookOptions_1" hidden="1">"SAEAAB|LCAAAAAAABADtvQdgHEmWJSYvbcp7f0r1StfgdKEIgGATJNiQQBDswYjN5pLsHWlHIymrKoHKZVZlXWYWQMztnbz33nvvvffee||997o7nU4n99//P1xmZAFs9s5K2smeIYCqyB8/fnwfPyIe/x7vFmV6mddNUS0/|2h3vPNRmi|n1axYXnz20bo939799KPf4|g3Th5/t6rfTqrq7Zerlpo2Kb23bB69a4rPPpq37erR3btXV1fjq3v"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10" hidden="1">"Mi8WGb7wvvl3MZvnSdtx0OvCbbhCY1/PqqmMwge7ju5EvNr3KxIy8GSHy7fyE27WKk/7o|OTky69evPkhOhP/L/cllCChE3u8u7Oz//Dn7erwEE12d/d|RJMunzzc/xFNujTZvfcjmnRlZ//g//M0|Qb9UR/Nr2HGnrw6fvH0A0JiUu/kDN7eiO3|v9uICTlCnnvykJ7/r3PcN0qQ/z|stf2/RwRPjt|cfv7lq9/nawvhvXv37|/v799eCPf|3y"</definedName>
    <definedName name="EPMWorkbookOptions_11" hidden="1">"2EhiAd1X/y5iuKLH/Edl6zW7UaYLunx2|OX786|dpc9|mD3Z2Dgwe357p7/|/mOqVHyHRvvqQ0wu//|asvv/p/82K6DOlnyQJE6XLy5avT3//sxcuv3vxIIP1mt2o1IJBE27M3X98KkCv26af37r2HL7b//26BFHo4vtujX093dh/8f977/6YIsisEuf8jgvgEeXP6|v/zSukbJQjSTT8iiKdD7n366af/XyfI/3vM1stXXz796uTNB|QQ3jsTf"</definedName>
    <definedName name="EPMWorkbookOptions_12" hidden="1">"v//3YbLUCSUw5c/n9MIAyT5USLhm5TEV25B8ocojJ/|v1sYPaJ8/31WaRXg/ytZ7hujxelXP6KFocXzk/|vk|L/PZrozdkXpz9EFfTg/90qCNQIDd8eDXC8c|//6wz3TRNk/0cE8QiyN97d|xFBDEGe/T57OzsPx5yQ/f86Vf7fo6i/OD1|/dWr0x9m8Hbw/25lbSgiTsHv8|bpj5jtfRoF2MQbPb57vFqVxTRrCY79PPjUNCdo1XJJiNNnT7M2"</definedName>
    <definedName name="EPMWorkbookOptions_13" hidden="1">"44/9D99U3cE/fpWf13kz/3L55SpfHp1nZZM/vht|yO1OyjyrAfTL5evsMjctux9z2|9W9dtJVb0lxmyZjKZ1/4uw/dWMZ801/HIl4/t/AMtf0Z6zeQAA"</definedName>
    <definedName name="EPMWorkbookOptions_15" hidden="1">"v8vM6b|ZfLL1f50qzYhR9yu5Myz2oA/XL5OrvMTcvux9z2u1X9dlJVb4kxWyajad3/Imx/NdNZe3zW/GRWF9mkzL/I6wsHoff5b5w4sF|uhBr/DzxHj7hvfAAA"</definedName>
    <definedName name="EPMWorkbookOptions_2" hidden="1">"jqr64u7ezs3v39/7i|evpPF9k28WyabPlNP/IvjW7|a2PqNc0ffwqP6/zZv7l8stVvjw6z8omf3w3/JDbnZR5Vj/N2uzL5evsMjctux9zWzOWl3XV5tM2n5nW/S/C9lez9C6IYRsqNY7|H0p|MExIAQAA"</definedName>
    <definedName name="EPMWorkbookOptions_3" hidden="1">"4tb42ngRFC8T7W4R8FmHQQEOL16HmLr|jLL/LFJK|/Wha/aJ0z1O|dHL85/fzLV7/P98ffe3n86vTFm2/v0q/HJ2||On5OY||90AP57SKvs3o6v3aNUmKuR8ui/Oyjtl4T79ztv/W0WORLsO7t33p895sb9dPjN8evX52Eg37z5Zvj57//y1env//ZyZf//x07DffsjTffe/Tr6c7ug53//w752fMvvxvO9bPnL758cfr/4xF/9eLkzdmXL153h"</definedName>
    <definedName name="EPMWorkbookOptions_4" hidden="1">"v3/71GfvXhz|opkNxjz2e///|9Bf3F6/PqrV6eYafrf7/Pm6f9XhrrhG||LbxezWb60HTcbqGUb/WTRFJOiLNrrWw3h6Pjk5MuvXrx5fDf2ZYR0wOgIw318V//YMOabsfpGxmAM|f|nB6F2|f/TYxD7|v/pIcBe/n97AMb8/X96FGrO/j89hlcv35x89YqM8cn/t0Xi9cmXL0//Pz2CN2df/H97AMbR|bkZRNB4o1PiD9alAHqOy|t55To9qcqq"</definedName>
    <definedName name="EPMWorkbookOptions_5" hidden="1">"PuKMw|O7kW82vcvDj70aoYsj7DBmt201ME3v5Uz5MGSklLe6v7N772DXAxCjAb/7ZT3L66Odx3fllyj0ZlVm1y/rapXX7XXEqaVGz7OmfZ2XlI7KZ|I6x0Ybzmy0QRpz0JUgnQzL7s5Dem7jqyvgr|Wx67uRqbjdu5sCFW3xTdJkd2fndnkIBfzzgyYP9n9Ek4Amezv3DvZ|RJMOn/z/QZ88vnsbXeyZhp81M/Z|8bQPxNixnZ19Wmi4vRnb/X|"</definedName>
    <definedName name="EPMWorkbookOptions_6" hidden="1">"3GfvQlQIF/P9KtvtmafL89Pd/uXPwI5r0aPL/efX0s0CT/R/RpEeT3f|v0|Rn34zd1oy9V0Y1YsXu3bt/f39///ZWbO//3VZsw8rvq9PPKWX4/3XW|1kgzOevvvzq5Y/o4tHl5MtXp7//2YuXX735EVk8snz55tunr35EEY8ip8/Pvnj9/3WK/L/Hmr3P2poPQo3Zpw92dw4OHtzemN37f7cxE3I4jtsDx|3s/vxNoXUJwiJIgfj9HxEkJMjP20"</definedName>
    <definedName name="EPMWorkbookOptions_7" hidden="1">"gsSpB7|7sPfkSQkCD/n89f/L/Haj17/uV3v7bNImH99NN7994jj7j//26jBWqE7Pbs|YsvX5z|f53fvkl60KT/f96G/79I/r56cfKGQvvXX18I33tN|v7/y4XQkKTDeT|vBXGAJns7P3/XGodpsvsjmnRo8qP1129SaZ|9eHP66uTLH6LK/vT/3SpbCRIy3dnv//8Hjf3/Hq579fLNyVeviLwnXz/L9P6c9|D/3ZznEYVYjv73/OT/6xz3jZHi7"</definedName>
    <definedName name="EPMWorkbookOptions_8" hidden="1">"MXP24R3jxafP/n//CrR/3s00euTL1|e/hB10MH/u3UQkyO0fa///2D6vi49IvQ4|/z4|P/zAvhN0uPZqx8tvQXNbtVqQB|9Ofvih6mOHv6/Wx2BGiG3UUR8b7zz83YZYYgg/59fRviGCbK79yOCeATZ|xFBeiKz//91gvy/x2h9cXr8|qtXpz/MxP/uzv|7LZchiYRsv8|bp/9f57ZvhhAvT1|dffn07OdtYiOkxk/8f58tvkEldItGATbxRo/v"</definedName>
    <definedName name="EPMWorkbookOptions_9" hidden="1">"Hq9WZTHNWoJjPw8|Nc0JWrVcEuL02dOszczH0U/pc6Haolw2n300b9vVo7t323yxWtfFuKov7n7V5LXDafyumX109Ps/e/nF7//k5cmL7|7u/P7f05dm071ZM5le7uyO28nF|KKsJllZNOOLevXogJak7zbZ6u5kNb37/d//e28|f0L/fvvLV2c/9eWLN8fP6Y/zrGxy4puAVx7743tPJD3ixWhnx37k0Oj0LmQbZJSNsnKblNct039fT0S|jnA"</definedName>
    <definedName name="EPS">#REF!</definedName>
    <definedName name="EPTotal">#REF!</definedName>
    <definedName name="Equity_benefit">#REF!</definedName>
    <definedName name="Equity_benefit_3">#REF!</definedName>
    <definedName name="Equity_charge">#REF!</definedName>
    <definedName name="Equity_charge_3">#REF!</definedName>
    <definedName name="ert" localSheetId="14" hidden="1">{#N/A,#N/A,TRUE,"Data Elements-Staffing";#N/A,#N/A,TRUE,"Data Elements-Exp Driv &amp; Assump";#N/A,#N/A,TRUE,"Staffing Sheet";#N/A,#N/A,TRUE,"Income";#N/A,#N/A,TRUE,"Income Summary";#N/A,#N/A,TRUE,"Staffing Summary"}</definedName>
    <definedName name="ert" localSheetId="0" hidden="1">{#N/A,#N/A,TRUE,"Data Elements-Staffing";#N/A,#N/A,TRUE,"Data Elements-Exp Driv &amp; Assump";#N/A,#N/A,TRUE,"Staffing Sheet";#N/A,#N/A,TRUE,"Income";#N/A,#N/A,TRUE,"Income Summary";#N/A,#N/A,TRUE,"Staffing Summary"}</definedName>
    <definedName name="ert" localSheetId="7" hidden="1">{#N/A,#N/A,TRUE,"Data Elements-Staffing";#N/A,#N/A,TRUE,"Data Elements-Exp Driv &amp; Assump";#N/A,#N/A,TRUE,"Staffing Sheet";#N/A,#N/A,TRUE,"Income";#N/A,#N/A,TRUE,"Income Summary";#N/A,#N/A,TRUE,"Staffing Summary"}</definedName>
    <definedName name="ert" localSheetId="11" hidden="1">{#N/A,#N/A,TRUE,"Data Elements-Staffing";#N/A,#N/A,TRUE,"Data Elements-Exp Driv &amp; Assump";#N/A,#N/A,TRUE,"Staffing Sheet";#N/A,#N/A,TRUE,"Income";#N/A,#N/A,TRUE,"Income Summary";#N/A,#N/A,TRUE,"Staffing Summary"}</definedName>
    <definedName name="ert" hidden="1">{#N/A,#N/A,TRUE,"Data Elements-Staffing";#N/A,#N/A,TRUE,"Data Elements-Exp Driv &amp; Assump";#N/A,#N/A,TRUE,"Staffing Sheet";#N/A,#N/A,TRUE,"Income";#N/A,#N/A,TRUE,"Income Summary";#N/A,#N/A,TRUE,"Staffing Summary"}</definedName>
    <definedName name="ertt" localSheetId="14" hidden="1">{#N/A,#N/A,TRUE,"Data Elements-Staffing";#N/A,#N/A,TRUE,"Data Elements-Exp Driv &amp; Assump";#N/A,#N/A,TRUE,"Staffing Sheet";#N/A,#N/A,TRUE,"Income";#N/A,#N/A,TRUE,"Income Summary";#N/A,#N/A,TRUE,"Staffing Summary"}</definedName>
    <definedName name="ertt" localSheetId="0" hidden="1">{#N/A,#N/A,TRUE,"Data Elements-Staffing";#N/A,#N/A,TRUE,"Data Elements-Exp Driv &amp; Assump";#N/A,#N/A,TRUE,"Staffing Sheet";#N/A,#N/A,TRUE,"Income";#N/A,#N/A,TRUE,"Income Summary";#N/A,#N/A,TRUE,"Staffing Summary"}</definedName>
    <definedName name="ertt" localSheetId="7" hidden="1">{#N/A,#N/A,TRUE,"Data Elements-Staffing";#N/A,#N/A,TRUE,"Data Elements-Exp Driv &amp; Assump";#N/A,#N/A,TRUE,"Staffing Sheet";#N/A,#N/A,TRUE,"Income";#N/A,#N/A,TRUE,"Income Summary";#N/A,#N/A,TRUE,"Staffing Summary"}</definedName>
    <definedName name="ertt" localSheetId="11" hidden="1">{#N/A,#N/A,TRUE,"Data Elements-Staffing";#N/A,#N/A,TRUE,"Data Elements-Exp Driv &amp; Assump";#N/A,#N/A,TRUE,"Staffing Sheet";#N/A,#N/A,TRUE,"Income";#N/A,#N/A,TRUE,"Income Summary";#N/A,#N/A,TRUE,"Staffing Summary"}</definedName>
    <definedName name="ertt" hidden="1">{#N/A,#N/A,TRUE,"Data Elements-Staffing";#N/A,#N/A,TRUE,"Data Elements-Exp Driv &amp; Assump";#N/A,#N/A,TRUE,"Staffing Sheet";#N/A,#N/A,TRUE,"Income";#N/A,#N/A,TRUE,"Income Summary";#N/A,#N/A,TRUE,"Staffing Summary"}</definedName>
    <definedName name="esc">#REF!</definedName>
    <definedName name="ev.Calculation" hidden="1">2</definedName>
    <definedName name="ev.Initialized" hidden="1">FALSE</definedName>
    <definedName name="EXCEL_2007_onwards">#REF!</definedName>
    <definedName name="EXCEL_97_to_2003">#REF!</definedName>
    <definedName name="Excel_BuiltIn__FilterDatabase_1">#REF!</definedName>
    <definedName name="Excel_BuiltIn__FilterDatabase_1_1_6">#REF!</definedName>
    <definedName name="Excel_BuiltIn__FilterDatabase_23">#REF!</definedName>
    <definedName name="Excel_BuiltIn__FilterDatabase_24">#REF!</definedName>
    <definedName name="Excel_BuiltIn_Criteria">"$#REF!.#REF!#REF!"</definedName>
    <definedName name="Excel_BuiltIn_Extract">"$#REF!.#REF!#REF!"</definedName>
    <definedName name="Excel_BuiltIn_Print_Area">#REF!</definedName>
    <definedName name="Excel_BuiltIn_Print_Area_1">#REF!</definedName>
    <definedName name="Excel_BuiltIn_Print_Area_10">"$#REF!.$A$1:$I$138"</definedName>
    <definedName name="Excel_BuiltIn_Print_Area_11_1_1_20">"$#REF!.$#REF!$#REF!:$#REF!$#REF!"</definedName>
    <definedName name="Excel_BuiltIn_Print_Area_11_1_1_7">#REF!</definedName>
    <definedName name="Excel_BuiltIn_Print_Area_11_1_13">#REF!</definedName>
    <definedName name="Excel_BuiltIn_Print_Area_11_1_17">#REF!</definedName>
    <definedName name="Excel_BuiltIn_Print_Area_11_1_20">"$#REF!.$#REF!$#REF!:$#REF!$#REF!"</definedName>
    <definedName name="Excel_BuiltIn_Print_Area_11_1_7">#REF!</definedName>
    <definedName name="Excel_BuiltIn_Print_Area_12_1">NA()</definedName>
    <definedName name="Excel_BuiltIn_Print_Area_12_1_13">'[24]COMPUTER 04_05'!#REF!</definedName>
    <definedName name="Excel_BuiltIn_Print_Area_13">NA()</definedName>
    <definedName name="Excel_BuiltIn_Print_Area_13_1">#REF!</definedName>
    <definedName name="Excel_BuiltIn_Print_Area_13_1_1">#REF!</definedName>
    <definedName name="Excel_BuiltIn_Print_Area_13_13">'[24]COMPUTER 03_04'!#REF!</definedName>
    <definedName name="Excel_BuiltIn_Print_Area_14" localSheetId="14">#REF!</definedName>
    <definedName name="Excel_BuiltIn_Print_Area_14" localSheetId="0">#REF!</definedName>
    <definedName name="Excel_BuiltIn_Print_Area_14" localSheetId="7">#REF!</definedName>
    <definedName name="Excel_BuiltIn_Print_Area_14" localSheetId="11">#REF!</definedName>
    <definedName name="Excel_BuiltIn_Print_Area_14">#REF!</definedName>
    <definedName name="Excel_BuiltIn_Print_Area_14_1" localSheetId="14">#REF!</definedName>
    <definedName name="Excel_BuiltIn_Print_Area_14_1" localSheetId="0">#REF!</definedName>
    <definedName name="Excel_BuiltIn_Print_Area_14_1" localSheetId="7">#REF!</definedName>
    <definedName name="Excel_BuiltIn_Print_Area_14_1" localSheetId="11">#REF!</definedName>
    <definedName name="Excel_BuiltIn_Print_Area_14_1">#REF!</definedName>
    <definedName name="Excel_BuiltIn_Print_Area_14_1_1" localSheetId="14">#REF!</definedName>
    <definedName name="Excel_BuiltIn_Print_Area_14_1_1" localSheetId="0">#REF!</definedName>
    <definedName name="Excel_BuiltIn_Print_Area_14_1_1" localSheetId="7">#REF!</definedName>
    <definedName name="Excel_BuiltIn_Print_Area_14_1_1" localSheetId="11">#REF!</definedName>
    <definedName name="Excel_BuiltIn_Print_Area_14_1_1">#REF!</definedName>
    <definedName name="Excel_BuiltIn_Print_Area_14_1_1_1">#REF!</definedName>
    <definedName name="Excel_BuiltIn_Print_Area_14_1_13">#REF!</definedName>
    <definedName name="Excel_BuiltIn_Print_Area_15_1">#REF!</definedName>
    <definedName name="Excel_BuiltIn_Print_Area_15_1_13">#REF!</definedName>
    <definedName name="Excel_BuiltIn_Print_Area_16">#REF!</definedName>
    <definedName name="Excel_BuiltIn_Print_Area_16_13">#REF!</definedName>
    <definedName name="Excel_BuiltIn_Print_Area_2">#REF!</definedName>
    <definedName name="Excel_BuiltIn_Print_Area_21">[25]Sheet4!#REF!</definedName>
    <definedName name="Excel_BuiltIn_Print_Area_31" localSheetId="14">#REF!</definedName>
    <definedName name="Excel_BuiltIn_Print_Area_31" localSheetId="0">#REF!</definedName>
    <definedName name="Excel_BuiltIn_Print_Area_31" localSheetId="7">#REF!</definedName>
    <definedName name="Excel_BuiltIn_Print_Area_31" localSheetId="11">#REF!</definedName>
    <definedName name="Excel_BuiltIn_Print_Area_31">#REF!</definedName>
    <definedName name="Excel_BuiltIn_Print_Area_38_1">NA()</definedName>
    <definedName name="Excel_BuiltIn_Print_Area_38_1_13" localSheetId="14">'[26]COMPUTER 04_05'!#REF!</definedName>
    <definedName name="Excel_BuiltIn_Print_Area_38_1_13" localSheetId="7">'[26]COMPUTER 04_05'!#REF!</definedName>
    <definedName name="Excel_BuiltIn_Print_Area_38_1_13">'[26]COMPUTER 04_05'!#REF!</definedName>
    <definedName name="Excel_BuiltIn_Print_Area_39_1">NA()</definedName>
    <definedName name="Excel_BuiltIn_Print_Area_39_1_13" localSheetId="14">'[26]COMPUTER 03_04'!#REF!</definedName>
    <definedName name="Excel_BuiltIn_Print_Area_39_1_13" localSheetId="7">'[26]COMPUTER 03_04'!#REF!</definedName>
    <definedName name="Excel_BuiltIn_Print_Area_39_1_13">'[26]COMPUTER 03_04'!#REF!</definedName>
    <definedName name="Excel_BuiltIn_Print_Area_4" localSheetId="14">#REF!</definedName>
    <definedName name="Excel_BuiltIn_Print_Area_4" localSheetId="0">#REF!</definedName>
    <definedName name="Excel_BuiltIn_Print_Area_4" localSheetId="7">#REF!</definedName>
    <definedName name="Excel_BuiltIn_Print_Area_4" localSheetId="11">#REF!</definedName>
    <definedName name="Excel_BuiltIn_Print_Area_4">#REF!</definedName>
    <definedName name="Excel_BuiltIn_Print_Area_4_1" localSheetId="14">#REF!</definedName>
    <definedName name="Excel_BuiltIn_Print_Area_4_1" localSheetId="0">#REF!</definedName>
    <definedName name="Excel_BuiltIn_Print_Area_4_1" localSheetId="7">#REF!</definedName>
    <definedName name="Excel_BuiltIn_Print_Area_4_1" localSheetId="11">#REF!</definedName>
    <definedName name="Excel_BuiltIn_Print_Area_4_1">#REF!</definedName>
    <definedName name="Excel_BuiltIn_Print_Area_4_1_1" localSheetId="14">#REF!</definedName>
    <definedName name="Excel_BuiltIn_Print_Area_4_1_1" localSheetId="0">#REF!</definedName>
    <definedName name="Excel_BuiltIn_Print_Area_4_1_1" localSheetId="7">#REF!</definedName>
    <definedName name="Excel_BuiltIn_Print_Area_4_1_1" localSheetId="11">#REF!</definedName>
    <definedName name="Excel_BuiltIn_Print_Area_4_1_1">#REF!</definedName>
    <definedName name="Excel_BuiltIn_Print_Area_4_1_1_1">#REF!</definedName>
    <definedName name="Excel_BuiltIn_Print_Area_4_1_1_1_1">#REF!</definedName>
    <definedName name="Excel_BuiltIn_Print_Area_4_1_1_1_1_1">#REF!</definedName>
    <definedName name="Excel_BuiltIn_Print_Area_4_1_1_2">#REF!</definedName>
    <definedName name="Excel_BuiltIn_Print_Area_5">#REF!</definedName>
    <definedName name="Excel_BuiltIn_Print_Area_5_1">#REF!</definedName>
    <definedName name="Excel_BuiltIn_Print_Area_5_1_1">#REF!</definedName>
    <definedName name="Excel_BuiltIn_Print_Area_5_1_1_1">#REF!</definedName>
    <definedName name="Excel_BuiltIn_Print_Area_5_1_1_1_1">#REF!</definedName>
    <definedName name="Excel_BuiltIn_Print_Area_5_1_1_1_1_1">#REF!</definedName>
    <definedName name="Excel_BuiltIn_Print_Area_6">#REF!</definedName>
    <definedName name="Excel_BuiltIn_Print_Area_9">#REF!</definedName>
    <definedName name="Excel_BuiltIn_Print_Titles_1_1">#REF!</definedName>
    <definedName name="Excel_BuiltIn_Print_Titles_11">NA()</definedName>
    <definedName name="Excel_BuiltIn_Print_Titles_11_1">#REF!</definedName>
    <definedName name="Excel_BuiltIn_Print_Titles_11_1_1">#REF!</definedName>
    <definedName name="Excel_BuiltIn_Print_Titles_12">#REF!</definedName>
    <definedName name="Excel_BuiltIn_Print_Titles_14">#REF!</definedName>
    <definedName name="Excel_BuiltIn_Print_Titles_15">#REF!</definedName>
    <definedName name="Excel_BuiltIn_Print_Titles_17">#REF!</definedName>
    <definedName name="Excel_BuiltIn_Print_Titles_18">#REF!</definedName>
    <definedName name="Excel_BuiltIn_Print_Titles_2">#REF!</definedName>
    <definedName name="Excel_BuiltIn_Print_Titles_2_1">#REF!</definedName>
    <definedName name="Excel_BuiltIn_Print_Titles_2_1_1">#REF!</definedName>
    <definedName name="Excel_BuiltIn_Print_Titles_20">#REF!</definedName>
    <definedName name="Excel_BuiltIn_Print_Titles_21">#REF!</definedName>
    <definedName name="Excel_BuiltIn_Print_Titles_22">#REF!</definedName>
    <definedName name="Excel_BuiltIn_Print_Titles_24">#REF!</definedName>
    <definedName name="Excel_BuiltIn_Print_Titles_25">#REF!</definedName>
    <definedName name="Excel_BuiltIn_Print_Titles_28">#REF!</definedName>
    <definedName name="Excel_BuiltIn_Print_Titles_3_1">#REF!</definedName>
    <definedName name="Excel_BuiltIn_Print_Titles_5">#REF!</definedName>
    <definedName name="Excel_BuiltIn_Print_Titles_6">NA()</definedName>
    <definedName name="Excel_BuiltIn_Print_Titles_6_1">#REF!</definedName>
    <definedName name="Excel_BuiltIn_Print_Titles_6_1_1">#REF!</definedName>
    <definedName name="Excel_BuiltIn_Print_Titles_7">"$Form_III.$A$8:$AMJ$8"</definedName>
    <definedName name="Excel_BuiltIn_Print_Titles_8">"$Form_IV.$A$9:$AMJ$9"</definedName>
    <definedName name="Excel_BuiltIn_Print_Titles_9">#REF!</definedName>
    <definedName name="Excel_BuiltIn_Recorder">"$#REF!.$A$1:$A$65536"</definedName>
    <definedName name="excise" localSheetId="14" hidden="1">{"'August 2000'!$A$1:$J$101"}</definedName>
    <definedName name="excise" localSheetId="0" hidden="1">{"'August 2000'!$A$1:$J$101"}</definedName>
    <definedName name="excise" localSheetId="7" hidden="1">{"'August 2000'!$A$1:$J$101"}</definedName>
    <definedName name="excise" localSheetId="11" hidden="1">{"'August 2000'!$A$1:$J$101"}</definedName>
    <definedName name="excise" hidden="1">{"'August 2000'!$A$1:$J$101"}</definedName>
    <definedName name="exemnotif">[15]list!$A$200:$A$2464</definedName>
    <definedName name="Expenses_Increase" localSheetId="14">#REF!</definedName>
    <definedName name="Expenses_Increase" localSheetId="0">#REF!</definedName>
    <definedName name="Expenses_Increase" localSheetId="7">#REF!</definedName>
    <definedName name="Expenses_Increase" localSheetId="11">#REF!</definedName>
    <definedName name="Expenses_Increase">#REF!</definedName>
    <definedName name="Extra_Pay" localSheetId="14">#REF!</definedName>
    <definedName name="Extra_Pay" localSheetId="0">#REF!</definedName>
    <definedName name="Extra_Pay" localSheetId="7">#REF!</definedName>
    <definedName name="Extra_Pay" localSheetId="11">#REF!</definedName>
    <definedName name="Extra_Pay">#REF!</definedName>
    <definedName name="f" localSheetId="14">#REF!</definedName>
    <definedName name="f" localSheetId="0">#REF!</definedName>
    <definedName name="f" localSheetId="7">#REF!</definedName>
    <definedName name="f" localSheetId="11">#REF!</definedName>
    <definedName name="f">#REF!</definedName>
    <definedName name="FA_SCHEDULE" localSheetId="14" hidden="1">{"BS - Rs'000",#N/A,FALSE,"Balance  ";"BS - Schedule Rs'000",#N/A,FALSE,"Balance  ";"BS - Trial locationwise",#N/A,FALSE,"Balance  ";"P&amp;L - Rs'000",#N/A,FALSE,"Profit and Loss";"P&amp;L - Schedule Rs '000",#N/A,FALSE,"Profit and Loss";"P&amp;L - Trial Locationwise",#N/A,FALSE,"Profit and Loss";"Fixed Assets Schedule",#N/A,FALSE,"sch";"Cash Flow",#N/A,FALSE,"Cash Flow"}</definedName>
    <definedName name="FA_SCHEDULE" localSheetId="0" hidden="1">{"BS - Rs'000",#N/A,FALSE,"Balance  ";"BS - Schedule Rs'000",#N/A,FALSE,"Balance  ";"BS - Trial locationwise",#N/A,FALSE,"Balance  ";"P&amp;L - Rs'000",#N/A,FALSE,"Profit and Loss";"P&amp;L - Schedule Rs '000",#N/A,FALSE,"Profit and Loss";"P&amp;L - Trial Locationwise",#N/A,FALSE,"Profit and Loss";"Fixed Assets Schedule",#N/A,FALSE,"sch";"Cash Flow",#N/A,FALSE,"Cash Flow"}</definedName>
    <definedName name="FA_SCHEDULE" localSheetId="7" hidden="1">{"BS - Rs'000",#N/A,FALSE,"Balance  ";"BS - Schedule Rs'000",#N/A,FALSE,"Balance  ";"BS - Trial locationwise",#N/A,FALSE,"Balance  ";"P&amp;L - Rs'000",#N/A,FALSE,"Profit and Loss";"P&amp;L - Schedule Rs '000",#N/A,FALSE,"Profit and Loss";"P&amp;L - Trial Locationwise",#N/A,FALSE,"Profit and Loss";"Fixed Assets Schedule",#N/A,FALSE,"sch";"Cash Flow",#N/A,FALSE,"Cash Flow"}</definedName>
    <definedName name="FA_SCHEDULE" localSheetId="11" hidden="1">{"BS - Rs'000",#N/A,FALSE,"Balance  ";"BS - Schedule Rs'000",#N/A,FALSE,"Balance  ";"BS - Trial locationwise",#N/A,FALSE,"Balance  ";"P&amp;L - Rs'000",#N/A,FALSE,"Profit and Loss";"P&amp;L - Schedule Rs '000",#N/A,FALSE,"Profit and Loss";"P&amp;L - Trial Locationwise",#N/A,FALSE,"Profit and Loss";"Fixed Assets Schedule",#N/A,FALSE,"sch";"Cash Flow",#N/A,FALSE,"Cash Flow"}</definedName>
    <definedName name="FA_SCHEDULE" hidden="1">{"BS - Rs'000",#N/A,FALSE,"Balance  ";"BS - Schedule Rs'000",#N/A,FALSE,"Balance  ";"BS - Trial locationwise",#N/A,FALSE,"Balance  ";"P&amp;L - Rs'000",#N/A,FALSE,"Profit and Loss";"P&amp;L - Schedule Rs '000",#N/A,FALSE,"Profit and Loss";"P&amp;L - Trial Locationwise",#N/A,FALSE,"Profit and Loss";"Fixed Assets Schedule",#N/A,FALSE,"sch";"Cash Flow",#N/A,FALSE,"Cash Flow"}</definedName>
    <definedName name="faeqwqa" localSheetId="14" hidden="1">{#N/A,#N/A,TRUE,"Data Elements-Staffing";#N/A,#N/A,TRUE,"Data Elements-Exp Driv &amp; Assump";#N/A,#N/A,TRUE,"Staffing Sheet";#N/A,#N/A,TRUE,"Income";#N/A,#N/A,TRUE,"Income Summary";#N/A,#N/A,TRUE,"Staffing Summary"}</definedName>
    <definedName name="faeqwqa" localSheetId="0" hidden="1">{#N/A,#N/A,TRUE,"Data Elements-Staffing";#N/A,#N/A,TRUE,"Data Elements-Exp Driv &amp; Assump";#N/A,#N/A,TRUE,"Staffing Sheet";#N/A,#N/A,TRUE,"Income";#N/A,#N/A,TRUE,"Income Summary";#N/A,#N/A,TRUE,"Staffing Summary"}</definedName>
    <definedName name="faeqwqa" localSheetId="7" hidden="1">{#N/A,#N/A,TRUE,"Data Elements-Staffing";#N/A,#N/A,TRUE,"Data Elements-Exp Driv &amp; Assump";#N/A,#N/A,TRUE,"Staffing Sheet";#N/A,#N/A,TRUE,"Income";#N/A,#N/A,TRUE,"Income Summary";#N/A,#N/A,TRUE,"Staffing Summary"}</definedName>
    <definedName name="faeqwqa" localSheetId="11" hidden="1">{#N/A,#N/A,TRUE,"Data Elements-Staffing";#N/A,#N/A,TRUE,"Data Elements-Exp Driv &amp; Assump";#N/A,#N/A,TRUE,"Staffing Sheet";#N/A,#N/A,TRUE,"Income";#N/A,#N/A,TRUE,"Income Summary";#N/A,#N/A,TRUE,"Staffing Summary"}</definedName>
    <definedName name="faeqwqa" hidden="1">{#N/A,#N/A,TRUE,"Data Elements-Staffing";#N/A,#N/A,TRUE,"Data Elements-Exp Driv &amp; Assump";#N/A,#N/A,TRUE,"Staffing Sheet";#N/A,#N/A,TRUE,"Income";#N/A,#N/A,TRUE,"Income Summary";#N/A,#N/A,TRUE,"Staffing Summary"}</definedName>
    <definedName name="fc..">[27]cop!#REF!</definedName>
    <definedName name="FCode" localSheetId="14" hidden="1">#REF!</definedName>
    <definedName name="FCode" localSheetId="0" hidden="1">#REF!</definedName>
    <definedName name="FCode" localSheetId="7" hidden="1">#REF!</definedName>
    <definedName name="FCode" localSheetId="11" hidden="1">#REF!</definedName>
    <definedName name="FCode" hidden="1">#REF!</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f" hidden="1">'[28]SCH 12,13,14,15,16'!#REF!</definedName>
    <definedName name="ff" localSheetId="14" hidden="1">#REF!</definedName>
    <definedName name="ff" localSheetId="0" hidden="1">#REF!</definedName>
    <definedName name="ff" localSheetId="7" hidden="1">#REF!</definedName>
    <definedName name="ff" localSheetId="11" hidden="1">#REF!</definedName>
    <definedName name="ff" hidden="1">#REF!</definedName>
    <definedName name="ffe" localSheetId="14" hidden="1">{#N/A,#N/A,TRUE,"Data Elements-Staffing";#N/A,#N/A,TRUE,"Data Elements-Exp Driv &amp; Assump";#N/A,#N/A,TRUE,"Staffing Sheet";#N/A,#N/A,TRUE,"Income";#N/A,#N/A,TRUE,"Income Summary";#N/A,#N/A,TRUE,"Staffing Summary"}</definedName>
    <definedName name="ffe" localSheetId="0" hidden="1">{#N/A,#N/A,TRUE,"Data Elements-Staffing";#N/A,#N/A,TRUE,"Data Elements-Exp Driv &amp; Assump";#N/A,#N/A,TRUE,"Staffing Sheet";#N/A,#N/A,TRUE,"Income";#N/A,#N/A,TRUE,"Income Summary";#N/A,#N/A,TRUE,"Staffing Summary"}</definedName>
    <definedName name="ffe" localSheetId="7" hidden="1">{#N/A,#N/A,TRUE,"Data Elements-Staffing";#N/A,#N/A,TRUE,"Data Elements-Exp Driv &amp; Assump";#N/A,#N/A,TRUE,"Staffing Sheet";#N/A,#N/A,TRUE,"Income";#N/A,#N/A,TRUE,"Income Summary";#N/A,#N/A,TRUE,"Staffing Summary"}</definedName>
    <definedName name="ffe" localSheetId="11" hidden="1">{#N/A,#N/A,TRUE,"Data Elements-Staffing";#N/A,#N/A,TRUE,"Data Elements-Exp Driv &amp; Assump";#N/A,#N/A,TRUE,"Staffing Sheet";#N/A,#N/A,TRUE,"Income";#N/A,#N/A,TRUE,"Income Summary";#N/A,#N/A,TRUE,"Staffing Summary"}</definedName>
    <definedName name="ffe" hidden="1">{#N/A,#N/A,TRUE,"Data Elements-Staffing";#N/A,#N/A,TRUE,"Data Elements-Exp Driv &amp; Assump";#N/A,#N/A,TRUE,"Staffing Sheet";#N/A,#N/A,TRUE,"Income";#N/A,#N/A,TRUE,"Income Summary";#N/A,#N/A,TRUE,"Staffing Summary"}</definedName>
    <definedName name="fffffffffffffff" hidden="1">#REF!</definedName>
    <definedName name="FFFYYJ" hidden="1">#REF!</definedName>
    <definedName name="FHDFDFH" hidden="1">#REF!</definedName>
    <definedName name="File.Type" hidden="1">#REF!</definedName>
    <definedName name="filedelete" localSheetId="14">'12% Debt Sch'!filedelete</definedName>
    <definedName name="filedelete" localSheetId="0">Assumptions!filedelete</definedName>
    <definedName name="filedelete" localSheetId="7">'Debt Sch'!filedelete</definedName>
    <definedName name="filedelete" localSheetId="11">'Other Ratios'!filedelete</definedName>
    <definedName name="filedelete">filedelete</definedName>
    <definedName name="filedelete_3" localSheetId="14">'12% Debt Sch'!filedelete_3</definedName>
    <definedName name="filedelete_3" localSheetId="0">Assumptions!filedelete_3</definedName>
    <definedName name="filedelete_3" localSheetId="7">'Debt Sch'!filedelete_3</definedName>
    <definedName name="filedelete_3" localSheetId="11">'Other Ratios'!filedelete_3</definedName>
    <definedName name="filedelete_3">filedelete_3</definedName>
    <definedName name="Firm_BonusTable">'[23]Firm &amp; SBUG Metrics M, SM, Dir'!$E$10:$J$10</definedName>
    <definedName name="FITL2" localSheetId="14">[7]!Show_InstDialog</definedName>
    <definedName name="FITL2" localSheetId="9">[7]!Show_InstDialog</definedName>
    <definedName name="FITL2" localSheetId="11">[7]!Show_InstDialog</definedName>
    <definedName name="FITL2">[7]!Show_InstDialog</definedName>
    <definedName name="fix" localSheetId="14"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fix" localSheetId="0"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fix" localSheetId="7"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fix" localSheetId="1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fix"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Fixed_assets">[29]B.S.!#REF!</definedName>
    <definedName name="FixedAssets" localSheetId="14" hidden="1">{"BS - Rs'000",#N/A,FALSE,"Balance  ";"BS - Schedule Rs'000",#N/A,FALSE,"Balance  ";"BS - Trial locationwise",#N/A,FALSE,"Balance  ";"P&amp;L - Rs'000",#N/A,FALSE,"Profit and Loss";"P&amp;L - Schedule Rs '000",#N/A,FALSE,"Profit and Loss";"P&amp;L - Trial Locationwise",#N/A,FALSE,"Profit and Loss";"Fixed Assets Schedule",#N/A,FALSE,"sch";"Cash Flow",#N/A,FALSE,"Cash Flow"}</definedName>
    <definedName name="FixedAssets" localSheetId="0" hidden="1">{"BS - Rs'000",#N/A,FALSE,"Balance  ";"BS - Schedule Rs'000",#N/A,FALSE,"Balance  ";"BS - Trial locationwise",#N/A,FALSE,"Balance  ";"P&amp;L - Rs'000",#N/A,FALSE,"Profit and Loss";"P&amp;L - Schedule Rs '000",#N/A,FALSE,"Profit and Loss";"P&amp;L - Trial Locationwise",#N/A,FALSE,"Profit and Loss";"Fixed Assets Schedule",#N/A,FALSE,"sch";"Cash Flow",#N/A,FALSE,"Cash Flow"}</definedName>
    <definedName name="FixedAssets" localSheetId="7" hidden="1">{"BS - Rs'000",#N/A,FALSE,"Balance  ";"BS - Schedule Rs'000",#N/A,FALSE,"Balance  ";"BS - Trial locationwise",#N/A,FALSE,"Balance  ";"P&amp;L - Rs'000",#N/A,FALSE,"Profit and Loss";"P&amp;L - Schedule Rs '000",#N/A,FALSE,"Profit and Loss";"P&amp;L - Trial Locationwise",#N/A,FALSE,"Profit and Loss";"Fixed Assets Schedule",#N/A,FALSE,"sch";"Cash Flow",#N/A,FALSE,"Cash Flow"}</definedName>
    <definedName name="FixedAssets" localSheetId="11" hidden="1">{"BS - Rs'000",#N/A,FALSE,"Balance  ";"BS - Schedule Rs'000",#N/A,FALSE,"Balance  ";"BS - Trial locationwise",#N/A,FALSE,"Balance  ";"P&amp;L - Rs'000",#N/A,FALSE,"Profit and Loss";"P&amp;L - Schedule Rs '000",#N/A,FALSE,"Profit and Loss";"P&amp;L - Trial Locationwise",#N/A,FALSE,"Profit and Loss";"Fixed Assets Schedule",#N/A,FALSE,"sch";"Cash Flow",#N/A,FALSE,"Cash Flow"}</definedName>
    <definedName name="FixedAssets" hidden="1">{"BS - Rs'000",#N/A,FALSE,"Balance  ";"BS - Schedule Rs'000",#N/A,FALSE,"Balance  ";"BS - Trial locationwise",#N/A,FALSE,"Balance  ";"P&amp;L - Rs'000",#N/A,FALSE,"Profit and Loss";"P&amp;L - Schedule Rs '000",#N/A,FALSE,"Profit and Loss";"P&amp;L - Trial Locationwise",#N/A,FALSE,"Profit and Loss";"Fixed Assets Schedule",#N/A,FALSE,"sch";"Cash Flow",#N/A,FALSE,"Cash Flow"}</definedName>
    <definedName name="FixedITSupp">'[8]Data Elements-Exp Driv &amp; Assump'!#REF!</definedName>
    <definedName name="FixedOnlineSvcs">'[8]Data Elements-Exp Driv &amp; Assump'!#REF!</definedName>
    <definedName name="FixedPracticeDev">'[8]Data Elements-Exp Driv &amp; Assump'!#REF!</definedName>
    <definedName name="FixedSubcons">'[8]Data Elements-Exp Driv &amp; Assump'!#REF!</definedName>
    <definedName name="fllll" localSheetId="14" hidden="1">#REF!</definedName>
    <definedName name="fllll" localSheetId="0" hidden="1">#REF!</definedName>
    <definedName name="fllll" localSheetId="7" hidden="1">#REF!</definedName>
    <definedName name="fllll" localSheetId="11" hidden="1">#REF!</definedName>
    <definedName name="fllll" hidden="1">#REF!</definedName>
    <definedName name="FORM1" localSheetId="14">#REF!</definedName>
    <definedName name="FORM1" localSheetId="0">#REF!</definedName>
    <definedName name="FORM1" localSheetId="7">#REF!</definedName>
    <definedName name="FORM1" localSheetId="11">#REF!</definedName>
    <definedName name="FORM1">#REF!</definedName>
    <definedName name="FORM2A" localSheetId="14">#REF!</definedName>
    <definedName name="FORM2A" localSheetId="0">#REF!</definedName>
    <definedName name="FORM2A" localSheetId="7">#REF!</definedName>
    <definedName name="FORM2A" localSheetId="11">#REF!</definedName>
    <definedName name="FORM2A">#REF!</definedName>
    <definedName name="FORM2B">#REF!</definedName>
    <definedName name="FORM3A">#REF!</definedName>
    <definedName name="FORM3B">#REF!</definedName>
    <definedName name="FORM3C">#REF!</definedName>
    <definedName name="FORM3D">#REF!</definedName>
    <definedName name="FORM4A">#REF!</definedName>
    <definedName name="FORM4B">#REF!</definedName>
    <definedName name="FORM4B1" localSheetId="14" hidden="1">{#N/A,#N/A,TRUE,"Cover";#N/A,#N/A,TRUE,"Results-Summ";#N/A,#N/A,TRUE,"Top10-FP";#N/A,#N/A,TRUE,"3MthFor";#N/A,#N/A,TRUE,"Bus-Dev";#N/A,#N/A,TRUE,"Top5-Dai";#N/A,#N/A,TRUE,"Top5-ICR";#N/A,#N/A,TRUE,"Top5-EFats";#N/A,#N/A,TRUE,"Top5-OP"}</definedName>
    <definedName name="FORM4B1" localSheetId="0" hidden="1">{#N/A,#N/A,TRUE,"Cover";#N/A,#N/A,TRUE,"Results-Summ";#N/A,#N/A,TRUE,"Top10-FP";#N/A,#N/A,TRUE,"3MthFor";#N/A,#N/A,TRUE,"Bus-Dev";#N/A,#N/A,TRUE,"Top5-Dai";#N/A,#N/A,TRUE,"Top5-ICR";#N/A,#N/A,TRUE,"Top5-EFats";#N/A,#N/A,TRUE,"Top5-OP"}</definedName>
    <definedName name="FORM4B1" localSheetId="7" hidden="1">{#N/A,#N/A,TRUE,"Cover";#N/A,#N/A,TRUE,"Results-Summ";#N/A,#N/A,TRUE,"Top10-FP";#N/A,#N/A,TRUE,"3MthFor";#N/A,#N/A,TRUE,"Bus-Dev";#N/A,#N/A,TRUE,"Top5-Dai";#N/A,#N/A,TRUE,"Top5-ICR";#N/A,#N/A,TRUE,"Top5-EFats";#N/A,#N/A,TRUE,"Top5-OP"}</definedName>
    <definedName name="FORM4B1" localSheetId="11" hidden="1">{#N/A,#N/A,TRUE,"Cover";#N/A,#N/A,TRUE,"Results-Summ";#N/A,#N/A,TRUE,"Top10-FP";#N/A,#N/A,TRUE,"3MthFor";#N/A,#N/A,TRUE,"Bus-Dev";#N/A,#N/A,TRUE,"Top5-Dai";#N/A,#N/A,TRUE,"Top5-ICR";#N/A,#N/A,TRUE,"Top5-EFats";#N/A,#N/A,TRUE,"Top5-OP"}</definedName>
    <definedName name="FORM4B1" hidden="1">{#N/A,#N/A,TRUE,"Cover";#N/A,#N/A,TRUE,"Results-Summ";#N/A,#N/A,TRUE,"Top10-FP";#N/A,#N/A,TRUE,"3MthFor";#N/A,#N/A,TRUE,"Bus-Dev";#N/A,#N/A,TRUE,"Top5-Dai";#N/A,#N/A,TRUE,"Top5-ICR";#N/A,#N/A,TRUE,"Top5-EFats";#N/A,#N/A,TRUE,"Top5-OP"}</definedName>
    <definedName name="FORM5">#REF!</definedName>
    <definedName name="FORM6A">#REF!</definedName>
    <definedName name="form6b">#REF!</definedName>
    <definedName name="FOTotal">#REF!</definedName>
    <definedName name="FPS_BonusTable">'[23]Firm &amp; SBUG Metrics M, SM, Dir'!$E$21:$J$22</definedName>
    <definedName name="fr" localSheetId="14" hidden="1">#REF!</definedName>
    <definedName name="fr" localSheetId="0" hidden="1">#REF!</definedName>
    <definedName name="fr" localSheetId="7" hidden="1">#REF!</definedName>
    <definedName name="fr" localSheetId="11" hidden="1">#REF!</definedName>
    <definedName name="fr" hidden="1">#REF!</definedName>
    <definedName name="fs" localSheetId="14">'[30]276101 JE'!#REF!</definedName>
    <definedName name="fs" localSheetId="7">'[30]276101 JE'!#REF!</definedName>
    <definedName name="fs">'[30]276101 JE'!#REF!</definedName>
    <definedName name="Full_Print" localSheetId="14">#REF!</definedName>
    <definedName name="Full_Print" localSheetId="0">#REF!</definedName>
    <definedName name="Full_Print" localSheetId="7">#REF!</definedName>
    <definedName name="Full_Print" localSheetId="11">#REF!</definedName>
    <definedName name="Full_Print">#REF!</definedName>
    <definedName name="FUNDS" localSheetId="14">[10]Cmadata!#REF!</definedName>
    <definedName name="FUNDS" localSheetId="7">[10]Cmadata!#REF!</definedName>
    <definedName name="FUNDS">[10]Cmadata!#REF!</definedName>
    <definedName name="FV" localSheetId="14">#REF!</definedName>
    <definedName name="FV" localSheetId="0">#REF!</definedName>
    <definedName name="FV" localSheetId="7">#REF!</definedName>
    <definedName name="FV" localSheetId="11">#REF!</definedName>
    <definedName name="FV">#REF!</definedName>
    <definedName name="g" localSheetId="14">[6]RNT!#REF!</definedName>
    <definedName name="g" localSheetId="7">[6]RNT!#REF!</definedName>
    <definedName name="g">[6]RNT!#REF!</definedName>
    <definedName name="gcp" localSheetId="14">#REF!</definedName>
    <definedName name="gcp" localSheetId="0">#REF!</definedName>
    <definedName name="gcp" localSheetId="7">#REF!</definedName>
    <definedName name="gcp" localSheetId="11">#REF!</definedName>
    <definedName name="gcp">#REF!</definedName>
    <definedName name="generate" localSheetId="14">'12% Debt Sch'!generate</definedName>
    <definedName name="generate" localSheetId="0">Assumptions!generate</definedName>
    <definedName name="generate" localSheetId="7">'Debt Sch'!generate</definedName>
    <definedName name="generate" localSheetId="11">'Other Ratios'!generate</definedName>
    <definedName name="generate">generate</definedName>
    <definedName name="generate_3" localSheetId="14">'12% Debt Sch'!generate_3</definedName>
    <definedName name="generate_3" localSheetId="0">Assumptions!generate_3</definedName>
    <definedName name="generate_3" localSheetId="7">'Debt Sch'!generate_3</definedName>
    <definedName name="generate_3" localSheetId="11">'Other Ratios'!generate_3</definedName>
    <definedName name="generate_3">generate_3</definedName>
    <definedName name="geresdsd" localSheetId="14" hidden="1">{#N/A,#N/A,TRUE,"Data Elements-Staffing";#N/A,#N/A,TRUE,"Data Elements-Exp Driv &amp; Assump";#N/A,#N/A,TRUE,"Staffing Sheet";#N/A,#N/A,TRUE,"Income";#N/A,#N/A,TRUE,"Income Summary";#N/A,#N/A,TRUE,"Staffing Summary"}</definedName>
    <definedName name="geresdsd" localSheetId="0" hidden="1">{#N/A,#N/A,TRUE,"Data Elements-Staffing";#N/A,#N/A,TRUE,"Data Elements-Exp Driv &amp; Assump";#N/A,#N/A,TRUE,"Staffing Sheet";#N/A,#N/A,TRUE,"Income";#N/A,#N/A,TRUE,"Income Summary";#N/A,#N/A,TRUE,"Staffing Summary"}</definedName>
    <definedName name="geresdsd" localSheetId="7" hidden="1">{#N/A,#N/A,TRUE,"Data Elements-Staffing";#N/A,#N/A,TRUE,"Data Elements-Exp Driv &amp; Assump";#N/A,#N/A,TRUE,"Staffing Sheet";#N/A,#N/A,TRUE,"Income";#N/A,#N/A,TRUE,"Income Summary";#N/A,#N/A,TRUE,"Staffing Summary"}</definedName>
    <definedName name="geresdsd" localSheetId="11" hidden="1">{#N/A,#N/A,TRUE,"Data Elements-Staffing";#N/A,#N/A,TRUE,"Data Elements-Exp Driv &amp; Assump";#N/A,#N/A,TRUE,"Staffing Sheet";#N/A,#N/A,TRUE,"Income";#N/A,#N/A,TRUE,"Income Summary";#N/A,#N/A,TRUE,"Staffing Summary"}</definedName>
    <definedName name="geresdsd" hidden="1">{#N/A,#N/A,TRUE,"Data Elements-Staffing";#N/A,#N/A,TRUE,"Data Elements-Exp Driv &amp; Assump";#N/A,#N/A,TRUE,"Staffing Sheet";#N/A,#N/A,TRUE,"Income";#N/A,#N/A,TRUE,"Income Summary";#N/A,#N/A,TRUE,"Staffing Summary"}</definedName>
    <definedName name="gfdtfs" localSheetId="14" hidden="1">{#N/A,#N/A,TRUE,"Data Elements-Staffing";#N/A,#N/A,TRUE,"Data Elements-Exp Driv &amp; Assump";#N/A,#N/A,TRUE,"Staffing Sheet";#N/A,#N/A,TRUE,"Income";#N/A,#N/A,TRUE,"Income Summary";#N/A,#N/A,TRUE,"Staffing Summary"}</definedName>
    <definedName name="gfdtfs" localSheetId="0" hidden="1">{#N/A,#N/A,TRUE,"Data Elements-Staffing";#N/A,#N/A,TRUE,"Data Elements-Exp Driv &amp; Assump";#N/A,#N/A,TRUE,"Staffing Sheet";#N/A,#N/A,TRUE,"Income";#N/A,#N/A,TRUE,"Income Summary";#N/A,#N/A,TRUE,"Staffing Summary"}</definedName>
    <definedName name="gfdtfs" localSheetId="7" hidden="1">{#N/A,#N/A,TRUE,"Data Elements-Staffing";#N/A,#N/A,TRUE,"Data Elements-Exp Driv &amp; Assump";#N/A,#N/A,TRUE,"Staffing Sheet";#N/A,#N/A,TRUE,"Income";#N/A,#N/A,TRUE,"Income Summary";#N/A,#N/A,TRUE,"Staffing Summary"}</definedName>
    <definedName name="gfdtfs" localSheetId="11" hidden="1">{#N/A,#N/A,TRUE,"Data Elements-Staffing";#N/A,#N/A,TRUE,"Data Elements-Exp Driv &amp; Assump";#N/A,#N/A,TRUE,"Staffing Sheet";#N/A,#N/A,TRUE,"Income";#N/A,#N/A,TRUE,"Income Summary";#N/A,#N/A,TRUE,"Staffing Summary"}</definedName>
    <definedName name="gfdtfs" hidden="1">{#N/A,#N/A,TRUE,"Data Elements-Staffing";#N/A,#N/A,TRUE,"Data Elements-Exp Driv &amp; Assump";#N/A,#N/A,TRUE,"Staffing Sheet";#N/A,#N/A,TRUE,"Income";#N/A,#N/A,TRUE,"Income Summary";#N/A,#N/A,TRUE,"Staffing Summary"}</definedName>
    <definedName name="gfjtyit7it">#REF!</definedName>
    <definedName name="gftsefd" localSheetId="14" hidden="1">{#N/A,#N/A,TRUE,"Data Elements-Staffing";#N/A,#N/A,TRUE,"Data Elements-Exp Driv &amp; Assump";#N/A,#N/A,TRUE,"Staffing Sheet";#N/A,#N/A,TRUE,"Income";#N/A,#N/A,TRUE,"Income Summary";#N/A,#N/A,TRUE,"Staffing Summary"}</definedName>
    <definedName name="gftsefd" localSheetId="0" hidden="1">{#N/A,#N/A,TRUE,"Data Elements-Staffing";#N/A,#N/A,TRUE,"Data Elements-Exp Driv &amp; Assump";#N/A,#N/A,TRUE,"Staffing Sheet";#N/A,#N/A,TRUE,"Income";#N/A,#N/A,TRUE,"Income Summary";#N/A,#N/A,TRUE,"Staffing Summary"}</definedName>
    <definedName name="gftsefd" localSheetId="7" hidden="1">{#N/A,#N/A,TRUE,"Data Elements-Staffing";#N/A,#N/A,TRUE,"Data Elements-Exp Driv &amp; Assump";#N/A,#N/A,TRUE,"Staffing Sheet";#N/A,#N/A,TRUE,"Income";#N/A,#N/A,TRUE,"Income Summary";#N/A,#N/A,TRUE,"Staffing Summary"}</definedName>
    <definedName name="gftsefd" localSheetId="11" hidden="1">{#N/A,#N/A,TRUE,"Data Elements-Staffing";#N/A,#N/A,TRUE,"Data Elements-Exp Driv &amp; Assump";#N/A,#N/A,TRUE,"Staffing Sheet";#N/A,#N/A,TRUE,"Income";#N/A,#N/A,TRUE,"Income Summary";#N/A,#N/A,TRUE,"Staffing Summary"}</definedName>
    <definedName name="gftsefd" hidden="1">{#N/A,#N/A,TRUE,"Data Elements-Staffing";#N/A,#N/A,TRUE,"Data Elements-Exp Driv &amp; Assump";#N/A,#N/A,TRUE,"Staffing Sheet";#N/A,#N/A,TRUE,"Income";#N/A,#N/A,TRUE,"Income Summary";#N/A,#N/A,TRUE,"Staffing Summary"}</definedName>
    <definedName name="ggggg" localSheetId="14"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ggggg" localSheetId="0"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ggggg" localSheetId="7"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ggggg" localSheetId="1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ggggg"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gh" hidden="1">#REF!</definedName>
    <definedName name="ghh" hidden="1">#REF!</definedName>
    <definedName name="ghr" localSheetId="14">MATCH(0.01,[0]!End_Bal,-1)+1</definedName>
    <definedName name="ghr" localSheetId="0">MATCH(0.01,[0]!End_Bal,-1)+1</definedName>
    <definedName name="ghr" localSheetId="7">MATCH(0.01,[0]!End_Bal,-1)+1</definedName>
    <definedName name="ghr" localSheetId="11">MATCH(0.01,[0]!End_Bal,-1)+1</definedName>
    <definedName name="ghr">MATCH(0.01,[0]!End_Bal,-1)+1</definedName>
    <definedName name="Govt_BonusTable">'[23]Firm &amp; SBUG Metrics M, SM, Dir'!$E$15:$J$16</definedName>
    <definedName name="GOVTotal" localSheetId="14">#REF!</definedName>
    <definedName name="GOVTotal" localSheetId="0">#REF!</definedName>
    <definedName name="GOVTotal" localSheetId="7">#REF!</definedName>
    <definedName name="GOVTotal" localSheetId="11">#REF!</definedName>
    <definedName name="GOVTotal">#REF!</definedName>
    <definedName name="GROSS" localSheetId="14">#REF!</definedName>
    <definedName name="GROSS" localSheetId="0">#REF!</definedName>
    <definedName name="GROSS" localSheetId="7">#REF!</definedName>
    <definedName name="GROSS" localSheetId="11">#REF!</definedName>
    <definedName name="GROSS">#REF!</definedName>
    <definedName name="Gross_Profit_before_Interest__Depreciation___Tax" localSheetId="14">#REF!</definedName>
    <definedName name="Gross_Profit_before_Interest__Depreciation___Tax" localSheetId="0">#REF!</definedName>
    <definedName name="Gross_Profit_before_Interest__Depreciation___Tax" localSheetId="7">#REF!</definedName>
    <definedName name="Gross_Profit_before_Interest__Depreciation___Tax" localSheetId="11">#REF!</definedName>
    <definedName name="Gross_Profit_before_Interest__Depreciation___Tax">#REF!</definedName>
    <definedName name="grtrff" localSheetId="14" hidden="1">{#N/A,#N/A,TRUE,"Data Elements-Staffing";#N/A,#N/A,TRUE,"Data Elements-Exp Driv &amp; Assump";#N/A,#N/A,TRUE,"Staffing Sheet";#N/A,#N/A,TRUE,"Income";#N/A,#N/A,TRUE,"Income Summary";#N/A,#N/A,TRUE,"Staffing Summary"}</definedName>
    <definedName name="grtrff" localSheetId="0" hidden="1">{#N/A,#N/A,TRUE,"Data Elements-Staffing";#N/A,#N/A,TRUE,"Data Elements-Exp Driv &amp; Assump";#N/A,#N/A,TRUE,"Staffing Sheet";#N/A,#N/A,TRUE,"Income";#N/A,#N/A,TRUE,"Income Summary";#N/A,#N/A,TRUE,"Staffing Summary"}</definedName>
    <definedName name="grtrff" localSheetId="7" hidden="1">{#N/A,#N/A,TRUE,"Data Elements-Staffing";#N/A,#N/A,TRUE,"Data Elements-Exp Driv &amp; Assump";#N/A,#N/A,TRUE,"Staffing Sheet";#N/A,#N/A,TRUE,"Income";#N/A,#N/A,TRUE,"Income Summary";#N/A,#N/A,TRUE,"Staffing Summary"}</definedName>
    <definedName name="grtrff" localSheetId="11" hidden="1">{#N/A,#N/A,TRUE,"Data Elements-Staffing";#N/A,#N/A,TRUE,"Data Elements-Exp Driv &amp; Assump";#N/A,#N/A,TRUE,"Staffing Sheet";#N/A,#N/A,TRUE,"Income";#N/A,#N/A,TRUE,"Income Summary";#N/A,#N/A,TRUE,"Staffing Summary"}</definedName>
    <definedName name="grtrff" hidden="1">{#N/A,#N/A,TRUE,"Data Elements-Staffing";#N/A,#N/A,TRUE,"Data Elements-Exp Driv &amp; Assump";#N/A,#N/A,TRUE,"Staffing Sheet";#N/A,#N/A,TRUE,"Income";#N/A,#N/A,TRUE,"Income Summary";#N/A,#N/A,TRUE,"Staffing Summary"}</definedName>
    <definedName name="grtt" localSheetId="14" hidden="1">{#N/A,#N/A,TRUE,"Data Elements-Staffing";#N/A,#N/A,TRUE,"Data Elements-Exp Driv &amp; Assump";#N/A,#N/A,TRUE,"Staffing Sheet";#N/A,#N/A,TRUE,"Income";#N/A,#N/A,TRUE,"Income Summary";#N/A,#N/A,TRUE,"Staffing Summary"}</definedName>
    <definedName name="grtt" localSheetId="0" hidden="1">{#N/A,#N/A,TRUE,"Data Elements-Staffing";#N/A,#N/A,TRUE,"Data Elements-Exp Driv &amp; Assump";#N/A,#N/A,TRUE,"Staffing Sheet";#N/A,#N/A,TRUE,"Income";#N/A,#N/A,TRUE,"Income Summary";#N/A,#N/A,TRUE,"Staffing Summary"}</definedName>
    <definedName name="grtt" localSheetId="7" hidden="1">{#N/A,#N/A,TRUE,"Data Elements-Staffing";#N/A,#N/A,TRUE,"Data Elements-Exp Driv &amp; Assump";#N/A,#N/A,TRUE,"Staffing Sheet";#N/A,#N/A,TRUE,"Income";#N/A,#N/A,TRUE,"Income Summary";#N/A,#N/A,TRUE,"Staffing Summary"}</definedName>
    <definedName name="grtt" localSheetId="11" hidden="1">{#N/A,#N/A,TRUE,"Data Elements-Staffing";#N/A,#N/A,TRUE,"Data Elements-Exp Driv &amp; Assump";#N/A,#N/A,TRUE,"Staffing Sheet";#N/A,#N/A,TRUE,"Income";#N/A,#N/A,TRUE,"Income Summary";#N/A,#N/A,TRUE,"Staffing Summary"}</definedName>
    <definedName name="grtt" hidden="1">{#N/A,#N/A,TRUE,"Data Elements-Staffing";#N/A,#N/A,TRUE,"Data Elements-Exp Driv &amp; Assump";#N/A,#N/A,TRUE,"Staffing Sheet";#N/A,#N/A,TRUE,"Income";#N/A,#N/A,TRUE,"Income Summary";#N/A,#N/A,TRUE,"Staffing Summary"}</definedName>
    <definedName name="grttfdd" localSheetId="14" hidden="1">{#N/A,#N/A,TRUE,"Data Elements-Staffing";#N/A,#N/A,TRUE,"Data Elements-Exp Driv &amp; Assump";#N/A,#N/A,TRUE,"Staffing Sheet";#N/A,#N/A,TRUE,"Income";#N/A,#N/A,TRUE,"Income Summary";#N/A,#N/A,TRUE,"Staffing Summary"}</definedName>
    <definedName name="grttfdd" localSheetId="0" hidden="1">{#N/A,#N/A,TRUE,"Data Elements-Staffing";#N/A,#N/A,TRUE,"Data Elements-Exp Driv &amp; Assump";#N/A,#N/A,TRUE,"Staffing Sheet";#N/A,#N/A,TRUE,"Income";#N/A,#N/A,TRUE,"Income Summary";#N/A,#N/A,TRUE,"Staffing Summary"}</definedName>
    <definedName name="grttfdd" localSheetId="7" hidden="1">{#N/A,#N/A,TRUE,"Data Elements-Staffing";#N/A,#N/A,TRUE,"Data Elements-Exp Driv &amp; Assump";#N/A,#N/A,TRUE,"Staffing Sheet";#N/A,#N/A,TRUE,"Income";#N/A,#N/A,TRUE,"Income Summary";#N/A,#N/A,TRUE,"Staffing Summary"}</definedName>
    <definedName name="grttfdd" localSheetId="11" hidden="1">{#N/A,#N/A,TRUE,"Data Elements-Staffing";#N/A,#N/A,TRUE,"Data Elements-Exp Driv &amp; Assump";#N/A,#N/A,TRUE,"Staffing Sheet";#N/A,#N/A,TRUE,"Income";#N/A,#N/A,TRUE,"Income Summary";#N/A,#N/A,TRUE,"Staffing Summary"}</definedName>
    <definedName name="grttfdd" hidden="1">{#N/A,#N/A,TRUE,"Data Elements-Staffing";#N/A,#N/A,TRUE,"Data Elements-Exp Driv &amp; Assump";#N/A,#N/A,TRUE,"Staffing Sheet";#N/A,#N/A,TRUE,"Income";#N/A,#N/A,TRUE,"Income Summary";#N/A,#N/A,TRUE,"Staffing Summary"}</definedName>
    <definedName name="gsfds" localSheetId="14"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0"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7"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localSheetId="11"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tt" localSheetId="14" hidden="1">{#N/A,#N/A,TRUE,"Data Elements-Staffing";#N/A,#N/A,TRUE,"Data Elements-Exp Driv &amp; Assump";#N/A,#N/A,TRUE,"Staffing Sheet";#N/A,#N/A,TRUE,"Income";#N/A,#N/A,TRUE,"Income Summary";#N/A,#N/A,TRUE,"Staffing Summary"}</definedName>
    <definedName name="gtt" localSheetId="0" hidden="1">{#N/A,#N/A,TRUE,"Data Elements-Staffing";#N/A,#N/A,TRUE,"Data Elements-Exp Driv &amp; Assump";#N/A,#N/A,TRUE,"Staffing Sheet";#N/A,#N/A,TRUE,"Income";#N/A,#N/A,TRUE,"Income Summary";#N/A,#N/A,TRUE,"Staffing Summary"}</definedName>
    <definedName name="gtt" localSheetId="7" hidden="1">{#N/A,#N/A,TRUE,"Data Elements-Staffing";#N/A,#N/A,TRUE,"Data Elements-Exp Driv &amp; Assump";#N/A,#N/A,TRUE,"Staffing Sheet";#N/A,#N/A,TRUE,"Income";#N/A,#N/A,TRUE,"Income Summary";#N/A,#N/A,TRUE,"Staffing Summary"}</definedName>
    <definedName name="gtt" localSheetId="11" hidden="1">{#N/A,#N/A,TRUE,"Data Elements-Staffing";#N/A,#N/A,TRUE,"Data Elements-Exp Driv &amp; Assump";#N/A,#N/A,TRUE,"Staffing Sheet";#N/A,#N/A,TRUE,"Income";#N/A,#N/A,TRUE,"Income Summary";#N/A,#N/A,TRUE,"Staffing Summary"}</definedName>
    <definedName name="gtt" hidden="1">{#N/A,#N/A,TRUE,"Data Elements-Staffing";#N/A,#N/A,TRUE,"Data Elements-Exp Driv &amp; Assump";#N/A,#N/A,TRUE,"Staffing Sheet";#N/A,#N/A,TRUE,"Income";#N/A,#N/A,TRUE,"Income Summary";#N/A,#N/A,TRUE,"Staffing Summary"}</definedName>
    <definedName name="gupta"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pta"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gurudhan" hidden="1">#REF!</definedName>
    <definedName name="hdfc">'[31]Fin. Proj.'!#REF!</definedName>
    <definedName name="HDTotal" localSheetId="14">#REF!</definedName>
    <definedName name="HDTotal" localSheetId="0">#REF!</definedName>
    <definedName name="HDTotal" localSheetId="7">#REF!</definedName>
    <definedName name="HDTotal" localSheetId="11">#REF!</definedName>
    <definedName name="HDTotal">#REF!</definedName>
    <definedName name="Header_Row">ROW(#REF!)</definedName>
    <definedName name="Header1" hidden="1">IF(COUNTA(#REF!)=0,0,INDEX(#REF!,MATCH(ROW(#REF!),#REF!,TRUE)))+1</definedName>
    <definedName name="Header2" localSheetId="14" hidden="1">[0]!Header1-1 &amp; "." &amp; MAX(1,COUNTA(INDEX(#REF!,MATCH([0]!Header1-1,#REF!,FALSE)):#REF!))</definedName>
    <definedName name="Header2" localSheetId="0" hidden="1">[0]!Header1-1 &amp; "." &amp; MAX(1,COUNTA(INDEX(#REF!,MATCH([0]!Header1-1,#REF!,FALSE)):#REF!))</definedName>
    <definedName name="Header2" localSheetId="7" hidden="1">[0]!Header1-1 &amp; "." &amp; MAX(1,COUNTA(INDEX(#REF!,MATCH([0]!Header1-1,#REF!,FALSE)):#REF!))</definedName>
    <definedName name="Header2" localSheetId="11" hidden="1">[0]!Header1-1 &amp; "." &amp; MAX(1,COUNTA(INDEX(#REF!,MATCH([0]!Header1-1,#REF!,FALSE)):#REF!))</definedName>
    <definedName name="Header2" hidden="1">[0]!Header1-1 &amp; "." &amp; MAX(1,COUNTA(INDEX(#REF!,MATCH([0]!Header1-1,#REF!,FALSE)):#REF!))</definedName>
    <definedName name="Header3Find" localSheetId="14" hidden="1">MID('12% Debt Sch'!Header2,1,FIND(".",'12% Debt Sch'!Header2,1))&amp;MID('12% Debt Sch'!Header2,FIND(".",'12% Debt Sch'!Header2,1)+1,LEN('12% Debt Sch'!Header2))-1</definedName>
    <definedName name="Header3Find" localSheetId="0" hidden="1">MID(Assumptions!Header2,1,FIND(".",Assumptions!Header2,1))&amp;MID(Assumptions!Header2,FIND(".",Assumptions!Header2,1)+1,LEN(Assumptions!Header2))-1</definedName>
    <definedName name="Header3Find" localSheetId="7" hidden="1">MID('Debt Sch'!Header2,1,FIND(".",'Debt Sch'!Header2,1))&amp;MID('Debt Sch'!Header2,FIND(".",'Debt Sch'!Header2,1)+1,LEN('Debt Sch'!Header2))-1</definedName>
    <definedName name="Header3Find" localSheetId="11" hidden="1">MID('Other Ratios'!Header2,1,FIND(".",'Other Ratios'!Header2,1))&amp;MID('Other Ratios'!Header2,FIND(".",'Other Ratios'!Header2,1)+1,LEN('Other Ratios'!Header2))-1</definedName>
    <definedName name="Header3Find" hidden="1">MID([0]!Header2,1,FIND(".",[0]!Header2,1))&amp;MID([0]!Header2,FIND(".",[0]!Header2,1)+1,LEN([0]!Header2))-1</definedName>
    <definedName name="HiddenRows" localSheetId="14" hidden="1">#REF!</definedName>
    <definedName name="HiddenRows" localSheetId="0" hidden="1">#REF!</definedName>
    <definedName name="HiddenRows" localSheetId="7" hidden="1">#REF!</definedName>
    <definedName name="HiddenRows" localSheetId="11" hidden="1">#REF!</definedName>
    <definedName name="HiddenRows" hidden="1">#REF!</definedName>
    <definedName name="HM_HAND" localSheetId="14">#REF!</definedName>
    <definedName name="HM_HAND" localSheetId="0">#REF!</definedName>
    <definedName name="HM_HAND" localSheetId="7">#REF!</definedName>
    <definedName name="HM_HAND" localSheetId="11">#REF!</definedName>
    <definedName name="HM_HAND">#REF!</definedName>
    <definedName name="hn.ExtDb" hidden="1">FALSE</definedName>
    <definedName name="hn.ModelType" hidden="1">"DEAL"</definedName>
    <definedName name="hn.ModelVersion" hidden="1">1</definedName>
    <definedName name="hn.NoUpload" hidden="1">0</definedName>
    <definedName name="HPTotal">#REF!</definedName>
    <definedName name="HRLY">#REF!</definedName>
    <definedName name="ht" localSheetId="14" hidden="1">{"'August 2000'!$A$1:$J$101"}</definedName>
    <definedName name="ht" localSheetId="0" hidden="1">{"'August 2000'!$A$1:$J$101"}</definedName>
    <definedName name="ht" localSheetId="7" hidden="1">{"'August 2000'!$A$1:$J$101"}</definedName>
    <definedName name="ht" localSheetId="11" hidden="1">{"'August 2000'!$A$1:$J$101"}</definedName>
    <definedName name="ht" hidden="1">{"'August 2000'!$A$1:$J$101"}</definedName>
    <definedName name="HTML_CodePage" hidden="1">1252</definedName>
    <definedName name="HTML_Control" localSheetId="14" hidden="1">{"'Income Statement'!$D$96:$E$101"}</definedName>
    <definedName name="HTML_Control" localSheetId="0" hidden="1">{"'Income Statement'!$D$96:$E$101"}</definedName>
    <definedName name="HTML_Control" localSheetId="7" hidden="1">{"'Income Statement'!$D$96:$E$101"}</definedName>
    <definedName name="HTML_Control" localSheetId="11" hidden="1">{"'Income Statement'!$D$96:$E$101"}</definedName>
    <definedName name="HTML_Control" hidden="1">{"'Income Statement'!$D$96:$E$101"}</definedName>
    <definedName name="HTML_Control_1" localSheetId="14" hidden="1">{"'August 2000'!$A$1:$J$101"}</definedName>
    <definedName name="HTML_Control_1" localSheetId="0" hidden="1">{"'August 2000'!$A$1:$J$101"}</definedName>
    <definedName name="HTML_Control_1" localSheetId="7" hidden="1">{"'August 2000'!$A$1:$J$101"}</definedName>
    <definedName name="HTML_Control_1" localSheetId="11" hidden="1">{"'August 2000'!$A$1:$J$101"}</definedName>
    <definedName name="HTML_Control_1" hidden="1">{"'August 2000'!$A$1:$J$101"}</definedName>
    <definedName name="HTML_CONTROL_15" localSheetId="14" hidden="1">{"'August 2000'!$A$1:$J$101"}</definedName>
    <definedName name="HTML_CONTROL_15" localSheetId="0" hidden="1">{"'August 2000'!$A$1:$J$101"}</definedName>
    <definedName name="HTML_CONTROL_15" localSheetId="7" hidden="1">{"'August 2000'!$A$1:$J$101"}</definedName>
    <definedName name="HTML_CONTROL_15" localSheetId="11" hidden="1">{"'August 2000'!$A$1:$J$101"}</definedName>
    <definedName name="HTML_CONTROL_15" hidden="1">{"'August 2000'!$A$1:$J$101"}</definedName>
    <definedName name="HTML_CONTROL_16" localSheetId="14" hidden="1">{"'August 2000'!$A$1:$J$101"}</definedName>
    <definedName name="HTML_CONTROL_16" localSheetId="0" hidden="1">{"'August 2000'!$A$1:$J$101"}</definedName>
    <definedName name="HTML_CONTROL_16" localSheetId="7" hidden="1">{"'August 2000'!$A$1:$J$101"}</definedName>
    <definedName name="HTML_CONTROL_16" localSheetId="11" hidden="1">{"'August 2000'!$A$1:$J$101"}</definedName>
    <definedName name="HTML_CONTROL_16" hidden="1">{"'August 2000'!$A$1:$J$101"}</definedName>
    <definedName name="HTML_CONTROL_19" localSheetId="14" hidden="1">{"'August 2000'!$A$1:$J$101"}</definedName>
    <definedName name="HTML_CONTROL_19" localSheetId="0" hidden="1">{"'August 2000'!$A$1:$J$101"}</definedName>
    <definedName name="HTML_CONTROL_19" localSheetId="7" hidden="1">{"'August 2000'!$A$1:$J$101"}</definedName>
    <definedName name="HTML_CONTROL_19" localSheetId="11" hidden="1">{"'August 2000'!$A$1:$J$101"}</definedName>
    <definedName name="HTML_CONTROL_19" hidden="1">{"'August 2000'!$A$1:$J$101"}</definedName>
    <definedName name="HTML_Control_2" localSheetId="14" hidden="1">{"'August 2000'!$A$1:$J$101"}</definedName>
    <definedName name="HTML_Control_2" localSheetId="0" hidden="1">{"'August 2000'!$A$1:$J$101"}</definedName>
    <definedName name="HTML_Control_2" localSheetId="7" hidden="1">{"'August 2000'!$A$1:$J$101"}</definedName>
    <definedName name="HTML_Control_2" localSheetId="11" hidden="1">{"'August 2000'!$A$1:$J$101"}</definedName>
    <definedName name="HTML_Control_2" hidden="1">{"'August 2000'!$A$1:$J$101"}</definedName>
    <definedName name="HTML_control_3" localSheetId="14" hidden="1">{"'August 2000'!$A$1:$J$101"}</definedName>
    <definedName name="HTML_control_3" localSheetId="0" hidden="1">{"'August 2000'!$A$1:$J$101"}</definedName>
    <definedName name="HTML_control_3" localSheetId="7" hidden="1">{"'August 2000'!$A$1:$J$101"}</definedName>
    <definedName name="HTML_control_3" localSheetId="11" hidden="1">{"'August 2000'!$A$1:$J$101"}</definedName>
    <definedName name="HTML_control_3" hidden="1">{"'August 2000'!$A$1:$J$101"}</definedName>
    <definedName name="HTML_control1" localSheetId="14" hidden="1">{"'August 2000'!$A$1:$J$101"}</definedName>
    <definedName name="HTML_control1" localSheetId="0" hidden="1">{"'August 2000'!$A$1:$J$101"}</definedName>
    <definedName name="HTML_control1" localSheetId="7" hidden="1">{"'August 2000'!$A$1:$J$101"}</definedName>
    <definedName name="HTML_control1" localSheetId="11" hidden="1">{"'August 2000'!$A$1:$J$101"}</definedName>
    <definedName name="HTML_control1" hidden="1">{"'August 2000'!$A$1:$J$101"}</definedName>
    <definedName name="HTML_control1_1" localSheetId="14" hidden="1">{"'August 2000'!$A$1:$J$101"}</definedName>
    <definedName name="HTML_control1_1" localSheetId="0" hidden="1">{"'August 2000'!$A$1:$J$101"}</definedName>
    <definedName name="HTML_control1_1" localSheetId="7" hidden="1">{"'August 2000'!$A$1:$J$101"}</definedName>
    <definedName name="HTML_control1_1" localSheetId="11" hidden="1">{"'August 2000'!$A$1:$J$101"}</definedName>
    <definedName name="HTML_control1_1" hidden="1">{"'August 2000'!$A$1:$J$101"}</definedName>
    <definedName name="HTML_control1_2" localSheetId="14" hidden="1">{"'August 2000'!$A$1:$J$101"}</definedName>
    <definedName name="HTML_control1_2" localSheetId="0" hidden="1">{"'August 2000'!$A$1:$J$101"}</definedName>
    <definedName name="HTML_control1_2" localSheetId="7" hidden="1">{"'August 2000'!$A$1:$J$101"}</definedName>
    <definedName name="HTML_control1_2" localSheetId="11" hidden="1">{"'August 2000'!$A$1:$J$101"}</definedName>
    <definedName name="HTML_control1_2" hidden="1">{"'August 2000'!$A$1:$J$101"}</definedName>
    <definedName name="HTML_Description" hidden="1">"Profit &amp; Loss Account"</definedName>
    <definedName name="HTML_Email" hidden="1">""</definedName>
    <definedName name="HTML_Header" hidden="1">"Income Statement"</definedName>
    <definedName name="HTML_LastUpdate" hidden="1">"6/14/99"</definedName>
    <definedName name="HTML_LineAfter" hidden="1">TRUE</definedName>
    <definedName name="HTML_LineBefore" hidden="1">TRUE</definedName>
    <definedName name="HTML_Name" hidden="1">"Prakash Mishra"</definedName>
    <definedName name="HTML_OBDlg2" hidden="1">TRUE</definedName>
    <definedName name="HTML_OBDlg4" hidden="1">TRUE</definedName>
    <definedName name="HTML_OS" hidden="1">0</definedName>
    <definedName name="HTML_PathFile" hidden="1">"D:\Temp\MyHTML.htm"</definedName>
    <definedName name="HTML_PathFileMac" hidden="1">"Macintosh HD:HomePageStuff:New_Home_Page:datafile:ctryprem.html"</definedName>
    <definedName name="HTML_Title" hidden="1">"Forecast Book2"</definedName>
    <definedName name="huy" localSheetId="14" hidden="1">{"'Sheet1'!$L$16"}</definedName>
    <definedName name="huy" localSheetId="0" hidden="1">{"'Sheet1'!$L$16"}</definedName>
    <definedName name="huy" localSheetId="7" hidden="1">{"'Sheet1'!$L$16"}</definedName>
    <definedName name="huy" localSheetId="11" hidden="1">{"'Sheet1'!$L$16"}</definedName>
    <definedName name="huy" hidden="1">{"'Sheet1'!$L$16"}</definedName>
    <definedName name="iiii" localSheetId="14" hidden="1">{#N/A,#N/A,TRUE,"Data Elements-Staffing";#N/A,#N/A,TRUE,"Data Elements-Exp Driv &amp; Assump";#N/A,#N/A,TRUE,"Staffing Sheet";#N/A,#N/A,TRUE,"Income";#N/A,#N/A,TRUE,"Income Summary";#N/A,#N/A,TRUE,"Staffing Summary"}</definedName>
    <definedName name="iiii" localSheetId="0" hidden="1">{#N/A,#N/A,TRUE,"Data Elements-Staffing";#N/A,#N/A,TRUE,"Data Elements-Exp Driv &amp; Assump";#N/A,#N/A,TRUE,"Staffing Sheet";#N/A,#N/A,TRUE,"Income";#N/A,#N/A,TRUE,"Income Summary";#N/A,#N/A,TRUE,"Staffing Summary"}</definedName>
    <definedName name="iiii" localSheetId="7" hidden="1">{#N/A,#N/A,TRUE,"Data Elements-Staffing";#N/A,#N/A,TRUE,"Data Elements-Exp Driv &amp; Assump";#N/A,#N/A,TRUE,"Staffing Sheet";#N/A,#N/A,TRUE,"Income";#N/A,#N/A,TRUE,"Income Summary";#N/A,#N/A,TRUE,"Staffing Summary"}</definedName>
    <definedName name="iiii" localSheetId="11" hidden="1">{#N/A,#N/A,TRUE,"Data Elements-Staffing";#N/A,#N/A,TRUE,"Data Elements-Exp Driv &amp; Assump";#N/A,#N/A,TRUE,"Staffing Sheet";#N/A,#N/A,TRUE,"Income";#N/A,#N/A,TRUE,"Income Summary";#N/A,#N/A,TRUE,"Staffing Summary"}</definedName>
    <definedName name="iiii" hidden="1">{#N/A,#N/A,TRUE,"Data Elements-Staffing";#N/A,#N/A,TRUE,"Data Elements-Exp Driv &amp; Assump";#N/A,#N/A,TRUE,"Staffing Sheet";#N/A,#N/A,TRUE,"Income";#N/A,#N/A,TRUE,"Income Summary";#N/A,#N/A,TRUE,"Staffing Summary"}</definedName>
    <definedName name="iiin" localSheetId="14" hidden="1">{#N/A,#N/A,TRUE,"Data Elements-Staffing";#N/A,#N/A,TRUE,"Data Elements-Exp Driv &amp; Assump";#N/A,#N/A,TRUE,"Staffing Sheet";#N/A,#N/A,TRUE,"Income";#N/A,#N/A,TRUE,"Income Summary";#N/A,#N/A,TRUE,"Staffing Summary"}</definedName>
    <definedName name="iiin" localSheetId="0" hidden="1">{#N/A,#N/A,TRUE,"Data Elements-Staffing";#N/A,#N/A,TRUE,"Data Elements-Exp Driv &amp; Assump";#N/A,#N/A,TRUE,"Staffing Sheet";#N/A,#N/A,TRUE,"Income";#N/A,#N/A,TRUE,"Income Summary";#N/A,#N/A,TRUE,"Staffing Summary"}</definedName>
    <definedName name="iiin" localSheetId="7" hidden="1">{#N/A,#N/A,TRUE,"Data Elements-Staffing";#N/A,#N/A,TRUE,"Data Elements-Exp Driv &amp; Assump";#N/A,#N/A,TRUE,"Staffing Sheet";#N/A,#N/A,TRUE,"Income";#N/A,#N/A,TRUE,"Income Summary";#N/A,#N/A,TRUE,"Staffing Summary"}</definedName>
    <definedName name="iiin" localSheetId="11" hidden="1">{#N/A,#N/A,TRUE,"Data Elements-Staffing";#N/A,#N/A,TRUE,"Data Elements-Exp Driv &amp; Assump";#N/A,#N/A,TRUE,"Staffing Sheet";#N/A,#N/A,TRUE,"Income";#N/A,#N/A,TRUE,"Income Summary";#N/A,#N/A,TRUE,"Staffing Summary"}</definedName>
    <definedName name="iiin" hidden="1">{#N/A,#N/A,TRUE,"Data Elements-Staffing";#N/A,#N/A,TRUE,"Data Elements-Exp Driv &amp; Assump";#N/A,#N/A,TRUE,"Staffing Sheet";#N/A,#N/A,TRUE,"Income";#N/A,#N/A,TRUE,"Income Summary";#N/A,#N/A,TRUE,"Staffing Summary"}</definedName>
    <definedName name="IISL_Fees">#REF!</definedName>
    <definedName name="import_text" localSheetId="14">'12% Debt Sch'!import_text</definedName>
    <definedName name="import_text" localSheetId="0">Assumptions!import_text</definedName>
    <definedName name="import_text" localSheetId="7">'Debt Sch'!import_text</definedName>
    <definedName name="import_text" localSheetId="11">'Other Ratios'!import_text</definedName>
    <definedName name="import_text">import_text</definedName>
    <definedName name="import_text_3" localSheetId="14">'12% Debt Sch'!import_text_3</definedName>
    <definedName name="import_text_3" localSheetId="0">Assumptions!import_text_3</definedName>
    <definedName name="import_text_3" localSheetId="7">'Debt Sch'!import_text_3</definedName>
    <definedName name="import_text_3" localSheetId="11">'Other Ratios'!import_text_3</definedName>
    <definedName name="import_text_3">import_text_3</definedName>
    <definedName name="Income_Decrease" localSheetId="14">#REF!</definedName>
    <definedName name="Income_Decrease" localSheetId="0">#REF!</definedName>
    <definedName name="Income_Decrease" localSheetId="7">#REF!</definedName>
    <definedName name="Income_Decrease" localSheetId="11">#REF!</definedName>
    <definedName name="Income_Decrease">#REF!</definedName>
    <definedName name="Increase" localSheetId="14">#REF!</definedName>
    <definedName name="Increase" localSheetId="0">#REF!</definedName>
    <definedName name="Increase" localSheetId="7">#REF!</definedName>
    <definedName name="Increase" localSheetId="11">#REF!</definedName>
    <definedName name="Increase">#REF!</definedName>
    <definedName name="Inflation">Assumptions!$C$111</definedName>
    <definedName name="INSTRU" localSheetId="14">#REF!</definedName>
    <definedName name="INSTRU" localSheetId="0">#REF!</definedName>
    <definedName name="INSTRU" localSheetId="7">#REF!</definedName>
    <definedName name="INSTRU" localSheetId="11">#REF!</definedName>
    <definedName name="INSTRU">#REF!</definedName>
    <definedName name="INSTRUCTIONS">#REF!</definedName>
    <definedName name="Insurance" localSheetId="1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Insurance" localSheetId="0"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Insurance" localSheetId="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Insurance" localSheetId="1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Insurance"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Int">#REF!</definedName>
    <definedName name="Interest_Rate">#REF!</definedName>
    <definedName name="InterestDSRA">#REF!</definedName>
    <definedName name="InterestFITL">#REF!</definedName>
    <definedName name="InterestPrinci">#REF!</definedName>
    <definedName name="InttMoratFITL">#REF!</definedName>
    <definedName name="InttMoratNCD">#REF!</definedName>
    <definedName name="InttMoratPrincipal">#REF!</definedName>
    <definedName name="INV">[18]Schedule!#REF!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"interior specialists"</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"07/24/2022 09:17:48"</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39191.5891666667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_BOOKMARK_COUNT" hidden="1">1</definedName>
    <definedName name="IQB_BOOKMARK_LOCATION_0" hidden="1">#REF!</definedName>
    <definedName name="IQRAA10" hidden="1">"$AA$11"</definedName>
    <definedName name="IQRAA11" hidden="1">"$AA$12"</definedName>
    <definedName name="IQRAB11" hidden="1">"$AB$12"</definedName>
    <definedName name="IQRAC10" hidden="1">"$AC$11"</definedName>
    <definedName name="IQRAC11" hidden="1">"$AC$12"</definedName>
    <definedName name="IQRAD11" hidden="1">"$AD$12"</definedName>
    <definedName name="IQRAE10" hidden="1">"$AE$11"</definedName>
    <definedName name="IQRAE11" hidden="1">"$AE$12"</definedName>
    <definedName name="IQRAF11" hidden="1">"$AF$12"</definedName>
    <definedName name="IQRAF1709" hidden="1">"$AF$1710"</definedName>
    <definedName name="IQRAF23" hidden="1">"$AF$24"</definedName>
    <definedName name="IQRAF864" hidden="1">"$AF$865"</definedName>
    <definedName name="IQRAG10" hidden="1">"$AG$11"</definedName>
    <definedName name="IQRAI10" hidden="1">"$AI$11"</definedName>
    <definedName name="IQRAK10" hidden="1">"$AK$11"</definedName>
    <definedName name="IQRAM10" hidden="1">"$AM$11"</definedName>
    <definedName name="IQRAO10" hidden="1">"$AO$11"</definedName>
    <definedName name="IQRAQ10" hidden="1">"$AQ$11"</definedName>
    <definedName name="IQRAS10" hidden="1">"$AS$11"</definedName>
    <definedName name="IQRAU10" hidden="1">"$AU$11"</definedName>
    <definedName name="IQRAU1709" hidden="1">"$AU$1710"</definedName>
    <definedName name="IQRAU23" hidden="1">"$AU$24"</definedName>
    <definedName name="IQRAU864" hidden="1">"$AU$865"</definedName>
    <definedName name="IQRAW10" hidden="1">"$AW$11"</definedName>
    <definedName name="IQRAY10" hidden="1">"$AY$11"</definedName>
    <definedName name="IQRAZ865" hidden="1">"$AZ$866:$AZ$1624"</definedName>
    <definedName name="IQRB1709" hidden="1">"$B$1710"</definedName>
    <definedName name="IQRB23" hidden="1">"$B$24"</definedName>
    <definedName name="IQRB24" hidden="1">"$B$25:$B$780"</definedName>
    <definedName name="IQRB864" hidden="1">"$B$865"</definedName>
    <definedName name="IQRBA10" hidden="1">"$BA$11"</definedName>
    <definedName name="IQRBetaAC13" hidden="1">#REF!</definedName>
    <definedName name="IQRBetaAC14" hidden="1">#REF!</definedName>
    <definedName name="IQRBetaAL14" hidden="1">#REF!</definedName>
    <definedName name="IQRBetaAU13" hidden="1">#REF!</definedName>
    <definedName name="IQRBetaAU14" hidden="1">#REF!</definedName>
    <definedName name="IQRBetaB13" hidden="1">#REF!</definedName>
    <definedName name="IQRBetaB14" hidden="1">#REF!</definedName>
    <definedName name="IQRBetaBD13" hidden="1">#REF!</definedName>
    <definedName name="IQRBetaBD14" hidden="1">#REF!</definedName>
    <definedName name="IQRBetaBM13" hidden="1">#REF!</definedName>
    <definedName name="IQRBetaBM14" hidden="1">#REF!</definedName>
    <definedName name="IQRBetaBV13" hidden="1">#REF!</definedName>
    <definedName name="IQRBetaBV14" hidden="1">#REF!</definedName>
    <definedName name="IQRBetaCE13" hidden="1">#REF!</definedName>
    <definedName name="IQRBetaCE14" hidden="1">#REF!</definedName>
    <definedName name="IQRBetaCN13" hidden="1">#REF!</definedName>
    <definedName name="IQRBetaCN14" hidden="1">#REF!</definedName>
    <definedName name="IQRBetaCW13" hidden="1">#REF!</definedName>
    <definedName name="IQRBetaCW14" hidden="1">#REF!</definedName>
    <definedName name="IQRBetaDF13" hidden="1">#REF!</definedName>
    <definedName name="IQRBetaDF14" hidden="1">#REF!</definedName>
    <definedName name="IQRBetaDO13" hidden="1">#REF!</definedName>
    <definedName name="IQRBetaDO14" hidden="1">#REF!</definedName>
    <definedName name="IQRBetaDX13" hidden="1">#REF!</definedName>
    <definedName name="IQRBetaDX14" hidden="1">#REF!</definedName>
    <definedName name="IQRBetaEG13" hidden="1">#REF!</definedName>
    <definedName name="IQRBetaEG14" hidden="1">#REF!</definedName>
    <definedName name="IQRBetaEP13" hidden="1">#REF!</definedName>
    <definedName name="IQRBetaEP14" hidden="1">#REF!</definedName>
    <definedName name="IQRBetaEY13" hidden="1">#REF!</definedName>
    <definedName name="IQRBetaEY14" hidden="1">#REF!</definedName>
    <definedName name="IQRBetaFH13" hidden="1">#REF!</definedName>
    <definedName name="IQRBetaFH14" hidden="1">#REF!</definedName>
    <definedName name="IQRBetaFQ13" hidden="1">#REF!</definedName>
    <definedName name="IQRBetaFQ14" hidden="1">#REF!</definedName>
    <definedName name="IQRBetaK13" hidden="1">#REF!</definedName>
    <definedName name="IQRBetaK14" hidden="1">#REF!</definedName>
    <definedName name="IQRBetaT13" hidden="1">#REF!</definedName>
    <definedName name="IQRBetaT14" hidden="1">#REF!</definedName>
    <definedName name="IQRBJ1709" hidden="1">"$BJ$1710"</definedName>
    <definedName name="IQRBJ23" hidden="1">"$BJ$24"</definedName>
    <definedName name="IQRBJ864" hidden="1">"$BJ$865"</definedName>
    <definedName name="IQRBY1709" hidden="1">"$BY$1710"</definedName>
    <definedName name="IQRBY23" hidden="1">"$BY$24"</definedName>
    <definedName name="IQRBY864" hidden="1">"$BY$865"</definedName>
    <definedName name="IQRC23" hidden="1">"$C$24:$C$778"</definedName>
    <definedName name="IQRC24" hidden="1">"$C$25:$C$779"</definedName>
    <definedName name="IQRCapStruA5" hidden="1">#REF!</definedName>
    <definedName name="IQRCapStruA6" hidden="1">#REF!</definedName>
    <definedName name="IQRCapStruA7" hidden="1">#REF!</definedName>
    <definedName name="IQRCapStruA8" hidden="1">#REF!</definedName>
    <definedName name="IQRCapStruAG5" hidden="1">#REF!</definedName>
    <definedName name="IQRCapStruAG6" hidden="1">#REF!</definedName>
    <definedName name="IQRCapStruAG7" hidden="1">#REF!</definedName>
    <definedName name="IQRCapStruAG8" hidden="1">#REF!</definedName>
    <definedName name="IQRCapStruAO5" hidden="1">#REF!</definedName>
    <definedName name="IQRCapStruAO6" hidden="1">#REF!</definedName>
    <definedName name="IQRCapStruAO7" hidden="1">#REF!</definedName>
    <definedName name="IQRCapStruAO8" hidden="1">#REF!</definedName>
    <definedName name="IQRCapStruAW5" hidden="1">#REF!</definedName>
    <definedName name="IQRCapStruAW6" hidden="1">#REF!</definedName>
    <definedName name="IQRCapStruAW7" hidden="1">#REF!</definedName>
    <definedName name="IQRCapStruAW8" hidden="1">#REF!</definedName>
    <definedName name="IQRCapStruBE5" hidden="1">#REF!</definedName>
    <definedName name="IQRCapStruBE6" hidden="1">#REF!</definedName>
    <definedName name="IQRCapStruBE7" hidden="1">#REF!</definedName>
    <definedName name="IQRCapStruBE8" hidden="1">#REF!</definedName>
    <definedName name="IQRCapStruBM5" hidden="1">#REF!</definedName>
    <definedName name="IQRCapStruBM6" hidden="1">#REF!</definedName>
    <definedName name="IQRCapStruBM7" hidden="1">#REF!</definedName>
    <definedName name="IQRCapStruBM8" hidden="1">#REF!</definedName>
    <definedName name="IQRCapStruBU5" hidden="1">#REF!</definedName>
    <definedName name="IQRCapStruBU6" hidden="1">#REF!</definedName>
    <definedName name="IQRCapStruBU7" hidden="1">#REF!</definedName>
    <definedName name="IQRCapStruBU8" hidden="1">#REF!</definedName>
    <definedName name="IQRCapStruCC5" hidden="1">#REF!</definedName>
    <definedName name="IQRCapStruCC6" hidden="1">#REF!</definedName>
    <definedName name="IQRCapStruCC7" hidden="1">#REF!</definedName>
    <definedName name="IQRCapStruCC8" hidden="1">#REF!</definedName>
    <definedName name="IQRCapStruCK5" hidden="1">#REF!</definedName>
    <definedName name="IQRCapStruCK6" hidden="1">#REF!</definedName>
    <definedName name="IQRCapStruCK7" hidden="1">#REF!</definedName>
    <definedName name="IQRCapStruCK8" hidden="1">#REF!</definedName>
    <definedName name="IQRCapStruCS5" hidden="1">#REF!</definedName>
    <definedName name="IQRCapStruCS6" hidden="1">#REF!</definedName>
    <definedName name="IQRCapStruCS7" hidden="1">#REF!</definedName>
    <definedName name="IQRCapStruCS8" hidden="1">#REF!</definedName>
    <definedName name="IQRCapStruDA5" hidden="1">#REF!</definedName>
    <definedName name="IQRCapStruDA6" hidden="1">#REF!</definedName>
    <definedName name="IQRCapStruDA7" hidden="1">#REF!</definedName>
    <definedName name="IQRCapStruDA8" hidden="1">#REF!</definedName>
    <definedName name="IQRCapStruDI5" hidden="1">#REF!</definedName>
    <definedName name="IQRCapStruDI6" hidden="1">#REF!</definedName>
    <definedName name="IQRCapStruDI7" hidden="1">#REF!</definedName>
    <definedName name="IQRCapStruDI8" hidden="1">#REF!</definedName>
    <definedName name="IQRCapStruDQ5" hidden="1">#REF!</definedName>
    <definedName name="IQRCapStruDQ6" hidden="1">#REF!</definedName>
    <definedName name="IQRCapStruDQ7" hidden="1">#REF!</definedName>
    <definedName name="IQRCapStruDQ8" hidden="1">#REF!</definedName>
    <definedName name="IQRCapStruDY5" hidden="1">#REF!</definedName>
    <definedName name="IQRCapStruDY6" hidden="1">#REF!</definedName>
    <definedName name="IQRCapStruDY7" hidden="1">#REF!</definedName>
    <definedName name="IQRCapStruDY8" hidden="1">#REF!</definedName>
    <definedName name="IQRCapStruEG5" hidden="1">#REF!</definedName>
    <definedName name="IQRCapStruEG6" hidden="1">#REF!</definedName>
    <definedName name="IQRCapStruEG7" hidden="1">#REF!</definedName>
    <definedName name="IQRCapStruEG8" hidden="1">#REF!</definedName>
    <definedName name="IQRCapStruEO5" hidden="1">#REF!</definedName>
    <definedName name="IQRCapStruEO6" hidden="1">#REF!</definedName>
    <definedName name="IQRCapStruEO7" hidden="1">#REF!</definedName>
    <definedName name="IQRCapStruEO8" hidden="1">#REF!</definedName>
    <definedName name="IQRCapStruEW5" hidden="1">#REF!</definedName>
    <definedName name="IQRCapStruEW6" hidden="1">#REF!</definedName>
    <definedName name="IQRCapStruEW7" hidden="1">#REF!</definedName>
    <definedName name="IQRCapStruEW8" hidden="1">#REF!</definedName>
    <definedName name="IQRCapStruI5" hidden="1">#REF!</definedName>
    <definedName name="IQRCapStruI6" hidden="1">#REF!</definedName>
    <definedName name="IQRCapStruI7" hidden="1">#REF!</definedName>
    <definedName name="IQRCapStruI8" hidden="1">#REF!</definedName>
    <definedName name="IQRCapStruQ5" hidden="1">#REF!</definedName>
    <definedName name="IQRCapStruQ6" hidden="1">#REF!</definedName>
    <definedName name="IQRCapStruQ7" hidden="1">#REF!</definedName>
    <definedName name="IQRCapStruQ8" hidden="1">#REF!</definedName>
    <definedName name="IQRCapStruY5" hidden="1">#REF!</definedName>
    <definedName name="IQRCapStruY6" hidden="1">#REF!</definedName>
    <definedName name="IQRCapStruY7" hidden="1">#REF!</definedName>
    <definedName name="IQRCapStruY8" hidden="1">#REF!</definedName>
    <definedName name="IQRCN1709" hidden="1">"$CN$1710"</definedName>
    <definedName name="IQRCN23" hidden="1">"$CN$24"</definedName>
    <definedName name="IQRCN864" hidden="1">"$CN$865"</definedName>
    <definedName name="IQRCompsPLAAN67" hidden="1">#REF!</definedName>
    <definedName name="IQRD10" hidden="1">"$D$11"</definedName>
    <definedName name="IQRD23" hidden="1">"$D$24:$D$778"</definedName>
    <definedName name="IQRD24" hidden="1">"$D$25:$D$779"</definedName>
    <definedName name="IQRDC1709" hidden="1">"$DC$1710"</definedName>
    <definedName name="IQRDC23" hidden="1">"$DC$24"</definedName>
    <definedName name="IQRDC864" hidden="1">"$DC$865"</definedName>
    <definedName name="IQRDR23" hidden="1">"$DR$24"</definedName>
    <definedName name="IQRDR864" hidden="1">"$DR$865"</definedName>
    <definedName name="IQRE23" hidden="1">"$E$24:$E$778"</definedName>
    <definedName name="IQRE24" hidden="1">"$E$25:$E$779"</definedName>
    <definedName name="IQREG23" hidden="1">"$EG$24"</definedName>
    <definedName name="IQREG864" hidden="1">"$EG$865"</definedName>
    <definedName name="IQREV23" hidden="1">"$EV$24"</definedName>
    <definedName name="IQREV864" hidden="1">"$EV$865"</definedName>
    <definedName name="IQRExchangerateAC9" hidden="1">#REF!</definedName>
    <definedName name="IQRExchangerateAF9" hidden="1">#REF!</definedName>
    <definedName name="IQRExchangerateAI9" hidden="1">#REF!</definedName>
    <definedName name="IQRExchangerateAL9" hidden="1">#REF!</definedName>
    <definedName name="IQRExchangerateAO9" hidden="1">#REF!</definedName>
    <definedName name="IQRExchangerateAR9" hidden="1">#REF!</definedName>
    <definedName name="IQRExchangerateAU9" hidden="1">#REF!</definedName>
    <definedName name="IQRExchangerateAX9" hidden="1">#REF!</definedName>
    <definedName name="IQRExchangerateB8" hidden="1">#REF!</definedName>
    <definedName name="IQRExchangerateB9" hidden="1">#REF!</definedName>
    <definedName name="IQRExchangerateBA9" hidden="1">#REF!</definedName>
    <definedName name="IQRExchangerateBD9" hidden="1">#REF!</definedName>
    <definedName name="IQRExchangerateBG9" hidden="1">#REF!</definedName>
    <definedName name="IQRExchangerateE9" hidden="1">#REF!</definedName>
    <definedName name="IQRExchangerateH9" hidden="1">#REF!</definedName>
    <definedName name="IQRExchangerateK9" hidden="1">#REF!</definedName>
    <definedName name="IQRExchangerateN9" hidden="1">#REF!</definedName>
    <definedName name="IQRExchangerateQ9" hidden="1">#REF!</definedName>
    <definedName name="IQRExchangerateT9" hidden="1">#REF!</definedName>
    <definedName name="IQRExchangerateW9" hidden="1">#REF!</definedName>
    <definedName name="IQRExchangerateZ9" hidden="1">#REF!</definedName>
    <definedName name="IQRF23" hidden="1">"$F$24:$F$778"</definedName>
    <definedName name="IQRF24" hidden="1">"$F$25:$F$779"</definedName>
    <definedName name="IQRFK23" hidden="1">"$FK$24"</definedName>
    <definedName name="IQRFK864" hidden="1">"$FK$865"</definedName>
    <definedName name="IQRFZ23" hidden="1">"$FZ$24"</definedName>
    <definedName name="IQRFZ864" hidden="1">"$FZ$865"</definedName>
    <definedName name="IQRG23" hidden="1">"$G$24:$G$778"</definedName>
    <definedName name="IQRG24" hidden="1">"$G$25:$G$779"</definedName>
    <definedName name="IQRGO23" hidden="1">"$GO$24"</definedName>
    <definedName name="IQRGO864" hidden="1">"$GO$865"</definedName>
    <definedName name="IQRGS6AF1365" hidden="1">#REF!</definedName>
    <definedName name="IQRGS6AF1366" hidden="1">#REF!</definedName>
    <definedName name="IQRGS6AF1709" hidden="1">#REF!</definedName>
    <definedName name="IQRGS6AF1710" hidden="1">#REF!</definedName>
    <definedName name="IQRGS6AF2210" hidden="1">#REF!</definedName>
    <definedName name="IQRGS6AF23" hidden="1">#REF!</definedName>
    <definedName name="IQRGS6AF24" hidden="1">#REF!</definedName>
    <definedName name="IQRGS6AF25" hidden="1">#REF!</definedName>
    <definedName name="IQRGS6AF2710" hidden="1">#REF!</definedName>
    <definedName name="IQRGS6AF2711" hidden="1">#REF!</definedName>
    <definedName name="IQRGS6AF2712" hidden="1">#REF!</definedName>
    <definedName name="IQRGS6AF864" hidden="1">#REF!</definedName>
    <definedName name="IQRGS6AF865" hidden="1">#REF!</definedName>
    <definedName name="IQRGS6AH1366" hidden="1">#REF!</definedName>
    <definedName name="IQRGS6AH24" hidden="1">#REF!</definedName>
    <definedName name="IQRGS6AH2712" hidden="1">#REF!</definedName>
    <definedName name="IQRGS6AU1365" hidden="1">#REF!</definedName>
    <definedName name="IQRGS6AU1366" hidden="1">#REF!</definedName>
    <definedName name="IQRGS6AU1709" hidden="1">#REF!</definedName>
    <definedName name="IQRGS6AU1710" hidden="1">#REF!</definedName>
    <definedName name="IQRGS6AU2210" hidden="1">#REF!</definedName>
    <definedName name="IQRGS6AU23" hidden="1">#REF!</definedName>
    <definedName name="IQRGS6AU24" hidden="1">#REF!</definedName>
    <definedName name="IQRGS6AU25" hidden="1">#REF!</definedName>
    <definedName name="IQRGS6AU2710" hidden="1">#REF!</definedName>
    <definedName name="IQRGS6AU2711" hidden="1">#REF!</definedName>
    <definedName name="IQRGS6AU2712" hidden="1">#REF!</definedName>
    <definedName name="IQRGS6AU864" hidden="1">#REF!</definedName>
    <definedName name="IQRGS6AU865" hidden="1">#REF!</definedName>
    <definedName name="IQRGS6AX1366" hidden="1">#REF!</definedName>
    <definedName name="IQRGS6AX24" hidden="1">#REF!</definedName>
    <definedName name="IQRGS6AX2712" hidden="1">#REF!</definedName>
    <definedName name="IQRGS6B1365" hidden="1">#REF!</definedName>
    <definedName name="IQRGS6B1366" hidden="1">#REF!</definedName>
    <definedName name="IQRGS6B1709" hidden="1">#REF!</definedName>
    <definedName name="IQRGS6B1710" hidden="1">#REF!</definedName>
    <definedName name="IQRGS6B2210" hidden="1">#REF!</definedName>
    <definedName name="IQRGS6B23" hidden="1">#REF!</definedName>
    <definedName name="IQRGS6B24" hidden="1">#REF!</definedName>
    <definedName name="IQRGS6B25" hidden="1">#REF!</definedName>
    <definedName name="IQRGS6B2710" hidden="1">#REF!</definedName>
    <definedName name="IQRGS6B2711" hidden="1">#REF!</definedName>
    <definedName name="IQRGS6B2712" hidden="1">#REF!</definedName>
    <definedName name="IQRGS6B864" hidden="1">#REF!</definedName>
    <definedName name="IQRGS6B865" hidden="1">#REF!</definedName>
    <definedName name="IQRGS6BetasheetAC24" hidden="1">#REF!</definedName>
    <definedName name="IQRGS6BetasheetAD24" hidden="1">#REF!</definedName>
    <definedName name="IQRGS6BetasheetAF1366" hidden="1">#REF!</definedName>
    <definedName name="IQRGS6BetasheetAF24" hidden="1">#REF!</definedName>
    <definedName name="IQRGS6BetasheetAF2712" hidden="1">#REF!</definedName>
    <definedName name="IQRGS6BetasheetAL24" hidden="1">#REF!</definedName>
    <definedName name="IQRGS6BetasheetAN24" hidden="1">#REF!</definedName>
    <definedName name="IQRGS6BetasheetAP1366" hidden="1">#REF!</definedName>
    <definedName name="IQRGS6BetasheetAP24" hidden="1">#REF!</definedName>
    <definedName name="IQRGS6BetasheetAU24" hidden="1">#REF!</definedName>
    <definedName name="IQRGS6BetasheetAX24" hidden="1">#REF!</definedName>
    <definedName name="IQRGS6BetasheetAZ1366" hidden="1">#REF!</definedName>
    <definedName name="IQRGS6BetasheetAZ24" hidden="1">#REF!</definedName>
    <definedName name="IQRGS6BetasheetB1366" hidden="1">#REF!</definedName>
    <definedName name="IQRGS6BetasheetB24" hidden="1">#REF!</definedName>
    <definedName name="IQRGS6BetasheetB2712" hidden="1">#REF!</definedName>
    <definedName name="IQRGS6BetasheetBD24" hidden="1">#REF!</definedName>
    <definedName name="IQRGS6BetasheetBH24" hidden="1">#REF!</definedName>
    <definedName name="IQRGS6BetasheetBJ1366" hidden="1">#REF!</definedName>
    <definedName name="IQRGS6BetasheetBJ24" hidden="1">#REF!</definedName>
    <definedName name="IQRGS6BetasheetBM24" hidden="1">#REF!</definedName>
    <definedName name="IQRGS6BetasheetBR24" hidden="1">#REF!</definedName>
    <definedName name="IQRGS6BetasheetBT1366" hidden="1">#REF!</definedName>
    <definedName name="IQRGS6BetasheetBT24" hidden="1">#REF!</definedName>
    <definedName name="IQRGS6BetasheetBV24" hidden="1">#REF!</definedName>
    <definedName name="IQRGS6BetasheetCB24" hidden="1">#REF!</definedName>
    <definedName name="IQRGS6BetasheetCD24" hidden="1">#REF!</definedName>
    <definedName name="IQRGS6BetasheetCE24" hidden="1">#REF!</definedName>
    <definedName name="IQRGS6BetasheetCL24" hidden="1">#REF!</definedName>
    <definedName name="IQRGS6BetasheetCN24" hidden="1">#REF!</definedName>
    <definedName name="IQRGS6BetasheetCV24" hidden="1">#REF!</definedName>
    <definedName name="IQRGS6BetasheetCW24" hidden="1">#REF!</definedName>
    <definedName name="IQRGS6BetasheetCX24" hidden="1">#REF!</definedName>
    <definedName name="IQRGS6BetasheetDF24" hidden="1">#REF!</definedName>
    <definedName name="IQRGS6BetasheetDH24" hidden="1">#REF!</definedName>
    <definedName name="IQRGS6BetasheetDO24" hidden="1">#REF!</definedName>
    <definedName name="IQRGS6BetasheetDP24" hidden="1">#REF!</definedName>
    <definedName name="IQRGS6BetasheetDR24" hidden="1">#REF!</definedName>
    <definedName name="IQRGS6BetasheetDX24" hidden="1">#REF!</definedName>
    <definedName name="IQRGS6BetasheetDZ24" hidden="1">#REF!</definedName>
    <definedName name="IQRGS6BetasheetEB24" hidden="1">#REF!</definedName>
    <definedName name="IQRGS6BetasheetEG24" hidden="1">#REF!</definedName>
    <definedName name="IQRGS6BetasheetEJ24" hidden="1">#REF!</definedName>
    <definedName name="IQRGS6BetasheetEL24" hidden="1">#REF!</definedName>
    <definedName name="IQRGS6BetasheetEP24" hidden="1">#REF!</definedName>
    <definedName name="IQRGS6BetasheetET24" hidden="1">#REF!</definedName>
    <definedName name="IQRGS6BetasheetEV24" hidden="1">#REF!</definedName>
    <definedName name="IQRGS6BetasheetEY24" hidden="1">#REF!</definedName>
    <definedName name="IQRGS6BetasheetFD24" hidden="1">#REF!</definedName>
    <definedName name="IQRGS6BetasheetFF24" hidden="1">#REF!</definedName>
    <definedName name="IQRGS6BetasheetFH24" hidden="1">#REF!</definedName>
    <definedName name="IQRGS6BetasheetFN24" hidden="1">#REF!</definedName>
    <definedName name="IQRGS6BetasheetFP24" hidden="1">#REF!</definedName>
    <definedName name="IQRGS6BetasheetFQ24" hidden="1">#REF!</definedName>
    <definedName name="IQRGS6BetasheetFX24" hidden="1">#REF!</definedName>
    <definedName name="IQRGS6BetasheetFZ24" hidden="1">#REF!</definedName>
    <definedName name="IQRGS6BetasheetGH24" hidden="1">#REF!</definedName>
    <definedName name="IQRGS6BetasheetGJ24" hidden="1">#REF!</definedName>
    <definedName name="IQRGS6BetasheetK24" hidden="1">#REF!</definedName>
    <definedName name="IQRGS6BetasheetL1366" hidden="1">#REF!</definedName>
    <definedName name="IQRGS6BetasheetL24" hidden="1">#REF!</definedName>
    <definedName name="IQRGS6BetasheetL2712" hidden="1">#REF!</definedName>
    <definedName name="IQRGS6BetasheetT24" hidden="1">#REF!</definedName>
    <definedName name="IQRGS6BetasheetV1366" hidden="1">#REF!</definedName>
    <definedName name="IQRGS6BetasheetV24" hidden="1">#REF!</definedName>
    <definedName name="IQRGS6BetasheetV2712" hidden="1">#REF!</definedName>
    <definedName name="IQRGS6Betashet1AH1366" hidden="1">#REF!</definedName>
    <definedName name="IQRGS6Betashet1AH2712" hidden="1">#REF!</definedName>
    <definedName name="IQRGS6Betashet1AX1366" hidden="1">#REF!</definedName>
    <definedName name="IQRGS6Betashet1AX2712" hidden="1">#REF!</definedName>
    <definedName name="IQRGS6Betashet1B1366" hidden="1">#REF!</definedName>
    <definedName name="IQRGS6Betashet1B2712" hidden="1">#REF!</definedName>
    <definedName name="IQRGS6Betashet1BN1366" hidden="1">#REF!</definedName>
    <definedName name="IQRGS6Betashet1CD1366" hidden="1">#REF!</definedName>
    <definedName name="IQRGS6Betashet1CT1366" hidden="1">#REF!</definedName>
    <definedName name="IQRGS6Betashet1DJ1366" hidden="1">#REF!</definedName>
    <definedName name="IQRGS6Betashet1R1366" hidden="1">#REF!</definedName>
    <definedName name="IQRGS6Betashet1R2712" hidden="1">#REF!</definedName>
    <definedName name="IQRGS6BetashetA1366" hidden="1">#REF!</definedName>
    <definedName name="IQRGS6BetashetAF1366" hidden="1">#REF!</definedName>
    <definedName name="IQRGS6BetashetAF24" hidden="1">#REF!</definedName>
    <definedName name="IQRGS6BetashetAF2712" hidden="1">#REF!</definedName>
    <definedName name="IQRGS6BetashetAH1366" hidden="1">#REF!</definedName>
    <definedName name="IQRGS6BetashetAH24" hidden="1">#REF!</definedName>
    <definedName name="IQRGS6BetashetAH2712" hidden="1">#REF!</definedName>
    <definedName name="IQRGS6BetashetAP1366" hidden="1">#REF!</definedName>
    <definedName name="IQRGS6BetashetAP24" hidden="1">#REF!</definedName>
    <definedName name="IQRGS6BetashetAX1366" hidden="1">#REF!</definedName>
    <definedName name="IQRGS6BetashetAX24" hidden="1">#REF!</definedName>
    <definedName name="IQRGS6BetashetAX2712" hidden="1">#REF!</definedName>
    <definedName name="IQRGS6BetashetAZ1366" hidden="1">#REF!</definedName>
    <definedName name="IQRGS6BetashetAZ24" hidden="1">#REF!</definedName>
    <definedName name="IQRGS6BetashetB1366" hidden="1">#REF!</definedName>
    <definedName name="IQRGS6BetashetB24" hidden="1">#REF!</definedName>
    <definedName name="IQRGS6BetashetB2712" hidden="1">#REF!</definedName>
    <definedName name="IQRGS6BetashetBJ1366" hidden="1">#REF!</definedName>
    <definedName name="IQRGS6BetashetBJ24" hidden="1">#REF!</definedName>
    <definedName name="IQRGS6BetashetBN1366" hidden="1">#REF!</definedName>
    <definedName name="IQRGS6BetashetBN24" hidden="1">#REF!</definedName>
    <definedName name="IQRGS6BetashetBT1366" hidden="1">#REF!</definedName>
    <definedName name="IQRGS6BetashetBT24" hidden="1">#REF!</definedName>
    <definedName name="IQRGS6BetashetCD1366" hidden="1">#REF!</definedName>
    <definedName name="IQRGS6BetashetCD24" hidden="1">#REF!</definedName>
    <definedName name="IQRGS6BetashetCT1366" hidden="1">#REF!</definedName>
    <definedName name="IQRGS6BetashetCT24" hidden="1">#REF!</definedName>
    <definedName name="IQRGS6BetashetDJ1366" hidden="1">#REF!</definedName>
    <definedName name="IQRGS6BetashetDJ24" hidden="1">#REF!</definedName>
    <definedName name="IQRGS6BetashetL1366" hidden="1">#REF!</definedName>
    <definedName name="IQRGS6BetashetL24" hidden="1">#REF!</definedName>
    <definedName name="IQRGS6BetashetL2712" hidden="1">#REF!</definedName>
    <definedName name="IQRGS6BetashetR1366" hidden="1">#REF!</definedName>
    <definedName name="IQRGS6BetashetR24" hidden="1">#REF!</definedName>
    <definedName name="IQRGS6BetashetR2712" hidden="1">#REF!</definedName>
    <definedName name="IQRGS6BetashetV1366" hidden="1">#REF!</definedName>
    <definedName name="IQRGS6BetashetV24" hidden="1">#REF!</definedName>
    <definedName name="IQRGS6BetashetV2712" hidden="1">#REF!</definedName>
    <definedName name="IQRGS6BJ1365" hidden="1">#REF!</definedName>
    <definedName name="IQRGS6BJ1366" hidden="1">#REF!</definedName>
    <definedName name="IQRGS6BJ1709" hidden="1">#REF!</definedName>
    <definedName name="IQRGS6BJ1710" hidden="1">#REF!</definedName>
    <definedName name="IQRGS6BJ2210" hidden="1">#REF!</definedName>
    <definedName name="IQRGS6BJ23" hidden="1">#REF!</definedName>
    <definedName name="IQRGS6BJ24" hidden="1">#REF!</definedName>
    <definedName name="IQRGS6BJ25" hidden="1">#REF!</definedName>
    <definedName name="IQRGS6BJ2710" hidden="1">#REF!</definedName>
    <definedName name="IQRGS6BJ2711" hidden="1">#REF!</definedName>
    <definedName name="IQRGS6BJ2712" hidden="1">#REF!</definedName>
    <definedName name="IQRGS6BJ864" hidden="1">#REF!</definedName>
    <definedName name="IQRGS6BJ865" hidden="1">#REF!</definedName>
    <definedName name="IQRGS6BN1366" hidden="1">#REF!</definedName>
    <definedName name="IQRGS6BN24" hidden="1">#REF!</definedName>
    <definedName name="IQRGS6BY1365" hidden="1">#REF!</definedName>
    <definedName name="IQRGS6BY1366" hidden="1">#REF!</definedName>
    <definedName name="IQRGS6BY1709" hidden="1">#REF!</definedName>
    <definedName name="IQRGS6BY1710" hidden="1">#REF!</definedName>
    <definedName name="IQRGS6BY2210" hidden="1">#REF!</definedName>
    <definedName name="IQRGS6BY23" hidden="1">#REF!</definedName>
    <definedName name="IQRGS6BY24" hidden="1">#REF!</definedName>
    <definedName name="IQRGS6BY25" hidden="1">#REF!</definedName>
    <definedName name="IQRGS6BY2710" hidden="1">#REF!</definedName>
    <definedName name="IQRGS6BY2711" hidden="1">#REF!</definedName>
    <definedName name="IQRGS6BY2712" hidden="1">#REF!</definedName>
    <definedName name="IQRGS6BY864" hidden="1">#REF!</definedName>
    <definedName name="IQRGS6BY865" hidden="1">#REF!</definedName>
    <definedName name="IQRGS6CD1366" hidden="1">#REF!</definedName>
    <definedName name="IQRGS6CD24" hidden="1">#REF!</definedName>
    <definedName name="IQRGS6CN1365" hidden="1">#REF!</definedName>
    <definedName name="IQRGS6CN1366" hidden="1">#REF!</definedName>
    <definedName name="IQRGS6CN1709" hidden="1">#REF!</definedName>
    <definedName name="IQRGS6CN1710" hidden="1">#REF!</definedName>
    <definedName name="IQRGS6CN2210" hidden="1">#REF!</definedName>
    <definedName name="IQRGS6CN23" hidden="1">#REF!</definedName>
    <definedName name="IQRGS6CN24" hidden="1">#REF!</definedName>
    <definedName name="IQRGS6CN25" hidden="1">#REF!</definedName>
    <definedName name="IQRGS6CN2710" hidden="1">#REF!</definedName>
    <definedName name="IQRGS6CN2711" hidden="1">#REF!</definedName>
    <definedName name="IQRGS6CN2712" hidden="1">#REF!</definedName>
    <definedName name="IQRGS6CN864" hidden="1">#REF!</definedName>
    <definedName name="IQRGS6CN865" hidden="1">#REF!</definedName>
    <definedName name="IQRGS6CT1366" hidden="1">#REF!</definedName>
    <definedName name="IQRGS6CT24" hidden="1">#REF!</definedName>
    <definedName name="IQRGS6DC1365" hidden="1">#REF!</definedName>
    <definedName name="IQRGS6DC1366" hidden="1">#REF!</definedName>
    <definedName name="IQRGS6DC1709" hidden="1">#REF!</definedName>
    <definedName name="IQRGS6DC1710" hidden="1">#REF!</definedName>
    <definedName name="IQRGS6DC2210" hidden="1">#REF!</definedName>
    <definedName name="IQRGS6DC23" hidden="1">#REF!</definedName>
    <definedName name="IQRGS6DC24" hidden="1">#REF!</definedName>
    <definedName name="IQRGS6DC25" hidden="1">#REF!</definedName>
    <definedName name="IQRGS6DC2710" hidden="1">#REF!</definedName>
    <definedName name="IQRGS6DC2711" hidden="1">#REF!</definedName>
    <definedName name="IQRGS6DC2712" hidden="1">#REF!</definedName>
    <definedName name="IQRGS6DC864" hidden="1">#REF!</definedName>
    <definedName name="IQRGS6DC865" hidden="1">#REF!</definedName>
    <definedName name="IQRGS6DJ1366" hidden="1">#REF!</definedName>
    <definedName name="IQRGS6DJ24" hidden="1">#REF!</definedName>
    <definedName name="IQRGS6DR1365" hidden="1">#REF!</definedName>
    <definedName name="IQRGS6DR1366" hidden="1">#REF!</definedName>
    <definedName name="IQRGS6DR23" hidden="1">#REF!</definedName>
    <definedName name="IQRGS6DR24" hidden="1">#REF!</definedName>
    <definedName name="IQRGS6DR25" hidden="1">#REF!</definedName>
    <definedName name="IQRGS6DR864" hidden="1">#REF!</definedName>
    <definedName name="IQRGS6DR865" hidden="1">#REF!</definedName>
    <definedName name="IQRGS6EG1365" hidden="1">#REF!</definedName>
    <definedName name="IQRGS6EG1366" hidden="1">#REF!</definedName>
    <definedName name="IQRGS6EG23" hidden="1">#REF!</definedName>
    <definedName name="IQRGS6EG24" hidden="1">#REF!</definedName>
    <definedName name="IQRGS6EG25" hidden="1">#REF!</definedName>
    <definedName name="IQRGS6EG864" hidden="1">#REF!</definedName>
    <definedName name="IQRGS6EG865" hidden="1">#REF!</definedName>
    <definedName name="IQRGS6EV1365" hidden="1">#REF!</definedName>
    <definedName name="IQRGS6EV1366" hidden="1">#REF!</definedName>
    <definedName name="IQRGS6EV23" hidden="1">#REF!</definedName>
    <definedName name="IQRGS6EV24" hidden="1">#REF!</definedName>
    <definedName name="IQRGS6EV25" hidden="1">#REF!</definedName>
    <definedName name="IQRGS6EV864" hidden="1">#REF!</definedName>
    <definedName name="IQRGS6EV865" hidden="1">#REF!</definedName>
    <definedName name="IQRGS6FK1365" hidden="1">#REF!</definedName>
    <definedName name="IQRGS6FK1366" hidden="1">#REF!</definedName>
    <definedName name="IQRGS6FK23" hidden="1">#REF!</definedName>
    <definedName name="IQRGS6FK24" hidden="1">#REF!</definedName>
    <definedName name="IQRGS6FK25" hidden="1">#REF!</definedName>
    <definedName name="IQRGS6FK864" hidden="1">#REF!</definedName>
    <definedName name="IQRGS6FK865" hidden="1">#REF!</definedName>
    <definedName name="IQRGS6FZ1365" hidden="1">#REF!</definedName>
    <definedName name="IQRGS6FZ1366" hidden="1">#REF!</definedName>
    <definedName name="IQRGS6FZ23" hidden="1">#REF!</definedName>
    <definedName name="IQRGS6FZ24" hidden="1">#REF!</definedName>
    <definedName name="IQRGS6FZ25" hidden="1">#REF!</definedName>
    <definedName name="IQRGS6FZ864" hidden="1">#REF!</definedName>
    <definedName name="IQRGS6FZ865" hidden="1">#REF!</definedName>
    <definedName name="IQRGS6GO1365" hidden="1">#REF!</definedName>
    <definedName name="IQRGS6GO1366" hidden="1">#REF!</definedName>
    <definedName name="IQRGS6GO23" hidden="1">#REF!</definedName>
    <definedName name="IQRGS6GO24" hidden="1">#REF!</definedName>
    <definedName name="IQRGS6GO25" hidden="1">#REF!</definedName>
    <definedName name="IQRGS6GO864" hidden="1">#REF!</definedName>
    <definedName name="IQRGS6GO865" hidden="1">#REF!</definedName>
    <definedName name="IQRGS6HD1365" hidden="1">#REF!</definedName>
    <definedName name="IQRGS6HD1366" hidden="1">#REF!</definedName>
    <definedName name="IQRGS6HD23" hidden="1">#REF!</definedName>
    <definedName name="IQRGS6HD24" hidden="1">#REF!</definedName>
    <definedName name="IQRGS6HD25" hidden="1">#REF!</definedName>
    <definedName name="IQRGS6HD864" hidden="1">#REF!</definedName>
    <definedName name="IQRGS6HD865" hidden="1">#REF!</definedName>
    <definedName name="IQRGS6HS1365" hidden="1">#REF!</definedName>
    <definedName name="IQRGS6HS1366" hidden="1">#REF!</definedName>
    <definedName name="IQRGS6HS23" hidden="1">#REF!</definedName>
    <definedName name="IQRGS6HS24" hidden="1">#REF!</definedName>
    <definedName name="IQRGS6HS25" hidden="1">#REF!</definedName>
    <definedName name="IQRGS6HS864" hidden="1">#REF!</definedName>
    <definedName name="IQRGS6HS865" hidden="1">#REF!</definedName>
    <definedName name="IQRGS6MktCapAC22" hidden="1">#REF!</definedName>
    <definedName name="IQRGS6MktCapAD15" hidden="1">#REF!</definedName>
    <definedName name="IQRGS6MktCapAE15" hidden="1">#REF!</definedName>
    <definedName name="IQRGS6MktCapAF15" hidden="1">#REF!</definedName>
    <definedName name="IQRGS6MktCapAG15" hidden="1">#REF!</definedName>
    <definedName name="IQRGS6MktCapAH15" hidden="1">#REF!</definedName>
    <definedName name="IQRGS6MktCapAK15" hidden="1">#REF!</definedName>
    <definedName name="IQRGS6MktCapAL15" hidden="1">#REF!</definedName>
    <definedName name="IQRGS6MktCapAL22" hidden="1">#REF!</definedName>
    <definedName name="IQRGS6MktCapAM15" hidden="1">#REF!</definedName>
    <definedName name="IQRGS6MktCapAN15" hidden="1">#REF!</definedName>
    <definedName name="IQRGS6MktCapAO15" hidden="1">#REF!</definedName>
    <definedName name="IQRGS6MktCapAP15" hidden="1">#REF!</definedName>
    <definedName name="IQRGS6MktCapAR15" hidden="1">#REF!</definedName>
    <definedName name="IQRGS6MktCapAS15" hidden="1">#REF!</definedName>
    <definedName name="IQRGS6MktCapAT15" hidden="1">#REF!</definedName>
    <definedName name="IQRGS6MktCapAU15" hidden="1">#REF!</definedName>
    <definedName name="IQRGS6MktCapAU22" hidden="1">#REF!</definedName>
    <definedName name="IQRGS6MktCapAV15" hidden="1">#REF!</definedName>
    <definedName name="IQRGS6MktCapAW15" hidden="1">#REF!</definedName>
    <definedName name="IQRGS6MktCapAX15" hidden="1">#REF!</definedName>
    <definedName name="IQRGS6MktCapAY15" hidden="1">#REF!</definedName>
    <definedName name="IQRGS6MktCapAZ15" hidden="1">#REF!</definedName>
    <definedName name="IQRGS6MktCapB15" hidden="1">#REF!</definedName>
    <definedName name="IQRGS6MktCapB22" hidden="1">#REF!</definedName>
    <definedName name="IQRGS6MktCapBA15" hidden="1">#REF!</definedName>
    <definedName name="IQRGS6MktCapBB15" hidden="1">#REF!</definedName>
    <definedName name="IQRGS6MktCapBC15" hidden="1">#REF!</definedName>
    <definedName name="IQRGS6MktCapBD15" hidden="1">#REF!</definedName>
    <definedName name="IQRGS6MktCapBD22" hidden="1">#REF!</definedName>
    <definedName name="IQRGS6MktCapBE15" hidden="1">#REF!</definedName>
    <definedName name="IQRGS6MktCapBF15" hidden="1">#REF!</definedName>
    <definedName name="IQRGS6MktCapBG15" hidden="1">#REF!</definedName>
    <definedName name="IQRGS6MktCapBH15" hidden="1">#REF!</definedName>
    <definedName name="IQRGS6MktCapBI15" hidden="1">#REF!</definedName>
    <definedName name="IQRGS6MktCapBJ15" hidden="1">#REF!</definedName>
    <definedName name="IQRGS6MktCapBK15" hidden="1">#REF!</definedName>
    <definedName name="IQRGS6MktCapBL15" hidden="1">#REF!</definedName>
    <definedName name="IQRGS6MktCapBM15" hidden="1">#REF!</definedName>
    <definedName name="IQRGS6MktCapBM22" hidden="1">#REF!</definedName>
    <definedName name="IQRGS6MktCapBN15" hidden="1">#REF!</definedName>
    <definedName name="IQRGS6MktCapBO15" hidden="1">#REF!</definedName>
    <definedName name="IQRGS6MktCapBP15" hidden="1">#REF!</definedName>
    <definedName name="IQRGS6MktCapBQ15" hidden="1">#REF!</definedName>
    <definedName name="IQRGS6MktCapBR15" hidden="1">#REF!</definedName>
    <definedName name="IQRGS6MktCapBS15" hidden="1">#REF!</definedName>
    <definedName name="IQRGS6MktCapBT15" hidden="1">#REF!</definedName>
    <definedName name="IQRGS6MktCapBU15" hidden="1">#REF!</definedName>
    <definedName name="IQRGS6MktCapBV15" hidden="1">#REF!</definedName>
    <definedName name="IQRGS6MktCapBV22" hidden="1">#REF!</definedName>
    <definedName name="IQRGS6MktCapBW15" hidden="1">#REF!</definedName>
    <definedName name="IQRGS6MktCapBX15" hidden="1">#REF!</definedName>
    <definedName name="IQRGS6MktCapBY15" hidden="1">#REF!</definedName>
    <definedName name="IQRGS6MktCapBZ15" hidden="1">#REF!</definedName>
    <definedName name="IQRGS6MktCapCA15" hidden="1">#REF!</definedName>
    <definedName name="IQRGS6MktCapCB15" hidden="1">#REF!</definedName>
    <definedName name="IQRGS6MktCapCC15" hidden="1">#REF!</definedName>
    <definedName name="IQRGS6MktCapCD15" hidden="1">#REF!</definedName>
    <definedName name="IQRGS6MktCapCE15" hidden="1">#REF!</definedName>
    <definedName name="IQRGS6MktCapCE22" hidden="1">#REF!</definedName>
    <definedName name="IQRGS6MktCapCF15" hidden="1">#REF!</definedName>
    <definedName name="IQRGS6MktCapCG15" hidden="1">#REF!</definedName>
    <definedName name="IQRGS6MktCapCH15" hidden="1">#REF!</definedName>
    <definedName name="IQRGS6MktCapCI15" hidden="1">#REF!</definedName>
    <definedName name="IQRGS6MktCapCJ15" hidden="1">#REF!</definedName>
    <definedName name="IQRGS6MktCapCK15" hidden="1">#REF!</definedName>
    <definedName name="IQRGS6MktCapCL15" hidden="1">#REF!</definedName>
    <definedName name="IQRGS6MktCapCM15" hidden="1">#REF!</definedName>
    <definedName name="IQRGS6MktCapCN15" hidden="1">#REF!</definedName>
    <definedName name="IQRGS6MktCapCN22" hidden="1">#REF!</definedName>
    <definedName name="IQRGS6MktCapCO15" hidden="1">#REF!</definedName>
    <definedName name="IQRGS6MktCapCP15" hidden="1">#REF!</definedName>
    <definedName name="IQRGS6MktCapCQ15" hidden="1">#REF!</definedName>
    <definedName name="IQRGS6MktCapCR15" hidden="1">#REF!</definedName>
    <definedName name="IQRGS6MktCapCS15" hidden="1">#REF!</definedName>
    <definedName name="IQRGS6MktCapCT15" hidden="1">#REF!</definedName>
    <definedName name="IQRGS6MktCapCU15" hidden="1">#REF!</definedName>
    <definedName name="IQRGS6MktCapCV15" hidden="1">#REF!</definedName>
    <definedName name="IQRGS6MktCapCW15" hidden="1">#REF!</definedName>
    <definedName name="IQRGS6MktCapCW22" hidden="1">#REF!</definedName>
    <definedName name="IQRGS6MktCapCX15" hidden="1">#REF!</definedName>
    <definedName name="IQRGS6MktCapCY15" hidden="1">#REF!</definedName>
    <definedName name="IQRGS6MktCapCZ15" hidden="1">#REF!</definedName>
    <definedName name="IQRGS6MktCapDA15" hidden="1">#REF!</definedName>
    <definedName name="IQRGS6MktCapDB15" hidden="1">#REF!</definedName>
    <definedName name="IQRGS6MktCapDC15" hidden="1">#REF!</definedName>
    <definedName name="IQRGS6MktCapDD15" hidden="1">#REF!</definedName>
    <definedName name="IQRGS6MktCapDE15" hidden="1">#REF!</definedName>
    <definedName name="IQRGS6MktCapDF15" hidden="1">#REF!</definedName>
    <definedName name="IQRGS6MktCapDF22" hidden="1">#REF!</definedName>
    <definedName name="IQRGS6MktCapDG15" hidden="1">#REF!</definedName>
    <definedName name="IQRGS6MktCapDH15" hidden="1">#REF!</definedName>
    <definedName name="IQRGS6MktCapDI15" hidden="1">#REF!</definedName>
    <definedName name="IQRGS6MktCapDJ15" hidden="1">#REF!</definedName>
    <definedName name="IQRGS6MktCapDK15" hidden="1">#REF!</definedName>
    <definedName name="IQRGS6MktCapDL15" hidden="1">#REF!</definedName>
    <definedName name="IQRGS6MktCapDM15" hidden="1">#REF!</definedName>
    <definedName name="IQRGS6MktCapDN15" hidden="1">#REF!</definedName>
    <definedName name="IQRGS6MktCapDO15" hidden="1">#REF!</definedName>
    <definedName name="IQRGS6MktCapDO22" hidden="1">#REF!</definedName>
    <definedName name="IQRGS6MktCapDP15" hidden="1">#REF!</definedName>
    <definedName name="IQRGS6MktCapDQ15" hidden="1">#REF!</definedName>
    <definedName name="IQRGS6MktCapDR15" hidden="1">#REF!</definedName>
    <definedName name="IQRGS6MktCapDS15" hidden="1">#REF!</definedName>
    <definedName name="IQRGS6MktCapDT15" hidden="1">#REF!</definedName>
    <definedName name="IQRGS6MktCapDU15" hidden="1">#REF!</definedName>
    <definedName name="IQRGS6MktCapDV15" hidden="1">#REF!</definedName>
    <definedName name="IQRGS6MktCapDW15" hidden="1">#REF!</definedName>
    <definedName name="IQRGS6MktCapDX15" hidden="1">#REF!</definedName>
    <definedName name="IQRGS6MktCapDX22" hidden="1">#REF!</definedName>
    <definedName name="IQRGS6MktCapDY15" hidden="1">#REF!</definedName>
    <definedName name="IQRGS6MktCapDZ15" hidden="1">#REF!</definedName>
    <definedName name="IQRGS6MktCapEA15" hidden="1">#REF!</definedName>
    <definedName name="IQRGS6MktCapEB15" hidden="1">#REF!</definedName>
    <definedName name="IQRGS6MktCapEC15" hidden="1">#REF!</definedName>
    <definedName name="IQRGS6MktCapED15" hidden="1">#REF!</definedName>
    <definedName name="IQRGS6MktCapEE15" hidden="1">#REF!</definedName>
    <definedName name="IQRGS6MktCapEF15" hidden="1">#REF!</definedName>
    <definedName name="IQRGS6MktCapEG15" hidden="1">#REF!</definedName>
    <definedName name="IQRGS6MktCapEG22" hidden="1">#REF!</definedName>
    <definedName name="IQRGS6MktCapEH15" hidden="1">#REF!</definedName>
    <definedName name="IQRGS6MktCapEI15" hidden="1">#REF!</definedName>
    <definedName name="IQRGS6MktCapEJ15" hidden="1">#REF!</definedName>
    <definedName name="IQRGS6MktCapEK15" hidden="1">#REF!</definedName>
    <definedName name="IQRGS6MktCapEL15" hidden="1">#REF!</definedName>
    <definedName name="IQRGS6MktCapEM15" hidden="1">#REF!</definedName>
    <definedName name="IQRGS6MktCapEN15" hidden="1">#REF!</definedName>
    <definedName name="IQRGS6MktCapEO15" hidden="1">#REF!</definedName>
    <definedName name="IQRGS6MktCapEP15" hidden="1">#REF!</definedName>
    <definedName name="IQRGS6MktCapEP22" hidden="1">#REF!</definedName>
    <definedName name="IQRGS6MktCapEQ15" hidden="1">#REF!</definedName>
    <definedName name="IQRGS6MktCapER15" hidden="1">#REF!</definedName>
    <definedName name="IQRGS6MktCapES15" hidden="1">#REF!</definedName>
    <definedName name="IQRGS6MktCapET15" hidden="1">#REF!</definedName>
    <definedName name="IQRGS6MktCapEU15" hidden="1">#REF!</definedName>
    <definedName name="IQRGS6MktCapEV15" hidden="1">#REF!</definedName>
    <definedName name="IQRGS6MktCapEW15" hidden="1">#REF!</definedName>
    <definedName name="IQRGS6MktCapEX15" hidden="1">#REF!</definedName>
    <definedName name="IQRGS6MktCapEY22" hidden="1">#REF!</definedName>
    <definedName name="IQRGS6MktCapFH22" hidden="1">#REF!</definedName>
    <definedName name="IQRGS6MktCapFQ22" hidden="1">#REF!</definedName>
    <definedName name="IQRGS6MktCapI15" hidden="1">#REF!</definedName>
    <definedName name="IQRGS6MktCapJ15" hidden="1">#REF!</definedName>
    <definedName name="IQRGS6MktCapK22" hidden="1">#REF!</definedName>
    <definedName name="IQRGS6MktCapP15" hidden="1">#REF!</definedName>
    <definedName name="IQRGS6MktCapQ15" hidden="1">#REF!</definedName>
    <definedName name="IQRGS6MktCapR15" hidden="1">#REF!</definedName>
    <definedName name="IQRGS6MktCapT22" hidden="1">#REF!</definedName>
    <definedName name="IQRGS6MktCapW15" hidden="1">#REF!</definedName>
    <definedName name="IQRGS6MktCapX15" hidden="1">#REF!</definedName>
    <definedName name="IQRGS6MktCapY15" hidden="1">#REF!</definedName>
    <definedName name="IQRGS6MktCapZ15" hidden="1">#REF!</definedName>
    <definedName name="IQRGS6Q1365" hidden="1">#REF!</definedName>
    <definedName name="IQRGS6Q1366" hidden="1">#REF!</definedName>
    <definedName name="IQRGS6Q1709" hidden="1">#REF!</definedName>
    <definedName name="IQRGS6Q1710" hidden="1">#REF!</definedName>
    <definedName name="IQRGS6Q2210" hidden="1">#REF!</definedName>
    <definedName name="IQRGS6Q23" hidden="1">#REF!</definedName>
    <definedName name="IQRGS6Q24" hidden="1">#REF!</definedName>
    <definedName name="IQRGS6Q25" hidden="1">#REF!</definedName>
    <definedName name="IQRGS6Q2710" hidden="1">#REF!</definedName>
    <definedName name="IQRGS6Q2711" hidden="1">#REF!</definedName>
    <definedName name="IQRGS6Q2712" hidden="1">#REF!</definedName>
    <definedName name="IQRGS6Q864" hidden="1">#REF!</definedName>
    <definedName name="IQRGS6Q865" hidden="1">#REF!</definedName>
    <definedName name="IQRGS6R1366" hidden="1">#REF!</definedName>
    <definedName name="IQRGS6R2712" hidden="1">#REF!</definedName>
    <definedName name="IQRH10" hidden="1">"$H$11:$H$24"</definedName>
    <definedName name="IQRH11" hidden="1">"$H$12:$H$21"</definedName>
    <definedName name="IQRHD23" hidden="1">"$HD$24"</definedName>
    <definedName name="IQRHD864" hidden="1">"$HD$865"</definedName>
    <definedName name="IQRHS23" hidden="1">"$HS$24"</definedName>
    <definedName name="IQRHS864" hidden="1">"$HS$865"</definedName>
    <definedName name="IQRM10" hidden="1">"$M$11:$M$24"</definedName>
    <definedName name="IQRM11" hidden="1">"$M$12:$M$25"</definedName>
    <definedName name="IQRMktCapAH14" hidden="1">#REF!</definedName>
    <definedName name="IQRMktCapAH15" hidden="1">#REF!</definedName>
    <definedName name="IQRMktCapAH16" hidden="1">#REF!</definedName>
    <definedName name="IQRMktCapAP14" hidden="1">#REF!</definedName>
    <definedName name="IQRMktCapAP15" hidden="1">#REF!</definedName>
    <definedName name="IQRMktCapAP16" hidden="1">#REF!</definedName>
    <definedName name="IQRMktCapAX14" hidden="1">#REF!</definedName>
    <definedName name="IQRMktCapAX15" hidden="1">#REF!</definedName>
    <definedName name="IQRMktCapAX16" hidden="1">#REF!</definedName>
    <definedName name="IQRMktCapB14" hidden="1">#REF!</definedName>
    <definedName name="IQRMktCapB15" hidden="1">#REF!</definedName>
    <definedName name="IQRMktCapB16" hidden="1">#REF!</definedName>
    <definedName name="IQRMktCapBF14" hidden="1">#REF!</definedName>
    <definedName name="IQRMktCapBF15" hidden="1">#REF!</definedName>
    <definedName name="IQRMktCapBF16" hidden="1">#REF!</definedName>
    <definedName name="IQRMktCapBN14" hidden="1">#REF!</definedName>
    <definedName name="IQRMktCapBN15" hidden="1">#REF!</definedName>
    <definedName name="IQRMktCapBN16" hidden="1">#REF!</definedName>
    <definedName name="IQRMktCapBV14" hidden="1">#REF!</definedName>
    <definedName name="IQRMktCapBV15" hidden="1">#REF!</definedName>
    <definedName name="IQRMktCapBV16" hidden="1">#REF!</definedName>
    <definedName name="IQRMktCapCD14" hidden="1">#REF!</definedName>
    <definedName name="IQRMktCapCD15" hidden="1">#REF!</definedName>
    <definedName name="IQRMktCapCD16" hidden="1">#REF!</definedName>
    <definedName name="IQRMktCapCL14" hidden="1">#REF!</definedName>
    <definedName name="IQRMktCapCL15" hidden="1">#REF!</definedName>
    <definedName name="IQRMktCapCL16" hidden="1">#REF!</definedName>
    <definedName name="IQRMktCapCT14" hidden="1">#REF!</definedName>
    <definedName name="IQRMktCapCT15" hidden="1">#REF!</definedName>
    <definedName name="IQRMktCapCT16" hidden="1">#REF!</definedName>
    <definedName name="IQRMktCapDB14" hidden="1">#REF!</definedName>
    <definedName name="IQRMktCapDB15" hidden="1">#REF!</definedName>
    <definedName name="IQRMktCapDB16" hidden="1">#REF!</definedName>
    <definedName name="IQRMktCapDJ14" hidden="1">#REF!</definedName>
    <definedName name="IQRMktCapDJ15" hidden="1">#REF!</definedName>
    <definedName name="IQRMktCapDJ16" hidden="1">#REF!</definedName>
    <definedName name="IQRMktCapDR14" hidden="1">#REF!</definedName>
    <definedName name="IQRMktCapDR15" hidden="1">#REF!</definedName>
    <definedName name="IQRMktCapDR16" hidden="1">#REF!</definedName>
    <definedName name="IQRMktCapDZ14" hidden="1">#REF!</definedName>
    <definedName name="IQRMktCapDZ15" hidden="1">#REF!</definedName>
    <definedName name="IQRMktCapDZ16" hidden="1">#REF!</definedName>
    <definedName name="IQRMktCapEH14" hidden="1">#REF!</definedName>
    <definedName name="IQRMktCapEH15" hidden="1">#REF!</definedName>
    <definedName name="IQRMktCapEH16" hidden="1">#REF!</definedName>
    <definedName name="IQRMktCapEP14" hidden="1">#REF!</definedName>
    <definedName name="IQRMktCapEP15" hidden="1">#REF!</definedName>
    <definedName name="IQRMktCapEP16" hidden="1">#REF!</definedName>
    <definedName name="IQRMktCapEX14" hidden="1">#REF!</definedName>
    <definedName name="IQRMktCapEX15" hidden="1">#REF!</definedName>
    <definedName name="IQRMktCapEX16" hidden="1">#REF!</definedName>
    <definedName name="IQRMktCapJ14" hidden="1">#REF!</definedName>
    <definedName name="IQRMktCapJ15" hidden="1">#REF!</definedName>
    <definedName name="IQRMktCapJ16" hidden="1">#REF!</definedName>
    <definedName name="IQRMktCapR14" hidden="1">#REF!</definedName>
    <definedName name="IQRMktCapR15" hidden="1">#REF!</definedName>
    <definedName name="IQRMktCapR16" hidden="1">#REF!</definedName>
    <definedName name="IQRMktCapZ14" hidden="1">#REF!</definedName>
    <definedName name="IQRMktCapZ15" hidden="1">#REF!</definedName>
    <definedName name="IQRMktCapZ16" hidden="1">#REF!</definedName>
    <definedName name="IQRN11" hidden="1">"$N$12:$N$16"</definedName>
    <definedName name="IQRO10" hidden="1">"$O$11:$O$24"</definedName>
    <definedName name="IQRO11" hidden="1">"$O$12"</definedName>
    <definedName name="IQRP11" hidden="1">"$P$12"</definedName>
    <definedName name="IQRPrefShareAA6" hidden="1">#REF!</definedName>
    <definedName name="IQRPrefShareAC6" hidden="1">#REF!</definedName>
    <definedName name="IQRPrefShareAE6" hidden="1">#REF!</definedName>
    <definedName name="IQRPrefShareAG6" hidden="1">#REF!</definedName>
    <definedName name="IQRPrefShareAI6" hidden="1">#REF!</definedName>
    <definedName name="IQRPrefShareAK6" hidden="1">#REF!</definedName>
    <definedName name="IQRPrefShareAM6" hidden="1">#REF!</definedName>
    <definedName name="IQRPrefShareAO6" hidden="1">#REF!</definedName>
    <definedName name="IQRPrefShareAQ6" hidden="1">#REF!</definedName>
    <definedName name="IQRPrefShareAS6" hidden="1">#REF!</definedName>
    <definedName name="IQRPrefShareAU6" hidden="1">#REF!</definedName>
    <definedName name="IQRPrefShareAW6" hidden="1">#REF!</definedName>
    <definedName name="IQRPrefShareAY6" hidden="1">#REF!</definedName>
    <definedName name="IQRPrefShareB6" hidden="1">#REF!</definedName>
    <definedName name="IQRPrefShareBA6" hidden="1">#REF!</definedName>
    <definedName name="IQRPrefShareBC6" hidden="1">#REF!</definedName>
    <definedName name="IQRPrefShareQ5" hidden="1">#REF!</definedName>
    <definedName name="IQRPrefShareQ6" hidden="1">#REF!</definedName>
    <definedName name="IQRPrefShareS6" hidden="1">#REF!</definedName>
    <definedName name="IQRPrefShareU6" hidden="1">#REF!</definedName>
    <definedName name="IQRPrefShareW6" hidden="1">#REF!</definedName>
    <definedName name="IQRPrefShareY6" hidden="1">#REF!</definedName>
    <definedName name="IQRQ10" hidden="1">"$Q$11:$Q$15"</definedName>
    <definedName name="IQRQ11" hidden="1">"$Q$12"</definedName>
    <definedName name="IQRQ1709" hidden="1">"$Q$1710"</definedName>
    <definedName name="IQRQ23" hidden="1">"$Q$24"</definedName>
    <definedName name="IQRQ864" hidden="1">"$Q$865"</definedName>
    <definedName name="IQRR11" hidden="1">"$R$12"</definedName>
    <definedName name="IQRS10" hidden="1">"$S$11"</definedName>
    <definedName name="IQRS11" hidden="1">"$S$12"</definedName>
    <definedName name="IQRSheet1A6" hidden="1">#REF!</definedName>
    <definedName name="IQRSheet1A7" hidden="1">#REF!</definedName>
    <definedName name="IQRSheet1A8" hidden="1">#REF!</definedName>
    <definedName name="IQRSheet1A9" hidden="1">#REF!</definedName>
    <definedName name="IQRSheet1AG8" hidden="1">#REF!</definedName>
    <definedName name="IQRSheet1AO8" hidden="1">#REF!</definedName>
    <definedName name="IQRSheet1AW8" hidden="1">#REF!</definedName>
    <definedName name="IQRSheet1B6" hidden="1">#REF!</definedName>
    <definedName name="IQRSheet1B7" hidden="1">#REF!</definedName>
    <definedName name="IQRSheet1B8" hidden="1">#REF!</definedName>
    <definedName name="IQRSheet1BE8" hidden="1">#REF!</definedName>
    <definedName name="IQRSheet1BM8" hidden="1">#REF!</definedName>
    <definedName name="IQRSheet1BU8" hidden="1">#REF!</definedName>
    <definedName name="IQRSheet1CB8" hidden="1">#REF!</definedName>
    <definedName name="IQRSheet1CC8" hidden="1">#REF!</definedName>
    <definedName name="IQRSheet1CJ8" hidden="1">#REF!</definedName>
    <definedName name="IQRSheet1CK8" hidden="1">#REF!</definedName>
    <definedName name="IQRSheet1CR8" hidden="1">#REF!</definedName>
    <definedName name="IQRSheet1CS8" hidden="1">#REF!</definedName>
    <definedName name="IQRSheet1CZ8" hidden="1">#REF!</definedName>
    <definedName name="IQRSheet1DA8" hidden="1">#REF!</definedName>
    <definedName name="IQRSheet1DH8" hidden="1">#REF!</definedName>
    <definedName name="IQRSheet1DI8" hidden="1">#REF!</definedName>
    <definedName name="IQRSheet1DP8" hidden="1">#REF!</definedName>
    <definedName name="IQRSheet1DQ8" hidden="1">#REF!</definedName>
    <definedName name="IQRSheet1DX8" hidden="1">#REF!</definedName>
    <definedName name="IQRSheet1DY8" hidden="1">#REF!</definedName>
    <definedName name="IQRSheet1EF8" hidden="1">#REF!</definedName>
    <definedName name="IQRSheet1EG8" hidden="1">#REF!</definedName>
    <definedName name="IQRSheet1EN8" hidden="1">#REF!</definedName>
    <definedName name="IQRSheet1EO8" hidden="1">#REF!</definedName>
    <definedName name="IQRSheet1EV8" hidden="1">#REF!</definedName>
    <definedName name="IQRSheet1EW8" hidden="1">#REF!</definedName>
    <definedName name="IQRSheet1I8" hidden="1">#REF!</definedName>
    <definedName name="IQRSheet1Q8" hidden="1">#REF!</definedName>
    <definedName name="IQRSheet1Y8" hidden="1">#REF!</definedName>
    <definedName name="IQRT11" hidden="1">"$T$12"</definedName>
    <definedName name="IQRTradingVolA6" hidden="1">#REF!</definedName>
    <definedName name="IQRTradingVolA7" hidden="1">#REF!</definedName>
    <definedName name="IQRTradingVolA8" hidden="1">#REF!</definedName>
    <definedName name="IQRTradingVolAA10" hidden="1">#REF!</definedName>
    <definedName name="IQRTradingVolAA6" hidden="1">#REF!</definedName>
    <definedName name="IQRTradingVolAA7" hidden="1">#REF!</definedName>
    <definedName name="IQRTradingVolAA8" hidden="1">#REF!</definedName>
    <definedName name="IQRTradingVolAA9" hidden="1">#REF!</definedName>
    <definedName name="IQRTradingVolAB11" hidden="1">#REF!</definedName>
    <definedName name="IQRTradingVolAB6" hidden="1">#REF!</definedName>
    <definedName name="IQRTradingVolAB7" hidden="1">#REF!</definedName>
    <definedName name="IQRTradingVolAB8" hidden="1">#REF!</definedName>
    <definedName name="IQRTradingVolAB9" hidden="1">#REF!</definedName>
    <definedName name="IQRTradingVolAC10" hidden="1">#REF!</definedName>
    <definedName name="IQRTradingVolAC6" hidden="1">#REF!</definedName>
    <definedName name="IQRTradingVolAC7" hidden="1">#REF!</definedName>
    <definedName name="IQRTradingVolAC8" hidden="1">#REF!</definedName>
    <definedName name="IQRTradingVolAC9" hidden="1">#REF!</definedName>
    <definedName name="IQRTradingVolAD11" hidden="1">#REF!</definedName>
    <definedName name="IQRTradingVolAD6" hidden="1">#REF!</definedName>
    <definedName name="IQRTradingVolAD7" hidden="1">#REF!</definedName>
    <definedName name="IQRTradingVolAD8" hidden="1">#REF!</definedName>
    <definedName name="IQRTradingVolAD9" hidden="1">#REF!</definedName>
    <definedName name="IQRTradingVolAE10" hidden="1">#REF!</definedName>
    <definedName name="IQRTradingVolAE6" hidden="1">#REF!</definedName>
    <definedName name="IQRTradingVolAE7" hidden="1">#REF!</definedName>
    <definedName name="IQRTradingVolAE8" hidden="1">#REF!</definedName>
    <definedName name="IQRTradingVolAE9" hidden="1">#REF!</definedName>
    <definedName name="IQRTradingVolAF11" hidden="1">#REF!</definedName>
    <definedName name="IQRTradingVolAF6" hidden="1">#REF!</definedName>
    <definedName name="IQRTradingVolAF7" hidden="1">#REF!</definedName>
    <definedName name="IQRTradingVolAF8" hidden="1">#REF!</definedName>
    <definedName name="IQRTradingVolAF9" hidden="1">#REF!</definedName>
    <definedName name="IQRTradingVolAG10" hidden="1">#REF!</definedName>
    <definedName name="IQRTradingVolAG6" hidden="1">#REF!</definedName>
    <definedName name="IQRTradingVolAG7" hidden="1">#REF!</definedName>
    <definedName name="IQRTradingVolAG8" hidden="1">#REF!</definedName>
    <definedName name="IQRTradingVolAG9" hidden="1">#REF!</definedName>
    <definedName name="IQRTradingVolAH11" hidden="1">#REF!</definedName>
    <definedName name="IQRTradingVolAH6" hidden="1">#REF!</definedName>
    <definedName name="IQRTradingVolAH7" hidden="1">#REF!</definedName>
    <definedName name="IQRTradingVolAH8" hidden="1">#REF!</definedName>
    <definedName name="IQRTradingVolAH9" hidden="1">#REF!</definedName>
    <definedName name="IQRTradingVolAI10" hidden="1">#REF!</definedName>
    <definedName name="IQRTradingVolAI6" hidden="1">#REF!</definedName>
    <definedName name="IQRTradingVolAI7" hidden="1">#REF!</definedName>
    <definedName name="IQRTradingVolAI8" hidden="1">#REF!</definedName>
    <definedName name="IQRTradingVolAI9" hidden="1">#REF!</definedName>
    <definedName name="IQRTradingVolAJ11" hidden="1">#REF!</definedName>
    <definedName name="IQRTradingVolAJ6" hidden="1">#REF!</definedName>
    <definedName name="IQRTradingVolAJ7" hidden="1">#REF!</definedName>
    <definedName name="IQRTradingVolAJ8" hidden="1">#REF!</definedName>
    <definedName name="IQRTradingVolAJ9" hidden="1">#REF!</definedName>
    <definedName name="IQRTradingVolAK10" hidden="1">#REF!</definedName>
    <definedName name="IQRTradingVolAK6" hidden="1">#REF!</definedName>
    <definedName name="IQRTradingVolAK7" hidden="1">#REF!</definedName>
    <definedName name="IQRTradingVolAK8" hidden="1">#REF!</definedName>
    <definedName name="IQRTradingVolAK9" hidden="1">#REF!</definedName>
    <definedName name="IQRTradingVolAL11" hidden="1">#REF!</definedName>
    <definedName name="IQRTradingVolAL6" hidden="1">#REF!</definedName>
    <definedName name="IQRTradingVolAL7" hidden="1">#REF!</definedName>
    <definedName name="IQRTradingVolAL8" hidden="1">#REF!</definedName>
    <definedName name="IQRTradingVolAL9" hidden="1">#REF!</definedName>
    <definedName name="IQRTradingVolAM10" hidden="1">#REF!</definedName>
    <definedName name="IQRTradingVolAM6" hidden="1">#REF!</definedName>
    <definedName name="IQRTradingVolAM7" hidden="1">#REF!</definedName>
    <definedName name="IQRTradingVolAM8" hidden="1">#REF!</definedName>
    <definedName name="IQRTradingVolAM9" hidden="1">#REF!</definedName>
    <definedName name="IQRTradingVolAN11" hidden="1">#REF!</definedName>
    <definedName name="IQRTradingVolAN6" hidden="1">#REF!</definedName>
    <definedName name="IQRTradingVolAN7" hidden="1">#REF!</definedName>
    <definedName name="IQRTradingVolAN8" hidden="1">#REF!</definedName>
    <definedName name="IQRTradingVolAN9" hidden="1">#REF!</definedName>
    <definedName name="IQRTradingVolAO10" hidden="1">#REF!</definedName>
    <definedName name="IQRTradingVolAO8" hidden="1">#REF!</definedName>
    <definedName name="IQRTradingVolAO9" hidden="1">#REF!</definedName>
    <definedName name="IQRTradingVolAR8" hidden="1">#REF!</definedName>
    <definedName name="IQRTradingVolAR9" hidden="1">#REF!</definedName>
    <definedName name="IQRTradingVolAU8" hidden="1">#REF!</definedName>
    <definedName name="IQRTradingVolAU9" hidden="1">#REF!</definedName>
    <definedName name="IQRTradingVolAX8" hidden="1">#REF!</definedName>
    <definedName name="IQRTradingVolAX9" hidden="1">#REF!</definedName>
    <definedName name="IQRTradingVolB10" hidden="1">#REF!</definedName>
    <definedName name="IQRTradingVolB11" hidden="1">#REF!</definedName>
    <definedName name="IQRTradingVolB6" hidden="1">#REF!</definedName>
    <definedName name="IQRTradingVolB7" hidden="1">#REF!</definedName>
    <definedName name="IQRTradingVolB8" hidden="1">#REF!</definedName>
    <definedName name="IQRTradingVolB9" hidden="1">#REF!</definedName>
    <definedName name="IQRTradingVolBA8" hidden="1">#REF!</definedName>
    <definedName name="IQRTradingVolBA9" hidden="1">#REF!</definedName>
    <definedName name="IQRTradingVolBD8" hidden="1">#REF!</definedName>
    <definedName name="IQRTradingVolBD9" hidden="1">#REF!</definedName>
    <definedName name="IQRTradingVolBG8" hidden="1">#REF!</definedName>
    <definedName name="IQRTradingVolBG9" hidden="1">#REF!</definedName>
    <definedName name="IQRTradingVolC6" hidden="1">#REF!</definedName>
    <definedName name="IQRTradingVolC7" hidden="1">#REF!</definedName>
    <definedName name="IQRTradingVolC8" hidden="1">#REF!</definedName>
    <definedName name="IQRTradingVolD11" hidden="1">#REF!</definedName>
    <definedName name="IQRTradingVolD6" hidden="1">#REF!</definedName>
    <definedName name="IQRTradingVolD7" hidden="1">#REF!</definedName>
    <definedName name="IQRTradingVolD8" hidden="1">#REF!</definedName>
    <definedName name="IQRTradingVolD9" hidden="1">#REF!</definedName>
    <definedName name="IQRTradingVolE10" hidden="1">#REF!</definedName>
    <definedName name="IQRTradingVolE6" hidden="1">#REF!</definedName>
    <definedName name="IQRTradingVolE7" hidden="1">#REF!</definedName>
    <definedName name="IQRTradingVolE8" hidden="1">#REF!</definedName>
    <definedName name="IQRTradingVolE9" hidden="1">#REF!</definedName>
    <definedName name="IQRTradingVolF11" hidden="1">#REF!</definedName>
    <definedName name="IQRTradingVolF6" hidden="1">#REF!</definedName>
    <definedName name="IQRTradingVolF7" hidden="1">#REF!</definedName>
    <definedName name="IQRTradingVolF8" hidden="1">#REF!</definedName>
    <definedName name="IQRTradingVolF9" hidden="1">#REF!</definedName>
    <definedName name="IQRTradingVolG10" hidden="1">#REF!</definedName>
    <definedName name="IQRTradingVolG6" hidden="1">#REF!</definedName>
    <definedName name="IQRTradingVolG7" hidden="1">#REF!</definedName>
    <definedName name="IQRTradingVolG8" hidden="1">#REF!</definedName>
    <definedName name="IQRTradingVolG9" hidden="1">#REF!</definedName>
    <definedName name="IQRTradingVolH11" hidden="1">#REF!</definedName>
    <definedName name="IQRTradingVolH6" hidden="1">#REF!</definedName>
    <definedName name="IQRTradingVolH7" hidden="1">#REF!</definedName>
    <definedName name="IQRTradingVolH8" hidden="1">#REF!</definedName>
    <definedName name="IQRTradingVolH9" hidden="1">#REF!</definedName>
    <definedName name="IQRTradingVolI10" hidden="1">#REF!</definedName>
    <definedName name="IQRTradingVolI6" hidden="1">#REF!</definedName>
    <definedName name="IQRTradingVolI7" hidden="1">#REF!</definedName>
    <definedName name="IQRTradingVolI8" hidden="1">#REF!</definedName>
    <definedName name="IQRTradingVolI9" hidden="1">#REF!</definedName>
    <definedName name="IQRTradingVolJ11" hidden="1">#REF!</definedName>
    <definedName name="IQRTradingVolJ6" hidden="1">#REF!</definedName>
    <definedName name="IQRTradingVolJ7" hidden="1">#REF!</definedName>
    <definedName name="IQRTradingVolJ8" hidden="1">#REF!</definedName>
    <definedName name="IQRTradingVolJ9" hidden="1">#REF!</definedName>
    <definedName name="IQRTradingVolK10" hidden="1">#REF!</definedName>
    <definedName name="IQRTradingVolK6" hidden="1">#REF!</definedName>
    <definedName name="IQRTradingVolK7" hidden="1">#REF!</definedName>
    <definedName name="IQRTradingVolK8" hidden="1">#REF!</definedName>
    <definedName name="IQRTradingVolK9" hidden="1">#REF!</definedName>
    <definedName name="IQRTradingVolL11" hidden="1">#REF!</definedName>
    <definedName name="IQRTradingVolL6" hidden="1">#REF!</definedName>
    <definedName name="IQRTradingVolL7" hidden="1">#REF!</definedName>
    <definedName name="IQRTradingVolL8" hidden="1">#REF!</definedName>
    <definedName name="IQRTradingVolL9" hidden="1">#REF!</definedName>
    <definedName name="IQRTradingVolM10" hidden="1">#REF!</definedName>
    <definedName name="IQRTradingVolM6" hidden="1">#REF!</definedName>
    <definedName name="IQRTradingVolM7" hidden="1">#REF!</definedName>
    <definedName name="IQRTradingVolM8" hidden="1">#REF!</definedName>
    <definedName name="IQRTradingVolM9" hidden="1">#REF!</definedName>
    <definedName name="IQRTradingVolN11" hidden="1">#REF!</definedName>
    <definedName name="IQRTradingVolN6" hidden="1">#REF!</definedName>
    <definedName name="IQRTradingVolN7" hidden="1">#REF!</definedName>
    <definedName name="IQRTradingVolN8" hidden="1">#REF!</definedName>
    <definedName name="IQRTradingVolN9" hidden="1">#REF!</definedName>
    <definedName name="IQRTradingVolO10" hidden="1">#REF!</definedName>
    <definedName name="IQRTradingVolO6" hidden="1">#REF!</definedName>
    <definedName name="IQRTradingVolO7" hidden="1">#REF!</definedName>
    <definedName name="IQRTradingVolO8" hidden="1">#REF!</definedName>
    <definedName name="IQRTradingVolO9" hidden="1">#REF!</definedName>
    <definedName name="IQRTradingVolP11" hidden="1">#REF!</definedName>
    <definedName name="IQRTradingVolP6" hidden="1">#REF!</definedName>
    <definedName name="IQRTradingVolP7" hidden="1">#REF!</definedName>
    <definedName name="IQRTradingVolP8" hidden="1">#REF!</definedName>
    <definedName name="IQRTradingVolP9" hidden="1">#REF!</definedName>
    <definedName name="IQRTradingVolQ10" hidden="1">#REF!</definedName>
    <definedName name="IQRTradingVolQ6" hidden="1">#REF!</definedName>
    <definedName name="IQRTradingVolQ7" hidden="1">#REF!</definedName>
    <definedName name="IQRTradingVolQ8" hidden="1">#REF!</definedName>
    <definedName name="IQRTradingVolQ9" hidden="1">#REF!</definedName>
    <definedName name="IQRTradingVolR11" hidden="1">#REF!</definedName>
    <definedName name="IQRTradingVolR6" hidden="1">#REF!</definedName>
    <definedName name="IQRTradingVolR7" hidden="1">#REF!</definedName>
    <definedName name="IQRTradingVolR8" hidden="1">#REF!</definedName>
    <definedName name="IQRTradingVolR9" hidden="1">#REF!</definedName>
    <definedName name="IQRTradingVolS10" hidden="1">#REF!</definedName>
    <definedName name="IQRTradingVolS6" hidden="1">#REF!</definedName>
    <definedName name="IQRTradingVolS7" hidden="1">#REF!</definedName>
    <definedName name="IQRTradingVolS8" hidden="1">#REF!</definedName>
    <definedName name="IQRTradingVolS9" hidden="1">#REF!</definedName>
    <definedName name="IQRTradingVolT11" hidden="1">#REF!</definedName>
    <definedName name="IQRTradingVolT6" hidden="1">#REF!</definedName>
    <definedName name="IQRTradingVolT7" hidden="1">#REF!</definedName>
    <definedName name="IQRTradingVolT8" hidden="1">#REF!</definedName>
    <definedName name="IQRTradingVolT9" hidden="1">#REF!</definedName>
    <definedName name="IQRTradingVolU10" hidden="1">#REF!</definedName>
    <definedName name="IQRTradingVolU6" hidden="1">#REF!</definedName>
    <definedName name="IQRTradingVolU7" hidden="1">#REF!</definedName>
    <definedName name="IQRTradingVolU8" hidden="1">#REF!</definedName>
    <definedName name="IQRTradingVolU9" hidden="1">#REF!</definedName>
    <definedName name="IQRTradingVolV11" hidden="1">#REF!</definedName>
    <definedName name="IQRTradingVolV6" hidden="1">#REF!</definedName>
    <definedName name="IQRTradingVolV7" hidden="1">#REF!</definedName>
    <definedName name="IQRTradingVolV8" hidden="1">#REF!</definedName>
    <definedName name="IQRTradingVolV9" hidden="1">#REF!</definedName>
    <definedName name="IQRTradingVolW10" hidden="1">#REF!</definedName>
    <definedName name="IQRTradingVolW6" hidden="1">#REF!</definedName>
    <definedName name="IQRTradingVolW7" hidden="1">#REF!</definedName>
    <definedName name="IQRTradingVolW8" hidden="1">#REF!</definedName>
    <definedName name="IQRTradingVolW9" hidden="1">#REF!</definedName>
    <definedName name="IQRTradingVolX11" hidden="1">#REF!</definedName>
    <definedName name="IQRTradingVolX6" hidden="1">#REF!</definedName>
    <definedName name="IQRTradingVolX7" hidden="1">#REF!</definedName>
    <definedName name="IQRTradingVolX8" hidden="1">#REF!</definedName>
    <definedName name="IQRTradingVolX9" hidden="1">#REF!</definedName>
    <definedName name="IQRTradingVolY10" hidden="1">#REF!</definedName>
    <definedName name="IQRTradingVolY6" hidden="1">#REF!</definedName>
    <definedName name="IQRTradingVolY7" hidden="1">#REF!</definedName>
    <definedName name="IQRTradingVolY8" hidden="1">#REF!</definedName>
    <definedName name="IQRTradingVolY9" hidden="1">#REF!</definedName>
    <definedName name="IQRTradingVolZ11" hidden="1">#REF!</definedName>
    <definedName name="IQRTradingVolZ6" hidden="1">#REF!</definedName>
    <definedName name="IQRTradingVolZ7" hidden="1">#REF!</definedName>
    <definedName name="IQRTradingVolZ8" hidden="1">#REF!</definedName>
    <definedName name="IQRTradingVolZ9" hidden="1">#REF!</definedName>
    <definedName name="IQRU10" hidden="1">"$U$11"</definedName>
    <definedName name="IQRU11" hidden="1">"$U$12"</definedName>
    <definedName name="IQRV11" hidden="1">"$V$12"</definedName>
    <definedName name="IQRW10" hidden="1">"$W$11"</definedName>
    <definedName name="IQRW11" hidden="1">"$W$12"</definedName>
    <definedName name="IQRX11" hidden="1">"$X$12"</definedName>
    <definedName name="IQRY10" hidden="1">"$Y$11"</definedName>
    <definedName name="IQRY11" hidden="1">"$Y$12"</definedName>
    <definedName name="IQRZ11" hidden="1">"$Z$12"</definedName>
    <definedName name="IsColHidden" hidden="1">FALSE</definedName>
    <definedName name="Isiml">#REF!</definedName>
    <definedName name="IsLTMColHidden" hidden="1">FALSE</definedName>
    <definedName name="J" localSheetId="14">{#N/A,#N/A,TRUE,"Data Elements-Staffing";#N/A,#N/A,TRUE,"Data Elements-Exp Driv &amp; Assump";#N/A,#N/A,TRUE,"Staffing Sheet";#N/A,#N/A,TRUE,"Income";#N/A,#N/A,TRUE,"Income Summary";#N/A,#N/A,TRUE,"Staffing Summary"}</definedName>
    <definedName name="J" localSheetId="0">{#N/A,#N/A,TRUE,"Data Elements-Staffing";#N/A,#N/A,TRUE,"Data Elements-Exp Driv &amp; Assump";#N/A,#N/A,TRUE,"Staffing Sheet";#N/A,#N/A,TRUE,"Income";#N/A,#N/A,TRUE,"Income Summary";#N/A,#N/A,TRUE,"Staffing Summary"}</definedName>
    <definedName name="J" localSheetId="7">{#N/A,#N/A,TRUE,"Data Elements-Staffing";#N/A,#N/A,TRUE,"Data Elements-Exp Driv &amp; Assump";#N/A,#N/A,TRUE,"Staffing Sheet";#N/A,#N/A,TRUE,"Income";#N/A,#N/A,TRUE,"Income Summary";#N/A,#N/A,TRUE,"Staffing Summary"}</definedName>
    <definedName name="J" localSheetId="11">{#N/A,#N/A,TRUE,"Data Elements-Staffing";#N/A,#N/A,TRUE,"Data Elements-Exp Driv &amp; Assump";#N/A,#N/A,TRUE,"Staffing Sheet";#N/A,#N/A,TRUE,"Income";#N/A,#N/A,TRUE,"Income Summary";#N/A,#N/A,TRUE,"Staffing Summary"}</definedName>
    <definedName name="J">{#N/A,#N/A,TRUE,"Data Elements-Staffing";#N/A,#N/A,TRUE,"Data Elements-Exp Driv &amp; Assump";#N/A,#N/A,TRUE,"Staffing Sheet";#N/A,#N/A,TRUE,"Income";#N/A,#N/A,TRUE,"Income Summary";#N/A,#N/A,TRUE,"Staffing Summary"}</definedName>
    <definedName name="jefferies" localSheetId="14" hidden="1">{#N/A,#N/A,TRUE,"Data Elements-Staffing";#N/A,#N/A,TRUE,"Data Elements-Exp Driv &amp; Assump";#N/A,#N/A,TRUE,"Staffing Sheet";#N/A,#N/A,TRUE,"Income";#N/A,#N/A,TRUE,"Income Summary";#N/A,#N/A,TRUE,"Staffing Summary"}</definedName>
    <definedName name="jefferies" localSheetId="0" hidden="1">{#N/A,#N/A,TRUE,"Data Elements-Staffing";#N/A,#N/A,TRUE,"Data Elements-Exp Driv &amp; Assump";#N/A,#N/A,TRUE,"Staffing Sheet";#N/A,#N/A,TRUE,"Income";#N/A,#N/A,TRUE,"Income Summary";#N/A,#N/A,TRUE,"Staffing Summary"}</definedName>
    <definedName name="jefferies" localSheetId="7" hidden="1">{#N/A,#N/A,TRUE,"Data Elements-Staffing";#N/A,#N/A,TRUE,"Data Elements-Exp Driv &amp; Assump";#N/A,#N/A,TRUE,"Staffing Sheet";#N/A,#N/A,TRUE,"Income";#N/A,#N/A,TRUE,"Income Summary";#N/A,#N/A,TRUE,"Staffing Summary"}</definedName>
    <definedName name="jefferies" localSheetId="11" hidden="1">{#N/A,#N/A,TRUE,"Data Elements-Staffing";#N/A,#N/A,TRUE,"Data Elements-Exp Driv &amp; Assump";#N/A,#N/A,TRUE,"Staffing Sheet";#N/A,#N/A,TRUE,"Income";#N/A,#N/A,TRUE,"Income Summary";#N/A,#N/A,TRUE,"Staffing Summary"}</definedName>
    <definedName name="jefferies" hidden="1">{#N/A,#N/A,TRUE,"Data Elements-Staffing";#N/A,#N/A,TRUE,"Data Elements-Exp Driv &amp; Assump";#N/A,#N/A,TRUE,"Staffing Sheet";#N/A,#N/A,TRUE,"Income";#N/A,#N/A,TRUE,"Income Summary";#N/A,#N/A,TRUE,"Staffing Summary"}</definedName>
    <definedName name="jfbksgfjfl">#REF!</definedName>
    <definedName name="jjj" localSheetId="14"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jjj" localSheetId="0"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jjj" localSheetId="7"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jjj" localSheetId="1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jjj"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jkl" hidden="1">#REF!</definedName>
    <definedName name="jkyiu" localSheetId="14" hidden="1">{#N/A,#N/A,TRUE,"Data Elements-Staffing";#N/A,#N/A,TRUE,"Data Elements-Exp Driv &amp; Assump";#N/A,#N/A,TRUE,"Staffing Sheet";#N/A,#N/A,TRUE,"Income";#N/A,#N/A,TRUE,"Income Summary";#N/A,#N/A,TRUE,"Staffing Summary"}</definedName>
    <definedName name="jkyiu" localSheetId="0" hidden="1">{#N/A,#N/A,TRUE,"Data Elements-Staffing";#N/A,#N/A,TRUE,"Data Elements-Exp Driv &amp; Assump";#N/A,#N/A,TRUE,"Staffing Sheet";#N/A,#N/A,TRUE,"Income";#N/A,#N/A,TRUE,"Income Summary";#N/A,#N/A,TRUE,"Staffing Summary"}</definedName>
    <definedName name="jkyiu" localSheetId="7" hidden="1">{#N/A,#N/A,TRUE,"Data Elements-Staffing";#N/A,#N/A,TRUE,"Data Elements-Exp Driv &amp; Assump";#N/A,#N/A,TRUE,"Staffing Sheet";#N/A,#N/A,TRUE,"Income";#N/A,#N/A,TRUE,"Income Summary";#N/A,#N/A,TRUE,"Staffing Summary"}</definedName>
    <definedName name="jkyiu" localSheetId="11" hidden="1">{#N/A,#N/A,TRUE,"Data Elements-Staffing";#N/A,#N/A,TRUE,"Data Elements-Exp Driv &amp; Assump";#N/A,#N/A,TRUE,"Staffing Sheet";#N/A,#N/A,TRUE,"Income";#N/A,#N/A,TRUE,"Income Summary";#N/A,#N/A,TRUE,"Staffing Summary"}</definedName>
    <definedName name="jkyiu" hidden="1">{#N/A,#N/A,TRUE,"Data Elements-Staffing";#N/A,#N/A,TRUE,"Data Elements-Exp Driv &amp; Assump";#N/A,#N/A,TRUE,"Staffing Sheet";#N/A,#N/A,TRUE,"Income";#N/A,#N/A,TRUE,"Income Summary";#N/A,#N/A,TRUE,"Staffing Summary"}</definedName>
    <definedName name="june15_Ajustmenst" hidden="1">#REF!</definedName>
    <definedName name="kathleen" localSheetId="14" hidden="1">{#N/A,#N/A,TRUE,"Data Elements-Staffing";#N/A,#N/A,TRUE,"Data Elements-Exp Driv &amp; Assump";#N/A,#N/A,TRUE,"Staffing Sheet";#N/A,#N/A,TRUE,"Income";#N/A,#N/A,TRUE,"Income Summary";#N/A,#N/A,TRUE,"Staffing Summary"}</definedName>
    <definedName name="kathleen" localSheetId="0" hidden="1">{#N/A,#N/A,TRUE,"Data Elements-Staffing";#N/A,#N/A,TRUE,"Data Elements-Exp Driv &amp; Assump";#N/A,#N/A,TRUE,"Staffing Sheet";#N/A,#N/A,TRUE,"Income";#N/A,#N/A,TRUE,"Income Summary";#N/A,#N/A,TRUE,"Staffing Summary"}</definedName>
    <definedName name="kathleen" localSheetId="7" hidden="1">{#N/A,#N/A,TRUE,"Data Elements-Staffing";#N/A,#N/A,TRUE,"Data Elements-Exp Driv &amp; Assump";#N/A,#N/A,TRUE,"Staffing Sheet";#N/A,#N/A,TRUE,"Income";#N/A,#N/A,TRUE,"Income Summary";#N/A,#N/A,TRUE,"Staffing Summary"}</definedName>
    <definedName name="kathleen" localSheetId="11" hidden="1">{#N/A,#N/A,TRUE,"Data Elements-Staffing";#N/A,#N/A,TRUE,"Data Elements-Exp Driv &amp; Assump";#N/A,#N/A,TRUE,"Staffing Sheet";#N/A,#N/A,TRUE,"Income";#N/A,#N/A,TRUE,"Income Summary";#N/A,#N/A,TRUE,"Staffing Summary"}</definedName>
    <definedName name="kathleen" hidden="1">{#N/A,#N/A,TRUE,"Data Elements-Staffing";#N/A,#N/A,TRUE,"Data Elements-Exp Driv &amp; Assump";#N/A,#N/A,TRUE,"Staffing Sheet";#N/A,#N/A,TRUE,"Income";#N/A,#N/A,TRUE,"Income Summary";#N/A,#N/A,TRUE,"Staffing Summary"}</definedName>
    <definedName name="kjey" hidden="1">[32]fassets!#REF!</definedName>
    <definedName name="KUULSD" localSheetId="14" hidden="1">{#N/A,#N/A,FALSE,"COMP"}</definedName>
    <definedName name="KUULSD" localSheetId="0" hidden="1">{#N/A,#N/A,FALSE,"COMP"}</definedName>
    <definedName name="KUULSD" localSheetId="7" hidden="1">{#N/A,#N/A,FALSE,"COMP"}</definedName>
    <definedName name="KUULSD" localSheetId="11" hidden="1">{#N/A,#N/A,FALSE,"COMP"}</definedName>
    <definedName name="KUULSD" hidden="1">{#N/A,#N/A,FALSE,"COMP"}</definedName>
    <definedName name="kyhh" localSheetId="14" hidden="1">{#N/A,#N/A,TRUE,"Data Elements-Staffing";#N/A,#N/A,TRUE,"Data Elements-Exp Driv &amp; Assump";#N/A,#N/A,TRUE,"Staffing Sheet";#N/A,#N/A,TRUE,"Income";#N/A,#N/A,TRUE,"Income Summary";#N/A,#N/A,TRUE,"Staffing Summary"}</definedName>
    <definedName name="kyhh" localSheetId="0" hidden="1">{#N/A,#N/A,TRUE,"Data Elements-Staffing";#N/A,#N/A,TRUE,"Data Elements-Exp Driv &amp; Assump";#N/A,#N/A,TRUE,"Staffing Sheet";#N/A,#N/A,TRUE,"Income";#N/A,#N/A,TRUE,"Income Summary";#N/A,#N/A,TRUE,"Staffing Summary"}</definedName>
    <definedName name="kyhh" localSheetId="7" hidden="1">{#N/A,#N/A,TRUE,"Data Elements-Staffing";#N/A,#N/A,TRUE,"Data Elements-Exp Driv &amp; Assump";#N/A,#N/A,TRUE,"Staffing Sheet";#N/A,#N/A,TRUE,"Income";#N/A,#N/A,TRUE,"Income Summary";#N/A,#N/A,TRUE,"Staffing Summary"}</definedName>
    <definedName name="kyhh" localSheetId="11" hidden="1">{#N/A,#N/A,TRUE,"Data Elements-Staffing";#N/A,#N/A,TRUE,"Data Elements-Exp Driv &amp; Assump";#N/A,#N/A,TRUE,"Staffing Sheet";#N/A,#N/A,TRUE,"Income";#N/A,#N/A,TRUE,"Income Summary";#N/A,#N/A,TRUE,"Staffing Summary"}</definedName>
    <definedName name="kyhh" hidden="1">{#N/A,#N/A,TRUE,"Data Elements-Staffing";#N/A,#N/A,TRUE,"Data Elements-Exp Driv &amp; Assump";#N/A,#N/A,TRUE,"Staffing Sheet";#N/A,#N/A,TRUE,"Income";#N/A,#N/A,TRUE,"Income Summary";#N/A,#N/A,TRUE,"Staffing Summary"}</definedName>
    <definedName name="L">[33]rough!#REF!</definedName>
    <definedName name="LAC" localSheetId="14">#REF!</definedName>
    <definedName name="LAC" localSheetId="7">#REF!</definedName>
    <definedName name="LAC">#REF!</definedName>
    <definedName name="lacs" localSheetId="14">#REF!</definedName>
    <definedName name="lacs" localSheetId="7">#REF!</definedName>
    <definedName name="lacs">#REF!</definedName>
    <definedName name="lakh">[34]Assump!$C$31</definedName>
    <definedName name="Last_Row">#N/A</definedName>
    <definedName name="LIABILITIES">[35]sheet1!#REF!</definedName>
    <definedName name="limcount" hidden="1">1</definedName>
    <definedName name="ListOffset" hidden="1">1</definedName>
    <definedName name="listofservices">[15]list!#REF!</definedName>
    <definedName name="ll">[33]rough!#REF!</definedName>
    <definedName name="Loan_Amount" localSheetId="14">#REF!</definedName>
    <definedName name="Loan_Amount" localSheetId="7">#REF!</definedName>
    <definedName name="Loan_Amount">#REF!</definedName>
    <definedName name="Loan_Not_Paid">#N/A</definedName>
    <definedName name="Loan_Start" localSheetId="14">#REF!</definedName>
    <definedName name="Loan_Start" localSheetId="7">#REF!</definedName>
    <definedName name="Loan_Start">#REF!</definedName>
    <definedName name="Loan_Years" localSheetId="14">#REF!</definedName>
    <definedName name="Loan_Years" localSheetId="7">#REF!</definedName>
    <definedName name="Loan_Years">#REF!</definedName>
    <definedName name="LoanCorrel">#REF!</definedName>
    <definedName name="LoanCorrel_3">#REF!</definedName>
    <definedName name="lokk" localSheetId="14" hidden="1">{#N/A,#N/A,TRUE,"Data Elements-Staffing";#N/A,#N/A,TRUE,"Data Elements-Exp Driv &amp; Assump";#N/A,#N/A,TRUE,"Staffing Sheet";#N/A,#N/A,TRUE,"Income";#N/A,#N/A,TRUE,"Income Summary";#N/A,#N/A,TRUE,"Staffing Summary"}</definedName>
    <definedName name="lokk" localSheetId="0" hidden="1">{#N/A,#N/A,TRUE,"Data Elements-Staffing";#N/A,#N/A,TRUE,"Data Elements-Exp Driv &amp; Assump";#N/A,#N/A,TRUE,"Staffing Sheet";#N/A,#N/A,TRUE,"Income";#N/A,#N/A,TRUE,"Income Summary";#N/A,#N/A,TRUE,"Staffing Summary"}</definedName>
    <definedName name="lokk" localSheetId="7" hidden="1">{#N/A,#N/A,TRUE,"Data Elements-Staffing";#N/A,#N/A,TRUE,"Data Elements-Exp Driv &amp; Assump";#N/A,#N/A,TRUE,"Staffing Sheet";#N/A,#N/A,TRUE,"Income";#N/A,#N/A,TRUE,"Income Summary";#N/A,#N/A,TRUE,"Staffing Summary"}</definedName>
    <definedName name="lokk" localSheetId="11" hidden="1">{#N/A,#N/A,TRUE,"Data Elements-Staffing";#N/A,#N/A,TRUE,"Data Elements-Exp Driv &amp; Assump";#N/A,#N/A,TRUE,"Staffing Sheet";#N/A,#N/A,TRUE,"Income";#N/A,#N/A,TRUE,"Income Summary";#N/A,#N/A,TRUE,"Staffing Summary"}</definedName>
    <definedName name="lokk" hidden="1">{#N/A,#N/A,TRUE,"Data Elements-Staffing";#N/A,#N/A,TRUE,"Data Elements-Exp Driv &amp; Assump";#N/A,#N/A,TRUE,"Staffing Sheet";#N/A,#N/A,TRUE,"Income";#N/A,#N/A,TRUE,"Income Summary";#N/A,#N/A,TRUE,"Staffing Summary"}</definedName>
    <definedName name="lopp" localSheetId="14" hidden="1">{#N/A,#N/A,TRUE,"Data Elements-Staffing";#N/A,#N/A,TRUE,"Data Elements-Exp Driv &amp; Assump";#N/A,#N/A,TRUE,"Staffing Sheet";#N/A,#N/A,TRUE,"Income";#N/A,#N/A,TRUE,"Income Summary";#N/A,#N/A,TRUE,"Staffing Summary"}</definedName>
    <definedName name="lopp" localSheetId="0" hidden="1">{#N/A,#N/A,TRUE,"Data Elements-Staffing";#N/A,#N/A,TRUE,"Data Elements-Exp Driv &amp; Assump";#N/A,#N/A,TRUE,"Staffing Sheet";#N/A,#N/A,TRUE,"Income";#N/A,#N/A,TRUE,"Income Summary";#N/A,#N/A,TRUE,"Staffing Summary"}</definedName>
    <definedName name="lopp" localSheetId="7" hidden="1">{#N/A,#N/A,TRUE,"Data Elements-Staffing";#N/A,#N/A,TRUE,"Data Elements-Exp Driv &amp; Assump";#N/A,#N/A,TRUE,"Staffing Sheet";#N/A,#N/A,TRUE,"Income";#N/A,#N/A,TRUE,"Income Summary";#N/A,#N/A,TRUE,"Staffing Summary"}</definedName>
    <definedName name="lopp" localSheetId="11" hidden="1">{#N/A,#N/A,TRUE,"Data Elements-Staffing";#N/A,#N/A,TRUE,"Data Elements-Exp Driv &amp; Assump";#N/A,#N/A,TRUE,"Staffing Sheet";#N/A,#N/A,TRUE,"Income";#N/A,#N/A,TRUE,"Income Summary";#N/A,#N/A,TRUE,"Staffing Summary"}</definedName>
    <definedName name="lopp" hidden="1">{#N/A,#N/A,TRUE,"Data Elements-Staffing";#N/A,#N/A,TRUE,"Data Elements-Exp Driv &amp; Assump";#N/A,#N/A,TRUE,"Staffing Sheet";#N/A,#N/A,TRUE,"Income";#N/A,#N/A,TRUE,"Income Summary";#N/A,#N/A,TRUE,"Staffing Summary"}</definedName>
    <definedName name="LS_BonusTable">'[23]Firm &amp; SBUG Metrics M, SM, Dir'!$E$13:$J$14</definedName>
    <definedName name="LSTotal" localSheetId="14">#REF!</definedName>
    <definedName name="LSTotal" localSheetId="0">#REF!</definedName>
    <definedName name="LSTotal" localSheetId="7">#REF!</definedName>
    <definedName name="LSTotal" localSheetId="11">#REF!</definedName>
    <definedName name="LSTotal">#REF!</definedName>
    <definedName name="m" localSheetId="14">#REF!</definedName>
    <definedName name="m" localSheetId="0">#REF!</definedName>
    <definedName name="m" localSheetId="7">#REF!</definedName>
    <definedName name="m" localSheetId="11">#REF!</definedName>
    <definedName name="m">#REF!</definedName>
    <definedName name="Macro_Installation_procedure_in_Excel_2007_and_later_versions" localSheetId="14">#REF!</definedName>
    <definedName name="Macro_Installation_procedure_in_Excel_2007_and_later_versions" localSheetId="0">#REF!</definedName>
    <definedName name="Macro_Installation_procedure_in_Excel_2007_and_later_versions" localSheetId="7">#REF!</definedName>
    <definedName name="Macro_Installation_procedure_in_Excel_2007_and_later_versions" localSheetId="11">#REF!</definedName>
    <definedName name="Macro_Installation_procedure_in_Excel_2007_and_later_versions">#REF!</definedName>
    <definedName name="Macro1" localSheetId="14">[5]!Macro1</definedName>
    <definedName name="Macro1" localSheetId="9">[5]!Macro1</definedName>
    <definedName name="Macro1" localSheetId="11">[5]!Macro1</definedName>
    <definedName name="Macro1">[5]!Macro1</definedName>
    <definedName name="Macro1_3" localSheetId="14">'12% Debt Sch'!Macro1_3</definedName>
    <definedName name="Macro1_3" localSheetId="0">Assumptions!Macro1_3</definedName>
    <definedName name="Macro1_3" localSheetId="7">'Debt Sch'!Macro1_3</definedName>
    <definedName name="Macro1_3" localSheetId="11">'Other Ratios'!Macro1_3</definedName>
    <definedName name="Macro1_3">Macro1_3</definedName>
    <definedName name="Macro13" localSheetId="14">[36]Macro2!#REF!</definedName>
    <definedName name="Macro13" localSheetId="0">[36]Macro2!#REF!</definedName>
    <definedName name="Macro13" localSheetId="7">[36]Macro2!#REF!</definedName>
    <definedName name="Macro13" localSheetId="11">[36]Macro2!#REF!</definedName>
    <definedName name="Macro13">[36]Macro2!#REF!</definedName>
    <definedName name="Macro14" localSheetId="14">[36]Macro2!#REF!</definedName>
    <definedName name="Macro14" localSheetId="7">[36]Macro2!#REF!</definedName>
    <definedName name="Macro14">[36]Macro2!#REF!</definedName>
    <definedName name="Macro2" localSheetId="14">[5]!Macro2</definedName>
    <definedName name="Macro2" localSheetId="9">[5]!Macro2</definedName>
    <definedName name="Macro2" localSheetId="11">[5]!Macro2</definedName>
    <definedName name="Macro2">[5]!Macro2</definedName>
    <definedName name="Macro3" localSheetId="14">'12% Debt Sch'!Macro3</definedName>
    <definedName name="Macro3" localSheetId="0">Assumptions!Macro3</definedName>
    <definedName name="Macro3" localSheetId="7">'Debt Sch'!Macro3</definedName>
    <definedName name="Macro3" localSheetId="11">'Other Ratios'!Macro3</definedName>
    <definedName name="Macro3">Macro3</definedName>
    <definedName name="Macro3_3" localSheetId="14">'12% Debt Sch'!Macro3_3</definedName>
    <definedName name="Macro3_3" localSheetId="0">Assumptions!Macro3_3</definedName>
    <definedName name="Macro3_3" localSheetId="7">'Debt Sch'!Macro3_3</definedName>
    <definedName name="Macro3_3" localSheetId="11">'Other Ratios'!Macro3_3</definedName>
    <definedName name="Macro3_3">Macro3_3</definedName>
    <definedName name="madhavi" localSheetId="14" hidden="1">{"plansummary",#N/A,FALSE,"PlanSummary";"sales",#N/A,FALSE,"Sales Rec";"productivity",#N/A,FALSE,"Productivity Rec";"capitalspending",#N/A,FALSE,"Capital Spending"}</definedName>
    <definedName name="madhavi" localSheetId="0" hidden="1">{"plansummary",#N/A,FALSE,"PlanSummary";"sales",#N/A,FALSE,"Sales Rec";"productivity",#N/A,FALSE,"Productivity Rec";"capitalspending",#N/A,FALSE,"Capital Spending"}</definedName>
    <definedName name="madhavi" localSheetId="7" hidden="1">{"plansummary",#N/A,FALSE,"PlanSummary";"sales",#N/A,FALSE,"Sales Rec";"productivity",#N/A,FALSE,"Productivity Rec";"capitalspending",#N/A,FALSE,"Capital Spending"}</definedName>
    <definedName name="madhavi" localSheetId="11" hidden="1">{"plansummary",#N/A,FALSE,"PlanSummary";"sales",#N/A,FALSE,"Sales Rec";"productivity",#N/A,FALSE,"Productivity Rec";"capitalspending",#N/A,FALSE,"Capital Spending"}</definedName>
    <definedName name="madhavi" hidden="1">{"plansummary",#N/A,FALSE,"PlanSummary";"sales",#N/A,FALSE,"Sales Rec";"productivity",#N/A,FALSE,"Productivity Rec";"capitalspending",#N/A,FALSE,"Capital Spending"}</definedName>
    <definedName name="March2008" localSheetId="14"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March2008" localSheetId="0"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March2008" localSheetId="7"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March2008" localSheetId="1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March2008"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mbf">#REF!</definedName>
    <definedName name="mbp">#REF!</definedName>
    <definedName name="MENUG">#REF!</definedName>
    <definedName name="MISC">#REF!</definedName>
    <definedName name="mkii" localSheetId="14" hidden="1">{#N/A,#N/A,TRUE,"Data Elements-Staffing";#N/A,#N/A,TRUE,"Data Elements-Exp Driv &amp; Assump";#N/A,#N/A,TRUE,"Staffing Sheet";#N/A,#N/A,TRUE,"Income";#N/A,#N/A,TRUE,"Income Summary";#N/A,#N/A,TRUE,"Staffing Summary"}</definedName>
    <definedName name="mkii" localSheetId="0" hidden="1">{#N/A,#N/A,TRUE,"Data Elements-Staffing";#N/A,#N/A,TRUE,"Data Elements-Exp Driv &amp; Assump";#N/A,#N/A,TRUE,"Staffing Sheet";#N/A,#N/A,TRUE,"Income";#N/A,#N/A,TRUE,"Income Summary";#N/A,#N/A,TRUE,"Staffing Summary"}</definedName>
    <definedName name="mkii" localSheetId="7" hidden="1">{#N/A,#N/A,TRUE,"Data Elements-Staffing";#N/A,#N/A,TRUE,"Data Elements-Exp Driv &amp; Assump";#N/A,#N/A,TRUE,"Staffing Sheet";#N/A,#N/A,TRUE,"Income";#N/A,#N/A,TRUE,"Income Summary";#N/A,#N/A,TRUE,"Staffing Summary"}</definedName>
    <definedName name="mkii" localSheetId="11" hidden="1">{#N/A,#N/A,TRUE,"Data Elements-Staffing";#N/A,#N/A,TRUE,"Data Elements-Exp Driv &amp; Assump";#N/A,#N/A,TRUE,"Staffing Sheet";#N/A,#N/A,TRUE,"Income";#N/A,#N/A,TRUE,"Income Summary";#N/A,#N/A,TRUE,"Staffing Summary"}</definedName>
    <definedName name="mkii" hidden="1">{#N/A,#N/A,TRUE,"Data Elements-Staffing";#N/A,#N/A,TRUE,"Data Elements-Exp Driv &amp; Assump";#N/A,#N/A,TRUE,"Staffing Sheet";#N/A,#N/A,TRUE,"Income";#N/A,#N/A,TRUE,"Income Summary";#N/A,#N/A,TRUE,"Staffing Summary"}</definedName>
    <definedName name="mn">'[37]P&amp;L'!$A$1</definedName>
    <definedName name="Month">[15]list!$A$50:$A$61</definedName>
    <definedName name="Monthly_Payment">#N/A</definedName>
    <definedName name="MONTHS">"$C$7"</definedName>
    <definedName name="mr10resi"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mr10residen" localSheetId="14" hidden="1">{#N/A,#N/A,TRUE,"Financials";#N/A,#N/A,TRUE,"Operating Statistics";#N/A,#N/A,TRUE,"Capex &amp; Depreciation";#N/A,#N/A,TRUE,"Debt"}</definedName>
    <definedName name="mr10residen" localSheetId="0" hidden="1">{#N/A,#N/A,TRUE,"Financials";#N/A,#N/A,TRUE,"Operating Statistics";#N/A,#N/A,TRUE,"Capex &amp; Depreciation";#N/A,#N/A,TRUE,"Debt"}</definedName>
    <definedName name="mr10residen" localSheetId="7" hidden="1">{#N/A,#N/A,TRUE,"Financials";#N/A,#N/A,TRUE,"Operating Statistics";#N/A,#N/A,TRUE,"Capex &amp; Depreciation";#N/A,#N/A,TRUE,"Debt"}</definedName>
    <definedName name="mr10residen" localSheetId="11" hidden="1">{#N/A,#N/A,TRUE,"Financials";#N/A,#N/A,TRUE,"Operating Statistics";#N/A,#N/A,TRUE,"Capex &amp; Depreciation";#N/A,#N/A,TRUE,"Debt"}</definedName>
    <definedName name="mr10residen" hidden="1">{#N/A,#N/A,TRUE,"Financials";#N/A,#N/A,TRUE,"Operating Statistics";#N/A,#N/A,TRUE,"Capex &amp; Depreciation";#N/A,#N/A,TRUE,"Debt"}</definedName>
    <definedName name="MS_BonusTable">'[23]Firm &amp; SBUG Metrics M, SM, Dir'!$E$17:$J$18</definedName>
    <definedName name="multiple">[6]RNT!#REF!</definedName>
    <definedName name="NA">[15]list!#REF!</definedName>
    <definedName name="navneet" localSheetId="14" hidden="1">{"'Sheet3'!$A$1:$B$30"}</definedName>
    <definedName name="navneet" localSheetId="0" hidden="1">{"'Sheet3'!$A$1:$B$30"}</definedName>
    <definedName name="navneet" localSheetId="7" hidden="1">{"'Sheet3'!$A$1:$B$30"}</definedName>
    <definedName name="navneet" localSheetId="11" hidden="1">{"'Sheet3'!$A$1:$B$30"}</definedName>
    <definedName name="navneet" hidden="1">{"'Sheet3'!$A$1:$B$30"}</definedName>
    <definedName name="NCD_Coupon">#REF!</definedName>
    <definedName name="net">#REF!</definedName>
    <definedName name="Net_Profit">#REF!</definedName>
    <definedName name="new" hidden="1">#REF!</definedName>
    <definedName name="NewHiresNet">'[8]Data Elements-Staffing'!$D$169,'[8]Data Elements-Staffing'!$B$169:$G$169,'[8]Data Elements-Staffing'!$I$169:$K$169,'[8]Data Elements-Staffing'!$N$169:$P$169,'[8]Data Elements-Staffing'!$S$169:$U$169</definedName>
    <definedName name="Nil" localSheetId="14" hidden="1">{#N/A,#N/A,FALSE,"Aging Summary";#N/A,#N/A,FALSE,"Ratio Analysis";#N/A,#N/A,FALSE,"Test 120 Day Accts";#N/A,#N/A,FALSE,"Tickmarks"}</definedName>
    <definedName name="Nil" localSheetId="0" hidden="1">{#N/A,#N/A,FALSE,"Aging Summary";#N/A,#N/A,FALSE,"Ratio Analysis";#N/A,#N/A,FALSE,"Test 120 Day Accts";#N/A,#N/A,FALSE,"Tickmarks"}</definedName>
    <definedName name="Nil" localSheetId="7" hidden="1">{#N/A,#N/A,FALSE,"Aging Summary";#N/A,#N/A,FALSE,"Ratio Analysis";#N/A,#N/A,FALSE,"Test 120 Day Accts";#N/A,#N/A,FALSE,"Tickmarks"}</definedName>
    <definedName name="Nil" localSheetId="11" hidden="1">{#N/A,#N/A,FALSE,"Aging Summary";#N/A,#N/A,FALSE,"Ratio Analysis";#N/A,#N/A,FALSE,"Test 120 Day Accts";#N/A,#N/A,FALSE,"Tickmarks"}</definedName>
    <definedName name="Nil" hidden="1">{#N/A,#N/A,FALSE,"Aging Summary";#N/A,#N/A,FALSE,"Ratio Analysis";#N/A,#N/A,FALSE,"Test 120 Day Accts";#N/A,#N/A,FALSE,"Tickmarks"}</definedName>
    <definedName name="nirameya">#REF!</definedName>
    <definedName name="nnn" localSheetId="14"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nnn" localSheetId="0"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nnn" localSheetId="7"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nnn" localSheetId="1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nnn"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No">[15]list!#REF!</definedName>
    <definedName name="No_of_months" localSheetId="14">#REF!</definedName>
    <definedName name="No_of_months" localSheetId="0">#REF!</definedName>
    <definedName name="No_of_months" localSheetId="7">#REF!</definedName>
    <definedName name="No_of_months" localSheetId="11">#REF!</definedName>
    <definedName name="No_of_months">#REF!</definedName>
    <definedName name="No_of_months_3" localSheetId="14">#REF!</definedName>
    <definedName name="No_of_months_3" localSheetId="0">#REF!</definedName>
    <definedName name="No_of_months_3" localSheetId="7">#REF!</definedName>
    <definedName name="No_of_months_3" localSheetId="11">#REF!</definedName>
    <definedName name="No_of_months_3">#REF!</definedName>
    <definedName name="north" localSheetId="14">#REF!</definedName>
    <definedName name="north" localSheetId="0">#REF!</definedName>
    <definedName name="north" localSheetId="7">#REF!</definedName>
    <definedName name="north" localSheetId="11">#REF!</definedName>
    <definedName name="north">#REF!</definedName>
    <definedName name="north_13">#REF!</definedName>
    <definedName name="notf_slno">[15]list!#REF!</definedName>
    <definedName name="notification">[15]list!#REF!</definedName>
    <definedName name="notifslno">[15]list!#REF!</definedName>
    <definedName name="notistrt">[15]list!$A$200</definedName>
    <definedName name="NPA" localSheetId="14">#REF!</definedName>
    <definedName name="NPA" localSheetId="0">#REF!</definedName>
    <definedName name="NPA" localSheetId="7">#REF!</definedName>
    <definedName name="NPA" localSheetId="11">#REF!</definedName>
    <definedName name="NPA">#REF!</definedName>
    <definedName name="num">[38]Basic!$C$1</definedName>
    <definedName name="Num_Pmt_Per_Year" localSheetId="14">#REF!</definedName>
    <definedName name="Num_Pmt_Per_Year" localSheetId="7">#REF!</definedName>
    <definedName name="Num_Pmt_Per_Year">#REF!</definedName>
    <definedName name="Number_of_Payments">#N/A</definedName>
    <definedName name="numc">[39]Assump!$E$7</definedName>
    <definedName name="nums">[12]Control!$C$4</definedName>
    <definedName name="NVS">"V2006-07-02"</definedName>
    <definedName name="NvsASD">"V2006-04-30"</definedName>
    <definedName name="NvsASD1">"V2007-12-30"</definedName>
    <definedName name="NvsAutoDrillOk">"VN"</definedName>
    <definedName name="NvsElapsedTime">0.000543981484952383</definedName>
    <definedName name="NvsElapsedTime1">0.000439814815763384</definedName>
    <definedName name="NvsEndTime">38853.4307523148</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"%,X,RZT.ACCOUNT.,CZF.."</definedName>
    <definedName name="NvsPanelEffdt">"V1900-01-01"</definedName>
    <definedName name="NvsPanelSetid">"VLTDCO"</definedName>
    <definedName name="NvsReqBU">"VINDPL"</definedName>
    <definedName name="NvsReqBUOnly">"VY"</definedName>
    <definedName name="NvsTransLed">"VN"</definedName>
    <definedName name="NvsTreeASD">"V2006-04-30"</definedName>
    <definedName name="NvsValTbl.ACCOUNT">"GL_ACCOUNT_TBL"</definedName>
    <definedName name="NvsValTbl.BUSINESS_UNIT">"BUS_UNIT_TBL_GL"</definedName>
    <definedName name="NvsValTbl.CURRENCY_CD">"CURRENCY_CD_TBL"</definedName>
    <definedName name="NvsValTbl.DEPTID">"DEPARTMENT_TBL"</definedName>
    <definedName name="oikk" localSheetId="14" hidden="1">{#N/A,#N/A,TRUE,"Data Elements-Staffing";#N/A,#N/A,TRUE,"Data Elements-Exp Driv &amp; Assump";#N/A,#N/A,TRUE,"Staffing Sheet";#N/A,#N/A,TRUE,"Income";#N/A,#N/A,TRUE,"Income Summary";#N/A,#N/A,TRUE,"Staffing Summary"}</definedName>
    <definedName name="oikk" localSheetId="0" hidden="1">{#N/A,#N/A,TRUE,"Data Elements-Staffing";#N/A,#N/A,TRUE,"Data Elements-Exp Driv &amp; Assump";#N/A,#N/A,TRUE,"Staffing Sheet";#N/A,#N/A,TRUE,"Income";#N/A,#N/A,TRUE,"Income Summary";#N/A,#N/A,TRUE,"Staffing Summary"}</definedName>
    <definedName name="oikk" localSheetId="7" hidden="1">{#N/A,#N/A,TRUE,"Data Elements-Staffing";#N/A,#N/A,TRUE,"Data Elements-Exp Driv &amp; Assump";#N/A,#N/A,TRUE,"Staffing Sheet";#N/A,#N/A,TRUE,"Income";#N/A,#N/A,TRUE,"Income Summary";#N/A,#N/A,TRUE,"Staffing Summary"}</definedName>
    <definedName name="oikk" localSheetId="11" hidden="1">{#N/A,#N/A,TRUE,"Data Elements-Staffing";#N/A,#N/A,TRUE,"Data Elements-Exp Driv &amp; Assump";#N/A,#N/A,TRUE,"Staffing Sheet";#N/A,#N/A,TRUE,"Income";#N/A,#N/A,TRUE,"Income Summary";#N/A,#N/A,TRUE,"Staffing Summary"}</definedName>
    <definedName name="oikk" hidden="1">{#N/A,#N/A,TRUE,"Data Elements-Staffing";#N/A,#N/A,TRUE,"Data Elements-Exp Driv &amp; Assump";#N/A,#N/A,TRUE,"Staffing Sheet";#N/A,#N/A,TRUE,"Income";#N/A,#N/A,TRUE,"Income Summary";#N/A,#N/A,TRUE,"Staffing Summary"}</definedName>
    <definedName name="okoo" localSheetId="14" hidden="1">{#N/A,#N/A,TRUE,"Data Elements-Staffing";#N/A,#N/A,TRUE,"Data Elements-Exp Driv &amp; Assump";#N/A,#N/A,TRUE,"Staffing Sheet";#N/A,#N/A,TRUE,"Income";#N/A,#N/A,TRUE,"Income Summary";#N/A,#N/A,TRUE,"Staffing Summary"}</definedName>
    <definedName name="okoo" localSheetId="0" hidden="1">{#N/A,#N/A,TRUE,"Data Elements-Staffing";#N/A,#N/A,TRUE,"Data Elements-Exp Driv &amp; Assump";#N/A,#N/A,TRUE,"Staffing Sheet";#N/A,#N/A,TRUE,"Income";#N/A,#N/A,TRUE,"Income Summary";#N/A,#N/A,TRUE,"Staffing Summary"}</definedName>
    <definedName name="okoo" localSheetId="7" hidden="1">{#N/A,#N/A,TRUE,"Data Elements-Staffing";#N/A,#N/A,TRUE,"Data Elements-Exp Driv &amp; Assump";#N/A,#N/A,TRUE,"Staffing Sheet";#N/A,#N/A,TRUE,"Income";#N/A,#N/A,TRUE,"Income Summary";#N/A,#N/A,TRUE,"Staffing Summary"}</definedName>
    <definedName name="okoo" localSheetId="11" hidden="1">{#N/A,#N/A,TRUE,"Data Elements-Staffing";#N/A,#N/A,TRUE,"Data Elements-Exp Driv &amp; Assump";#N/A,#N/A,TRUE,"Staffing Sheet";#N/A,#N/A,TRUE,"Income";#N/A,#N/A,TRUE,"Income Summary";#N/A,#N/A,TRUE,"Staffing Summary"}</definedName>
    <definedName name="okoo" hidden="1">{#N/A,#N/A,TRUE,"Data Elements-Staffing";#N/A,#N/A,TRUE,"Data Elements-Exp Driv &amp; Assump";#N/A,#N/A,TRUE,"Staffing Sheet";#N/A,#N/A,TRUE,"Income";#N/A,#N/A,TRUE,"Income Summary";#N/A,#N/A,TRUE,"Staffing Summary"}</definedName>
    <definedName name="one" localSheetId="14" hidden="1">{#N/A,#N/A,FALSE,"One Pager";#N/A,#N/A,FALSE,"Technical"}</definedName>
    <definedName name="one" localSheetId="0" hidden="1">{#N/A,#N/A,FALSE,"One Pager";#N/A,#N/A,FALSE,"Technical"}</definedName>
    <definedName name="one" localSheetId="7" hidden="1">{#N/A,#N/A,FALSE,"One Pager";#N/A,#N/A,FALSE,"Technical"}</definedName>
    <definedName name="one" localSheetId="11" hidden="1">{#N/A,#N/A,FALSE,"One Pager";#N/A,#N/A,FALSE,"Technical"}</definedName>
    <definedName name="one" hidden="1">{#N/A,#N/A,FALSE,"One Pager";#N/A,#N/A,FALSE,"Technical"}</definedName>
    <definedName name="oo" localSheetId="14" hidden="1">{#N/A,#N/A,TRUE,"Data Elements-Staffing";#N/A,#N/A,TRUE,"Data Elements-Exp Driv &amp; Assump";#N/A,#N/A,TRUE,"Staffing Sheet";#N/A,#N/A,TRUE,"Income";#N/A,#N/A,TRUE,"Income Summary";#N/A,#N/A,TRUE,"Staffing Summary"}</definedName>
    <definedName name="oo" localSheetId="0" hidden="1">{#N/A,#N/A,TRUE,"Data Elements-Staffing";#N/A,#N/A,TRUE,"Data Elements-Exp Driv &amp; Assump";#N/A,#N/A,TRUE,"Staffing Sheet";#N/A,#N/A,TRUE,"Income";#N/A,#N/A,TRUE,"Income Summary";#N/A,#N/A,TRUE,"Staffing Summary"}</definedName>
    <definedName name="oo" localSheetId="7" hidden="1">{#N/A,#N/A,TRUE,"Data Elements-Staffing";#N/A,#N/A,TRUE,"Data Elements-Exp Driv &amp; Assump";#N/A,#N/A,TRUE,"Staffing Sheet";#N/A,#N/A,TRUE,"Income";#N/A,#N/A,TRUE,"Income Summary";#N/A,#N/A,TRUE,"Staffing Summary"}</definedName>
    <definedName name="oo" localSheetId="11" hidden="1">{#N/A,#N/A,TRUE,"Data Elements-Staffing";#N/A,#N/A,TRUE,"Data Elements-Exp Driv &amp; Assump";#N/A,#N/A,TRUE,"Staffing Sheet";#N/A,#N/A,TRUE,"Income";#N/A,#N/A,TRUE,"Income Summary";#N/A,#N/A,TRUE,"Staffing Summary"}</definedName>
    <definedName name="oo" hidden="1">{#N/A,#N/A,TRUE,"Data Elements-Staffing";#N/A,#N/A,TRUE,"Data Elements-Exp Driv &amp; Assump";#N/A,#N/A,TRUE,"Staffing Sheet";#N/A,#N/A,TRUE,"Income";#N/A,#N/A,TRUE,"Income Summary";#N/A,#N/A,TRUE,"Staffing Summary"}</definedName>
    <definedName name="open" localSheetId="14" hidden="1">{"plansummary",#N/A,FALSE,"PlanSummary";"sales",#N/A,FALSE,"Sales Rec";"productivity",#N/A,FALSE,"Productivity Rec";"capitalspending",#N/A,FALSE,"Capital Spending"}</definedName>
    <definedName name="open" localSheetId="0" hidden="1">{"plansummary",#N/A,FALSE,"PlanSummary";"sales",#N/A,FALSE,"Sales Rec";"productivity",#N/A,FALSE,"Productivity Rec";"capitalspending",#N/A,FALSE,"Capital Spending"}</definedName>
    <definedName name="open" localSheetId="7" hidden="1">{"plansummary",#N/A,FALSE,"PlanSummary";"sales",#N/A,FALSE,"Sales Rec";"productivity",#N/A,FALSE,"Productivity Rec";"capitalspending",#N/A,FALSE,"Capital Spending"}</definedName>
    <definedName name="open" localSheetId="11" hidden="1">{"plansummary",#N/A,FALSE,"PlanSummary";"sales",#N/A,FALSE,"Sales Rec";"productivity",#N/A,FALSE,"Productivity Rec";"capitalspending",#N/A,FALSE,"Capital Spending"}</definedName>
    <definedName name="open" hidden="1">{"plansummary",#N/A,FALSE,"PlanSummary";"sales",#N/A,FALSE,"Sales Rec";"productivity",#N/A,FALSE,"Productivity Rec";"capitalspending",#N/A,FALSE,"Capital Spending"}</definedName>
    <definedName name="Operating_Profit_before_Tax">#REF!</definedName>
    <definedName name="OrderTable" hidden="1">#REF!</definedName>
    <definedName name="OtherRecruiting">'[8]Data Elements-Exp Driv &amp; Assump'!#REF!</definedName>
    <definedName name="overheads" localSheetId="14">#REF!</definedName>
    <definedName name="overheads" localSheetId="0">#REF!</definedName>
    <definedName name="overheads" localSheetId="7">#REF!</definedName>
    <definedName name="overheads" localSheetId="11">#REF!</definedName>
    <definedName name="overheads">#REF!</definedName>
    <definedName name="Ownership" localSheetId="14" hidden="1">OFFSET([5]!Data.Top.Left,1,0)</definedName>
    <definedName name="Ownership" localSheetId="9" hidden="1">OFFSET([5]!Data.Top.Left,1,0)</definedName>
    <definedName name="Ownership" localSheetId="11" hidden="1">OFFSET([5]!Data.Top.Left,1,0)</definedName>
    <definedName name="Ownership" hidden="1">OFFSET([5]!Data.Top.Left,1,0)</definedName>
    <definedName name="P" localSheetId="14">{#N/A,#N/A,TRUE,"Data Elements-Staffing";#N/A,#N/A,TRUE,"Data Elements-Exp Driv &amp; Assump";#N/A,#N/A,TRUE,"Staffing Sheet";#N/A,#N/A,TRUE,"Income";#N/A,#N/A,TRUE,"Income Summary";#N/A,#N/A,TRUE,"Staffing Summary"}</definedName>
    <definedName name="P" localSheetId="0">{#N/A,#N/A,TRUE,"Data Elements-Staffing";#N/A,#N/A,TRUE,"Data Elements-Exp Driv &amp; Assump";#N/A,#N/A,TRUE,"Staffing Sheet";#N/A,#N/A,TRUE,"Income";#N/A,#N/A,TRUE,"Income Summary";#N/A,#N/A,TRUE,"Staffing Summary"}</definedName>
    <definedName name="P" localSheetId="7">{#N/A,#N/A,TRUE,"Data Elements-Staffing";#N/A,#N/A,TRUE,"Data Elements-Exp Driv &amp; Assump";#N/A,#N/A,TRUE,"Staffing Sheet";#N/A,#N/A,TRUE,"Income";#N/A,#N/A,TRUE,"Income Summary";#N/A,#N/A,TRUE,"Staffing Summary"}</definedName>
    <definedName name="P" localSheetId="11">{#N/A,#N/A,TRUE,"Data Elements-Staffing";#N/A,#N/A,TRUE,"Data Elements-Exp Driv &amp; Assump";#N/A,#N/A,TRUE,"Staffing Sheet";#N/A,#N/A,TRUE,"Income";#N/A,#N/A,TRUE,"Income Summary";#N/A,#N/A,TRUE,"Staffing Summary"}</definedName>
    <definedName name="P">{#N/A,#N/A,TRUE,"Data Elements-Staffing";#N/A,#N/A,TRUE,"Data Elements-Exp Driv &amp; Assump";#N/A,#N/A,TRUE,"Staffing Sheet";#N/A,#N/A,TRUE,"Income";#N/A,#N/A,TRUE,"Income Summary";#N/A,#N/A,TRUE,"Staffing Summary"}</definedName>
    <definedName name="P_L">[29]B.S.!#REF!</definedName>
    <definedName name="P1_Period">[17]Parms!$C$12</definedName>
    <definedName name="P1_Period_Cat">[17]Parms!$I$12</definedName>
    <definedName name="P2_Period">[17]Parms!$C$13</definedName>
    <definedName name="P2_Period_Cat">[17]Parms!$I$13</definedName>
    <definedName name="packing">[40]Expenses!#REF!</definedName>
    <definedName name="PAMetric___Table">'[13]PA Bonus Metrics Mgr, SMgr, Dir'!$E$4:$X$210</definedName>
    <definedName name="PartDesignation">[41]Masters!$C$16</definedName>
    <definedName name="PAT" localSheetId="14">#REF!</definedName>
    <definedName name="PAT" localSheetId="7">#REF!</definedName>
    <definedName name="PAT">#REF!</definedName>
    <definedName name="Pay_Date" localSheetId="14">#REF!</definedName>
    <definedName name="Pay_Date" localSheetId="7">#REF!</definedName>
    <definedName name="Pay_Date">#REF!</definedName>
    <definedName name="Pay_Num" localSheetId="14">#REF!</definedName>
    <definedName name="Pay_Num" localSheetId="7">#REF!</definedName>
    <definedName name="Pay_Num">#REF!</definedName>
    <definedName name="payal" localSheetId="14" hidden="1">{"'Sheet3'!$A$1:$B$30"}</definedName>
    <definedName name="payal" localSheetId="0" hidden="1">{"'Sheet3'!$A$1:$B$30"}</definedName>
    <definedName name="payal" localSheetId="7" hidden="1">{"'Sheet3'!$A$1:$B$30"}</definedName>
    <definedName name="payal" localSheetId="11" hidden="1">{"'Sheet3'!$A$1:$B$30"}</definedName>
    <definedName name="payal" hidden="1">{"'Sheet3'!$A$1:$B$30"}</definedName>
    <definedName name="Payment">#REF!</definedName>
    <definedName name="Payment_Date">#N/A</definedName>
    <definedName name="Payment_Number">#N/A</definedName>
    <definedName name="PBT">'[42]FINAL 03.05'!$R$31</definedName>
    <definedName name="pd" localSheetId="14"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pd" localSheetId="0"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pd" localSheetId="7"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pd" localSheetId="1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pd"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PEfee">[6]Combi!$C$31</definedName>
    <definedName name="per_end_date">[43]Checklist!$I$3</definedName>
    <definedName name="Per_Num">[44]Checklist!$D$2</definedName>
    <definedName name="Period">[15]list!$A$5:$A$6</definedName>
    <definedName name="Period_end_date" localSheetId="14">#REF!</definedName>
    <definedName name="Period_end_date" localSheetId="0">#REF!</definedName>
    <definedName name="Period_end_date" localSheetId="7">#REF!</definedName>
    <definedName name="Period_end_date" localSheetId="11">#REF!</definedName>
    <definedName name="Period_end_date">#REF!</definedName>
    <definedName name="PEtaken" localSheetId="14">#REF!</definedName>
    <definedName name="PEtaken" localSheetId="0">#REF!</definedName>
    <definedName name="PEtaken" localSheetId="7">#REF!</definedName>
    <definedName name="PEtaken" localSheetId="11">#REF!</definedName>
    <definedName name="PEtaken">#REF!</definedName>
    <definedName name="PL" localSheetId="14">#REF!</definedName>
    <definedName name="PL" localSheetId="0">#REF!</definedName>
    <definedName name="PL" localSheetId="7">#REF!</definedName>
    <definedName name="PL" localSheetId="11">#REF!</definedName>
    <definedName name="PL">#REF!</definedName>
    <definedName name="PNBrev" localSheetId="14" hidden="1">OFFSET([5]!Data.Top.Left,1,0)</definedName>
    <definedName name="PNBrev" localSheetId="9" hidden="1">OFFSET([5]!Data.Top.Left,1,0)</definedName>
    <definedName name="PNBrev" localSheetId="11" hidden="1">OFFSET([5]!Data.Top.Left,1,0)</definedName>
    <definedName name="PNBrev" hidden="1">OFFSET([5]!Data.Top.Left,1,0)</definedName>
    <definedName name="Pre_Bonus_Margin_Contribution_Dollars">[13]Tables!$C$16</definedName>
    <definedName name="Princ" localSheetId="14">#REF!</definedName>
    <definedName name="Princ" localSheetId="0">#REF!</definedName>
    <definedName name="Princ" localSheetId="7">#REF!</definedName>
    <definedName name="Princ" localSheetId="11">#REF!</definedName>
    <definedName name="Princ">#REF!</definedName>
    <definedName name="PrinciMoratFITL" localSheetId="14">#REF!</definedName>
    <definedName name="PrinciMoratFITL" localSheetId="0">#REF!</definedName>
    <definedName name="PrinciMoratFITL" localSheetId="7">#REF!</definedName>
    <definedName name="PrinciMoratFITL" localSheetId="11">#REF!</definedName>
    <definedName name="PrinciMoratFITL">#REF!</definedName>
    <definedName name="PrinciMoratNCD" localSheetId="14">#REF!</definedName>
    <definedName name="PrinciMoratNCD" localSheetId="0">#REF!</definedName>
    <definedName name="PrinciMoratNCD" localSheetId="7">#REF!</definedName>
    <definedName name="PrinciMoratNCD" localSheetId="11">#REF!</definedName>
    <definedName name="PrinciMoratNCD">#REF!</definedName>
    <definedName name="PrinciMoratPrinc">#REF!</definedName>
    <definedName name="PrinciMoratPrincipal">#REF!</definedName>
    <definedName name="Principal">#N/A</definedName>
    <definedName name="PRINCIPLE">"$C$8"</definedName>
    <definedName name="print">"$#REF!.$A$1"</definedName>
    <definedName name="_xlnm.Print_Area" localSheetId="0">Assumptions!$A$1:$N$196</definedName>
    <definedName name="_xlnm.Print_Area" localSheetId="10">'Forecasted Ratio Analysis'!$A$1:$L$119</definedName>
    <definedName name="_xlnm.Print_Area" localSheetId="9">'Historical Ratio Analysis'!$A$1:$L$119</definedName>
    <definedName name="_xlnm.Print_Area" localSheetId="4">'P&amp;L'!$A$1:$P$43</definedName>
    <definedName name="_xlnm.Print_Area">[33]rough!#REF!</definedName>
    <definedName name="Print_Area_MI" localSheetId="14">#REF!</definedName>
    <definedName name="Print_Area_MI" localSheetId="7">#REF!</definedName>
    <definedName name="Print_Area_MI">#REF!</definedName>
    <definedName name="Print_Area_Reset">#N/A</definedName>
    <definedName name="_xlnm.Print_Titles" localSheetId="11">'Other Ratios'!$1:$4</definedName>
    <definedName name="_xlnm.Print_Titles">#REF!</definedName>
    <definedName name="PRINTING_AREA_COVER_01_02" localSheetId="14">#REF!</definedName>
    <definedName name="PRINTING_AREA_COVER_01_02" localSheetId="7">#REF!</definedName>
    <definedName name="PRINTING_AREA_COVER_01_02">#REF!</definedName>
    <definedName name="PrintSheets">#N/A</definedName>
    <definedName name="Probability">#REF!</definedName>
    <definedName name="PROD">#REF!</definedName>
    <definedName name="ProdForm" hidden="1">#REF!</definedName>
    <definedName name="PROFIT">#REF!</definedName>
    <definedName name="profit_loss">#REF!</definedName>
    <definedName name="profitnloss">#REF!</definedName>
    <definedName name="Provision2" localSheetId="14" hidden="1">{"plansummary",#N/A,FALSE,"PlanSummary";"sales",#N/A,FALSE,"Sales Rec";"productivity",#N/A,FALSE,"Productivity Rec";"capitalspending",#N/A,FALSE,"Capital Spending"}</definedName>
    <definedName name="Provision2" localSheetId="0" hidden="1">{"plansummary",#N/A,FALSE,"PlanSummary";"sales",#N/A,FALSE,"Sales Rec";"productivity",#N/A,FALSE,"Productivity Rec";"capitalspending",#N/A,FALSE,"Capital Spending"}</definedName>
    <definedName name="Provision2" localSheetId="7" hidden="1">{"plansummary",#N/A,FALSE,"PlanSummary";"sales",#N/A,FALSE,"Sales Rec";"productivity",#N/A,FALSE,"Productivity Rec";"capitalspending",#N/A,FALSE,"Capital Spending"}</definedName>
    <definedName name="Provision2" localSheetId="11" hidden="1">{"plansummary",#N/A,FALSE,"PlanSummary";"sales",#N/A,FALSE,"Sales Rec";"productivity",#N/A,FALSE,"Productivity Rec";"capitalspending",#N/A,FALSE,"Capital Spending"}</definedName>
    <definedName name="Provision2" hidden="1">{"plansummary",#N/A,FALSE,"PlanSummary";"sales",#N/A,FALSE,"Sales Rec";"productivity",#N/A,FALSE,"Productivity Rec";"capitalspending",#N/A,FALSE,"Capital Spending"}</definedName>
    <definedName name="PS_BonusTable">'[23]Firm &amp; SBUG Metrics M, SM, Dir'!$E$23:$J$24</definedName>
    <definedName name="ptl" localSheetId="14" hidden="1">{"'August 2000'!$A$1:$J$101"}</definedName>
    <definedName name="ptl" localSheetId="0" hidden="1">{"'August 2000'!$A$1:$J$101"}</definedName>
    <definedName name="ptl" localSheetId="7" hidden="1">{"'August 2000'!$A$1:$J$101"}</definedName>
    <definedName name="ptl" localSheetId="11" hidden="1">{"'August 2000'!$A$1:$J$101"}</definedName>
    <definedName name="ptl" hidden="1">{"'August 2000'!$A$1:$J$101"}</definedName>
    <definedName name="PUB_UserID" hidden="1">"MAYERX"</definedName>
    <definedName name="Q">#REF!</definedName>
    <definedName name="q2acc" localSheetId="14" hidden="1">{#N/A,#N/A,TRUE,"Data Elements-Staffing";#N/A,#N/A,TRUE,"Data Elements-Exp Driv &amp; Assump";#N/A,#N/A,TRUE,"Staffing Sheet";#N/A,#N/A,TRUE,"Income";#N/A,#N/A,TRUE,"Income Summary";#N/A,#N/A,TRUE,"Staffing Summary"}</definedName>
    <definedName name="q2acc" localSheetId="0" hidden="1">{#N/A,#N/A,TRUE,"Data Elements-Staffing";#N/A,#N/A,TRUE,"Data Elements-Exp Driv &amp; Assump";#N/A,#N/A,TRUE,"Staffing Sheet";#N/A,#N/A,TRUE,"Income";#N/A,#N/A,TRUE,"Income Summary";#N/A,#N/A,TRUE,"Staffing Summary"}</definedName>
    <definedName name="q2acc" localSheetId="7" hidden="1">{#N/A,#N/A,TRUE,"Data Elements-Staffing";#N/A,#N/A,TRUE,"Data Elements-Exp Driv &amp; Assump";#N/A,#N/A,TRUE,"Staffing Sheet";#N/A,#N/A,TRUE,"Income";#N/A,#N/A,TRUE,"Income Summary";#N/A,#N/A,TRUE,"Staffing Summary"}</definedName>
    <definedName name="q2acc" localSheetId="11" hidden="1">{#N/A,#N/A,TRUE,"Data Elements-Staffing";#N/A,#N/A,TRUE,"Data Elements-Exp Driv &amp; Assump";#N/A,#N/A,TRUE,"Staffing Sheet";#N/A,#N/A,TRUE,"Income";#N/A,#N/A,TRUE,"Income Summary";#N/A,#N/A,TRUE,"Staffing Summary"}</definedName>
    <definedName name="q2acc" hidden="1">{#N/A,#N/A,TRUE,"Data Elements-Staffing";#N/A,#N/A,TRUE,"Data Elements-Exp Driv &amp; Assump";#N/A,#N/A,TRUE,"Staffing Sheet";#N/A,#N/A,TRUE,"Income";#N/A,#N/A,TRUE,"Income Summary";#N/A,#N/A,TRUE,"Staffing Summary"}</definedName>
    <definedName name="q2ss" localSheetId="14" hidden="1">{#N/A,#N/A,TRUE,"Data Elements-Staffing";#N/A,#N/A,TRUE,"Data Elements-Exp Driv &amp; Assump";#N/A,#N/A,TRUE,"Staffing Sheet";#N/A,#N/A,TRUE,"Income";#N/A,#N/A,TRUE,"Income Summary";#N/A,#N/A,TRUE,"Staffing Summary"}</definedName>
    <definedName name="q2ss" localSheetId="0" hidden="1">{#N/A,#N/A,TRUE,"Data Elements-Staffing";#N/A,#N/A,TRUE,"Data Elements-Exp Driv &amp; Assump";#N/A,#N/A,TRUE,"Staffing Sheet";#N/A,#N/A,TRUE,"Income";#N/A,#N/A,TRUE,"Income Summary";#N/A,#N/A,TRUE,"Staffing Summary"}</definedName>
    <definedName name="q2ss" localSheetId="7" hidden="1">{#N/A,#N/A,TRUE,"Data Elements-Staffing";#N/A,#N/A,TRUE,"Data Elements-Exp Driv &amp; Assump";#N/A,#N/A,TRUE,"Staffing Sheet";#N/A,#N/A,TRUE,"Income";#N/A,#N/A,TRUE,"Income Summary";#N/A,#N/A,TRUE,"Staffing Summary"}</definedName>
    <definedName name="q2ss" localSheetId="11" hidden="1">{#N/A,#N/A,TRUE,"Data Elements-Staffing";#N/A,#N/A,TRUE,"Data Elements-Exp Driv &amp; Assump";#N/A,#N/A,TRUE,"Staffing Sheet";#N/A,#N/A,TRUE,"Income";#N/A,#N/A,TRUE,"Income Summary";#N/A,#N/A,TRUE,"Staffing Summary"}</definedName>
    <definedName name="q2ss" hidden="1">{#N/A,#N/A,TRUE,"Data Elements-Staffing";#N/A,#N/A,TRUE,"Data Elements-Exp Driv &amp; Assump";#N/A,#N/A,TRUE,"Staffing Sheet";#N/A,#N/A,TRUE,"Income";#N/A,#N/A,TRUE,"Income Summary";#N/A,#N/A,TRUE,"Staffing Summary"}</definedName>
    <definedName name="qwe">#REF!</definedName>
    <definedName name="Rate">"$C$5"</definedName>
    <definedName name="Rate93">[45]BDGET94!$O1*[45]BDGET94!$D$11</definedName>
    <definedName name="Rate94">[45]BDGET94!$O1*[45]BDGET94!$D$8</definedName>
    <definedName name="ravin">[46]Profita!#REF!</definedName>
    <definedName name="raw_material">[47]Expenses!#REF!</definedName>
    <definedName name="RCArea" localSheetId="14" hidden="1">#REF!</definedName>
    <definedName name="RCArea" localSheetId="7" hidden="1">#REF!</definedName>
    <definedName name="RCArea" hidden="1">#REF!</definedName>
    <definedName name="re" localSheetId="14" hidden="1">{#N/A,#N/A,TRUE,"Data Elements-Staffing";#N/A,#N/A,TRUE,"Data Elements-Exp Driv &amp; Assump";#N/A,#N/A,TRUE,"Staffing Sheet";#N/A,#N/A,TRUE,"Income";#N/A,#N/A,TRUE,"Income Summary";#N/A,#N/A,TRUE,"Staffing Summary"}</definedName>
    <definedName name="re" localSheetId="0" hidden="1">{#N/A,#N/A,TRUE,"Data Elements-Staffing";#N/A,#N/A,TRUE,"Data Elements-Exp Driv &amp; Assump";#N/A,#N/A,TRUE,"Staffing Sheet";#N/A,#N/A,TRUE,"Income";#N/A,#N/A,TRUE,"Income Summary";#N/A,#N/A,TRUE,"Staffing Summary"}</definedName>
    <definedName name="re" localSheetId="7" hidden="1">{#N/A,#N/A,TRUE,"Data Elements-Staffing";#N/A,#N/A,TRUE,"Data Elements-Exp Driv &amp; Assump";#N/A,#N/A,TRUE,"Staffing Sheet";#N/A,#N/A,TRUE,"Income";#N/A,#N/A,TRUE,"Income Summary";#N/A,#N/A,TRUE,"Staffing Summary"}</definedName>
    <definedName name="re" localSheetId="11" hidden="1">{#N/A,#N/A,TRUE,"Data Elements-Staffing";#N/A,#N/A,TRUE,"Data Elements-Exp Driv &amp; Assump";#N/A,#N/A,TRUE,"Staffing Sheet";#N/A,#N/A,TRUE,"Income";#N/A,#N/A,TRUE,"Income Summary";#N/A,#N/A,TRUE,"Staffing Summary"}</definedName>
    <definedName name="re" hidden="1">{#N/A,#N/A,TRUE,"Data Elements-Staffing";#N/A,#N/A,TRUE,"Data Elements-Exp Driv &amp; Assump";#N/A,#N/A,TRUE,"Staffing Sheet";#N/A,#N/A,TRUE,"Income";#N/A,#N/A,TRUE,"Income Summary";#N/A,#N/A,TRUE,"Staffing Summary"}</definedName>
    <definedName name="_xlnm.Recorder">#REF!</definedName>
    <definedName name="ree" localSheetId="14" hidden="1">{#N/A,#N/A,TRUE,"Data Elements-Staffing";#N/A,#N/A,TRUE,"Data Elements-Exp Driv &amp; Assump";#N/A,#N/A,TRUE,"Staffing Sheet";#N/A,#N/A,TRUE,"Income";#N/A,#N/A,TRUE,"Income Summary";#N/A,#N/A,TRUE,"Staffing Summary"}</definedName>
    <definedName name="ree" localSheetId="0" hidden="1">{#N/A,#N/A,TRUE,"Data Elements-Staffing";#N/A,#N/A,TRUE,"Data Elements-Exp Driv &amp; Assump";#N/A,#N/A,TRUE,"Staffing Sheet";#N/A,#N/A,TRUE,"Income";#N/A,#N/A,TRUE,"Income Summary";#N/A,#N/A,TRUE,"Staffing Summary"}</definedName>
    <definedName name="ree" localSheetId="7" hidden="1">{#N/A,#N/A,TRUE,"Data Elements-Staffing";#N/A,#N/A,TRUE,"Data Elements-Exp Driv &amp; Assump";#N/A,#N/A,TRUE,"Staffing Sheet";#N/A,#N/A,TRUE,"Income";#N/A,#N/A,TRUE,"Income Summary";#N/A,#N/A,TRUE,"Staffing Summary"}</definedName>
    <definedName name="ree" localSheetId="11" hidden="1">{#N/A,#N/A,TRUE,"Data Elements-Staffing";#N/A,#N/A,TRUE,"Data Elements-Exp Driv &amp; Assump";#N/A,#N/A,TRUE,"Staffing Sheet";#N/A,#N/A,TRUE,"Income";#N/A,#N/A,TRUE,"Income Summary";#N/A,#N/A,TRUE,"Staffing Summary"}</definedName>
    <definedName name="ree" hidden="1">{#N/A,#N/A,TRUE,"Data Elements-Staffing";#N/A,#N/A,TRUE,"Data Elements-Exp Driv &amp; Assump";#N/A,#N/A,TRUE,"Staffing Sheet";#N/A,#N/A,TRUE,"Income";#N/A,#N/A,TRUE,"Income Summary";#N/A,#N/A,TRUE,"Staffing Summary"}</definedName>
    <definedName name="REF" localSheetId="14" hidden="1">{#N/A,#N/A,FALSE,"COMP"}</definedName>
    <definedName name="REF" localSheetId="0" hidden="1">{#N/A,#N/A,FALSE,"COMP"}</definedName>
    <definedName name="REF" localSheetId="7" hidden="1">{#N/A,#N/A,FALSE,"COMP"}</definedName>
    <definedName name="REF" localSheetId="11" hidden="1">{#N/A,#N/A,FALSE,"COMP"}</definedName>
    <definedName name="REF" hidden="1">{#N/A,#N/A,FALSE,"COMP"}</definedName>
    <definedName name="rerer">#REF!</definedName>
    <definedName name="Restructuring">#REF!</definedName>
    <definedName name="Results">#REF!</definedName>
    <definedName name="Return">[15]list!$A$2:$A$3</definedName>
    <definedName name="Reynolds" localSheetId="14" hidden="1">{#N/A,#N/A,TRUE,"Data Elements-Staffing";#N/A,#N/A,TRUE,"Data Elements-Exp Driv &amp; Assump";#N/A,#N/A,TRUE,"Staffing Sheet";#N/A,#N/A,TRUE,"Income";#N/A,#N/A,TRUE,"Income Summary";#N/A,#N/A,TRUE,"Staffing Summary"}</definedName>
    <definedName name="Reynolds" localSheetId="0" hidden="1">{#N/A,#N/A,TRUE,"Data Elements-Staffing";#N/A,#N/A,TRUE,"Data Elements-Exp Driv &amp; Assump";#N/A,#N/A,TRUE,"Staffing Sheet";#N/A,#N/A,TRUE,"Income";#N/A,#N/A,TRUE,"Income Summary";#N/A,#N/A,TRUE,"Staffing Summary"}</definedName>
    <definedName name="Reynolds" localSheetId="7" hidden="1">{#N/A,#N/A,TRUE,"Data Elements-Staffing";#N/A,#N/A,TRUE,"Data Elements-Exp Driv &amp; Assump";#N/A,#N/A,TRUE,"Staffing Sheet";#N/A,#N/A,TRUE,"Income";#N/A,#N/A,TRUE,"Income Summary";#N/A,#N/A,TRUE,"Staffing Summary"}</definedName>
    <definedName name="Reynolds" localSheetId="11" hidden="1">{#N/A,#N/A,TRUE,"Data Elements-Staffing";#N/A,#N/A,TRUE,"Data Elements-Exp Driv &amp; Assump";#N/A,#N/A,TRUE,"Staffing Sheet";#N/A,#N/A,TRUE,"Income";#N/A,#N/A,TRUE,"Income Summary";#N/A,#N/A,TRUE,"Staffing Summary"}</definedName>
    <definedName name="Reynolds" hidden="1">{#N/A,#N/A,TRUE,"Data Elements-Staffing";#N/A,#N/A,TRUE,"Data Elements-Exp Driv &amp; Assump";#N/A,#N/A,TRUE,"Staffing Sheet";#N/A,#N/A,TRUE,"Income";#N/A,#N/A,TRUE,"Income Summary";#N/A,#N/A,TRUE,"Staffing Summary"}</definedName>
    <definedName name="RMHS">#REF!</definedName>
    <definedName name="ROI_TL">Assumptions!$C$177</definedName>
    <definedName name="rr" localSheetId="14" hidden="1">{"plansummary",#N/A,FALSE,"PlanSummary";"sales",#N/A,FALSE,"Sales Rec";"productivity",#N/A,FALSE,"Productivity Rec";"capitalspending",#N/A,FALSE,"Capital Spending"}</definedName>
    <definedName name="rr" localSheetId="0" hidden="1">{"plansummary",#N/A,FALSE,"PlanSummary";"sales",#N/A,FALSE,"Sales Rec";"productivity",#N/A,FALSE,"Productivity Rec";"capitalspending",#N/A,FALSE,"Capital Spending"}</definedName>
    <definedName name="rr" localSheetId="7" hidden="1">{"plansummary",#N/A,FALSE,"PlanSummary";"sales",#N/A,FALSE,"Sales Rec";"productivity",#N/A,FALSE,"Productivity Rec";"capitalspending",#N/A,FALSE,"Capital Spending"}</definedName>
    <definedName name="rr" localSheetId="11" hidden="1">{"plansummary",#N/A,FALSE,"PlanSummary";"sales",#N/A,FALSE,"Sales Rec";"productivity",#N/A,FALSE,"Productivity Rec";"capitalspending",#N/A,FALSE,"Capital Spending"}</definedName>
    <definedName name="rr" hidden="1">{"plansummary",#N/A,FALSE,"PlanSummary";"sales",#N/A,FALSE,"Sales Rec";"productivity",#N/A,FALSE,"Productivity Rec";"capitalspending",#N/A,FALSE,"Capital Spending"}</definedName>
    <definedName name="s" localSheetId="14">{#N/A,#N/A,FALSE,"One Pager";#N/A,#N/A,FALSE,"Technical"}</definedName>
    <definedName name="s" localSheetId="0">{#N/A,#N/A,FALSE,"One Pager";#N/A,#N/A,FALSE,"Technical"}</definedName>
    <definedName name="s" localSheetId="7">{#N/A,#N/A,FALSE,"One Pager";#N/A,#N/A,FALSE,"Technical"}</definedName>
    <definedName name="s" localSheetId="11">{#N/A,#N/A,FALSE,"One Pager";#N/A,#N/A,FALSE,"Technical"}</definedName>
    <definedName name="s">{#N/A,#N/A,FALSE,"One Pager";#N/A,#N/A,FALSE,"Technical"}</definedName>
    <definedName name="sa" localSheetId="14">{#N/A,#N/A,TRUE,"Data Elements-Staffing";#N/A,#N/A,TRUE,"Data Elements-Exp Driv &amp; Assump";#N/A,#N/A,TRUE,"Staffing Sheet";#N/A,#N/A,TRUE,"Income";#N/A,#N/A,TRUE,"Income Summary";#N/A,#N/A,TRUE,"Staffing Summary"}</definedName>
    <definedName name="sa" localSheetId="0">{#N/A,#N/A,TRUE,"Data Elements-Staffing";#N/A,#N/A,TRUE,"Data Elements-Exp Driv &amp; Assump";#N/A,#N/A,TRUE,"Staffing Sheet";#N/A,#N/A,TRUE,"Income";#N/A,#N/A,TRUE,"Income Summary";#N/A,#N/A,TRUE,"Staffing Summary"}</definedName>
    <definedName name="sa" localSheetId="7">{#N/A,#N/A,TRUE,"Data Elements-Staffing";#N/A,#N/A,TRUE,"Data Elements-Exp Driv &amp; Assump";#N/A,#N/A,TRUE,"Staffing Sheet";#N/A,#N/A,TRUE,"Income";#N/A,#N/A,TRUE,"Income Summary";#N/A,#N/A,TRUE,"Staffing Summary"}</definedName>
    <definedName name="sa" localSheetId="11">{#N/A,#N/A,TRUE,"Data Elements-Staffing";#N/A,#N/A,TRUE,"Data Elements-Exp Driv &amp; Assump";#N/A,#N/A,TRUE,"Staffing Sheet";#N/A,#N/A,TRUE,"Income";#N/A,#N/A,TRUE,"Income Summary";#N/A,#N/A,TRUE,"Staffing Summary"}</definedName>
    <definedName name="sa">{#N/A,#N/A,TRUE,"Data Elements-Staffing";#N/A,#N/A,TRUE,"Data Elements-Exp Driv &amp; Assump";#N/A,#N/A,TRUE,"Staffing Sheet";#N/A,#N/A,TRUE,"Income";#N/A,#N/A,TRUE,"Income Summary";#N/A,#N/A,TRUE,"Staffing Summary"}</definedName>
    <definedName name="sadfds" localSheetId="14" hidden="1">{#N/A,#N/A,TRUE,"Data Elements-Staffing";#N/A,#N/A,TRUE,"Data Elements-Exp Driv &amp; Assump";#N/A,#N/A,TRUE,"Staffing Sheet";#N/A,#N/A,TRUE,"Income";#N/A,#N/A,TRUE,"Income Summary";#N/A,#N/A,TRUE,"Staffing Summary"}</definedName>
    <definedName name="sadfds" localSheetId="0" hidden="1">{#N/A,#N/A,TRUE,"Data Elements-Staffing";#N/A,#N/A,TRUE,"Data Elements-Exp Driv &amp; Assump";#N/A,#N/A,TRUE,"Staffing Sheet";#N/A,#N/A,TRUE,"Income";#N/A,#N/A,TRUE,"Income Summary";#N/A,#N/A,TRUE,"Staffing Summary"}</definedName>
    <definedName name="sadfds" localSheetId="7" hidden="1">{#N/A,#N/A,TRUE,"Data Elements-Staffing";#N/A,#N/A,TRUE,"Data Elements-Exp Driv &amp; Assump";#N/A,#N/A,TRUE,"Staffing Sheet";#N/A,#N/A,TRUE,"Income";#N/A,#N/A,TRUE,"Income Summary";#N/A,#N/A,TRUE,"Staffing Summary"}</definedName>
    <definedName name="sadfds" localSheetId="11" hidden="1">{#N/A,#N/A,TRUE,"Data Elements-Staffing";#N/A,#N/A,TRUE,"Data Elements-Exp Driv &amp; Assump";#N/A,#N/A,TRUE,"Staffing Sheet";#N/A,#N/A,TRUE,"Income";#N/A,#N/A,TRUE,"Income Summary";#N/A,#N/A,TRUE,"Staffing Summary"}</definedName>
    <definedName name="sadfds" hidden="1">{#N/A,#N/A,TRUE,"Data Elements-Staffing";#N/A,#N/A,TRUE,"Data Elements-Exp Driv &amp; Assump";#N/A,#N/A,TRUE,"Staffing Sheet";#N/A,#N/A,TRUE,"Income";#N/A,#N/A,TRUE,"Income Summary";#N/A,#N/A,TRUE,"Staffing Summary"}</definedName>
    <definedName name="saere" localSheetId="14" hidden="1">{#N/A,#N/A,TRUE,"Data Elements-Staffing";#N/A,#N/A,TRUE,"Data Elements-Exp Driv &amp; Assump";#N/A,#N/A,TRUE,"Staffing Sheet";#N/A,#N/A,TRUE,"Income";#N/A,#N/A,TRUE,"Income Summary";#N/A,#N/A,TRUE,"Staffing Summary"}</definedName>
    <definedName name="saere" localSheetId="0" hidden="1">{#N/A,#N/A,TRUE,"Data Elements-Staffing";#N/A,#N/A,TRUE,"Data Elements-Exp Driv &amp; Assump";#N/A,#N/A,TRUE,"Staffing Sheet";#N/A,#N/A,TRUE,"Income";#N/A,#N/A,TRUE,"Income Summary";#N/A,#N/A,TRUE,"Staffing Summary"}</definedName>
    <definedName name="saere" localSheetId="7" hidden="1">{#N/A,#N/A,TRUE,"Data Elements-Staffing";#N/A,#N/A,TRUE,"Data Elements-Exp Driv &amp; Assump";#N/A,#N/A,TRUE,"Staffing Sheet";#N/A,#N/A,TRUE,"Income";#N/A,#N/A,TRUE,"Income Summary";#N/A,#N/A,TRUE,"Staffing Summary"}</definedName>
    <definedName name="saere" localSheetId="11" hidden="1">{#N/A,#N/A,TRUE,"Data Elements-Staffing";#N/A,#N/A,TRUE,"Data Elements-Exp Driv &amp; Assump";#N/A,#N/A,TRUE,"Staffing Sheet";#N/A,#N/A,TRUE,"Income";#N/A,#N/A,TRUE,"Income Summary";#N/A,#N/A,TRUE,"Staffing Summary"}</definedName>
    <definedName name="saere" hidden="1">{#N/A,#N/A,TRUE,"Data Elements-Staffing";#N/A,#N/A,TRUE,"Data Elements-Exp Driv &amp; Assump";#N/A,#N/A,TRUE,"Staffing Sheet";#N/A,#N/A,TRUE,"Income";#N/A,#N/A,TRUE,"Income Summary";#N/A,#N/A,TRUE,"Staffing Summary"}</definedName>
    <definedName name="salary">#REF!</definedName>
    <definedName name="sandip">#REF!</definedName>
    <definedName name="Sanitary">#REF!</definedName>
    <definedName name="sanjay"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anjay"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anjay"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anjay"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anjay"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APBEXrevision" hidden="1">1</definedName>
    <definedName name="SAPBEXsysID" hidden="1">"CSR"</definedName>
    <definedName name="SAPBEXwbID" hidden="1">"3XQBW78D16A2EDUNTS3NPBKLN"</definedName>
    <definedName name="SBUG_Table">[23]Tables!$C$7:$D$13</definedName>
    <definedName name="sch2_31" localSheetId="14">#REF!</definedName>
    <definedName name="sch2_31" localSheetId="7">#REF!</definedName>
    <definedName name="sch2_31">#REF!</definedName>
    <definedName name="Sched_Pay" localSheetId="14">#REF!</definedName>
    <definedName name="Sched_Pay" localSheetId="7">#REF!</definedName>
    <definedName name="Sched_Pay">#REF!</definedName>
    <definedName name="schedule" localSheetId="14">#REF!</definedName>
    <definedName name="schedule" localSheetId="7">#REF!</definedName>
    <definedName name="schedule">#REF!</definedName>
    <definedName name="SCHEDULE___02">#REF!</definedName>
    <definedName name="SCHEDULE___05">'[48]Cont.'!$A$1:$E$16</definedName>
    <definedName name="SCHEDULE___08_1" localSheetId="14">#REF!</definedName>
    <definedName name="SCHEDULE___08_1" localSheetId="7">#REF!</definedName>
    <definedName name="SCHEDULE___08_1">#REF!</definedName>
    <definedName name="SCHEDULE___09_1" localSheetId="14">#REF!</definedName>
    <definedName name="SCHEDULE___09_1" localSheetId="7">#REF!</definedName>
    <definedName name="SCHEDULE___09_1">#REF!</definedName>
    <definedName name="SCHEDULE___10" localSheetId="14">[40]Expenses!#REF!</definedName>
    <definedName name="SCHEDULE___10" localSheetId="7">[40]Expenses!#REF!</definedName>
    <definedName name="SCHEDULE___10">[40]Expenses!#REF!</definedName>
    <definedName name="SCHEDULE___12_1" localSheetId="14">#REF!</definedName>
    <definedName name="SCHEDULE___12_1" localSheetId="7">#REF!</definedName>
    <definedName name="SCHEDULE___12_1">#REF!</definedName>
    <definedName name="SCHEDULE___13" localSheetId="14">#REF!</definedName>
    <definedName name="SCHEDULE___13" localSheetId="7">#REF!</definedName>
    <definedName name="SCHEDULE___13">#REF!</definedName>
    <definedName name="SCHEDULE___14" localSheetId="14">#REF!</definedName>
    <definedName name="SCHEDULE___14" localSheetId="7">#REF!</definedName>
    <definedName name="SCHEDULE___14">#REF!</definedName>
    <definedName name="SCHEDULE___15">#REF!</definedName>
    <definedName name="SCHEDULE___16">[48]CF!$A$1:$I$27</definedName>
    <definedName name="SCHEDULE___18">[48]BEP!$A$2:$A$45</definedName>
    <definedName name="SCHEDULE___20">[48]ROI!$A$1:$K$17</definedName>
    <definedName name="SCHEDULE___21">[48]IRR!$A$1:$H$19</definedName>
    <definedName name="schedule_04_2">'[47]P&amp;M'!#REF!</definedName>
    <definedName name="schedule_04_3">'[47]P&amp;M'!#REF!</definedName>
    <definedName name="schedule_04_4">'[47]P&amp;M'!#REF!</definedName>
    <definedName name="schedule_04_5">'[47]P&amp;M'!#REF!</definedName>
    <definedName name="schedule_08_2" localSheetId="14">#REF!</definedName>
    <definedName name="schedule_08_2" localSheetId="7">#REF!</definedName>
    <definedName name="schedule_08_2">#REF!</definedName>
    <definedName name="schedule_09_2" localSheetId="14">#REF!</definedName>
    <definedName name="schedule_09_2" localSheetId="7">#REF!</definedName>
    <definedName name="schedule_09_2">#REF!</definedName>
    <definedName name="schedule_12_2" localSheetId="14">#REF!</definedName>
    <definedName name="schedule_12_2" localSheetId="7">#REF!</definedName>
    <definedName name="schedule_12_2">#REF!</definedName>
    <definedName name="Scheduled_Extra_Payments">#REF!</definedName>
    <definedName name="Scheduled_Interest_Rate">#REF!</definedName>
    <definedName name="Scheduled_Monthly_Payment">#REF!</definedName>
    <definedName name="SDEWEA" localSheetId="14" hidden="1">{#N/A,#N/A,TRUE,"Data Elements-Staffing";#N/A,#N/A,TRUE,"Data Elements-Exp Driv &amp; Assump";#N/A,#N/A,TRUE,"Staffing Sheet";#N/A,#N/A,TRUE,"Income";#N/A,#N/A,TRUE,"Income Summary";#N/A,#N/A,TRUE,"Staffing Summary"}</definedName>
    <definedName name="SDEWEA" localSheetId="0" hidden="1">{#N/A,#N/A,TRUE,"Data Elements-Staffing";#N/A,#N/A,TRUE,"Data Elements-Exp Driv &amp; Assump";#N/A,#N/A,TRUE,"Staffing Sheet";#N/A,#N/A,TRUE,"Income";#N/A,#N/A,TRUE,"Income Summary";#N/A,#N/A,TRUE,"Staffing Summary"}</definedName>
    <definedName name="SDEWEA" localSheetId="7" hidden="1">{#N/A,#N/A,TRUE,"Data Elements-Staffing";#N/A,#N/A,TRUE,"Data Elements-Exp Driv &amp; Assump";#N/A,#N/A,TRUE,"Staffing Sheet";#N/A,#N/A,TRUE,"Income";#N/A,#N/A,TRUE,"Income Summary";#N/A,#N/A,TRUE,"Staffing Summary"}</definedName>
    <definedName name="SDEWEA" localSheetId="11" hidden="1">{#N/A,#N/A,TRUE,"Data Elements-Staffing";#N/A,#N/A,TRUE,"Data Elements-Exp Driv &amp; Assump";#N/A,#N/A,TRUE,"Staffing Sheet";#N/A,#N/A,TRUE,"Income";#N/A,#N/A,TRUE,"Income Summary";#N/A,#N/A,TRUE,"Staffing Summary"}</definedName>
    <definedName name="SDEWEA" hidden="1">{#N/A,#N/A,TRUE,"Data Elements-Staffing";#N/A,#N/A,TRUE,"Data Elements-Exp Driv &amp; Assump";#N/A,#N/A,TRUE,"Staffing Sheet";#N/A,#N/A,TRUE,"Income";#N/A,#N/A,TRUE,"Income Summary";#N/A,#N/A,TRUE,"Staffing Summary"}</definedName>
    <definedName name="sds" localSheetId="14" hidden="1">{"plansummary",#N/A,FALSE,"PlanSummary";"sales",#N/A,FALSE,"Sales Rec";"productivity",#N/A,FALSE,"Productivity Rec";"capitalspending",#N/A,FALSE,"Capital Spending"}</definedName>
    <definedName name="sds" localSheetId="0" hidden="1">{"plansummary",#N/A,FALSE,"PlanSummary";"sales",#N/A,FALSE,"Sales Rec";"productivity",#N/A,FALSE,"Productivity Rec";"capitalspending",#N/A,FALSE,"Capital Spending"}</definedName>
    <definedName name="sds" localSheetId="7" hidden="1">{"plansummary",#N/A,FALSE,"PlanSummary";"sales",#N/A,FALSE,"Sales Rec";"productivity",#N/A,FALSE,"Productivity Rec";"capitalspending",#N/A,FALSE,"Capital Spending"}</definedName>
    <definedName name="sds" localSheetId="11" hidden="1">{"plansummary",#N/A,FALSE,"PlanSummary";"sales",#N/A,FALSE,"Sales Rec";"productivity",#N/A,FALSE,"Productivity Rec";"capitalspending",#N/A,FALSE,"Capital Spending"}</definedName>
    <definedName name="sds" hidden="1">{"plansummary",#N/A,FALSE,"PlanSummary";"sales",#N/A,FALSE,"Sales Rec";"productivity",#N/A,FALSE,"Productivity Rec";"capitalspending",#N/A,FALSE,"Capital Spending"}</definedName>
    <definedName name="se" localSheetId="14" hidden="1">{#N/A,#N/A,TRUE,"Data Elements-Staffing";#N/A,#N/A,TRUE,"Data Elements-Exp Driv &amp; Assump";#N/A,#N/A,TRUE,"Staffing Sheet";#N/A,#N/A,TRUE,"Income";#N/A,#N/A,TRUE,"Income Summary";#N/A,#N/A,TRUE,"Staffing Summary"}</definedName>
    <definedName name="se" localSheetId="0" hidden="1">{#N/A,#N/A,TRUE,"Data Elements-Staffing";#N/A,#N/A,TRUE,"Data Elements-Exp Driv &amp; Assump";#N/A,#N/A,TRUE,"Staffing Sheet";#N/A,#N/A,TRUE,"Income";#N/A,#N/A,TRUE,"Income Summary";#N/A,#N/A,TRUE,"Staffing Summary"}</definedName>
    <definedName name="se" localSheetId="7" hidden="1">{#N/A,#N/A,TRUE,"Data Elements-Staffing";#N/A,#N/A,TRUE,"Data Elements-Exp Driv &amp; Assump";#N/A,#N/A,TRUE,"Staffing Sheet";#N/A,#N/A,TRUE,"Income";#N/A,#N/A,TRUE,"Income Summary";#N/A,#N/A,TRUE,"Staffing Summary"}</definedName>
    <definedName name="se" localSheetId="11" hidden="1">{#N/A,#N/A,TRUE,"Data Elements-Staffing";#N/A,#N/A,TRUE,"Data Elements-Exp Driv &amp; Assump";#N/A,#N/A,TRUE,"Staffing Sheet";#N/A,#N/A,TRUE,"Income";#N/A,#N/A,TRUE,"Income Summary";#N/A,#N/A,TRUE,"Staffing Summary"}</definedName>
    <definedName name="se" hidden="1">{#N/A,#N/A,TRUE,"Data Elements-Staffing";#N/A,#N/A,TRUE,"Data Elements-Exp Driv &amp; Assump";#N/A,#N/A,TRUE,"Staffing Sheet";#N/A,#N/A,TRUE,"Income";#N/A,#N/A,TRUE,"Income Summary";#N/A,#N/A,TRUE,"Staffing Summary"}</definedName>
    <definedName name="Security_Wanrning___Excel_97_2003">#REF!</definedName>
    <definedName name="Security_Warning___Excel_2007">#REF!</definedName>
    <definedName name="Security_Warning___Excel_2010">#REF!</definedName>
    <definedName name="sefsgdsg" localSheetId="14" hidden="1">{#N/A,#N/A,TRUE,"Data Elements-Staffing";#N/A,#N/A,TRUE,"Data Elements-Exp Driv &amp; Assump";#N/A,#N/A,TRUE,"Staffing Sheet";#N/A,#N/A,TRUE,"Income";#N/A,#N/A,TRUE,"Income Summary";#N/A,#N/A,TRUE,"Staffing Summary"}</definedName>
    <definedName name="sefsgdsg" localSheetId="0" hidden="1">{#N/A,#N/A,TRUE,"Data Elements-Staffing";#N/A,#N/A,TRUE,"Data Elements-Exp Driv &amp; Assump";#N/A,#N/A,TRUE,"Staffing Sheet";#N/A,#N/A,TRUE,"Income";#N/A,#N/A,TRUE,"Income Summary";#N/A,#N/A,TRUE,"Staffing Summary"}</definedName>
    <definedName name="sefsgdsg" localSheetId="7" hidden="1">{#N/A,#N/A,TRUE,"Data Elements-Staffing";#N/A,#N/A,TRUE,"Data Elements-Exp Driv &amp; Assump";#N/A,#N/A,TRUE,"Staffing Sheet";#N/A,#N/A,TRUE,"Income";#N/A,#N/A,TRUE,"Income Summary";#N/A,#N/A,TRUE,"Staffing Summary"}</definedName>
    <definedName name="sefsgdsg" localSheetId="11" hidden="1">{#N/A,#N/A,TRUE,"Data Elements-Staffing";#N/A,#N/A,TRUE,"Data Elements-Exp Driv &amp; Assump";#N/A,#N/A,TRUE,"Staffing Sheet";#N/A,#N/A,TRUE,"Income";#N/A,#N/A,TRUE,"Income Summary";#N/A,#N/A,TRUE,"Staffing Summary"}</definedName>
    <definedName name="sefsgdsg" hidden="1">{#N/A,#N/A,TRUE,"Data Elements-Staffing";#N/A,#N/A,TRUE,"Data Elements-Exp Driv &amp; Assump";#N/A,#N/A,TRUE,"Staffing Sheet";#N/A,#N/A,TRUE,"Income";#N/A,#N/A,TRUE,"Income Summary";#N/A,#N/A,TRUE,"Staffing Summary"}</definedName>
    <definedName name="sencount" hidden="1">1</definedName>
    <definedName name="sep">#REF!</definedName>
    <definedName name="serv_perc">[15]list!$F$77:$F$96</definedName>
    <definedName name="serv_perc_H">[15]list!$F$77</definedName>
    <definedName name="servc_name">[15]list!$D$77:$D$96</definedName>
    <definedName name="servc_name_H">[15]list!$D$77</definedName>
    <definedName name="servc_name_perc">[49]list!$F$77</definedName>
    <definedName name="servcperc_name">[49]list!$F$77:$F$96</definedName>
    <definedName name="Service">[15]list!#REF!</definedName>
    <definedName name="services">[15]list!$A$76:$A$194</definedName>
    <definedName name="Sev" localSheetId="14">#REF!</definedName>
    <definedName name="Sev" localSheetId="0">#REF!</definedName>
    <definedName name="Sev" localSheetId="7">#REF!</definedName>
    <definedName name="Sev" localSheetId="11">#REF!</definedName>
    <definedName name="Sev">#REF!</definedName>
    <definedName name="Sev_3" localSheetId="14">#REF!</definedName>
    <definedName name="Sev_3" localSheetId="0">#REF!</definedName>
    <definedName name="Sev_3" localSheetId="7">#REF!</definedName>
    <definedName name="Sev_3" localSheetId="11">#REF!</definedName>
    <definedName name="Sev_3">#REF!</definedName>
    <definedName name="sf" localSheetId="14"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sf" localSheetId="0"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sf" localSheetId="7"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sf" localSheetId="1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sf"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SHARED_FORMULA_0">#N/A</definedName>
    <definedName name="SHARED_FORMULA_1">#N/A</definedName>
    <definedName name="SHARED_FORMULA_10">#N/A</definedName>
    <definedName name="SHARED_FORMULA_100">#N/A</definedName>
    <definedName name="SHARED_FORMULA_101">#N/A</definedName>
    <definedName name="SHARED_FORMULA_102">#N/A</definedName>
    <definedName name="SHARED_FORMULA_103">#N/A</definedName>
    <definedName name="SHARED_FORMULA_104">#N/A</definedName>
    <definedName name="SHARED_FORMULA_105">#N/A</definedName>
    <definedName name="SHARED_FORMULA_106">#N/A</definedName>
    <definedName name="SHARED_FORMULA_107">#N/A</definedName>
    <definedName name="SHARED_FORMULA_108">#N/A</definedName>
    <definedName name="SHARED_FORMULA_109">#N/A</definedName>
    <definedName name="SHARED_FORMULA_11">#N/A</definedName>
    <definedName name="SHARED_FORMULA_110">#N/A</definedName>
    <definedName name="SHARED_FORMULA_111">#N/A</definedName>
    <definedName name="SHARED_FORMULA_112">#N/A</definedName>
    <definedName name="SHARED_FORMULA_113">#N/A</definedName>
    <definedName name="SHARED_FORMULA_114">#N/A</definedName>
    <definedName name="SHARED_FORMULA_115">#N/A</definedName>
    <definedName name="SHARED_FORMULA_116">#N/A</definedName>
    <definedName name="SHARED_FORMULA_117">#N/A</definedName>
    <definedName name="SHARED_FORMULA_118">#N/A</definedName>
    <definedName name="SHARED_FORMULA_119">#N/A</definedName>
    <definedName name="SHARED_FORMULA_12">#N/A</definedName>
    <definedName name="SHARED_FORMULA_120">#N/A</definedName>
    <definedName name="SHARED_FORMULA_121">#N/A</definedName>
    <definedName name="SHARED_FORMULA_122">#N/A</definedName>
    <definedName name="SHARED_FORMULA_123">#N/A</definedName>
    <definedName name="SHARED_FORMULA_124">#N/A</definedName>
    <definedName name="SHARED_FORMULA_125">#N/A</definedName>
    <definedName name="SHARED_FORMULA_126">#N/A</definedName>
    <definedName name="SHARED_FORMULA_127">#N/A</definedName>
    <definedName name="SHARED_FORMULA_128">#N/A</definedName>
    <definedName name="SHARED_FORMULA_129">#N/A</definedName>
    <definedName name="SHARED_FORMULA_13">#N/A</definedName>
    <definedName name="SHARED_FORMULA_130">#N/A</definedName>
    <definedName name="SHARED_FORMULA_131">#N/A</definedName>
    <definedName name="SHARED_FORMULA_132">#N/A</definedName>
    <definedName name="SHARED_FORMULA_133">#N/A</definedName>
    <definedName name="SHARED_FORMULA_134">#N/A</definedName>
    <definedName name="SHARED_FORMULA_135">#N/A</definedName>
    <definedName name="SHARED_FORMULA_136">#N/A</definedName>
    <definedName name="SHARED_FORMULA_137">#N/A</definedName>
    <definedName name="SHARED_FORMULA_138">#N/A</definedName>
    <definedName name="SHARED_FORMULA_139">#N/A</definedName>
    <definedName name="SHARED_FORMULA_14">#N/A</definedName>
    <definedName name="SHARED_FORMULA_140">#N/A</definedName>
    <definedName name="SHARED_FORMULA_141">#N/A</definedName>
    <definedName name="SHARED_FORMULA_142">#N/A</definedName>
    <definedName name="SHARED_FORMULA_143">#N/A</definedName>
    <definedName name="SHARED_FORMULA_144">#N/A</definedName>
    <definedName name="SHARED_FORMULA_145">#N/A</definedName>
    <definedName name="SHARED_FORMULA_146">#N/A</definedName>
    <definedName name="SHARED_FORMULA_147">#N/A</definedName>
    <definedName name="SHARED_FORMULA_148">#N/A</definedName>
    <definedName name="SHARED_FORMULA_149">#N/A</definedName>
    <definedName name="SHARED_FORMULA_15">#N/A</definedName>
    <definedName name="SHARED_FORMULA_150">#N/A</definedName>
    <definedName name="SHARED_FORMULA_151">#N/A</definedName>
    <definedName name="SHARED_FORMULA_152">#N/A</definedName>
    <definedName name="SHARED_FORMULA_153">#N/A</definedName>
    <definedName name="SHARED_FORMULA_154">#N/A</definedName>
    <definedName name="SHARED_FORMULA_155">#N/A</definedName>
    <definedName name="SHARED_FORMULA_156">#N/A</definedName>
    <definedName name="SHARED_FORMULA_157">#N/A</definedName>
    <definedName name="SHARED_FORMULA_158">#N/A</definedName>
    <definedName name="SHARED_FORMULA_159">#N/A</definedName>
    <definedName name="SHARED_FORMULA_16">#N/A</definedName>
    <definedName name="SHARED_FORMULA_160">#N/A</definedName>
    <definedName name="SHARED_FORMULA_161">#N/A</definedName>
    <definedName name="SHARED_FORMULA_162">#N/A</definedName>
    <definedName name="SHARED_FORMULA_163">#N/A</definedName>
    <definedName name="SHARED_FORMULA_164">#N/A</definedName>
    <definedName name="SHARED_FORMULA_165">#N/A</definedName>
    <definedName name="SHARED_FORMULA_166">#N/A</definedName>
    <definedName name="SHARED_FORMULA_167">#N/A</definedName>
    <definedName name="SHARED_FORMULA_168">#N/A</definedName>
    <definedName name="SHARED_FORMULA_169">#N/A</definedName>
    <definedName name="SHARED_FORMULA_17">#N/A</definedName>
    <definedName name="SHARED_FORMULA_170">#N/A</definedName>
    <definedName name="SHARED_FORMULA_171">#N/A</definedName>
    <definedName name="SHARED_FORMULA_172">#N/A</definedName>
    <definedName name="SHARED_FORMULA_173">#N/A</definedName>
    <definedName name="SHARED_FORMULA_174">#N/A</definedName>
    <definedName name="SHARED_FORMULA_175">#N/A</definedName>
    <definedName name="SHARED_FORMULA_176">#N/A</definedName>
    <definedName name="SHARED_FORMULA_177">#N/A</definedName>
    <definedName name="SHARED_FORMULA_178">#N/A</definedName>
    <definedName name="SHARED_FORMULA_179">#N/A</definedName>
    <definedName name="SHARED_FORMULA_18">#N/A</definedName>
    <definedName name="SHARED_FORMULA_180">#N/A</definedName>
    <definedName name="SHARED_FORMULA_181">#N/A</definedName>
    <definedName name="SHARED_FORMULA_182">#N/A</definedName>
    <definedName name="SHARED_FORMULA_183">#N/A</definedName>
    <definedName name="SHARED_FORMULA_184">#N/A</definedName>
    <definedName name="SHARED_FORMULA_185">#N/A</definedName>
    <definedName name="SHARED_FORMULA_186">#N/A</definedName>
    <definedName name="SHARED_FORMULA_187">#N/A</definedName>
    <definedName name="SHARED_FORMULA_188">#N/A</definedName>
    <definedName name="SHARED_FORMULA_189">#N/A</definedName>
    <definedName name="SHARED_FORMULA_19">#N/A</definedName>
    <definedName name="SHARED_FORMULA_190">#N/A</definedName>
    <definedName name="SHARED_FORMULA_191">#N/A</definedName>
    <definedName name="SHARED_FORMULA_192">#N/A</definedName>
    <definedName name="SHARED_FORMULA_193">#N/A</definedName>
    <definedName name="SHARED_FORMULA_194">#N/A</definedName>
    <definedName name="SHARED_FORMULA_195">#N/A</definedName>
    <definedName name="SHARED_FORMULA_196">#N/A</definedName>
    <definedName name="SHARED_FORMULA_197">#N/A</definedName>
    <definedName name="SHARED_FORMULA_198">#N/A</definedName>
    <definedName name="SHARED_FORMULA_199">#N/A</definedName>
    <definedName name="SHARED_FORMULA_2">#N/A</definedName>
    <definedName name="SHARED_FORMULA_20">#N/A</definedName>
    <definedName name="SHARED_FORMULA_200">#N/A</definedName>
    <definedName name="SHARED_FORMULA_201">#N/A</definedName>
    <definedName name="SHARED_FORMULA_202">#N/A</definedName>
    <definedName name="SHARED_FORMULA_203">#N/A</definedName>
    <definedName name="SHARED_FORMULA_204">#N/A</definedName>
    <definedName name="SHARED_FORMULA_205">#N/A</definedName>
    <definedName name="SHARED_FORMULA_206">#N/A</definedName>
    <definedName name="SHARED_FORMULA_207">#N/A</definedName>
    <definedName name="SHARED_FORMULA_208">#N/A</definedName>
    <definedName name="SHARED_FORMULA_209">#N/A</definedName>
    <definedName name="SHARED_FORMULA_21">#N/A</definedName>
    <definedName name="SHARED_FORMULA_210">#N/A</definedName>
    <definedName name="SHARED_FORMULA_211">#N/A</definedName>
    <definedName name="SHARED_FORMULA_212">#N/A</definedName>
    <definedName name="SHARED_FORMULA_213">#N/A</definedName>
    <definedName name="SHARED_FORMULA_214">#N/A</definedName>
    <definedName name="SHARED_FORMULA_215">#N/A</definedName>
    <definedName name="SHARED_FORMULA_216">#N/A</definedName>
    <definedName name="SHARED_FORMULA_217">#N/A</definedName>
    <definedName name="SHARED_FORMULA_218">#N/A</definedName>
    <definedName name="SHARED_FORMULA_219">#N/A</definedName>
    <definedName name="SHARED_FORMULA_22">#N/A</definedName>
    <definedName name="SHARED_FORMULA_220">#N/A</definedName>
    <definedName name="SHARED_FORMULA_221">#N/A</definedName>
    <definedName name="SHARED_FORMULA_222">#N/A</definedName>
    <definedName name="SHARED_FORMULA_223">#N/A</definedName>
    <definedName name="SHARED_FORMULA_224">#N/A</definedName>
    <definedName name="SHARED_FORMULA_225">#N/A</definedName>
    <definedName name="SHARED_FORMULA_226">#N/A</definedName>
    <definedName name="SHARED_FORMULA_227">#N/A</definedName>
    <definedName name="SHARED_FORMULA_228">#N/A</definedName>
    <definedName name="SHARED_FORMULA_229">#N/A</definedName>
    <definedName name="SHARED_FORMULA_23">#N/A</definedName>
    <definedName name="SHARED_FORMULA_230">#N/A</definedName>
    <definedName name="SHARED_FORMULA_231">#N/A</definedName>
    <definedName name="SHARED_FORMULA_232">#N/A</definedName>
    <definedName name="SHARED_FORMULA_233">#N/A</definedName>
    <definedName name="SHARED_FORMULA_234">#N/A</definedName>
    <definedName name="SHARED_FORMULA_235">#N/A</definedName>
    <definedName name="SHARED_FORMULA_236">#N/A</definedName>
    <definedName name="SHARED_FORMULA_237">#N/A</definedName>
    <definedName name="SHARED_FORMULA_238">#N/A</definedName>
    <definedName name="SHARED_FORMULA_239">#N/A</definedName>
    <definedName name="SHARED_FORMULA_24">#N/A</definedName>
    <definedName name="SHARED_FORMULA_240">#N/A</definedName>
    <definedName name="SHARED_FORMULA_241">#N/A</definedName>
    <definedName name="SHARED_FORMULA_242">#N/A</definedName>
    <definedName name="SHARED_FORMULA_243">#N/A</definedName>
    <definedName name="SHARED_FORMULA_244">#N/A</definedName>
    <definedName name="SHARED_FORMULA_245">#N/A</definedName>
    <definedName name="SHARED_FORMULA_246">#N/A</definedName>
    <definedName name="SHARED_FORMULA_247">#N/A</definedName>
    <definedName name="SHARED_FORMULA_248">#N/A</definedName>
    <definedName name="SHARED_FORMULA_249">#N/A</definedName>
    <definedName name="SHARED_FORMULA_25">#N/A</definedName>
    <definedName name="SHARED_FORMULA_250">#N/A</definedName>
    <definedName name="SHARED_FORMULA_251">#N/A</definedName>
    <definedName name="SHARED_FORMULA_252">#N/A</definedName>
    <definedName name="SHARED_FORMULA_253">#N/A</definedName>
    <definedName name="SHARED_FORMULA_254">#N/A</definedName>
    <definedName name="SHARED_FORMULA_255">#N/A</definedName>
    <definedName name="SHARED_FORMULA_256">#N/A</definedName>
    <definedName name="SHARED_FORMULA_257">#N/A</definedName>
    <definedName name="SHARED_FORMULA_258">#N/A</definedName>
    <definedName name="SHARED_FORMULA_259">#N/A</definedName>
    <definedName name="SHARED_FORMULA_26">#N/A</definedName>
    <definedName name="SHARED_FORMULA_260">#N/A</definedName>
    <definedName name="SHARED_FORMULA_261">#N/A</definedName>
    <definedName name="SHARED_FORMULA_262">#N/A</definedName>
    <definedName name="SHARED_FORMULA_263">#N/A</definedName>
    <definedName name="SHARED_FORMULA_264">#N/A</definedName>
    <definedName name="SHARED_FORMULA_265">#N/A</definedName>
    <definedName name="SHARED_FORMULA_266">#N/A</definedName>
    <definedName name="SHARED_FORMULA_267">#N/A</definedName>
    <definedName name="SHARED_FORMULA_268">#N/A</definedName>
    <definedName name="SHARED_FORMULA_269">#N/A</definedName>
    <definedName name="SHARED_FORMULA_27">#N/A</definedName>
    <definedName name="SHARED_FORMULA_270">#N/A</definedName>
    <definedName name="SHARED_FORMULA_271">#N/A</definedName>
    <definedName name="SHARED_FORMULA_272">#N/A</definedName>
    <definedName name="SHARED_FORMULA_273">#N/A</definedName>
    <definedName name="SHARED_FORMULA_274">#N/A</definedName>
    <definedName name="SHARED_FORMULA_275">#N/A</definedName>
    <definedName name="SHARED_FORMULA_276">#N/A</definedName>
    <definedName name="SHARED_FORMULA_277">#N/A</definedName>
    <definedName name="SHARED_FORMULA_278">#N/A</definedName>
    <definedName name="SHARED_FORMULA_279">#N/A</definedName>
    <definedName name="SHARED_FORMULA_28">#N/A</definedName>
    <definedName name="SHARED_FORMULA_280">#N/A</definedName>
    <definedName name="SHARED_FORMULA_281">#N/A</definedName>
    <definedName name="SHARED_FORMULA_282">#N/A</definedName>
    <definedName name="SHARED_FORMULA_283">#N/A</definedName>
    <definedName name="SHARED_FORMULA_284">#N/A</definedName>
    <definedName name="SHARED_FORMULA_285">#N/A</definedName>
    <definedName name="SHARED_FORMULA_286">#N/A</definedName>
    <definedName name="SHARED_FORMULA_287">#N/A</definedName>
    <definedName name="SHARED_FORMULA_288">#N/A</definedName>
    <definedName name="SHARED_FORMULA_289">#N/A</definedName>
    <definedName name="SHARED_FORMULA_29">#N/A</definedName>
    <definedName name="SHARED_FORMULA_290">#N/A</definedName>
    <definedName name="SHARED_FORMULA_291">#N/A</definedName>
    <definedName name="SHARED_FORMULA_292">#N/A</definedName>
    <definedName name="SHARED_FORMULA_293">#N/A</definedName>
    <definedName name="SHARED_FORMULA_294">#N/A</definedName>
    <definedName name="SHARED_FORMULA_295">#N/A</definedName>
    <definedName name="SHARED_FORMULA_296">#N/A</definedName>
    <definedName name="SHARED_FORMULA_297">#N/A</definedName>
    <definedName name="SHARED_FORMULA_298">#N/A</definedName>
    <definedName name="SHARED_FORMULA_299">#N/A</definedName>
    <definedName name="SHARED_FORMULA_3">#N/A</definedName>
    <definedName name="SHARED_FORMULA_30">#N/A</definedName>
    <definedName name="SHARED_FORMULA_300">#N/A</definedName>
    <definedName name="SHARED_FORMULA_301">#N/A</definedName>
    <definedName name="SHARED_FORMULA_302">#N/A</definedName>
    <definedName name="SHARED_FORMULA_303">#N/A</definedName>
    <definedName name="SHARED_FORMULA_304">#N/A</definedName>
    <definedName name="SHARED_FORMULA_305">#N/A</definedName>
    <definedName name="SHARED_FORMULA_306">#N/A</definedName>
    <definedName name="SHARED_FORMULA_307">#N/A</definedName>
    <definedName name="SHARED_FORMULA_308">#N/A</definedName>
    <definedName name="SHARED_FORMULA_309">#N/A</definedName>
    <definedName name="SHARED_FORMULA_31">#N/A</definedName>
    <definedName name="SHARED_FORMULA_310">#N/A</definedName>
    <definedName name="SHARED_FORMULA_311">#N/A</definedName>
    <definedName name="SHARED_FORMULA_312">#N/A</definedName>
    <definedName name="SHARED_FORMULA_313">#N/A</definedName>
    <definedName name="SHARED_FORMULA_314">#N/A</definedName>
    <definedName name="SHARED_FORMULA_315">#N/A</definedName>
    <definedName name="SHARED_FORMULA_316">#N/A</definedName>
    <definedName name="SHARED_FORMULA_317">#N/A</definedName>
    <definedName name="SHARED_FORMULA_318">#N/A</definedName>
    <definedName name="SHARED_FORMULA_319">#N/A</definedName>
    <definedName name="SHARED_FORMULA_32">#N/A</definedName>
    <definedName name="SHARED_FORMULA_320">#N/A</definedName>
    <definedName name="SHARED_FORMULA_321">#N/A</definedName>
    <definedName name="SHARED_FORMULA_322">#N/A</definedName>
    <definedName name="SHARED_FORMULA_323">#N/A</definedName>
    <definedName name="SHARED_FORMULA_324">#N/A</definedName>
    <definedName name="SHARED_FORMULA_325">#N/A</definedName>
    <definedName name="SHARED_FORMULA_326">#N/A</definedName>
    <definedName name="SHARED_FORMULA_327">#N/A</definedName>
    <definedName name="SHARED_FORMULA_328">#N/A</definedName>
    <definedName name="SHARED_FORMULA_329">#N/A</definedName>
    <definedName name="SHARED_FORMULA_33">#N/A</definedName>
    <definedName name="SHARED_FORMULA_330">#N/A</definedName>
    <definedName name="SHARED_FORMULA_331">#N/A</definedName>
    <definedName name="SHARED_FORMULA_332">#N/A</definedName>
    <definedName name="SHARED_FORMULA_333">#N/A</definedName>
    <definedName name="SHARED_FORMULA_334">#N/A</definedName>
    <definedName name="SHARED_FORMULA_335">#N/A</definedName>
    <definedName name="SHARED_FORMULA_336">#N/A</definedName>
    <definedName name="SHARED_FORMULA_337">#N/A</definedName>
    <definedName name="SHARED_FORMULA_338">#N/A</definedName>
    <definedName name="SHARED_FORMULA_339">#N/A</definedName>
    <definedName name="SHARED_FORMULA_34">#N/A</definedName>
    <definedName name="SHARED_FORMULA_340">#N/A</definedName>
    <definedName name="SHARED_FORMULA_341">#N/A</definedName>
    <definedName name="SHARED_FORMULA_342">#N/A</definedName>
    <definedName name="SHARED_FORMULA_343">#N/A</definedName>
    <definedName name="SHARED_FORMULA_344">#N/A</definedName>
    <definedName name="SHARED_FORMULA_345">#N/A</definedName>
    <definedName name="SHARED_FORMULA_346">#N/A</definedName>
    <definedName name="SHARED_FORMULA_347">#N/A</definedName>
    <definedName name="SHARED_FORMULA_348">#N/A</definedName>
    <definedName name="SHARED_FORMULA_349">#N/A</definedName>
    <definedName name="SHARED_FORMULA_35">#N/A</definedName>
    <definedName name="SHARED_FORMULA_350">#N/A</definedName>
    <definedName name="SHARED_FORMULA_351">#N/A</definedName>
    <definedName name="SHARED_FORMULA_352">#N/A</definedName>
    <definedName name="SHARED_FORMULA_353">#N/A</definedName>
    <definedName name="SHARED_FORMULA_354">#N/A</definedName>
    <definedName name="SHARED_FORMULA_355">#N/A</definedName>
    <definedName name="SHARED_FORMULA_356">#N/A</definedName>
    <definedName name="SHARED_FORMULA_357">#N/A</definedName>
    <definedName name="SHARED_FORMULA_358">#N/A</definedName>
    <definedName name="SHARED_FORMULA_359">#N/A</definedName>
    <definedName name="SHARED_FORMULA_36">#N/A</definedName>
    <definedName name="SHARED_FORMULA_360">#N/A</definedName>
    <definedName name="SHARED_FORMULA_361">#N/A</definedName>
    <definedName name="SHARED_FORMULA_362">#N/A</definedName>
    <definedName name="SHARED_FORMULA_363">#N/A</definedName>
    <definedName name="SHARED_FORMULA_364">#N/A</definedName>
    <definedName name="SHARED_FORMULA_365">#N/A</definedName>
    <definedName name="SHARED_FORMULA_366">#N/A</definedName>
    <definedName name="SHARED_FORMULA_367">#N/A</definedName>
    <definedName name="SHARED_FORMULA_368">#N/A</definedName>
    <definedName name="SHARED_FORMULA_369">#N/A</definedName>
    <definedName name="SHARED_FORMULA_37">#N/A</definedName>
    <definedName name="SHARED_FORMULA_370">#N/A</definedName>
    <definedName name="SHARED_FORMULA_371">#N/A</definedName>
    <definedName name="SHARED_FORMULA_372">#N/A</definedName>
    <definedName name="SHARED_FORMULA_373">#N/A</definedName>
    <definedName name="SHARED_FORMULA_374">#N/A</definedName>
    <definedName name="SHARED_FORMULA_375">#N/A</definedName>
    <definedName name="SHARED_FORMULA_376">#N/A</definedName>
    <definedName name="SHARED_FORMULA_377">#N/A</definedName>
    <definedName name="SHARED_FORMULA_378">#N/A</definedName>
    <definedName name="SHARED_FORMULA_379">#N/A</definedName>
    <definedName name="SHARED_FORMULA_38">#N/A</definedName>
    <definedName name="SHARED_FORMULA_380">#N/A</definedName>
    <definedName name="SHARED_FORMULA_381">#N/A</definedName>
    <definedName name="SHARED_FORMULA_382">#N/A</definedName>
    <definedName name="SHARED_FORMULA_383">#N/A</definedName>
    <definedName name="SHARED_FORMULA_384">#N/A</definedName>
    <definedName name="SHARED_FORMULA_385">#N/A</definedName>
    <definedName name="SHARED_FORMULA_386">#N/A</definedName>
    <definedName name="SHARED_FORMULA_387">#N/A</definedName>
    <definedName name="SHARED_FORMULA_388">#N/A</definedName>
    <definedName name="SHARED_FORMULA_389">#N/A</definedName>
    <definedName name="SHARED_FORMULA_39">#N/A</definedName>
    <definedName name="SHARED_FORMULA_390">#N/A</definedName>
    <definedName name="SHARED_FORMULA_391">#N/A</definedName>
    <definedName name="SHARED_FORMULA_392">#N/A</definedName>
    <definedName name="SHARED_FORMULA_393">#N/A</definedName>
    <definedName name="SHARED_FORMULA_394">#N/A</definedName>
    <definedName name="SHARED_FORMULA_395">#N/A</definedName>
    <definedName name="SHARED_FORMULA_396">#N/A</definedName>
    <definedName name="SHARED_FORMULA_397">#N/A</definedName>
    <definedName name="SHARED_FORMULA_398">#N/A</definedName>
    <definedName name="SHARED_FORMULA_399">#N/A</definedName>
    <definedName name="SHARED_FORMULA_4">#N/A</definedName>
    <definedName name="SHARED_FORMULA_40">#N/A</definedName>
    <definedName name="SHARED_FORMULA_400">#N/A</definedName>
    <definedName name="SHARED_FORMULA_401">#N/A</definedName>
    <definedName name="SHARED_FORMULA_402">#N/A</definedName>
    <definedName name="SHARED_FORMULA_403">#N/A</definedName>
    <definedName name="SHARED_FORMULA_404">#N/A</definedName>
    <definedName name="SHARED_FORMULA_405">#N/A</definedName>
    <definedName name="SHARED_FORMULA_406">#N/A</definedName>
    <definedName name="SHARED_FORMULA_407">#N/A</definedName>
    <definedName name="SHARED_FORMULA_408">#N/A</definedName>
    <definedName name="SHARED_FORMULA_409">#N/A</definedName>
    <definedName name="SHARED_FORMULA_41">#N/A</definedName>
    <definedName name="SHARED_FORMULA_410">#N/A</definedName>
    <definedName name="SHARED_FORMULA_411">#N/A</definedName>
    <definedName name="SHARED_FORMULA_412">#N/A</definedName>
    <definedName name="SHARED_FORMULA_413">#N/A</definedName>
    <definedName name="SHARED_FORMULA_414">#N/A</definedName>
    <definedName name="SHARED_FORMULA_415">#N/A</definedName>
    <definedName name="SHARED_FORMULA_416">#N/A</definedName>
    <definedName name="SHARED_FORMULA_417">#N/A</definedName>
    <definedName name="SHARED_FORMULA_418">#N/A</definedName>
    <definedName name="SHARED_FORMULA_419">#N/A</definedName>
    <definedName name="SHARED_FORMULA_42">#N/A</definedName>
    <definedName name="SHARED_FORMULA_420">#N/A</definedName>
    <definedName name="SHARED_FORMULA_421">#N/A</definedName>
    <definedName name="SHARED_FORMULA_422">#N/A</definedName>
    <definedName name="SHARED_FORMULA_423">#N/A</definedName>
    <definedName name="SHARED_FORMULA_424">#N/A</definedName>
    <definedName name="SHARED_FORMULA_425">#N/A</definedName>
    <definedName name="SHARED_FORMULA_426">#N/A</definedName>
    <definedName name="SHARED_FORMULA_427">#N/A</definedName>
    <definedName name="SHARED_FORMULA_428">#N/A</definedName>
    <definedName name="SHARED_FORMULA_429">#N/A</definedName>
    <definedName name="SHARED_FORMULA_43">#N/A</definedName>
    <definedName name="SHARED_FORMULA_430">#N/A</definedName>
    <definedName name="SHARED_FORMULA_431">#N/A</definedName>
    <definedName name="SHARED_FORMULA_432">#N/A</definedName>
    <definedName name="SHARED_FORMULA_433">#N/A</definedName>
    <definedName name="SHARED_FORMULA_434">#N/A</definedName>
    <definedName name="SHARED_FORMULA_435">#N/A</definedName>
    <definedName name="SHARED_FORMULA_436">#N/A</definedName>
    <definedName name="SHARED_FORMULA_437">#N/A</definedName>
    <definedName name="SHARED_FORMULA_438">#N/A</definedName>
    <definedName name="SHARED_FORMULA_439">#N/A</definedName>
    <definedName name="SHARED_FORMULA_44">#N/A</definedName>
    <definedName name="SHARED_FORMULA_440">#N/A</definedName>
    <definedName name="SHARED_FORMULA_441">#N/A</definedName>
    <definedName name="SHARED_FORMULA_442">#N/A</definedName>
    <definedName name="SHARED_FORMULA_443">#N/A</definedName>
    <definedName name="SHARED_FORMULA_444">#N/A</definedName>
    <definedName name="SHARED_FORMULA_445">#N/A</definedName>
    <definedName name="SHARED_FORMULA_446">#N/A</definedName>
    <definedName name="SHARED_FORMULA_447">#N/A</definedName>
    <definedName name="SHARED_FORMULA_448">#N/A</definedName>
    <definedName name="SHARED_FORMULA_449">#N/A</definedName>
    <definedName name="SHARED_FORMULA_45">#N/A</definedName>
    <definedName name="SHARED_FORMULA_450">#N/A</definedName>
    <definedName name="SHARED_FORMULA_451">#N/A</definedName>
    <definedName name="SHARED_FORMULA_452">#N/A</definedName>
    <definedName name="SHARED_FORMULA_453">#N/A</definedName>
    <definedName name="SHARED_FORMULA_454">#N/A</definedName>
    <definedName name="SHARED_FORMULA_455">#N/A</definedName>
    <definedName name="SHARED_FORMULA_456">#N/A</definedName>
    <definedName name="SHARED_FORMULA_457">#N/A</definedName>
    <definedName name="SHARED_FORMULA_458">#N/A</definedName>
    <definedName name="SHARED_FORMULA_459">#N/A</definedName>
    <definedName name="SHARED_FORMULA_46">#N/A</definedName>
    <definedName name="SHARED_FORMULA_460">#N/A</definedName>
    <definedName name="SHARED_FORMULA_461">#N/A</definedName>
    <definedName name="SHARED_FORMULA_462">#N/A</definedName>
    <definedName name="SHARED_FORMULA_463">#N/A</definedName>
    <definedName name="SHARED_FORMULA_464">#N/A</definedName>
    <definedName name="SHARED_FORMULA_465">#N/A</definedName>
    <definedName name="SHARED_FORMULA_466">#N/A</definedName>
    <definedName name="SHARED_FORMULA_467">#N/A</definedName>
    <definedName name="SHARED_FORMULA_468">#N/A</definedName>
    <definedName name="SHARED_FORMULA_469">#N/A</definedName>
    <definedName name="SHARED_FORMULA_47">#N/A</definedName>
    <definedName name="SHARED_FORMULA_470">#N/A</definedName>
    <definedName name="SHARED_FORMULA_471">#N/A</definedName>
    <definedName name="SHARED_FORMULA_472">#N/A</definedName>
    <definedName name="SHARED_FORMULA_473">#N/A</definedName>
    <definedName name="SHARED_FORMULA_474">#N/A</definedName>
    <definedName name="SHARED_FORMULA_475">#N/A</definedName>
    <definedName name="SHARED_FORMULA_476">#N/A</definedName>
    <definedName name="SHARED_FORMULA_477">#N/A</definedName>
    <definedName name="SHARED_FORMULA_478">#N/A</definedName>
    <definedName name="SHARED_FORMULA_479">#N/A</definedName>
    <definedName name="SHARED_FORMULA_48">#N/A</definedName>
    <definedName name="SHARED_FORMULA_480">#N/A</definedName>
    <definedName name="SHARED_FORMULA_481">#N/A</definedName>
    <definedName name="SHARED_FORMULA_482">#N/A</definedName>
    <definedName name="SHARED_FORMULA_483">#N/A</definedName>
    <definedName name="SHARED_FORMULA_484">#N/A</definedName>
    <definedName name="SHARED_FORMULA_485">#N/A</definedName>
    <definedName name="SHARED_FORMULA_486">#N/A</definedName>
    <definedName name="SHARED_FORMULA_487">#N/A</definedName>
    <definedName name="SHARED_FORMULA_488">#N/A</definedName>
    <definedName name="SHARED_FORMULA_489">#N/A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59">#N/A</definedName>
    <definedName name="SHARED_FORMULA_6">#N/A</definedName>
    <definedName name="SHARED_FORMULA_60">#N/A</definedName>
    <definedName name="SHARED_FORMULA_61">#N/A</definedName>
    <definedName name="SHARED_FORMULA_62">#N/A</definedName>
    <definedName name="SHARED_FORMULA_63">#N/A</definedName>
    <definedName name="SHARED_FORMULA_64">#N/A</definedName>
    <definedName name="SHARED_FORMULA_65">#N/A</definedName>
    <definedName name="SHARED_FORMULA_66">#N/A</definedName>
    <definedName name="SHARED_FORMULA_67">#N/A</definedName>
    <definedName name="SHARED_FORMULA_68">#N/A</definedName>
    <definedName name="SHARED_FORMULA_69">#N/A</definedName>
    <definedName name="SHARED_FORMULA_7">#N/A</definedName>
    <definedName name="SHARED_FORMULA_70">#N/A</definedName>
    <definedName name="SHARED_FORMULA_71">#N/A</definedName>
    <definedName name="SHARED_FORMULA_72">#N/A</definedName>
    <definedName name="SHARED_FORMULA_73">#N/A</definedName>
    <definedName name="SHARED_FORMULA_74">#N/A</definedName>
    <definedName name="SHARED_FORMULA_75">#N/A</definedName>
    <definedName name="SHARED_FORMULA_76">#N/A</definedName>
    <definedName name="SHARED_FORMULA_77">#N/A</definedName>
    <definedName name="SHARED_FORMULA_78">#N/A</definedName>
    <definedName name="SHARED_FORMULA_79">#N/A</definedName>
    <definedName name="SHARED_FORMULA_8">#N/A</definedName>
    <definedName name="SHARED_FORMULA_80">#N/A</definedName>
    <definedName name="SHARED_FORMULA_81">#N/A</definedName>
    <definedName name="SHARED_FORMULA_82">#N/A</definedName>
    <definedName name="SHARED_FORMULA_83">#N/A</definedName>
    <definedName name="SHARED_FORMULA_84">#N/A</definedName>
    <definedName name="SHARED_FORMULA_85">#N/A</definedName>
    <definedName name="SHARED_FORMULA_86">#N/A</definedName>
    <definedName name="SHARED_FORMULA_87">#N/A</definedName>
    <definedName name="SHARED_FORMULA_88">#N/A</definedName>
    <definedName name="SHARED_FORMULA_89">#N/A</definedName>
    <definedName name="SHARED_FORMULA_9">#N/A</definedName>
    <definedName name="SHARED_FORMULA_90">#N/A</definedName>
    <definedName name="SHARED_FORMULA_91">#N/A</definedName>
    <definedName name="SHARED_FORMULA_92">#N/A</definedName>
    <definedName name="SHARED_FORMULA_93">#N/A</definedName>
    <definedName name="SHARED_FORMULA_94">#N/A</definedName>
    <definedName name="SHARED_FORMULA_95">#N/A</definedName>
    <definedName name="SHARED_FORMULA_96">#N/A</definedName>
    <definedName name="SHARED_FORMULA_97">#N/A</definedName>
    <definedName name="SHARED_FORMULA_98">#N/A</definedName>
    <definedName name="SHARED_FORMULA_99">#N/A</definedName>
    <definedName name="sheet" localSheetId="14">{#N/A,#N/A,TRUE,"Introduction";#N/A,#N/A,TRUE,"Operating Statistics";#N/A,#N/A,TRUE,"Capex &amp; Depreciation";#N/A,#N/A,TRUE,"Equity";#N/A,#N/A,TRUE,"Debt";#N/A,#N/A,TRUE,"Debt (2)";#N/A,#N/A,TRUE,"Financials";#N/A,#N/A,TRUE,"Market Info";#N/A,#N/A,TRUE,"Company Card";#N/A,#N/A,TRUE,"One Pager";#N/A,#N/A,TRUE,"First Page";#N/A,#N/A,TRUE,"Technical";#N/A,#N/A,TRUE,"Range Names"}</definedName>
    <definedName name="sheet" localSheetId="0">{#N/A,#N/A,TRUE,"Introduction";#N/A,#N/A,TRUE,"Operating Statistics";#N/A,#N/A,TRUE,"Capex &amp; Depreciation";#N/A,#N/A,TRUE,"Equity";#N/A,#N/A,TRUE,"Debt";#N/A,#N/A,TRUE,"Debt (2)";#N/A,#N/A,TRUE,"Financials";#N/A,#N/A,TRUE,"Market Info";#N/A,#N/A,TRUE,"Company Card";#N/A,#N/A,TRUE,"One Pager";#N/A,#N/A,TRUE,"First Page";#N/A,#N/A,TRUE,"Technical";#N/A,#N/A,TRUE,"Range Names"}</definedName>
    <definedName name="sheet" localSheetId="7">{#N/A,#N/A,TRUE,"Introduction";#N/A,#N/A,TRUE,"Operating Statistics";#N/A,#N/A,TRUE,"Capex &amp; Depreciation";#N/A,#N/A,TRUE,"Equity";#N/A,#N/A,TRUE,"Debt";#N/A,#N/A,TRUE,"Debt (2)";#N/A,#N/A,TRUE,"Financials";#N/A,#N/A,TRUE,"Market Info";#N/A,#N/A,TRUE,"Company Card";#N/A,#N/A,TRUE,"One Pager";#N/A,#N/A,TRUE,"First Page";#N/A,#N/A,TRUE,"Technical";#N/A,#N/A,TRUE,"Range Names"}</definedName>
    <definedName name="sheet" localSheetId="11">{#N/A,#N/A,TRUE,"Introduction";#N/A,#N/A,TRUE,"Operating Statistics";#N/A,#N/A,TRUE,"Capex &amp; Depreciation";#N/A,#N/A,TRUE,"Equity";#N/A,#N/A,TRUE,"Debt";#N/A,#N/A,TRUE,"Debt (2)";#N/A,#N/A,TRUE,"Financials";#N/A,#N/A,TRUE,"Market Info";#N/A,#N/A,TRUE,"Company Card";#N/A,#N/A,TRUE,"One Pager";#N/A,#N/A,TRUE,"First Page";#N/A,#N/A,TRUE,"Technical";#N/A,#N/A,TRUE,"Range Names"}</definedName>
    <definedName name="sheet">{#N/A,#N/A,TRUE,"Introduction";#N/A,#N/A,TRUE,"Operating Statistics";#N/A,#N/A,TRUE,"Capex &amp; Depreciation";#N/A,#N/A,TRUE,"Equity";#N/A,#N/A,TRUE,"Debt";#N/A,#N/A,TRUE,"Debt (2)";#N/A,#N/A,TRUE,"Financials";#N/A,#N/A,TRUE,"Market Info";#N/A,#N/A,TRUE,"Company Card";#N/A,#N/A,TRUE,"One Pager";#N/A,#N/A,TRUE,"First Page";#N/A,#N/A,TRUE,"Technical";#N/A,#N/A,TRUE,"Range Names"}</definedName>
    <definedName name="Sheet_1_ListCol_1">[50]INTER!$A$8:$A$20</definedName>
    <definedName name="Sheet_1_ListCol_6">[50]INTER!$F$22:$F$24</definedName>
    <definedName name="Sheet_2_ListCol_1">[50]INTER!$A$26:$A$38</definedName>
    <definedName name="Sheet_Challan_ListCol_9" localSheetId="14">#REF!</definedName>
    <definedName name="Sheet_Challan_ListCol_9" localSheetId="7">#REF!</definedName>
    <definedName name="Sheet_Challan_ListCol_9">#REF!</definedName>
    <definedName name="Sheet_Deductee_ListCol_7" localSheetId="14">#REF!</definedName>
    <definedName name="Sheet_Deductee_ListCol_7" localSheetId="7">#REF!</definedName>
    <definedName name="Sheet_Deductee_ListCol_7">#REF!</definedName>
    <definedName name="Sheet_Deductee_ListCol_9" localSheetId="14">#REF!</definedName>
    <definedName name="Sheet_Deductee_ListCol_9" localSheetId="7">#REF!</definedName>
    <definedName name="Sheet_Deductee_ListCol_9">#REF!</definedName>
    <definedName name="Sheet_Deduction_ListCol_1">#REF!</definedName>
    <definedName name="Sheet_Deduction_ListCol_14">#REF!</definedName>
    <definedName name="sheet2">[6]RNT!#REF!</definedName>
    <definedName name="Show.Acct.Update.Warning" localSheetId="14" hidden="1">#REF!</definedName>
    <definedName name="Show.Acct.Update.Warning" localSheetId="0" hidden="1">#REF!</definedName>
    <definedName name="Show.Acct.Update.Warning" localSheetId="7" hidden="1">#REF!</definedName>
    <definedName name="Show.Acct.Update.Warning" localSheetId="11" hidden="1">#REF!</definedName>
    <definedName name="Show.Acct.Update.Warning" hidden="1">#REF!</definedName>
    <definedName name="Show.MDB.Update.Warning" localSheetId="14" hidden="1">#REF!</definedName>
    <definedName name="Show.MDB.Update.Warning" localSheetId="0" hidden="1">#REF!</definedName>
    <definedName name="Show.MDB.Update.Warning" localSheetId="7" hidden="1">#REF!</definedName>
    <definedName name="Show.MDB.Update.Warning" localSheetId="11" hidden="1">#REF!</definedName>
    <definedName name="Show.MDB.Update.Warning" hidden="1">#REF!</definedName>
    <definedName name="Show_FTE" localSheetId="14">[7]!Show_FTE</definedName>
    <definedName name="Show_FTE" localSheetId="9">[7]!Show_FTE</definedName>
    <definedName name="Show_FTE" localSheetId="11">[7]!Show_FTE</definedName>
    <definedName name="Show_FTE">[7]!Show_FTE</definedName>
    <definedName name="Show_InstDialog" localSheetId="14">[7]!Show_InstDialog</definedName>
    <definedName name="Show_InstDialog" localSheetId="9">[7]!Show_InstDialog</definedName>
    <definedName name="Show_InstDialog" localSheetId="11">[7]!Show_InstDialog</definedName>
    <definedName name="Show_InstDialog">[7]!Show_InstDialog</definedName>
    <definedName name="sk"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k"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SLFHDOJHGDLKJGBD" hidden="1">#REF!</definedName>
    <definedName name="slno">[15]list!#REF!</definedName>
    <definedName name="SNPTotal" localSheetId="14">#REF!</definedName>
    <definedName name="SNPTotal" localSheetId="0">#REF!</definedName>
    <definedName name="SNPTotal" localSheetId="7">#REF!</definedName>
    <definedName name="SNPTotal" localSheetId="11">#REF!</definedName>
    <definedName name="SNPTotal">#REF!</definedName>
    <definedName name="SpecialPrice" localSheetId="14" hidden="1">#REF!</definedName>
    <definedName name="SpecialPrice" localSheetId="0" hidden="1">#REF!</definedName>
    <definedName name="SpecialPrice" localSheetId="7" hidden="1">#REF!</definedName>
    <definedName name="SpecialPrice" localSheetId="11" hidden="1">#REF!</definedName>
    <definedName name="SpecialPrice" hidden="1">#REF!</definedName>
    <definedName name="SPWS_WBID">"C4C96220-3751-49D6-B336-12BF9C89564C"</definedName>
    <definedName name="sr" localSheetId="14">{#N/A,#N/A,TRUE,"Data Elements-Staffing";#N/A,#N/A,TRUE,"Data Elements-Exp Driv &amp; Assump";#N/A,#N/A,TRUE,"Staffing Sheet";#N/A,#N/A,TRUE,"Income";#N/A,#N/A,TRUE,"Income Summary";#N/A,#N/A,TRUE,"Staffing Summary"}</definedName>
    <definedName name="sr" localSheetId="0">{#N/A,#N/A,TRUE,"Data Elements-Staffing";#N/A,#N/A,TRUE,"Data Elements-Exp Driv &amp; Assump";#N/A,#N/A,TRUE,"Staffing Sheet";#N/A,#N/A,TRUE,"Income";#N/A,#N/A,TRUE,"Income Summary";#N/A,#N/A,TRUE,"Staffing Summary"}</definedName>
    <definedName name="sr" localSheetId="7">{#N/A,#N/A,TRUE,"Data Elements-Staffing";#N/A,#N/A,TRUE,"Data Elements-Exp Driv &amp; Assump";#N/A,#N/A,TRUE,"Staffing Sheet";#N/A,#N/A,TRUE,"Income";#N/A,#N/A,TRUE,"Income Summary";#N/A,#N/A,TRUE,"Staffing Summary"}</definedName>
    <definedName name="sr" localSheetId="11">{#N/A,#N/A,TRUE,"Data Elements-Staffing";#N/A,#N/A,TRUE,"Data Elements-Exp Driv &amp; Assump";#N/A,#N/A,TRUE,"Staffing Sheet";#N/A,#N/A,TRUE,"Income";#N/A,#N/A,TRUE,"Income Summary";#N/A,#N/A,TRUE,"Staffing Summary"}</definedName>
    <definedName name="sr">{#N/A,#N/A,TRUE,"Data Elements-Staffing";#N/A,#N/A,TRUE,"Data Elements-Exp Driv &amp; Assump";#N/A,#N/A,TRUE,"Staffing Sheet";#N/A,#N/A,TRUE,"Income";#N/A,#N/A,TRUE,"Income Summary";#N/A,#N/A,TRUE,"Staffing Summary"}</definedName>
    <definedName name="srr" localSheetId="14" hidden="1">{#N/A,#N/A,TRUE,"Data Elements-Staffing";#N/A,#N/A,TRUE,"Data Elements-Exp Driv &amp; Assump";#N/A,#N/A,TRUE,"Staffing Sheet";#N/A,#N/A,TRUE,"Income";#N/A,#N/A,TRUE,"Income Summary";#N/A,#N/A,TRUE,"Staffing Summary"}</definedName>
    <definedName name="srr" localSheetId="0" hidden="1">{#N/A,#N/A,TRUE,"Data Elements-Staffing";#N/A,#N/A,TRUE,"Data Elements-Exp Driv &amp; Assump";#N/A,#N/A,TRUE,"Staffing Sheet";#N/A,#N/A,TRUE,"Income";#N/A,#N/A,TRUE,"Income Summary";#N/A,#N/A,TRUE,"Staffing Summary"}</definedName>
    <definedName name="srr" localSheetId="7" hidden="1">{#N/A,#N/A,TRUE,"Data Elements-Staffing";#N/A,#N/A,TRUE,"Data Elements-Exp Driv &amp; Assump";#N/A,#N/A,TRUE,"Staffing Sheet";#N/A,#N/A,TRUE,"Income";#N/A,#N/A,TRUE,"Income Summary";#N/A,#N/A,TRUE,"Staffing Summary"}</definedName>
    <definedName name="srr" localSheetId="11" hidden="1">{#N/A,#N/A,TRUE,"Data Elements-Staffing";#N/A,#N/A,TRUE,"Data Elements-Exp Driv &amp; Assump";#N/A,#N/A,TRUE,"Staffing Sheet";#N/A,#N/A,TRUE,"Income";#N/A,#N/A,TRUE,"Income Summary";#N/A,#N/A,TRUE,"Staffing Summary"}</definedName>
    <definedName name="srr" hidden="1">{#N/A,#N/A,TRUE,"Data Elements-Staffing";#N/A,#N/A,TRUE,"Data Elements-Exp Driv &amp; Assump";#N/A,#N/A,TRUE,"Staffing Sheet";#N/A,#N/A,TRUE,"Income";#N/A,#N/A,TRUE,"Income Summary";#N/A,#N/A,TRUE,"Staffing Summary"}</definedName>
    <definedName name="srtert" localSheetId="14" hidden="1">{#N/A,#N/A,TRUE,"Data Elements-Staffing";#N/A,#N/A,TRUE,"Data Elements-Exp Driv &amp; Assump";#N/A,#N/A,TRUE,"Staffing Sheet";#N/A,#N/A,TRUE,"Income";#N/A,#N/A,TRUE,"Income Summary";#N/A,#N/A,TRUE,"Staffing Summary"}</definedName>
    <definedName name="srtert" localSheetId="0" hidden="1">{#N/A,#N/A,TRUE,"Data Elements-Staffing";#N/A,#N/A,TRUE,"Data Elements-Exp Driv &amp; Assump";#N/A,#N/A,TRUE,"Staffing Sheet";#N/A,#N/A,TRUE,"Income";#N/A,#N/A,TRUE,"Income Summary";#N/A,#N/A,TRUE,"Staffing Summary"}</definedName>
    <definedName name="srtert" localSheetId="7" hidden="1">{#N/A,#N/A,TRUE,"Data Elements-Staffing";#N/A,#N/A,TRUE,"Data Elements-Exp Driv &amp; Assump";#N/A,#N/A,TRUE,"Staffing Sheet";#N/A,#N/A,TRUE,"Income";#N/A,#N/A,TRUE,"Income Summary";#N/A,#N/A,TRUE,"Staffing Summary"}</definedName>
    <definedName name="srtert" localSheetId="11" hidden="1">{#N/A,#N/A,TRUE,"Data Elements-Staffing";#N/A,#N/A,TRUE,"Data Elements-Exp Driv &amp; Assump";#N/A,#N/A,TRUE,"Staffing Sheet";#N/A,#N/A,TRUE,"Income";#N/A,#N/A,TRUE,"Income Summary";#N/A,#N/A,TRUE,"Staffing Summary"}</definedName>
    <definedName name="srtert" hidden="1">{#N/A,#N/A,TRUE,"Data Elements-Staffing";#N/A,#N/A,TRUE,"Data Elements-Exp Driv &amp; Assump";#N/A,#N/A,TRUE,"Staffing Sheet";#N/A,#N/A,TRUE,"Income";#N/A,#N/A,TRUE,"Income Summary";#N/A,#N/A,TRUE,"Staffing Summary"}</definedName>
    <definedName name="SS" localSheetId="14">{#N/A,#N/A,TRUE,"Data Elements-Staffing";#N/A,#N/A,TRUE,"Data Elements-Exp Driv &amp; Assump";#N/A,#N/A,TRUE,"Staffing Sheet";#N/A,#N/A,TRUE,"Income";#N/A,#N/A,TRUE,"Income Summary";#N/A,#N/A,TRUE,"Staffing Summary"}</definedName>
    <definedName name="SS" localSheetId="0">{#N/A,#N/A,TRUE,"Data Elements-Staffing";#N/A,#N/A,TRUE,"Data Elements-Exp Driv &amp; Assump";#N/A,#N/A,TRUE,"Staffing Sheet";#N/A,#N/A,TRUE,"Income";#N/A,#N/A,TRUE,"Income Summary";#N/A,#N/A,TRUE,"Staffing Summary"}</definedName>
    <definedName name="SS" localSheetId="7">{#N/A,#N/A,TRUE,"Data Elements-Staffing";#N/A,#N/A,TRUE,"Data Elements-Exp Driv &amp; Assump";#N/A,#N/A,TRUE,"Staffing Sheet";#N/A,#N/A,TRUE,"Income";#N/A,#N/A,TRUE,"Income Summary";#N/A,#N/A,TRUE,"Staffing Summary"}</definedName>
    <definedName name="SS" localSheetId="11">{#N/A,#N/A,TRUE,"Data Elements-Staffing";#N/A,#N/A,TRUE,"Data Elements-Exp Driv &amp; Assump";#N/A,#N/A,TRUE,"Staffing Sheet";#N/A,#N/A,TRUE,"Income";#N/A,#N/A,TRUE,"Income Summary";#N/A,#N/A,TRUE,"Staffing Summary"}</definedName>
    <definedName name="SS">{#N/A,#N/A,TRUE,"Data Elements-Staffing";#N/A,#N/A,TRUE,"Data Elements-Exp Driv &amp; Assump";#N/A,#N/A,TRUE,"Staffing Sheet";#N/A,#N/A,TRUE,"Income";#N/A,#N/A,TRUE,"Income Summary";#N/A,#N/A,TRUE,"Staffing Summary"}</definedName>
    <definedName name="SSSA" hidden="1">#REF!</definedName>
    <definedName name="st" localSheetId="14">{#N/A,#N/A,TRUE,"Data Elements-Staffing";#N/A,#N/A,TRUE,"Data Elements-Exp Driv &amp; Assump";#N/A,#N/A,TRUE,"Staffing Sheet";#N/A,#N/A,TRUE,"Income";#N/A,#N/A,TRUE,"Income Summary";#N/A,#N/A,TRUE,"Staffing Summary"}</definedName>
    <definedName name="st" localSheetId="0">{#N/A,#N/A,TRUE,"Data Elements-Staffing";#N/A,#N/A,TRUE,"Data Elements-Exp Driv &amp; Assump";#N/A,#N/A,TRUE,"Staffing Sheet";#N/A,#N/A,TRUE,"Income";#N/A,#N/A,TRUE,"Income Summary";#N/A,#N/A,TRUE,"Staffing Summary"}</definedName>
    <definedName name="st" localSheetId="7">{#N/A,#N/A,TRUE,"Data Elements-Staffing";#N/A,#N/A,TRUE,"Data Elements-Exp Driv &amp; Assump";#N/A,#N/A,TRUE,"Staffing Sheet";#N/A,#N/A,TRUE,"Income";#N/A,#N/A,TRUE,"Income Summary";#N/A,#N/A,TRUE,"Staffing Summary"}</definedName>
    <definedName name="st" localSheetId="11">{#N/A,#N/A,TRUE,"Data Elements-Staffing";#N/A,#N/A,TRUE,"Data Elements-Exp Driv &amp; Assump";#N/A,#N/A,TRUE,"Staffing Sheet";#N/A,#N/A,TRUE,"Income";#N/A,#N/A,TRUE,"Income Summary";#N/A,#N/A,TRUE,"Staffing Summary"}</definedName>
    <definedName name="st">{#N/A,#N/A,TRUE,"Data Elements-Staffing";#N/A,#N/A,TRUE,"Data Elements-Exp Driv &amp; Assump";#N/A,#N/A,TRUE,"Staffing Sheet";#N/A,#N/A,TRUE,"Income";#N/A,#N/A,TRUE,"Income Summary";#N/A,#N/A,TRUE,"Staffing Summary"}</definedName>
    <definedName name="Start_Date">#REF!</definedName>
    <definedName name="Status">#REF!</definedName>
    <definedName name="SubCons">'[8]Data Elements-Exp Driv &amp; Assump'!#REF!</definedName>
    <definedName name="sum" localSheetId="14">#REF!</definedName>
    <definedName name="sum" localSheetId="0">#REF!</definedName>
    <definedName name="sum" localSheetId="7">#REF!</definedName>
    <definedName name="sum" localSheetId="11">#REF!</definedName>
    <definedName name="sum">#REF!</definedName>
    <definedName name="SUMMARY" localSheetId="14">#REF!</definedName>
    <definedName name="SUMMARY" localSheetId="0">#REF!</definedName>
    <definedName name="SUMMARY" localSheetId="7">#REF!</definedName>
    <definedName name="SUMMARY" localSheetId="11">#REF!</definedName>
    <definedName name="SUMMARY">#REF!</definedName>
    <definedName name="Summary_Revenue" localSheetId="14">#REF!</definedName>
    <definedName name="Summary_Revenue" localSheetId="0">#REF!</definedName>
    <definedName name="Summary_Revenue" localSheetId="7">#REF!</definedName>
    <definedName name="Summary_Revenue" localSheetId="11">#REF!</definedName>
    <definedName name="Summary_Revenue">#REF!</definedName>
    <definedName name="sumr" localSheetId="14">[40]Expenses!#REF!</definedName>
    <definedName name="sumr" localSheetId="0">[40]Expenses!#REF!</definedName>
    <definedName name="sumr" localSheetId="7">[40]Expenses!#REF!</definedName>
    <definedName name="sumr" localSheetId="11">[40]Expenses!#REF!</definedName>
    <definedName name="sumr">[40]Expenses!#REF!</definedName>
    <definedName name="sw" localSheetId="14" hidden="1">{#N/A,#N/A,TRUE,"Data Elements-Staffing";#N/A,#N/A,TRUE,"Data Elements-Exp Driv &amp; Assump";#N/A,#N/A,TRUE,"Staffing Sheet";#N/A,#N/A,TRUE,"Income";#N/A,#N/A,TRUE,"Income Summary";#N/A,#N/A,TRUE,"Staffing Summary"}</definedName>
    <definedName name="sw" localSheetId="0" hidden="1">{#N/A,#N/A,TRUE,"Data Elements-Staffing";#N/A,#N/A,TRUE,"Data Elements-Exp Driv &amp; Assump";#N/A,#N/A,TRUE,"Staffing Sheet";#N/A,#N/A,TRUE,"Income";#N/A,#N/A,TRUE,"Income Summary";#N/A,#N/A,TRUE,"Staffing Summary"}</definedName>
    <definedName name="sw" localSheetId="7" hidden="1">{#N/A,#N/A,TRUE,"Data Elements-Staffing";#N/A,#N/A,TRUE,"Data Elements-Exp Driv &amp; Assump";#N/A,#N/A,TRUE,"Staffing Sheet";#N/A,#N/A,TRUE,"Income";#N/A,#N/A,TRUE,"Income Summary";#N/A,#N/A,TRUE,"Staffing Summary"}</definedName>
    <definedName name="sw" localSheetId="11" hidden="1">{#N/A,#N/A,TRUE,"Data Elements-Staffing";#N/A,#N/A,TRUE,"Data Elements-Exp Driv &amp; Assump";#N/A,#N/A,TRUE,"Staffing Sheet";#N/A,#N/A,TRUE,"Income";#N/A,#N/A,TRUE,"Income Summary";#N/A,#N/A,TRUE,"Staffing Summary"}</definedName>
    <definedName name="sw" hidden="1">{#N/A,#N/A,TRUE,"Data Elements-Staffing";#N/A,#N/A,TRUE,"Data Elements-Exp Driv &amp; Assump";#N/A,#N/A,TRUE,"Staffing Sheet";#N/A,#N/A,TRUE,"Income";#N/A,#N/A,TRUE,"Income Summary";#N/A,#N/A,TRUE,"Staffing Summary"}</definedName>
    <definedName name="swww" localSheetId="14" hidden="1">{#N/A,#N/A,TRUE,"Data Elements-Staffing";#N/A,#N/A,TRUE,"Data Elements-Exp Driv &amp; Assump";#N/A,#N/A,TRUE,"Staffing Sheet";#N/A,#N/A,TRUE,"Income";#N/A,#N/A,TRUE,"Income Summary";#N/A,#N/A,TRUE,"Staffing Summary"}</definedName>
    <definedName name="swww" localSheetId="0" hidden="1">{#N/A,#N/A,TRUE,"Data Elements-Staffing";#N/A,#N/A,TRUE,"Data Elements-Exp Driv &amp; Assump";#N/A,#N/A,TRUE,"Staffing Sheet";#N/A,#N/A,TRUE,"Income";#N/A,#N/A,TRUE,"Income Summary";#N/A,#N/A,TRUE,"Staffing Summary"}</definedName>
    <definedName name="swww" localSheetId="7" hidden="1">{#N/A,#N/A,TRUE,"Data Elements-Staffing";#N/A,#N/A,TRUE,"Data Elements-Exp Driv &amp; Assump";#N/A,#N/A,TRUE,"Staffing Sheet";#N/A,#N/A,TRUE,"Income";#N/A,#N/A,TRUE,"Income Summary";#N/A,#N/A,TRUE,"Staffing Summary"}</definedName>
    <definedName name="swww" localSheetId="11" hidden="1">{#N/A,#N/A,TRUE,"Data Elements-Staffing";#N/A,#N/A,TRUE,"Data Elements-Exp Driv &amp; Assump";#N/A,#N/A,TRUE,"Staffing Sheet";#N/A,#N/A,TRUE,"Income";#N/A,#N/A,TRUE,"Income Summary";#N/A,#N/A,TRUE,"Staffing Summary"}</definedName>
    <definedName name="swww" hidden="1">{#N/A,#N/A,TRUE,"Data Elements-Staffing";#N/A,#N/A,TRUE,"Data Elements-Exp Driv &amp; Assump";#N/A,#N/A,TRUE,"Staffing Sheet";#N/A,#N/A,TRUE,"Income";#N/A,#N/A,TRUE,"Income Summary";#N/A,#N/A,TRUE,"Staffing Summary"}</definedName>
    <definedName name="SXDWEW" localSheetId="14" hidden="1">{#N/A,#N/A,TRUE,"Data Elements-Staffing";#N/A,#N/A,TRUE,"Data Elements-Exp Driv &amp; Assump";#N/A,#N/A,TRUE,"Staffing Sheet";#N/A,#N/A,TRUE,"Income";#N/A,#N/A,TRUE,"Income Summary";#N/A,#N/A,TRUE,"Staffing Summary"}</definedName>
    <definedName name="SXDWEW" localSheetId="0" hidden="1">{#N/A,#N/A,TRUE,"Data Elements-Staffing";#N/A,#N/A,TRUE,"Data Elements-Exp Driv &amp; Assump";#N/A,#N/A,TRUE,"Staffing Sheet";#N/A,#N/A,TRUE,"Income";#N/A,#N/A,TRUE,"Income Summary";#N/A,#N/A,TRUE,"Staffing Summary"}</definedName>
    <definedName name="SXDWEW" localSheetId="7" hidden="1">{#N/A,#N/A,TRUE,"Data Elements-Staffing";#N/A,#N/A,TRUE,"Data Elements-Exp Driv &amp; Assump";#N/A,#N/A,TRUE,"Staffing Sheet";#N/A,#N/A,TRUE,"Income";#N/A,#N/A,TRUE,"Income Summary";#N/A,#N/A,TRUE,"Staffing Summary"}</definedName>
    <definedName name="SXDWEW" localSheetId="11" hidden="1">{#N/A,#N/A,TRUE,"Data Elements-Staffing";#N/A,#N/A,TRUE,"Data Elements-Exp Driv &amp; Assump";#N/A,#N/A,TRUE,"Staffing Sheet";#N/A,#N/A,TRUE,"Income";#N/A,#N/A,TRUE,"Income Summary";#N/A,#N/A,TRUE,"Staffing Summary"}</definedName>
    <definedName name="SXDWEW" hidden="1">{#N/A,#N/A,TRUE,"Data Elements-Staffing";#N/A,#N/A,TRUE,"Data Elements-Exp Driv &amp; Assump";#N/A,#N/A,TRUE,"Staffing Sheet";#N/A,#N/A,TRUE,"Income";#N/A,#N/A,TRUE,"Income Summary";#N/A,#N/A,TRUE,"Staffing Summary"}</definedName>
    <definedName name="t" localSheetId="14">{#N/A,#N/A,TRUE,"Introduction";#N/A,#N/A,TRUE,"Operating Statistics";#N/A,#N/A,TRUE,"Capex &amp; Depreciation";#N/A,#N/A,TRUE,"Equity";#N/A,#N/A,TRUE,"Debt";#N/A,#N/A,TRUE,"Debt (2)";#N/A,#N/A,TRUE,"Financials";#N/A,#N/A,TRUE,"Market Info";#N/A,#N/A,TRUE,"Company Card";#N/A,#N/A,TRUE,"One Pager";#N/A,#N/A,TRUE,"First Page";#N/A,#N/A,TRUE,"Technical";#N/A,#N/A,TRUE,"Range Names"}</definedName>
    <definedName name="t" localSheetId="0">{#N/A,#N/A,TRUE,"Introduction";#N/A,#N/A,TRUE,"Operating Statistics";#N/A,#N/A,TRUE,"Capex &amp; Depreciation";#N/A,#N/A,TRUE,"Equity";#N/A,#N/A,TRUE,"Debt";#N/A,#N/A,TRUE,"Debt (2)";#N/A,#N/A,TRUE,"Financials";#N/A,#N/A,TRUE,"Market Info";#N/A,#N/A,TRUE,"Company Card";#N/A,#N/A,TRUE,"One Pager";#N/A,#N/A,TRUE,"First Page";#N/A,#N/A,TRUE,"Technical";#N/A,#N/A,TRUE,"Range Names"}</definedName>
    <definedName name="t" localSheetId="7">{#N/A,#N/A,TRUE,"Introduction";#N/A,#N/A,TRUE,"Operating Statistics";#N/A,#N/A,TRUE,"Capex &amp; Depreciation";#N/A,#N/A,TRUE,"Equity";#N/A,#N/A,TRUE,"Debt";#N/A,#N/A,TRUE,"Debt (2)";#N/A,#N/A,TRUE,"Financials";#N/A,#N/A,TRUE,"Market Info";#N/A,#N/A,TRUE,"Company Card";#N/A,#N/A,TRUE,"One Pager";#N/A,#N/A,TRUE,"First Page";#N/A,#N/A,TRUE,"Technical";#N/A,#N/A,TRUE,"Range Names"}</definedName>
    <definedName name="t" localSheetId="11">{#N/A,#N/A,TRUE,"Introduction";#N/A,#N/A,TRUE,"Operating Statistics";#N/A,#N/A,TRUE,"Capex &amp; Depreciation";#N/A,#N/A,TRUE,"Equity";#N/A,#N/A,TRUE,"Debt";#N/A,#N/A,TRUE,"Debt (2)";#N/A,#N/A,TRUE,"Financials";#N/A,#N/A,TRUE,"Market Info";#N/A,#N/A,TRUE,"Company Card";#N/A,#N/A,TRUE,"One Pager";#N/A,#N/A,TRUE,"First Page";#N/A,#N/A,TRUE,"Technical";#N/A,#N/A,TRUE,"Range Names"}</definedName>
    <definedName name="t">{#N/A,#N/A,TRUE,"Introduction";#N/A,#N/A,TRUE,"Operating Statistics";#N/A,#N/A,TRUE,"Capex &amp; Depreciation";#N/A,#N/A,TRUE,"Equity";#N/A,#N/A,TRUE,"Debt";#N/A,#N/A,TRUE,"Debt (2)";#N/A,#N/A,TRUE,"Financials";#N/A,#N/A,TRUE,"Market Info";#N/A,#N/A,TRUE,"Company Card";#N/A,#N/A,TRUE,"One Pager";#N/A,#N/A,TRUE,"First Page";#N/A,#N/A,TRUE,"Technical";#N/A,#N/A,TRUE,"Range Names"}</definedName>
    <definedName name="T1_Parameters">#REF!</definedName>
    <definedName name="T2_Aggr_Score">#REF!</definedName>
    <definedName name="T3_Financial_rating_Score">#REF!</definedName>
    <definedName name="T4_Management_rating_Score">#REF!</definedName>
    <definedName name="TA" localSheetId="14" hidden="1">{#N/A,#N/A,TRUE,"Financials";#N/A,#N/A,TRUE,"Operating Statistics";#N/A,#N/A,TRUE,"Capex &amp; Depreciation";#N/A,#N/A,TRUE,"Debt"}</definedName>
    <definedName name="TA" localSheetId="0" hidden="1">{#N/A,#N/A,TRUE,"Financials";#N/A,#N/A,TRUE,"Operating Statistics";#N/A,#N/A,TRUE,"Capex &amp; Depreciation";#N/A,#N/A,TRUE,"Debt"}</definedName>
    <definedName name="TA" localSheetId="7" hidden="1">{#N/A,#N/A,TRUE,"Financials";#N/A,#N/A,TRUE,"Operating Statistics";#N/A,#N/A,TRUE,"Capex &amp; Depreciation";#N/A,#N/A,TRUE,"Debt"}</definedName>
    <definedName name="TA" localSheetId="11" hidden="1">{#N/A,#N/A,TRUE,"Financials";#N/A,#N/A,TRUE,"Operating Statistics";#N/A,#N/A,TRUE,"Capex &amp; Depreciation";#N/A,#N/A,TRUE,"Debt"}</definedName>
    <definedName name="TA" hidden="1">{#N/A,#N/A,TRUE,"Financials";#N/A,#N/A,TRUE,"Operating Statistics";#N/A,#N/A,TRUE,"Capex &amp; Depreciation";#N/A,#N/A,TRUE,"Debt"}</definedName>
    <definedName name="Table">#REF!</definedName>
    <definedName name="TABLE___0">#REF!</definedName>
    <definedName name="TABLE___0_3">#REF!</definedName>
    <definedName name="Table_3">#REF!</definedName>
    <definedName name="TB" localSheetId="14">{#N/A,#N/A,FALSE,"One Pager";#N/A,#N/A,FALSE,"Technical"}</definedName>
    <definedName name="TB" localSheetId="0">{#N/A,#N/A,FALSE,"One Pager";#N/A,#N/A,FALSE,"Technical"}</definedName>
    <definedName name="TB" localSheetId="7">{#N/A,#N/A,FALSE,"One Pager";#N/A,#N/A,FALSE,"Technical"}</definedName>
    <definedName name="TB" localSheetId="11">{#N/A,#N/A,FALSE,"One Pager";#N/A,#N/A,FALSE,"Technical"}</definedName>
    <definedName name="TB">{#N/A,#N/A,FALSE,"One Pager";#N/A,#N/A,FALSE,"Technical"}</definedName>
    <definedName name="TB_Acct">[43]Index!$J$8:$J$72</definedName>
    <definedName name="TB_Amount" localSheetId="14">#REF!</definedName>
    <definedName name="TB_Amount" localSheetId="7">#REF!</definedName>
    <definedName name="TB_Amount">#REF!</definedName>
    <definedName name="TB_Bal">[43]Index!$K$8:$K$72</definedName>
    <definedName name="tbl_ProdInfo" localSheetId="14" hidden="1">#REF!</definedName>
    <definedName name="tbl_ProdInfo" localSheetId="7" hidden="1">#REF!</definedName>
    <definedName name="tbl_ProdInfo" hidden="1">#REF!</definedName>
    <definedName name="TECH_STRUC" localSheetId="14">#REF!</definedName>
    <definedName name="TECH_STRUC" localSheetId="7">#REF!</definedName>
    <definedName name="TECH_STRUC">#REF!</definedName>
    <definedName name="tedd" localSheetId="14" hidden="1">{#N/A,#N/A,TRUE,"Data Elements-Staffing";#N/A,#N/A,TRUE,"Data Elements-Exp Driv &amp; Assump";#N/A,#N/A,TRUE,"Staffing Sheet";#N/A,#N/A,TRUE,"Income";#N/A,#N/A,TRUE,"Income Summary";#N/A,#N/A,TRUE,"Staffing Summary"}</definedName>
    <definedName name="tedd" localSheetId="0" hidden="1">{#N/A,#N/A,TRUE,"Data Elements-Staffing";#N/A,#N/A,TRUE,"Data Elements-Exp Driv &amp; Assump";#N/A,#N/A,TRUE,"Staffing Sheet";#N/A,#N/A,TRUE,"Income";#N/A,#N/A,TRUE,"Income Summary";#N/A,#N/A,TRUE,"Staffing Summary"}</definedName>
    <definedName name="tedd" localSheetId="7" hidden="1">{#N/A,#N/A,TRUE,"Data Elements-Staffing";#N/A,#N/A,TRUE,"Data Elements-Exp Driv &amp; Assump";#N/A,#N/A,TRUE,"Staffing Sheet";#N/A,#N/A,TRUE,"Income";#N/A,#N/A,TRUE,"Income Summary";#N/A,#N/A,TRUE,"Staffing Summary"}</definedName>
    <definedName name="tedd" localSheetId="11" hidden="1">{#N/A,#N/A,TRUE,"Data Elements-Staffing";#N/A,#N/A,TRUE,"Data Elements-Exp Driv &amp; Assump";#N/A,#N/A,TRUE,"Staffing Sheet";#N/A,#N/A,TRUE,"Income";#N/A,#N/A,TRUE,"Income Summary";#N/A,#N/A,TRUE,"Staffing Summary"}</definedName>
    <definedName name="tedd" hidden="1">{#N/A,#N/A,TRUE,"Data Elements-Staffing";#N/A,#N/A,TRUE,"Data Elements-Exp Driv &amp; Assump";#N/A,#N/A,TRUE,"Staffing Sheet";#N/A,#N/A,TRUE,"Income";#N/A,#N/A,TRUE,"Income Summary";#N/A,#N/A,TRUE,"Staffing Summary"}</definedName>
    <definedName name="TEST">#N/A</definedName>
    <definedName name="TextRefCopyRangeCount" hidden="1">2</definedName>
    <definedName name="THG_BonusTable">'[23]Firm &amp; SBUG Metrics M, SM, Dir'!$E$11:$J$12</definedName>
    <definedName name="TLA.035" localSheetId="14" hidden="1">#REF!</definedName>
    <definedName name="TLA.035" localSheetId="0" hidden="1">#REF!</definedName>
    <definedName name="TLA.035" localSheetId="7" hidden="1">#REF!</definedName>
    <definedName name="TLA.035" localSheetId="11" hidden="1">#REF!</definedName>
    <definedName name="TLA.035" hidden="1">#REF!</definedName>
    <definedName name="Tog_DEOther" localSheetId="14">[7]!Tog_DEOther</definedName>
    <definedName name="Tog_DEOther" localSheetId="9">[7]!Tog_DEOther</definedName>
    <definedName name="Tog_DEOther" localSheetId="11">[7]!Tog_DEOther</definedName>
    <definedName name="Tog_DEOther">[7]!Tog_DEOther</definedName>
    <definedName name="Tog_IncomeDet" localSheetId="14">[7]!Tog_IncomeDet</definedName>
    <definedName name="Tog_IncomeDet" localSheetId="9">[7]!Tog_IncomeDet</definedName>
    <definedName name="Tog_IncomeDet" localSheetId="11">[7]!Tog_IncomeDet</definedName>
    <definedName name="Tog_IncomeDet">[7]!Tog_IncomeDet</definedName>
    <definedName name="Tog_IncomeSum" localSheetId="14">[7]!Tog_IncomeSum</definedName>
    <definedName name="Tog_IncomeSum" localSheetId="9">[7]!Tog_IncomeSum</definedName>
    <definedName name="Tog_IncomeSum" localSheetId="11">[7]!Tog_IncomeSum</definedName>
    <definedName name="Tog_IncomeSum">[7]!Tog_IncomeSum</definedName>
    <definedName name="Tog_StaffDet" localSheetId="14">[7]!Tog_StaffDet</definedName>
    <definedName name="Tog_StaffDet" localSheetId="9">[7]!Tog_StaffDet</definedName>
    <definedName name="Tog_StaffDet" localSheetId="11">[7]!Tog_StaffDet</definedName>
    <definedName name="Tog_StaffDet">[7]!Tog_StaffDet</definedName>
    <definedName name="Tog_StaffSum" localSheetId="14">[7]!Tog_StaffSum</definedName>
    <definedName name="Tog_StaffSum" localSheetId="9">[7]!Tog_StaffSum</definedName>
    <definedName name="Tog_StaffSum" localSheetId="11">[7]!Tog_StaffSum</definedName>
    <definedName name="Tog_StaffSum">[7]!Tog_StaffSum</definedName>
    <definedName name="TOP" localSheetId="14">#REF!</definedName>
    <definedName name="TOP" localSheetId="0">#REF!</definedName>
    <definedName name="TOP" localSheetId="7">#REF!</definedName>
    <definedName name="TOP" localSheetId="11">#REF!</definedName>
    <definedName name="TOP">#REF!</definedName>
    <definedName name="Total" localSheetId="14">#REF!</definedName>
    <definedName name="Total" localSheetId="0">#REF!</definedName>
    <definedName name="Total" localSheetId="7">#REF!</definedName>
    <definedName name="Total" localSheetId="11">#REF!</definedName>
    <definedName name="Total">#REF!</definedName>
    <definedName name="Total_Assets__34_37_41_42" localSheetId="14">#REF!</definedName>
    <definedName name="Total_Assets__34_37_41_42" localSheetId="0">#REF!</definedName>
    <definedName name="Total_Assets__34_37_41_42" localSheetId="7">#REF!</definedName>
    <definedName name="Total_Assets__34_37_41_42" localSheetId="11">#REF!</definedName>
    <definedName name="Total_Assets__34_37_41_42">#REF!</definedName>
    <definedName name="Total_Cost" localSheetId="14">'[51]TL WCTL REPMT &amp; INT'!#REF!</definedName>
    <definedName name="Total_Cost" localSheetId="0">'[51]TL WCTL REPMT &amp; INT'!#REF!</definedName>
    <definedName name="Total_Cost" localSheetId="7">'[51]TL WCTL REPMT &amp; INT'!#REF!</definedName>
    <definedName name="Total_Cost" localSheetId="11">'[51]TL WCTL REPMT &amp; INT'!#REF!</definedName>
    <definedName name="Total_Cost">'[51]TL WCTL REPMT &amp; INT'!#REF!</definedName>
    <definedName name="Total_Fees" localSheetId="14">#REF!</definedName>
    <definedName name="Total_Fees" localSheetId="0">#REF!</definedName>
    <definedName name="Total_Fees" localSheetId="7">#REF!</definedName>
    <definedName name="Total_Fees" localSheetId="11">#REF!</definedName>
    <definedName name="Total_Fees">#REF!</definedName>
    <definedName name="Total_Income" localSheetId="14">#REF!</definedName>
    <definedName name="Total_Income" localSheetId="7">#REF!</definedName>
    <definedName name="Total_Income">#REF!</definedName>
    <definedName name="Total_Interest" localSheetId="14">#REF!</definedName>
    <definedName name="Total_Interest" localSheetId="7">#REF!</definedName>
    <definedName name="Total_Interest">#REF!</definedName>
    <definedName name="TOTAL_LIABILITIES__18___24">#REF!</definedName>
    <definedName name="Total_Pay">#REF!</definedName>
    <definedName name="Total_Payment" localSheetId="14">Scheduled_Payment+Extra_Payment</definedName>
    <definedName name="Total_Payment" localSheetId="0">Scheduled_Payment+Extra_Payment</definedName>
    <definedName name="Total_Payment" localSheetId="7">Scheduled_Payment+Extra_Payment</definedName>
    <definedName name="Total_Payment" localSheetId="9">Scheduled_Payment+Extra_Payment</definedName>
    <definedName name="Total_Payment" localSheetId="11">Scheduled_Payment+Extra_Payment</definedName>
    <definedName name="Total_Payment">Scheduled_Payment+Extra_Payment</definedName>
    <definedName name="Total_Payment_revised" localSheetId="14">Scheduled_Payment+Extra_Payment</definedName>
    <definedName name="Total_Payment_revised" localSheetId="9">Scheduled_Payment+Extra_Payment</definedName>
    <definedName name="Total_Payment_revised">Scheduled_Payment+Extra_Payment</definedName>
    <definedName name="Totals" localSheetId="14">#REF!</definedName>
    <definedName name="Totals" localSheetId="0">#REF!</definedName>
    <definedName name="Totals" localSheetId="7">#REF!</definedName>
    <definedName name="Totals" localSheetId="11">#REF!</definedName>
    <definedName name="Totals">#REF!</definedName>
    <definedName name="tr" localSheetId="14" hidden="1">{#N/A,#N/A,TRUE,"Data Elements-Staffing";#N/A,#N/A,TRUE,"Data Elements-Exp Driv &amp; Assump";#N/A,#N/A,TRUE,"Staffing Sheet";#N/A,#N/A,TRUE,"Income";#N/A,#N/A,TRUE,"Income Summary";#N/A,#N/A,TRUE,"Staffing Summary"}</definedName>
    <definedName name="tr" localSheetId="0" hidden="1">{#N/A,#N/A,TRUE,"Data Elements-Staffing";#N/A,#N/A,TRUE,"Data Elements-Exp Driv &amp; Assump";#N/A,#N/A,TRUE,"Staffing Sheet";#N/A,#N/A,TRUE,"Income";#N/A,#N/A,TRUE,"Income Summary";#N/A,#N/A,TRUE,"Staffing Summary"}</definedName>
    <definedName name="tr" localSheetId="7" hidden="1">{#N/A,#N/A,TRUE,"Data Elements-Staffing";#N/A,#N/A,TRUE,"Data Elements-Exp Driv &amp; Assump";#N/A,#N/A,TRUE,"Staffing Sheet";#N/A,#N/A,TRUE,"Income";#N/A,#N/A,TRUE,"Income Summary";#N/A,#N/A,TRUE,"Staffing Summary"}</definedName>
    <definedName name="tr" localSheetId="11" hidden="1">{#N/A,#N/A,TRUE,"Data Elements-Staffing";#N/A,#N/A,TRUE,"Data Elements-Exp Driv &amp; Assump";#N/A,#N/A,TRUE,"Staffing Sheet";#N/A,#N/A,TRUE,"Income";#N/A,#N/A,TRUE,"Income Summary";#N/A,#N/A,TRUE,"Staffing Summary"}</definedName>
    <definedName name="tr" hidden="1">{#N/A,#N/A,TRUE,"Data Elements-Staffing";#N/A,#N/A,TRUE,"Data Elements-Exp Driv &amp; Assump";#N/A,#N/A,TRUE,"Staffing Sheet";#N/A,#N/A,TRUE,"Income";#N/A,#N/A,TRUE,"Income Summary";#N/A,#N/A,TRUE,"Staffing Summary"}</definedName>
    <definedName name="tre" localSheetId="14" hidden="1">{#N/A,#N/A,TRUE,"Data Elements-Staffing";#N/A,#N/A,TRUE,"Data Elements-Exp Driv &amp; Assump";#N/A,#N/A,TRUE,"Staffing Sheet";#N/A,#N/A,TRUE,"Income";#N/A,#N/A,TRUE,"Income Summary";#N/A,#N/A,TRUE,"Staffing Summary"}</definedName>
    <definedName name="tre" localSheetId="0" hidden="1">{#N/A,#N/A,TRUE,"Data Elements-Staffing";#N/A,#N/A,TRUE,"Data Elements-Exp Driv &amp; Assump";#N/A,#N/A,TRUE,"Staffing Sheet";#N/A,#N/A,TRUE,"Income";#N/A,#N/A,TRUE,"Income Summary";#N/A,#N/A,TRUE,"Staffing Summary"}</definedName>
    <definedName name="tre" localSheetId="7" hidden="1">{#N/A,#N/A,TRUE,"Data Elements-Staffing";#N/A,#N/A,TRUE,"Data Elements-Exp Driv &amp; Assump";#N/A,#N/A,TRUE,"Staffing Sheet";#N/A,#N/A,TRUE,"Income";#N/A,#N/A,TRUE,"Income Summary";#N/A,#N/A,TRUE,"Staffing Summary"}</definedName>
    <definedName name="tre" localSheetId="11" hidden="1">{#N/A,#N/A,TRUE,"Data Elements-Staffing";#N/A,#N/A,TRUE,"Data Elements-Exp Driv &amp; Assump";#N/A,#N/A,TRUE,"Staffing Sheet";#N/A,#N/A,TRUE,"Income";#N/A,#N/A,TRUE,"Income Summary";#N/A,#N/A,TRUE,"Staffing Summary"}</definedName>
    <definedName name="tre" hidden="1">{#N/A,#N/A,TRUE,"Data Elements-Staffing";#N/A,#N/A,TRUE,"Data Elements-Exp Driv &amp; Assump";#N/A,#N/A,TRUE,"Staffing Sheet";#N/A,#N/A,TRUE,"Income";#N/A,#N/A,TRUE,"Income Summary";#N/A,#N/A,TRUE,"Staffing Summary"}</definedName>
    <definedName name="treeList" hidden="1">"10000000000000000000000000000000000000000000000000000000000000000000000000000000000000000000000000000000000000000000000000000000000000000000000000000000000000000000000000000000000000000000000000000000"</definedName>
    <definedName name="trff" localSheetId="14" hidden="1">{#N/A,#N/A,TRUE,"Data Elements-Staffing";#N/A,#N/A,TRUE,"Data Elements-Exp Driv &amp; Assump";#N/A,#N/A,TRUE,"Staffing Sheet";#N/A,#N/A,TRUE,"Income";#N/A,#N/A,TRUE,"Income Summary";#N/A,#N/A,TRUE,"Staffing Summary"}</definedName>
    <definedName name="trff" localSheetId="0" hidden="1">{#N/A,#N/A,TRUE,"Data Elements-Staffing";#N/A,#N/A,TRUE,"Data Elements-Exp Driv &amp; Assump";#N/A,#N/A,TRUE,"Staffing Sheet";#N/A,#N/A,TRUE,"Income";#N/A,#N/A,TRUE,"Income Summary";#N/A,#N/A,TRUE,"Staffing Summary"}</definedName>
    <definedName name="trff" localSheetId="7" hidden="1">{#N/A,#N/A,TRUE,"Data Elements-Staffing";#N/A,#N/A,TRUE,"Data Elements-Exp Driv &amp; Assump";#N/A,#N/A,TRUE,"Staffing Sheet";#N/A,#N/A,TRUE,"Income";#N/A,#N/A,TRUE,"Income Summary";#N/A,#N/A,TRUE,"Staffing Summary"}</definedName>
    <definedName name="trff" localSheetId="11" hidden="1">{#N/A,#N/A,TRUE,"Data Elements-Staffing";#N/A,#N/A,TRUE,"Data Elements-Exp Driv &amp; Assump";#N/A,#N/A,TRUE,"Staffing Sheet";#N/A,#N/A,TRUE,"Income";#N/A,#N/A,TRUE,"Income Summary";#N/A,#N/A,TRUE,"Staffing Summary"}</definedName>
    <definedName name="trff" hidden="1">{#N/A,#N/A,TRUE,"Data Elements-Staffing";#N/A,#N/A,TRUE,"Data Elements-Exp Driv &amp; Assump";#N/A,#N/A,TRUE,"Staffing Sheet";#N/A,#N/A,TRUE,"Income";#N/A,#N/A,TRUE,"Income Summary";#N/A,#N/A,TRUE,"Staffing Summary"}</definedName>
    <definedName name="trr" localSheetId="14" hidden="1">{#N/A,#N/A,TRUE,"Data Elements-Staffing";#N/A,#N/A,TRUE,"Data Elements-Exp Driv &amp; Assump";#N/A,#N/A,TRUE,"Staffing Sheet";#N/A,#N/A,TRUE,"Income";#N/A,#N/A,TRUE,"Income Summary";#N/A,#N/A,TRUE,"Staffing Summary"}</definedName>
    <definedName name="trr" localSheetId="0" hidden="1">{#N/A,#N/A,TRUE,"Data Elements-Staffing";#N/A,#N/A,TRUE,"Data Elements-Exp Driv &amp; Assump";#N/A,#N/A,TRUE,"Staffing Sheet";#N/A,#N/A,TRUE,"Income";#N/A,#N/A,TRUE,"Income Summary";#N/A,#N/A,TRUE,"Staffing Summary"}</definedName>
    <definedName name="trr" localSheetId="7" hidden="1">{#N/A,#N/A,TRUE,"Data Elements-Staffing";#N/A,#N/A,TRUE,"Data Elements-Exp Driv &amp; Assump";#N/A,#N/A,TRUE,"Staffing Sheet";#N/A,#N/A,TRUE,"Income";#N/A,#N/A,TRUE,"Income Summary";#N/A,#N/A,TRUE,"Staffing Summary"}</definedName>
    <definedName name="trr" localSheetId="11" hidden="1">{#N/A,#N/A,TRUE,"Data Elements-Staffing";#N/A,#N/A,TRUE,"Data Elements-Exp Driv &amp; Assump";#N/A,#N/A,TRUE,"Staffing Sheet";#N/A,#N/A,TRUE,"Income";#N/A,#N/A,TRUE,"Income Summary";#N/A,#N/A,TRUE,"Staffing Summary"}</definedName>
    <definedName name="trr" hidden="1">{#N/A,#N/A,TRUE,"Data Elements-Staffing";#N/A,#N/A,TRUE,"Data Elements-Exp Driv &amp; Assump";#N/A,#N/A,TRUE,"Staffing Sheet";#N/A,#N/A,TRUE,"Income";#N/A,#N/A,TRUE,"Income Summary";#N/A,#N/A,TRUE,"Staffing Summary"}</definedName>
    <definedName name="trrr" localSheetId="14" hidden="1">{#N/A,#N/A,TRUE,"Data Elements-Staffing";#N/A,#N/A,TRUE,"Data Elements-Exp Driv &amp; Assump";#N/A,#N/A,TRUE,"Staffing Sheet";#N/A,#N/A,TRUE,"Income";#N/A,#N/A,TRUE,"Income Summary";#N/A,#N/A,TRUE,"Staffing Summary"}</definedName>
    <definedName name="trrr" localSheetId="0" hidden="1">{#N/A,#N/A,TRUE,"Data Elements-Staffing";#N/A,#N/A,TRUE,"Data Elements-Exp Driv &amp; Assump";#N/A,#N/A,TRUE,"Staffing Sheet";#N/A,#N/A,TRUE,"Income";#N/A,#N/A,TRUE,"Income Summary";#N/A,#N/A,TRUE,"Staffing Summary"}</definedName>
    <definedName name="trrr" localSheetId="7" hidden="1">{#N/A,#N/A,TRUE,"Data Elements-Staffing";#N/A,#N/A,TRUE,"Data Elements-Exp Driv &amp; Assump";#N/A,#N/A,TRUE,"Staffing Sheet";#N/A,#N/A,TRUE,"Income";#N/A,#N/A,TRUE,"Income Summary";#N/A,#N/A,TRUE,"Staffing Summary"}</definedName>
    <definedName name="trrr" localSheetId="11" hidden="1">{#N/A,#N/A,TRUE,"Data Elements-Staffing";#N/A,#N/A,TRUE,"Data Elements-Exp Driv &amp; Assump";#N/A,#N/A,TRUE,"Staffing Sheet";#N/A,#N/A,TRUE,"Income";#N/A,#N/A,TRUE,"Income Summary";#N/A,#N/A,TRUE,"Staffing Summary"}</definedName>
    <definedName name="trrr" hidden="1">{#N/A,#N/A,TRUE,"Data Elements-Staffing";#N/A,#N/A,TRUE,"Data Elements-Exp Driv &amp; Assump";#N/A,#N/A,TRUE,"Staffing Sheet";#N/A,#N/A,TRUE,"Income";#N/A,#N/A,TRUE,"Income Summary";#N/A,#N/A,TRUE,"Staffing Summary"}</definedName>
    <definedName name="TSTOTAL">#REF!</definedName>
    <definedName name="ttrr" localSheetId="14" hidden="1">{#N/A,#N/A,TRUE,"Data Elements-Staffing";#N/A,#N/A,TRUE,"Data Elements-Exp Driv &amp; Assump";#N/A,#N/A,TRUE,"Staffing Sheet";#N/A,#N/A,TRUE,"Income";#N/A,#N/A,TRUE,"Income Summary";#N/A,#N/A,TRUE,"Staffing Summary"}</definedName>
    <definedName name="ttrr" localSheetId="0" hidden="1">{#N/A,#N/A,TRUE,"Data Elements-Staffing";#N/A,#N/A,TRUE,"Data Elements-Exp Driv &amp; Assump";#N/A,#N/A,TRUE,"Staffing Sheet";#N/A,#N/A,TRUE,"Income";#N/A,#N/A,TRUE,"Income Summary";#N/A,#N/A,TRUE,"Staffing Summary"}</definedName>
    <definedName name="ttrr" localSheetId="7" hidden="1">{#N/A,#N/A,TRUE,"Data Elements-Staffing";#N/A,#N/A,TRUE,"Data Elements-Exp Driv &amp; Assump";#N/A,#N/A,TRUE,"Staffing Sheet";#N/A,#N/A,TRUE,"Income";#N/A,#N/A,TRUE,"Income Summary";#N/A,#N/A,TRUE,"Staffing Summary"}</definedName>
    <definedName name="ttrr" localSheetId="11" hidden="1">{#N/A,#N/A,TRUE,"Data Elements-Staffing";#N/A,#N/A,TRUE,"Data Elements-Exp Driv &amp; Assump";#N/A,#N/A,TRUE,"Staffing Sheet";#N/A,#N/A,TRUE,"Income";#N/A,#N/A,TRUE,"Income Summary";#N/A,#N/A,TRUE,"Staffing Summary"}</definedName>
    <definedName name="ttrr" hidden="1">{#N/A,#N/A,TRUE,"Data Elements-Staffing";#N/A,#N/A,TRUE,"Data Elements-Exp Driv &amp; Assump";#N/A,#N/A,TRUE,"Staffing Sheet";#N/A,#N/A,TRUE,"Income";#N/A,#N/A,TRUE,"Income Summary";#N/A,#N/A,TRUE,"Staffing Summary"}</definedName>
    <definedName name="TypeOfWork">#REF!</definedName>
    <definedName name="U">#REF!</definedName>
    <definedName name="UTILITY">#REF!</definedName>
    <definedName name="uyyy" localSheetId="14" hidden="1">{#N/A,#N/A,TRUE,"Data Elements-Staffing";#N/A,#N/A,TRUE,"Data Elements-Exp Driv &amp; Assump";#N/A,#N/A,TRUE,"Staffing Sheet";#N/A,#N/A,TRUE,"Income";#N/A,#N/A,TRUE,"Income Summary";#N/A,#N/A,TRUE,"Staffing Summary"}</definedName>
    <definedName name="uyyy" localSheetId="0" hidden="1">{#N/A,#N/A,TRUE,"Data Elements-Staffing";#N/A,#N/A,TRUE,"Data Elements-Exp Driv &amp; Assump";#N/A,#N/A,TRUE,"Staffing Sheet";#N/A,#N/A,TRUE,"Income";#N/A,#N/A,TRUE,"Income Summary";#N/A,#N/A,TRUE,"Staffing Summary"}</definedName>
    <definedName name="uyyy" localSheetId="7" hidden="1">{#N/A,#N/A,TRUE,"Data Elements-Staffing";#N/A,#N/A,TRUE,"Data Elements-Exp Driv &amp; Assump";#N/A,#N/A,TRUE,"Staffing Sheet";#N/A,#N/A,TRUE,"Income";#N/A,#N/A,TRUE,"Income Summary";#N/A,#N/A,TRUE,"Staffing Summary"}</definedName>
    <definedName name="uyyy" localSheetId="11" hidden="1">{#N/A,#N/A,TRUE,"Data Elements-Staffing";#N/A,#N/A,TRUE,"Data Elements-Exp Driv &amp; Assump";#N/A,#N/A,TRUE,"Staffing Sheet";#N/A,#N/A,TRUE,"Income";#N/A,#N/A,TRUE,"Income Summary";#N/A,#N/A,TRUE,"Staffing Summary"}</definedName>
    <definedName name="uyyy" hidden="1">{#N/A,#N/A,TRUE,"Data Elements-Staffing";#N/A,#N/A,TRUE,"Data Elements-Exp Driv &amp; Assump";#N/A,#N/A,TRUE,"Staffing Sheet";#N/A,#N/A,TRUE,"Income";#N/A,#N/A,TRUE,"Income Summary";#N/A,#N/A,TRUE,"Staffing Summary"}</definedName>
    <definedName name="Validation_Cells">#REF!</definedName>
    <definedName name="Values_Entered">#N/A</definedName>
    <definedName name="VDFRWERS" localSheetId="14" hidden="1">{#N/A,#N/A,TRUE,"Data Elements-Staffing";#N/A,#N/A,TRUE,"Data Elements-Exp Driv &amp; Assump";#N/A,#N/A,TRUE,"Staffing Sheet";#N/A,#N/A,TRUE,"Income";#N/A,#N/A,TRUE,"Income Summary";#N/A,#N/A,TRUE,"Staffing Summary"}</definedName>
    <definedName name="VDFRWERS" localSheetId="0" hidden="1">{#N/A,#N/A,TRUE,"Data Elements-Staffing";#N/A,#N/A,TRUE,"Data Elements-Exp Driv &amp; Assump";#N/A,#N/A,TRUE,"Staffing Sheet";#N/A,#N/A,TRUE,"Income";#N/A,#N/A,TRUE,"Income Summary";#N/A,#N/A,TRUE,"Staffing Summary"}</definedName>
    <definedName name="VDFRWERS" localSheetId="7" hidden="1">{#N/A,#N/A,TRUE,"Data Elements-Staffing";#N/A,#N/A,TRUE,"Data Elements-Exp Driv &amp; Assump";#N/A,#N/A,TRUE,"Staffing Sheet";#N/A,#N/A,TRUE,"Income";#N/A,#N/A,TRUE,"Income Summary";#N/A,#N/A,TRUE,"Staffing Summary"}</definedName>
    <definedName name="VDFRWERS" localSheetId="11" hidden="1">{#N/A,#N/A,TRUE,"Data Elements-Staffing";#N/A,#N/A,TRUE,"Data Elements-Exp Driv &amp; Assump";#N/A,#N/A,TRUE,"Staffing Sheet";#N/A,#N/A,TRUE,"Income";#N/A,#N/A,TRUE,"Income Summary";#N/A,#N/A,TRUE,"Staffing Summary"}</definedName>
    <definedName name="VDFRWERS" hidden="1">{#N/A,#N/A,TRUE,"Data Elements-Staffing";#N/A,#N/A,TRUE,"Data Elements-Exp Driv &amp; Assump";#N/A,#N/A,TRUE,"Staffing Sheet";#N/A,#N/A,TRUE,"Income";#N/A,#N/A,TRUE,"Income Summary";#N/A,#N/A,TRUE,"Staffing Summary"}</definedName>
    <definedName name="versionno">1</definedName>
    <definedName name="vg" localSheetId="14" hidden="1">{#N/A,#N/A,FALSE,"One Pager";#N/A,#N/A,FALSE,"Technical"}</definedName>
    <definedName name="vg" localSheetId="0" hidden="1">{#N/A,#N/A,FALSE,"One Pager";#N/A,#N/A,FALSE,"Technical"}</definedName>
    <definedName name="vg" localSheetId="7" hidden="1">{#N/A,#N/A,FALSE,"One Pager";#N/A,#N/A,FALSE,"Technical"}</definedName>
    <definedName name="vg" localSheetId="11" hidden="1">{#N/A,#N/A,FALSE,"One Pager";#N/A,#N/A,FALSE,"Technical"}</definedName>
    <definedName name="vg" hidden="1">{#N/A,#N/A,FALSE,"One Pager";#N/A,#N/A,FALSE,"Technical"}</definedName>
    <definedName name="vip" hidden="1">#REF!</definedName>
    <definedName name="vishnu" localSheetId="14" hidden="1">{#N/A,#N/A,FALSE,"One Pager";#N/A,#N/A,FALSE,"Technical"}</definedName>
    <definedName name="vishnu" localSheetId="0" hidden="1">{#N/A,#N/A,FALSE,"One Pager";#N/A,#N/A,FALSE,"Technical"}</definedName>
    <definedName name="vishnu" localSheetId="7" hidden="1">{#N/A,#N/A,FALSE,"One Pager";#N/A,#N/A,FALSE,"Technical"}</definedName>
    <definedName name="vishnu" localSheetId="11" hidden="1">{#N/A,#N/A,FALSE,"One Pager";#N/A,#N/A,FALSE,"Technical"}</definedName>
    <definedName name="vishnu" hidden="1">{#N/A,#N/A,FALSE,"One Pager";#N/A,#N/A,FALSE,"Technical"}</definedName>
    <definedName name="vk" localSheetId="14" hidden="1">{#N/A,#N/A,FALSE,"One Pager";#N/A,#N/A,FALSE,"Technical"}</definedName>
    <definedName name="vk" localSheetId="0" hidden="1">{#N/A,#N/A,FALSE,"One Pager";#N/A,#N/A,FALSE,"Technical"}</definedName>
    <definedName name="vk" localSheetId="7" hidden="1">{#N/A,#N/A,FALSE,"One Pager";#N/A,#N/A,FALSE,"Technical"}</definedName>
    <definedName name="vk" localSheetId="11" hidden="1">{#N/A,#N/A,FALSE,"One Pager";#N/A,#N/A,FALSE,"Technical"}</definedName>
    <definedName name="vk" hidden="1">{#N/A,#N/A,FALSE,"One Pager";#N/A,#N/A,FALSE,"Technical"}</definedName>
    <definedName name="VRERE" localSheetId="14" hidden="1">{#N/A,#N/A,TRUE,"Data Elements-Staffing";#N/A,#N/A,TRUE,"Data Elements-Exp Driv &amp; Assump";#N/A,#N/A,TRUE,"Staffing Sheet";#N/A,#N/A,TRUE,"Income";#N/A,#N/A,TRUE,"Income Summary";#N/A,#N/A,TRUE,"Staffing Summary"}</definedName>
    <definedName name="VRERE" localSheetId="0" hidden="1">{#N/A,#N/A,TRUE,"Data Elements-Staffing";#N/A,#N/A,TRUE,"Data Elements-Exp Driv &amp; Assump";#N/A,#N/A,TRUE,"Staffing Sheet";#N/A,#N/A,TRUE,"Income";#N/A,#N/A,TRUE,"Income Summary";#N/A,#N/A,TRUE,"Staffing Summary"}</definedName>
    <definedName name="VRERE" localSheetId="7" hidden="1">{#N/A,#N/A,TRUE,"Data Elements-Staffing";#N/A,#N/A,TRUE,"Data Elements-Exp Driv &amp; Assump";#N/A,#N/A,TRUE,"Staffing Sheet";#N/A,#N/A,TRUE,"Income";#N/A,#N/A,TRUE,"Income Summary";#N/A,#N/A,TRUE,"Staffing Summary"}</definedName>
    <definedName name="VRERE" localSheetId="11" hidden="1">{#N/A,#N/A,TRUE,"Data Elements-Staffing";#N/A,#N/A,TRUE,"Data Elements-Exp Driv &amp; Assump";#N/A,#N/A,TRUE,"Staffing Sheet";#N/A,#N/A,TRUE,"Income";#N/A,#N/A,TRUE,"Income Summary";#N/A,#N/A,TRUE,"Staffing Summary"}</definedName>
    <definedName name="VRERE" hidden="1">{#N/A,#N/A,TRUE,"Data Elements-Staffing";#N/A,#N/A,TRUE,"Data Elements-Exp Driv &amp; Assump";#N/A,#N/A,TRUE,"Staffing Sheet";#N/A,#N/A,TRUE,"Income";#N/A,#N/A,TRUE,"Income Summary";#N/A,#N/A,TRUE,"Staffing Summary"}</definedName>
    <definedName name="WC">#REF!</definedName>
    <definedName name="we" localSheetId="1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e" localSheetId="0"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e" localSheetId="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e" localSheetId="1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e"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PSTotal">#REF!</definedName>
    <definedName name="wqw">#REF!</definedName>
    <definedName name="WR">#REF!</definedName>
    <definedName name="wrn.Aging._.and._.Trend._.Analysis." localSheetId="14" hidden="1">{#N/A,#N/A,FALSE,"Aging Summary";#N/A,#N/A,FALSE,"Ratio Analysis";#N/A,#N/A,FALSE,"Test 120 Day Accts";#N/A,#N/A,FALSE,"Tickmarks"}</definedName>
    <definedName name="wrn.Aging._.and._.Trend._.Analysis." localSheetId="0"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1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Reports." localSheetId="14"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0"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7"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localSheetId="11"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1" localSheetId="14"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localSheetId="0"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localSheetId="7"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localSheetId="1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1"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Belgium_Total." localSheetId="14" hidden="1">{"Belgium_Total",#N/A,FALSE,"Belg Wksheet"}</definedName>
    <definedName name="wrn.Belgium_Total." localSheetId="0" hidden="1">{"Belgium_Total",#N/A,FALSE,"Belg Wksheet"}</definedName>
    <definedName name="wrn.Belgium_Total." localSheetId="7" hidden="1">{"Belgium_Total",#N/A,FALSE,"Belg Wksheet"}</definedName>
    <definedName name="wrn.Belgium_Total." localSheetId="11" hidden="1">{"Belgium_Total",#N/A,FALSE,"Belg Wksheet"}</definedName>
    <definedName name="wrn.Belgium_Total." hidden="1">{"Belgium_Total",#N/A,FALSE,"Belg Wksheet"}</definedName>
    <definedName name="wrn.BelgSummary." localSheetId="14" hidden="1">{"BelgSummary",#N/A,FALSE,"Belg Summary"}</definedName>
    <definedName name="wrn.BelgSummary." localSheetId="0" hidden="1">{"BelgSummary",#N/A,FALSE,"Belg Summary"}</definedName>
    <definedName name="wrn.BelgSummary." localSheetId="7" hidden="1">{"BelgSummary",#N/A,FALSE,"Belg Summary"}</definedName>
    <definedName name="wrn.BelgSummary." localSheetId="11" hidden="1">{"BelgSummary",#N/A,FALSE,"Belg Summary"}</definedName>
    <definedName name="wrn.BelgSummary." hidden="1">{"BelgSummary",#N/A,FALSE,"Belg Summary"}</definedName>
    <definedName name="wrn.BSPL." localSheetId="14" hidden="1">{"BS",#N/A,FALSE,"Accounts2002 New";"PL",#N/A,FALSE,"Accounts2002 New"}</definedName>
    <definedName name="wrn.BSPL." localSheetId="0" hidden="1">{"BS",#N/A,FALSE,"Accounts2002 New";"PL",#N/A,FALSE,"Accounts2002 New"}</definedName>
    <definedName name="wrn.BSPL." localSheetId="7" hidden="1">{"BS",#N/A,FALSE,"Accounts2002 New";"PL",#N/A,FALSE,"Accounts2002 New"}</definedName>
    <definedName name="wrn.BSPL." localSheetId="11" hidden="1">{"BS",#N/A,FALSE,"Accounts2002 New";"PL",#N/A,FALSE,"Accounts2002 New"}</definedName>
    <definedName name="wrn.BSPL." hidden="1">{"BS",#N/A,FALSE,"Accounts2002 New";"PL",#N/A,FALSE,"Accounts2002 New"}</definedName>
    <definedName name="wrn.Budget._.Template._.1998." localSheetId="14" hidden="1">{#N/A,#N/A,TRUE,"Data Elements-Staffing";#N/A,#N/A,TRUE,"Data Elements-Exp Driv &amp; Assump";#N/A,#N/A,TRUE,"Staffing Sheet";#N/A,#N/A,TRUE,"Income";#N/A,#N/A,TRUE,"Income Summary";#N/A,#N/A,TRUE,"Staffing Summary"}</definedName>
    <definedName name="wrn.Budget._.Template._.1998." localSheetId="0" hidden="1">{#N/A,#N/A,TRUE,"Data Elements-Staffing";#N/A,#N/A,TRUE,"Data Elements-Exp Driv &amp; Assump";#N/A,#N/A,TRUE,"Staffing Sheet";#N/A,#N/A,TRUE,"Income";#N/A,#N/A,TRUE,"Income Summary";#N/A,#N/A,TRUE,"Staffing Summary"}</definedName>
    <definedName name="wrn.Budget._.Template._.1998." localSheetId="7" hidden="1">{#N/A,#N/A,TRUE,"Data Elements-Staffing";#N/A,#N/A,TRUE,"Data Elements-Exp Driv &amp; Assump";#N/A,#N/A,TRUE,"Staffing Sheet";#N/A,#N/A,TRUE,"Income";#N/A,#N/A,TRUE,"Income Summary";#N/A,#N/A,TRUE,"Staffing Summary"}</definedName>
    <definedName name="wrn.Budget._.Template._.1998." localSheetId="11" hidden="1">{#N/A,#N/A,TRUE,"Data Elements-Staffing";#N/A,#N/A,TRUE,"Data Elements-Exp Driv &amp; Assump";#N/A,#N/A,TRUE,"Staffing Sheet";#N/A,#N/A,TRUE,"Income";#N/A,#N/A,TRUE,"Income Summary";#N/A,#N/A,TRUE,"Staffing Summary"}</definedName>
    <definedName name="wrn.Budget._.Template._.1998." hidden="1">{#N/A,#N/A,TRUE,"Data Elements-Staffing";#N/A,#N/A,TRUE,"Data Elements-Exp Driv &amp; Assump";#N/A,#N/A,TRUE,"Staffing Sheet";#N/A,#N/A,TRUE,"Income";#N/A,#N/A,TRUE,"Income Summary";#N/A,#N/A,TRUE,"Staffing Summary"}</definedName>
    <definedName name="wrn.Country._.Summary." localSheetId="14" hidden="1">{"Summary",#N/A,FALSE,"Country Summary"}</definedName>
    <definedName name="wrn.Country._.Summary." localSheetId="0" hidden="1">{"Summary",#N/A,FALSE,"Country Summary"}</definedName>
    <definedName name="wrn.Country._.Summary." localSheetId="7" hidden="1">{"Summary",#N/A,FALSE,"Country Summary"}</definedName>
    <definedName name="wrn.Country._.Summary." localSheetId="11" hidden="1">{"Summary",#N/A,FALSE,"Country Summary"}</definedName>
    <definedName name="wrn.Country._.Summary." hidden="1">{"Summary",#N/A,FALSE,"Country Summary"}</definedName>
    <definedName name="wrn.Country._.Worksheet." localSheetId="14" hidden="1">{"WkSheet",#N/A,FALSE,"Country Wksheet"}</definedName>
    <definedName name="wrn.Country._.Worksheet." localSheetId="0" hidden="1">{"WkSheet",#N/A,FALSE,"Country Wksheet"}</definedName>
    <definedName name="wrn.Country._.Worksheet." localSheetId="7" hidden="1">{"WkSheet",#N/A,FALSE,"Country Wksheet"}</definedName>
    <definedName name="wrn.Country._.Worksheet." localSheetId="11" hidden="1">{"WkSheet",#N/A,FALSE,"Country Wksheet"}</definedName>
    <definedName name="wrn.Country._.Worksheet." hidden="1">{"WkSheet",#N/A,FALSE,"Country Wksheet"}</definedName>
    <definedName name="wrn.final." localSheetId="14"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wrn.final." localSheetId="0"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wrn.final." localSheetId="7"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wrn.final." localSheetId="1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wrn.final."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wrn.Financials._.April._.02._.Rs._.000." localSheetId="14" hidden="1">{"BS - Rs'000",#N/A,FALSE,"Balance  ";"BS - Schedule Rs'000",#N/A,FALSE,"Balance  ";"BS - Trial locationwise",#N/A,FALSE,"Balance  ";"P&amp;L - Rs'000",#N/A,FALSE,"Profit and Loss";"P&amp;L - Schedule Rs '000",#N/A,FALSE,"Profit and Loss";"P&amp;L - Trial Locationwise",#N/A,FALSE,"Profit and Loss";"Fixed Assets Schedule",#N/A,FALSE,"sch";"Cash Flow",#N/A,FALSE,"Cash Flow"}</definedName>
    <definedName name="wrn.Financials._.April._.02._.Rs._.000." localSheetId="0" hidden="1">{"BS - Rs'000",#N/A,FALSE,"Balance  ";"BS - Schedule Rs'000",#N/A,FALSE,"Balance  ";"BS - Trial locationwise",#N/A,FALSE,"Balance  ";"P&amp;L - Rs'000",#N/A,FALSE,"Profit and Loss";"P&amp;L - Schedule Rs '000",#N/A,FALSE,"Profit and Loss";"P&amp;L - Trial Locationwise",#N/A,FALSE,"Profit and Loss";"Fixed Assets Schedule",#N/A,FALSE,"sch";"Cash Flow",#N/A,FALSE,"Cash Flow"}</definedName>
    <definedName name="wrn.Financials._.April._.02._.Rs._.000." localSheetId="7" hidden="1">{"BS - Rs'000",#N/A,FALSE,"Balance  ";"BS - Schedule Rs'000",#N/A,FALSE,"Balance  ";"BS - Trial locationwise",#N/A,FALSE,"Balance  ";"P&amp;L - Rs'000",#N/A,FALSE,"Profit and Loss";"P&amp;L - Schedule Rs '000",#N/A,FALSE,"Profit and Loss";"P&amp;L - Trial Locationwise",#N/A,FALSE,"Profit and Loss";"Fixed Assets Schedule",#N/A,FALSE,"sch";"Cash Flow",#N/A,FALSE,"Cash Flow"}</definedName>
    <definedName name="wrn.Financials._.April._.02._.Rs._.000." localSheetId="11" hidden="1">{"BS - Rs'000",#N/A,FALSE,"Balance  ";"BS - Schedule Rs'000",#N/A,FALSE,"Balance  ";"BS - Trial locationwise",#N/A,FALSE,"Balance  ";"P&amp;L - Rs'000",#N/A,FALSE,"Profit and Loss";"P&amp;L - Schedule Rs '000",#N/A,FALSE,"Profit and Loss";"P&amp;L - Trial Locationwise",#N/A,FALSE,"Profit and Loss";"Fixed Assets Schedule",#N/A,FALSE,"sch";"Cash Flow",#N/A,FALSE,"Cash Flow"}</definedName>
    <definedName name="wrn.Financials._.April._.02._.Rs._.000." hidden="1">{"BS - Rs'000",#N/A,FALSE,"Balance  ";"BS - Schedule Rs'000",#N/A,FALSE,"Balance  ";"BS - Trial locationwise",#N/A,FALSE,"Balance  ";"P&amp;L - Rs'000",#N/A,FALSE,"Profit and Loss";"P&amp;L - Schedule Rs '000",#N/A,FALSE,"Profit and Loss";"P&amp;L - Trial Locationwise",#N/A,FALSE,"Profit and Loss";"Fixed Assets Schedule",#N/A,FALSE,"sch";"Cash Flow",#N/A,FALSE,"Cash Flow"}</definedName>
    <definedName name="wrn.Food._.Packaging." localSheetId="14" hidden="1">{#N/A,#N/A,TRUE,"Cover";#N/A,#N/A,TRUE,"Results-Summ";#N/A,#N/A,TRUE,"Top10-FP";#N/A,#N/A,TRUE,"3MthFor";#N/A,#N/A,TRUE,"Bus-Dev";#N/A,#N/A,TRUE,"Top5-Dai";#N/A,#N/A,TRUE,"Top5-ICR";#N/A,#N/A,TRUE,"Top5-EFats";#N/A,#N/A,TRUE,"Top5-OP"}</definedName>
    <definedName name="wrn.Food._.Packaging." localSheetId="0" hidden="1">{#N/A,#N/A,TRUE,"Cover";#N/A,#N/A,TRUE,"Results-Summ";#N/A,#N/A,TRUE,"Top10-FP";#N/A,#N/A,TRUE,"3MthFor";#N/A,#N/A,TRUE,"Bus-Dev";#N/A,#N/A,TRUE,"Top5-Dai";#N/A,#N/A,TRUE,"Top5-ICR";#N/A,#N/A,TRUE,"Top5-EFats";#N/A,#N/A,TRUE,"Top5-OP"}</definedName>
    <definedName name="wrn.Food._.Packaging." localSheetId="7" hidden="1">{#N/A,#N/A,TRUE,"Cover";#N/A,#N/A,TRUE,"Results-Summ";#N/A,#N/A,TRUE,"Top10-FP";#N/A,#N/A,TRUE,"3MthFor";#N/A,#N/A,TRUE,"Bus-Dev";#N/A,#N/A,TRUE,"Top5-Dai";#N/A,#N/A,TRUE,"Top5-ICR";#N/A,#N/A,TRUE,"Top5-EFats";#N/A,#N/A,TRUE,"Top5-OP"}</definedName>
    <definedName name="wrn.Food._.Packaging." localSheetId="11" hidden="1">{#N/A,#N/A,TRUE,"Cover";#N/A,#N/A,TRUE,"Results-Summ";#N/A,#N/A,TRUE,"Top10-FP";#N/A,#N/A,TRUE,"3MthFor";#N/A,#N/A,TRUE,"Bus-Dev";#N/A,#N/A,TRUE,"Top5-Dai";#N/A,#N/A,TRUE,"Top5-ICR";#N/A,#N/A,TRUE,"Top5-EFats";#N/A,#N/A,TRUE,"Top5-OP"}</definedName>
    <definedName name="wrn.Food._.Packaging." hidden="1">{#N/A,#N/A,TRUE,"Cover";#N/A,#N/A,TRUE,"Results-Summ";#N/A,#N/A,TRUE,"Top10-FP";#N/A,#N/A,TRUE,"3MthFor";#N/A,#N/A,TRUE,"Bus-Dev";#N/A,#N/A,TRUE,"Top5-Dai";#N/A,#N/A,TRUE,"Top5-ICR";#N/A,#N/A,TRUE,"Top5-EFats";#N/A,#N/A,TRUE,"Top5-OP"}</definedName>
    <definedName name="wrn.Food._.Service." localSheetId="14" hidden="1">{#N/A,#N/A,TRUE,"Cover";#N/A,#N/A,TRUE,"Results-Summ";#N/A,#N/A,TRUE,"Top10-FS";#N/A,#N/A,TRUE,"Top10-TP";#N/A,#N/A,TRUE,"3MthFor";#N/A,#N/A,TRUE,"Bus-Dev";#N/A,#N/A,TRUE,"Top10-Cat";#N/A,#N/A,TRUE,"Top10-Con";#N/A,#N/A,TRUE,"Top10-QSR";#N/A,#N/A,TRUE,"Top10-RM";#N/A,#N/A,TRUE,"Top10-FrF"}</definedName>
    <definedName name="wrn.Food._.Service." localSheetId="0" hidden="1">{#N/A,#N/A,TRUE,"Cover";#N/A,#N/A,TRUE,"Results-Summ";#N/A,#N/A,TRUE,"Top10-FS";#N/A,#N/A,TRUE,"Top10-TP";#N/A,#N/A,TRUE,"3MthFor";#N/A,#N/A,TRUE,"Bus-Dev";#N/A,#N/A,TRUE,"Top10-Cat";#N/A,#N/A,TRUE,"Top10-Con";#N/A,#N/A,TRUE,"Top10-QSR";#N/A,#N/A,TRUE,"Top10-RM";#N/A,#N/A,TRUE,"Top10-FrF"}</definedName>
    <definedName name="wrn.Food._.Service." localSheetId="7" hidden="1">{#N/A,#N/A,TRUE,"Cover";#N/A,#N/A,TRUE,"Results-Summ";#N/A,#N/A,TRUE,"Top10-FS";#N/A,#N/A,TRUE,"Top10-TP";#N/A,#N/A,TRUE,"3MthFor";#N/A,#N/A,TRUE,"Bus-Dev";#N/A,#N/A,TRUE,"Top10-Cat";#N/A,#N/A,TRUE,"Top10-Con";#N/A,#N/A,TRUE,"Top10-QSR";#N/A,#N/A,TRUE,"Top10-RM";#N/A,#N/A,TRUE,"Top10-FrF"}</definedName>
    <definedName name="wrn.Food._.Service." localSheetId="11" hidden="1">{#N/A,#N/A,TRUE,"Cover";#N/A,#N/A,TRUE,"Results-Summ";#N/A,#N/A,TRUE,"Top10-FS";#N/A,#N/A,TRUE,"Top10-TP";#N/A,#N/A,TRUE,"3MthFor";#N/A,#N/A,TRUE,"Bus-Dev";#N/A,#N/A,TRUE,"Top10-Cat";#N/A,#N/A,TRUE,"Top10-Con";#N/A,#N/A,TRUE,"Top10-QSR";#N/A,#N/A,TRUE,"Top10-RM";#N/A,#N/A,TRUE,"Top10-FrF"}</definedName>
    <definedName name="wrn.Food._.Service." hidden="1">{#N/A,#N/A,TRUE,"Cover";#N/A,#N/A,TRUE,"Results-Summ";#N/A,#N/A,TRUE,"Top10-FS";#N/A,#N/A,TRUE,"Top10-TP";#N/A,#N/A,TRUE,"3MthFor";#N/A,#N/A,TRUE,"Bus-Dev";#N/A,#N/A,TRUE,"Top10-Cat";#N/A,#N/A,TRUE,"Top10-Con";#N/A,#N/A,TRUE,"Top10-QSR";#N/A,#N/A,TRUE,"Top10-RM";#N/A,#N/A,TRUE,"Top10-FrF"}</definedName>
    <definedName name="wrn.FORM1." localSheetId="14" hidden="1">{#N/A,#N/A,FALSE,"COMP"}</definedName>
    <definedName name="wrn.FORM1." localSheetId="0" hidden="1">{#N/A,#N/A,FALSE,"COMP"}</definedName>
    <definedName name="wrn.FORM1." localSheetId="7" hidden="1">{#N/A,#N/A,FALSE,"COMP"}</definedName>
    <definedName name="wrn.FORM1." localSheetId="11" hidden="1">{#N/A,#N/A,FALSE,"COMP"}</definedName>
    <definedName name="wrn.FORM1." hidden="1">{#N/A,#N/A,FALSE,"COMP"}</definedName>
    <definedName name="wrn.Full._.Financials." localSheetId="14" hidden="1">{#N/A,#N/A,TRUE,"Financials";#N/A,#N/A,TRUE,"Operating Statistics";#N/A,#N/A,TRUE,"Capex &amp; Depreciation";#N/A,#N/A,TRUE,"Debt"}</definedName>
    <definedName name="wrn.Full._.Financials." localSheetId="0" hidden="1">{#N/A,#N/A,TRUE,"Financials";#N/A,#N/A,TRUE,"Operating Statistics";#N/A,#N/A,TRUE,"Capex &amp; Depreciation";#N/A,#N/A,TRUE,"Debt"}</definedName>
    <definedName name="wrn.Full._.Financials." localSheetId="7" hidden="1">{#N/A,#N/A,TRUE,"Financials";#N/A,#N/A,TRUE,"Operating Statistics";#N/A,#N/A,TRUE,"Capex &amp; Depreciation";#N/A,#N/A,TRUE,"Debt"}</definedName>
    <definedName name="wrn.Full._.Financials." localSheetId="11" hidden="1">{#N/A,#N/A,TRUE,"Financials";#N/A,#N/A,TRUE,"Operating Statistics";#N/A,#N/A,TRUE,"Capex &amp; Depreciation";#N/A,#N/A,TRUE,"Debt"}</definedName>
    <definedName name="wrn.Full._.Financials." hidden="1">{#N/A,#N/A,TRUE,"Financials";#N/A,#N/A,TRUE,"Operating Statistics";#N/A,#N/A,TRUE,"Capex &amp; Depreciation";#N/A,#N/A,TRUE,"Debt"}</definedName>
    <definedName name="wrn.full.fin.1" localSheetId="14" hidden="1">{#N/A,#N/A,TRUE,"Financials";#N/A,#N/A,TRUE,"Operating Statistics";#N/A,#N/A,TRUE,"Capex &amp; Depreciation";#N/A,#N/A,TRUE,"Debt"}</definedName>
    <definedName name="wrn.full.fin.1" localSheetId="0" hidden="1">{#N/A,#N/A,TRUE,"Financials";#N/A,#N/A,TRUE,"Operating Statistics";#N/A,#N/A,TRUE,"Capex &amp; Depreciation";#N/A,#N/A,TRUE,"Debt"}</definedName>
    <definedName name="wrn.full.fin.1" localSheetId="7" hidden="1">{#N/A,#N/A,TRUE,"Financials";#N/A,#N/A,TRUE,"Operating Statistics";#N/A,#N/A,TRUE,"Capex &amp; Depreciation";#N/A,#N/A,TRUE,"Debt"}</definedName>
    <definedName name="wrn.full.fin.1" localSheetId="11" hidden="1">{#N/A,#N/A,TRUE,"Financials";#N/A,#N/A,TRUE,"Operating Statistics";#N/A,#N/A,TRUE,"Capex &amp; Depreciation";#N/A,#N/A,TRUE,"Debt"}</definedName>
    <definedName name="wrn.full.fin.1" hidden="1">{#N/A,#N/A,TRUE,"Financials";#N/A,#N/A,TRUE,"Operating Statistics";#N/A,#N/A,TRUE,"Capex &amp; Depreciation";#N/A,#N/A,TRUE,"Debt"}</definedName>
    <definedName name="wrn.imprim." localSheetId="14"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imprim." localSheetId="0"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imprim." localSheetId="7"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imprim." localSheetId="1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imprim."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MDS1." localSheetId="1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0"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localSheetId="1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One._.Pager._.plus._.Technicals." localSheetId="14" hidden="1">{#N/A,#N/A,FALSE,"One Pager";#N/A,#N/A,FALSE,"Technical"}</definedName>
    <definedName name="wrn.One._.Pager._.plus._.Technicals." localSheetId="0" hidden="1">{#N/A,#N/A,FALSE,"One Pager";#N/A,#N/A,FALSE,"Technical"}</definedName>
    <definedName name="wrn.One._.Pager._.plus._.Technicals." localSheetId="7" hidden="1">{#N/A,#N/A,FALSE,"One Pager";#N/A,#N/A,FALSE,"Technical"}</definedName>
    <definedName name="wrn.One._.Pager._.plus._.Technicals." localSheetId="11" hidden="1">{#N/A,#N/A,FALSE,"One Pager";#N/A,#N/A,FALSE,"Technical"}</definedName>
    <definedName name="wrn.One._.Pager._.plus._.Technicals." hidden="1">{#N/A,#N/A,FALSE,"One Pager";#N/A,#N/A,FALSE,"Technical"}</definedName>
    <definedName name="wrn.pp97schedules." localSheetId="14" hidden="1">{"plansummary",#N/A,FALSE,"PlanSummary";"sales",#N/A,FALSE,"Sales Rec";"productivity",#N/A,FALSE,"Productivity Rec";"capitalspending",#N/A,FALSE,"Capital Spending"}</definedName>
    <definedName name="wrn.pp97schedules." localSheetId="0" hidden="1">{"plansummary",#N/A,FALSE,"PlanSummary";"sales",#N/A,FALSE,"Sales Rec";"productivity",#N/A,FALSE,"Productivity Rec";"capitalspending",#N/A,FALSE,"Capital Spending"}</definedName>
    <definedName name="wrn.pp97schedules." localSheetId="7" hidden="1">{"plansummary",#N/A,FALSE,"PlanSummary";"sales",#N/A,FALSE,"Sales Rec";"productivity",#N/A,FALSE,"Productivity Rec";"capitalspending",#N/A,FALSE,"Capital Spending"}</definedName>
    <definedName name="wrn.pp97schedules." localSheetId="11" hidden="1">{"plansummary",#N/A,FALSE,"PlanSummary";"sales",#N/A,FALSE,"Sales Rec";"productivity",#N/A,FALSE,"Productivity Rec";"capitalspending",#N/A,FALSE,"Capital Spending"}</definedName>
    <definedName name="wrn.pp97schedules." hidden="1">{"plansummary",#N/A,FALSE,"PlanSummary";"sales",#N/A,FALSE,"Sales Rec";"productivity",#N/A,FALSE,"Productivity Rec";"capitalspending",#N/A,FALSE,"Capital Spending"}</definedName>
    <definedName name="wrn.PrintAll." localSheetId="14" hidden="1">{#N/A,#N/A,FALSE,"Australia";#N/A,#N/A,FALSE,"Belgium";#N/A,#N/A,FALSE,"Canada RP";#N/A,#N/A,FALSE,"Canada SP";#N/A,#N/A,FALSE,"France RI";#N/A,#N/A,FALSE,"France SP";#N/A,#N/A,FALSE,"Germany";#N/A,#N/A,FALSE,"Ireland Marsh";#N/A,#N/A,FALSE,"Ireland Mercer";#N/A,#N/A,FALSE,"Netherlands";#N/A,#N/A,FALSE,"UK Bowring";#N/A,#N/A,FALSE,"UK Frizzell";#N/A,#N/A,FALSE,"UK Mercer";#N/A,#N/A,FALSE,"Summary"}</definedName>
    <definedName name="wrn.PrintAll." localSheetId="0" hidden="1">{#N/A,#N/A,FALSE,"Australia";#N/A,#N/A,FALSE,"Belgium";#N/A,#N/A,FALSE,"Canada RP";#N/A,#N/A,FALSE,"Canada SP";#N/A,#N/A,FALSE,"France RI";#N/A,#N/A,FALSE,"France SP";#N/A,#N/A,FALSE,"Germany";#N/A,#N/A,FALSE,"Ireland Marsh";#N/A,#N/A,FALSE,"Ireland Mercer";#N/A,#N/A,FALSE,"Netherlands";#N/A,#N/A,FALSE,"UK Bowring";#N/A,#N/A,FALSE,"UK Frizzell";#N/A,#N/A,FALSE,"UK Mercer";#N/A,#N/A,FALSE,"Summary"}</definedName>
    <definedName name="wrn.PrintAll." localSheetId="7" hidden="1">{#N/A,#N/A,FALSE,"Australia";#N/A,#N/A,FALSE,"Belgium";#N/A,#N/A,FALSE,"Canada RP";#N/A,#N/A,FALSE,"Canada SP";#N/A,#N/A,FALSE,"France RI";#N/A,#N/A,FALSE,"France SP";#N/A,#N/A,FALSE,"Germany";#N/A,#N/A,FALSE,"Ireland Marsh";#N/A,#N/A,FALSE,"Ireland Mercer";#N/A,#N/A,FALSE,"Netherlands";#N/A,#N/A,FALSE,"UK Bowring";#N/A,#N/A,FALSE,"UK Frizzell";#N/A,#N/A,FALSE,"UK Mercer";#N/A,#N/A,FALSE,"Summary"}</definedName>
    <definedName name="wrn.PrintAll." localSheetId="11" hidden="1">{#N/A,#N/A,FALSE,"Australia";#N/A,#N/A,FALSE,"Belgium";#N/A,#N/A,FALSE,"Canada RP";#N/A,#N/A,FALSE,"Canada SP";#N/A,#N/A,FALSE,"France RI";#N/A,#N/A,FALSE,"France SP";#N/A,#N/A,FALSE,"Germany";#N/A,#N/A,FALSE,"Ireland Marsh";#N/A,#N/A,FALSE,"Ireland Mercer";#N/A,#N/A,FALSE,"Netherlands";#N/A,#N/A,FALSE,"UK Bowring";#N/A,#N/A,FALSE,"UK Frizzell";#N/A,#N/A,FALSE,"UK Mercer";#N/A,#N/A,FALSE,"Summary"}</definedName>
    <definedName name="wrn.PrintAll." hidden="1">{#N/A,#N/A,FALSE,"Australia";#N/A,#N/A,FALSE,"Belgium";#N/A,#N/A,FALSE,"Canada RP";#N/A,#N/A,FALSE,"Canada SP";#N/A,#N/A,FALSE,"France RI";#N/A,#N/A,FALSE,"France SP";#N/A,#N/A,FALSE,"Germany";#N/A,#N/A,FALSE,"Ireland Marsh";#N/A,#N/A,FALSE,"Ireland Mercer";#N/A,#N/A,FALSE,"Netherlands";#N/A,#N/A,FALSE,"UK Bowring";#N/A,#N/A,FALSE,"UK Frizzell";#N/A,#N/A,FALSE,"UK Mercer";#N/A,#N/A,FALSE,"Summary"}</definedName>
    <definedName name="wrn.REPORT." localSheetId="14"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0"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7" hidden="1">{#N/A,#N/A,FALSE,"Balance Sheet";#N/A,#N/A,FALSE,"Profit &amp; Loss ";#N/A,#N/A,FALSE,"Schedule-1";#N/A,#N/A,FALSE,"Schedule-2";#N/A,#N/A,FALSE,"Schedule-3";#N/A,#N/A,FALSE,"Schedule-4 ";#N/A,#N/A,FALSE,"Schedule-5";#N/A,#N/A,FALSE,"Schedule-6,7,8,9";#N/A,#N/A,FALSE,"Schedule-10,11";#N/A,#N/A,FALSE,"Schedule-12,13,14,15";#N/A,#N/A,FALSE,"Scdedule-16"}</definedName>
    <definedName name="wrn.REPORT." localSheetId="11" hidden="1">{#N/A,#N/A,FALSE,"Balance Sheet";#N/A,#N/A,FALSE,"Profit &amp; Loss ";#N/A,#N/A,FALSE,"Schedule-1";#N/A,#N/A,FALSE,"Schedule-2";#N/A,#N/A,FALSE,"Schedule-3";#N/A,#N/A,FALSE,"Schedule-4 ";#N/A,#N/A,FALSE,"Schedule-5";#N/A,#N/A,FALSE,"Schedule-6,7,8,9";#N/A,#N/A,FALSE,"Schedule-10,11";#N/A,#N/A,FALSE,"Schedule-12,13,14,15";#N/A,#N/A,FALSE,"Scdedule-16"}</definedName>
    <definedName name="wrn.REPORT." hidden="1">{#N/A,#N/A,FALSE,"Balance Sheet";#N/A,#N/A,FALSE,"Profit &amp; Loss ";#N/A,#N/A,FALSE,"Schedule-1";#N/A,#N/A,FALSE,"Schedule-2";#N/A,#N/A,FALSE,"Schedule-3";#N/A,#N/A,FALSE,"Schedule-4 ";#N/A,#N/A,FALSE,"Schedule-5";#N/A,#N/A,FALSE,"Schedule-6,7,8,9";#N/A,#N/A,FALSE,"Schedule-10,11";#N/A,#N/A,FALSE,"Schedule-12,13,14,15";#N/A,#N/A,FALSE,"Scdedule-16"}</definedName>
    <definedName name="wrn.Schedules." localSheetId="14" hidden="1">{"S 1 2",#N/A,FALSE,"Accounts2002 New";"S 3 4",#N/A,FALSE,"Accounts2002 New";"S 6 7 8",#N/A,FALSE,"Accounts2002 New";"S 9 10 11 12 13",#N/A,FALSE,"Accounts2002 New";"S 14 15 16 17",#N/A,FALSE,"Accounts2002 New";"S 18 19",#N/A,FALSE,"Accounts2002 New"}</definedName>
    <definedName name="wrn.Schedules." localSheetId="0" hidden="1">{"S 1 2",#N/A,FALSE,"Accounts2002 New";"S 3 4",#N/A,FALSE,"Accounts2002 New";"S 6 7 8",#N/A,FALSE,"Accounts2002 New";"S 9 10 11 12 13",#N/A,FALSE,"Accounts2002 New";"S 14 15 16 17",#N/A,FALSE,"Accounts2002 New";"S 18 19",#N/A,FALSE,"Accounts2002 New"}</definedName>
    <definedName name="wrn.Schedules." localSheetId="7" hidden="1">{"S 1 2",#N/A,FALSE,"Accounts2002 New";"S 3 4",#N/A,FALSE,"Accounts2002 New";"S 6 7 8",#N/A,FALSE,"Accounts2002 New";"S 9 10 11 12 13",#N/A,FALSE,"Accounts2002 New";"S 14 15 16 17",#N/A,FALSE,"Accounts2002 New";"S 18 19",#N/A,FALSE,"Accounts2002 New"}</definedName>
    <definedName name="wrn.Schedules." localSheetId="11" hidden="1">{"S 1 2",#N/A,FALSE,"Accounts2002 New";"S 3 4",#N/A,FALSE,"Accounts2002 New";"S 6 7 8",#N/A,FALSE,"Accounts2002 New";"S 9 10 11 12 13",#N/A,FALSE,"Accounts2002 New";"S 14 15 16 17",#N/A,FALSE,"Accounts2002 New";"S 18 19",#N/A,FALSE,"Accounts2002 New"}</definedName>
    <definedName name="wrn.Schedules." hidden="1">{"S 1 2",#N/A,FALSE,"Accounts2002 New";"S 3 4",#N/A,FALSE,"Accounts2002 New";"S 6 7 8",#N/A,FALSE,"Accounts2002 New";"S 9 10 11 12 13",#N/A,FALSE,"Accounts2002 New";"S 14 15 16 17",#N/A,FALSE,"Accounts2002 New";"S 18 19",#N/A,FALSE,"Accounts2002 New"}</definedName>
    <definedName name="wrn.TRAVELLING." localSheetId="14" hidden="1">{#N/A,#N/A,FALSE,"Sheet3"}</definedName>
    <definedName name="wrn.TRAVELLING." localSheetId="0" hidden="1">{#N/A,#N/A,FALSE,"Sheet3"}</definedName>
    <definedName name="wrn.TRAVELLING." localSheetId="7" hidden="1">{#N/A,#N/A,FALSE,"Sheet3"}</definedName>
    <definedName name="wrn.TRAVELLING." localSheetId="11" hidden="1">{#N/A,#N/A,FALSE,"Sheet3"}</definedName>
    <definedName name="wrn.TRAVELLING." hidden="1">{#N/A,#N/A,FALSE,"Sheet3"}</definedName>
    <definedName name="wvu.BTP." localSheetId="14" hidden="1">{TRUE,TRUE,7.75,2.5,467.25,234,FALSE,TRUE,TRUE,TRUE,0,21,#N/A,70,#N/A,3.96551724137931,9.21428571428571,1,FALSE,FALSE,1,TRUE,1,FALSE,100,"Swvu.BTP.","ACwvu.BTP.",#N/A,FALSE,FALSE,0.5,0.75,0.5,0.5,2,"","",TRUE,TRUE,FALSE,FALSE,1,#N/A,1,1,"=R2C1:R75C2",FALSE,"Rwvu.BTP.",#N/A,FALSE,FALSE,FALSE,8,180,180,FALSE,FALSE,TRUE,TRUE,TRUE}</definedName>
    <definedName name="wvu.BTP." localSheetId="0" hidden="1">{TRUE,TRUE,7.75,2.5,467.25,234,FALSE,TRUE,TRUE,TRUE,0,21,#N/A,70,#N/A,3.96551724137931,9.21428571428571,1,FALSE,FALSE,1,TRUE,1,FALSE,100,"Swvu.BTP.","ACwvu.BTP.",#N/A,FALSE,FALSE,0.5,0.75,0.5,0.5,2,"","",TRUE,TRUE,FALSE,FALSE,1,#N/A,1,1,"=R2C1:R75C2",FALSE,"Rwvu.BTP.",#N/A,FALSE,FALSE,FALSE,8,180,180,FALSE,FALSE,TRUE,TRUE,TRUE}</definedName>
    <definedName name="wvu.BTP." localSheetId="7" hidden="1">{TRUE,TRUE,7.75,2.5,467.25,234,FALSE,TRUE,TRUE,TRUE,0,21,#N/A,70,#N/A,3.96551724137931,9.21428571428571,1,FALSE,FALSE,1,TRUE,1,FALSE,100,"Swvu.BTP.","ACwvu.BTP.",#N/A,FALSE,FALSE,0.5,0.75,0.5,0.5,2,"","",TRUE,TRUE,FALSE,FALSE,1,#N/A,1,1,"=R2C1:R75C2",FALSE,"Rwvu.BTP.",#N/A,FALSE,FALSE,FALSE,8,180,180,FALSE,FALSE,TRUE,TRUE,TRUE}</definedName>
    <definedName name="wvu.BTP." localSheetId="11" hidden="1">{TRUE,TRUE,7.75,2.5,467.25,234,FALSE,TRUE,TRUE,TRUE,0,21,#N/A,70,#N/A,3.96551724137931,9.21428571428571,1,FALSE,FALSE,1,TRUE,1,FALSE,100,"Swvu.BTP.","ACwvu.BTP.",#N/A,FALSE,FALSE,0.5,0.75,0.5,0.5,2,"","",TRUE,TRUE,FALSE,FALSE,1,#N/A,1,1,"=R2C1:R75C2",FALSE,"Rwvu.BTP.",#N/A,FALSE,FALSE,FALSE,8,180,180,FALSE,FALSE,TRUE,TRUE,TRUE}</definedName>
    <definedName name="wvu.BTP." hidden="1">{TRUE,TRUE,7.75,2.5,467.25,234,FALSE,TRUE,TRUE,TRUE,0,21,#N/A,70,#N/A,3.96551724137931,9.21428571428571,1,FALSE,FALSE,1,TRUE,1,FALSE,100,"Swvu.BTP.","ACwvu.BTP.",#N/A,FALSE,FALSE,0.5,0.75,0.5,0.5,2,"","",TRUE,TRUE,FALSE,FALSE,1,#N/A,1,1,"=R2C1:R75C2",FALSE,"Rwvu.BTP.",#N/A,FALSE,FALSE,FALSE,8,180,180,FALSE,FALSE,TRUE,TRUE,TRUE}</definedName>
    <definedName name="wvu.KTP." localSheetId="14" hidden="1">{TRUE,TRUE,7.75,2.5,467.25,234,FALSE,TRUE,TRUE,TRUE,0,10,#N/A,73,#N/A,3.96551724137931,9.17857142857143,1,FALSE,FALSE,1,TRUE,1,FALSE,100,"Swvu.KTP.","ACwvu.KTP.",#N/A,FALSE,FALSE,0.5,0.75,0.5,0.5,2,"","",TRUE,TRUE,FALSE,FALSE,1,#N/A,1,1,"=R2C1:R75C2",FALSE,#N/A,#N/A,FALSE,FALSE,FALSE,8,180,180,FALSE,FALSE,TRUE,TRUE,TRUE}</definedName>
    <definedName name="wvu.KTP." localSheetId="0" hidden="1">{TRUE,TRUE,7.75,2.5,467.25,234,FALSE,TRUE,TRUE,TRUE,0,10,#N/A,73,#N/A,3.96551724137931,9.17857142857143,1,FALSE,FALSE,1,TRUE,1,FALSE,100,"Swvu.KTP.","ACwvu.KTP.",#N/A,FALSE,FALSE,0.5,0.75,0.5,0.5,2,"","",TRUE,TRUE,FALSE,FALSE,1,#N/A,1,1,"=R2C1:R75C2",FALSE,#N/A,#N/A,FALSE,FALSE,FALSE,8,180,180,FALSE,FALSE,TRUE,TRUE,TRUE}</definedName>
    <definedName name="wvu.KTP." localSheetId="7" hidden="1">{TRUE,TRUE,7.75,2.5,467.25,234,FALSE,TRUE,TRUE,TRUE,0,10,#N/A,73,#N/A,3.96551724137931,9.17857142857143,1,FALSE,FALSE,1,TRUE,1,FALSE,100,"Swvu.KTP.","ACwvu.KTP.",#N/A,FALSE,FALSE,0.5,0.75,0.5,0.5,2,"","",TRUE,TRUE,FALSE,FALSE,1,#N/A,1,1,"=R2C1:R75C2",FALSE,#N/A,#N/A,FALSE,FALSE,FALSE,8,180,180,FALSE,FALSE,TRUE,TRUE,TRUE}</definedName>
    <definedName name="wvu.KTP." localSheetId="11" hidden="1">{TRUE,TRUE,7.75,2.5,467.25,234,FALSE,TRUE,TRUE,TRUE,0,10,#N/A,73,#N/A,3.96551724137931,9.17857142857143,1,FALSE,FALSE,1,TRUE,1,FALSE,100,"Swvu.KTP.","ACwvu.KTP.",#N/A,FALSE,FALSE,0.5,0.75,0.5,0.5,2,"","",TRUE,TRUE,FALSE,FALSE,1,#N/A,1,1,"=R2C1:R75C2",FALSE,#N/A,#N/A,FALSE,FALSE,FALSE,8,180,180,FALSE,FALSE,TRUE,TRUE,TRUE}</definedName>
    <definedName name="wvu.KTP." hidden="1">{TRUE,TRUE,7.75,2.5,467.25,234,FALSE,TRUE,TRUE,TRUE,0,10,#N/A,73,#N/A,3.96551724137931,9.17857142857143,1,FALSE,FALSE,1,TRUE,1,FALSE,100,"Swvu.KTP.","ACwvu.KTP.",#N/A,FALSE,FALSE,0.5,0.75,0.5,0.5,2,"","",TRUE,TRUE,FALSE,FALSE,1,#N/A,1,1,"=R2C1:R75C2",FALSE,#N/A,#N/A,FALSE,FALSE,FALSE,8,180,180,FALSE,FALSE,TRUE,TRUE,TRUE}</definedName>
    <definedName name="wvu.TOTAL." localSheetId="14" hidden="1">{TRUE,TRUE,7.75,2.5,467.25,234,FALSE,TRUE,TRUE,TRUE,0,32,#N/A,69,#N/A,4.55555555555556,9.21428571428571,1,FALSE,FALSE,1,TRUE,1,FALSE,100,"Swvu.TOTAL.","ACwvu.TOTAL.",#N/A,FALSE,FALSE,0.5,0.75,0.5,0.5,2,"","",TRUE,TRUE,FALSE,FALSE,1,#N/A,1,1,"=R2C1:R75C2",FALSE,"Rwvu.TOTAL.",#N/A,FALSE,FALSE,FALSE,8,180,180,FALSE,FALSE,TRUE,TRUE,TRUE}</definedName>
    <definedName name="wvu.TOTAL." localSheetId="0" hidden="1">{TRUE,TRUE,7.75,2.5,467.25,234,FALSE,TRUE,TRUE,TRUE,0,32,#N/A,69,#N/A,4.55555555555556,9.21428571428571,1,FALSE,FALSE,1,TRUE,1,FALSE,100,"Swvu.TOTAL.","ACwvu.TOTAL.",#N/A,FALSE,FALSE,0.5,0.75,0.5,0.5,2,"","",TRUE,TRUE,FALSE,FALSE,1,#N/A,1,1,"=R2C1:R75C2",FALSE,"Rwvu.TOTAL.",#N/A,FALSE,FALSE,FALSE,8,180,180,FALSE,FALSE,TRUE,TRUE,TRUE}</definedName>
    <definedName name="wvu.TOTAL." localSheetId="7" hidden="1">{TRUE,TRUE,7.75,2.5,467.25,234,FALSE,TRUE,TRUE,TRUE,0,32,#N/A,69,#N/A,4.55555555555556,9.21428571428571,1,FALSE,FALSE,1,TRUE,1,FALSE,100,"Swvu.TOTAL.","ACwvu.TOTAL.",#N/A,FALSE,FALSE,0.5,0.75,0.5,0.5,2,"","",TRUE,TRUE,FALSE,FALSE,1,#N/A,1,1,"=R2C1:R75C2",FALSE,"Rwvu.TOTAL.",#N/A,FALSE,FALSE,FALSE,8,180,180,FALSE,FALSE,TRUE,TRUE,TRUE}</definedName>
    <definedName name="wvu.TOTAL." localSheetId="11" hidden="1">{TRUE,TRUE,7.75,2.5,467.25,234,FALSE,TRUE,TRUE,TRUE,0,32,#N/A,69,#N/A,4.55555555555556,9.21428571428571,1,FALSE,FALSE,1,TRUE,1,FALSE,100,"Swvu.TOTAL.","ACwvu.TOTAL.",#N/A,FALSE,FALSE,0.5,0.75,0.5,0.5,2,"","",TRUE,TRUE,FALSE,FALSE,1,#N/A,1,1,"=R2C1:R75C2",FALSE,"Rwvu.TOTAL.",#N/A,FALSE,FALSE,FALSE,8,180,180,FALSE,FALSE,TRUE,TRUE,TRUE}</definedName>
    <definedName name="wvu.TOTAL." hidden="1">{TRUE,TRUE,7.75,2.5,467.25,234,FALSE,TRUE,TRUE,TRUE,0,32,#N/A,69,#N/A,4.55555555555556,9.21428571428571,1,FALSE,FALSE,1,TRUE,1,FALSE,100,"Swvu.TOTAL.","ACwvu.TOTAL.",#N/A,FALSE,FALSE,0.5,0.75,0.5,0.5,2,"","",TRUE,TRUE,FALSE,FALSE,1,#N/A,1,1,"=R2C1:R75C2",FALSE,"Rwvu.TOTAL.",#N/A,FALSE,FALSE,FALSE,8,180,180,FALSE,FALSE,TRUE,TRUE,TRUE}</definedName>
    <definedName name="wwww" localSheetId="14" hidden="1">{#N/A,#N/A,TRUE,"Data Elements-Staffing";#N/A,#N/A,TRUE,"Data Elements-Exp Driv &amp; Assump";#N/A,#N/A,TRUE,"Staffing Sheet";#N/A,#N/A,TRUE,"Income";#N/A,#N/A,TRUE,"Income Summary";#N/A,#N/A,TRUE,"Staffing Summary"}</definedName>
    <definedName name="wwww" localSheetId="0" hidden="1">{#N/A,#N/A,TRUE,"Data Elements-Staffing";#N/A,#N/A,TRUE,"Data Elements-Exp Driv &amp; Assump";#N/A,#N/A,TRUE,"Staffing Sheet";#N/A,#N/A,TRUE,"Income";#N/A,#N/A,TRUE,"Income Summary";#N/A,#N/A,TRUE,"Staffing Summary"}</definedName>
    <definedName name="wwww" localSheetId="7" hidden="1">{#N/A,#N/A,TRUE,"Data Elements-Staffing";#N/A,#N/A,TRUE,"Data Elements-Exp Driv &amp; Assump";#N/A,#N/A,TRUE,"Staffing Sheet";#N/A,#N/A,TRUE,"Income";#N/A,#N/A,TRUE,"Income Summary";#N/A,#N/A,TRUE,"Staffing Summary"}</definedName>
    <definedName name="wwww" localSheetId="11" hidden="1">{#N/A,#N/A,TRUE,"Data Elements-Staffing";#N/A,#N/A,TRUE,"Data Elements-Exp Driv &amp; Assump";#N/A,#N/A,TRUE,"Staffing Sheet";#N/A,#N/A,TRUE,"Income";#N/A,#N/A,TRUE,"Income Summary";#N/A,#N/A,TRUE,"Staffing Summary"}</definedName>
    <definedName name="wwww" hidden="1">{#N/A,#N/A,TRUE,"Data Elements-Staffing";#N/A,#N/A,TRUE,"Data Elements-Exp Driv &amp; Assump";#N/A,#N/A,TRUE,"Staffing Sheet";#N/A,#N/A,TRUE,"Income";#N/A,#N/A,TRUE,"Income Summary";#N/A,#N/A,TRUE,"Staffing Summary"}</definedName>
    <definedName name="X">#REF!</definedName>
    <definedName name="x.xls" localSheetId="14" hidden="1">{#N/A,#N/A,TRUE,"Financials";#N/A,#N/A,TRUE,"Operating Statistics";#N/A,#N/A,TRUE,"Capex &amp; Depreciation";#N/A,#N/A,TRUE,"Debt"}</definedName>
    <definedName name="x.xls" localSheetId="0" hidden="1">{#N/A,#N/A,TRUE,"Financials";#N/A,#N/A,TRUE,"Operating Statistics";#N/A,#N/A,TRUE,"Capex &amp; Depreciation";#N/A,#N/A,TRUE,"Debt"}</definedName>
    <definedName name="x.xls" localSheetId="7" hidden="1">{#N/A,#N/A,TRUE,"Financials";#N/A,#N/A,TRUE,"Operating Statistics";#N/A,#N/A,TRUE,"Capex &amp; Depreciation";#N/A,#N/A,TRUE,"Debt"}</definedName>
    <definedName name="x.xls" localSheetId="11" hidden="1">{#N/A,#N/A,TRUE,"Financials";#N/A,#N/A,TRUE,"Operating Statistics";#N/A,#N/A,TRUE,"Capex &amp; Depreciation";#N/A,#N/A,TRUE,"Debt"}</definedName>
    <definedName name="x.xls" hidden="1">{#N/A,#N/A,TRUE,"Financials";#N/A,#N/A,TRUE,"Operating Statistics";#N/A,#N/A,TRUE,"Capex &amp; Depreciation";#N/A,#N/A,TRUE,"Debt"}</definedName>
    <definedName name="xa" localSheetId="14" hidden="1">{#N/A,#N/A,FALSE,"Aging Summary";#N/A,#N/A,FALSE,"Ratio Analysis";#N/A,#N/A,FALSE,"Test 120 Day Accts";#N/A,#N/A,FALSE,"Tickmarks"}</definedName>
    <definedName name="xa" localSheetId="0" hidden="1">{#N/A,#N/A,FALSE,"Aging Summary";#N/A,#N/A,FALSE,"Ratio Analysis";#N/A,#N/A,FALSE,"Test 120 Day Accts";#N/A,#N/A,FALSE,"Tickmarks"}</definedName>
    <definedName name="xa" localSheetId="7" hidden="1">{#N/A,#N/A,FALSE,"Aging Summary";#N/A,#N/A,FALSE,"Ratio Analysis";#N/A,#N/A,FALSE,"Test 120 Day Accts";#N/A,#N/A,FALSE,"Tickmarks"}</definedName>
    <definedName name="xa" localSheetId="11" hidden="1">{#N/A,#N/A,FALSE,"Aging Summary";#N/A,#N/A,FALSE,"Ratio Analysis";#N/A,#N/A,FALSE,"Test 120 Day Accts";#N/A,#N/A,FALSE,"Tickmarks"}</definedName>
    <definedName name="xa" hidden="1">{#N/A,#N/A,FALSE,"Aging Summary";#N/A,#N/A,FALSE,"Ratio Analysis";#N/A,#N/A,FALSE,"Test 120 Day Accts";#N/A,#N/A,FALSE,"Tickmarks"}</definedName>
    <definedName name="XB">#REF!</definedName>
    <definedName name="XC">#REF!</definedName>
    <definedName name="XD">#REF!</definedName>
    <definedName name="XE">#REF!</definedName>
    <definedName name="XF">#REF!</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#REF!</definedName>
    <definedName name="XREF_COLUMN_20"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5</definedName>
    <definedName name="XRefCopy1" hidden="1">#REF!</definedName>
    <definedName name="XRefCopy10" hidden="1">#REF!</definedName>
    <definedName name="XRefCopy100Row" hidden="1">#REF!</definedName>
    <definedName name="XRefCopy101" hidden="1">#REF!</definedName>
    <definedName name="XRefCopy101Row" hidden="1">#REF!</definedName>
    <definedName name="XRefCopy102" hidden="1">#REF!</definedName>
    <definedName name="XRefCopy102Row" hidden="1">#REF!</definedName>
    <definedName name="XRefCopy103" hidden="1">#REF!</definedName>
    <definedName name="XRefCopy104" hidden="1">#REF!</definedName>
    <definedName name="XRefCopy104Row" hidden="1">#REF!</definedName>
    <definedName name="XRefCopy105" hidden="1">#REF!</definedName>
    <definedName name="XRefCopy105Row" hidden="1">#REF!</definedName>
    <definedName name="XRefCopy106Row"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0Row"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Row" hidden="1">#REF!</definedName>
    <definedName name="XRefCopy115Row" hidden="1">#REF!</definedName>
    <definedName name="XRefCopy116Row" hidden="1">#REF!</definedName>
    <definedName name="XRefCopy117Row" hidden="1">#REF!</definedName>
    <definedName name="XRefCopy118Row" hidden="1">#REF!</definedName>
    <definedName name="XRefCopy119Row" hidden="1">#REF!</definedName>
    <definedName name="XRefCopy120Row" hidden="1">#REF!</definedName>
    <definedName name="XRefCopy121Row" hidden="1">#REF!</definedName>
    <definedName name="XRefCopy122Row" hidden="1">#REF!</definedName>
    <definedName name="XRefCopy123Row" hidden="1">#REF!</definedName>
    <definedName name="XRefCopy124Row" hidden="1">#REF!</definedName>
    <definedName name="XRefCopy125Row" hidden="1">#REF!</definedName>
    <definedName name="XRefCopy126Row" hidden="1">#REF!</definedName>
    <definedName name="XRefCopy127Row" hidden="1">#REF!</definedName>
    <definedName name="XRefCopy13" hidden="1">#REF!</definedName>
    <definedName name="XRefCopy13Row" hidden="1">#REF!</definedName>
    <definedName name="XRefCopy14" hidden="1">#REF!</definedName>
    <definedName name="XRefCopy14Row" hidden="1">#REF!</definedName>
    <definedName name="XRefCopy15Row" hidden="1">#REF!</definedName>
    <definedName name="XRefCopy16" hidden="1">#REF!</definedName>
    <definedName name="XRefCopy16Row" hidden="1">#REF!</definedName>
    <definedName name="XRefCopy17" hidden="1">#REF!</definedName>
    <definedName name="XRefCopy1Row" hidden="1">#REF!</definedName>
    <definedName name="XRefCopy2" hidden="1">#REF!</definedName>
    <definedName name="XRefCopy20" hidden="1">#REF!</definedName>
    <definedName name="XRefCopy21" hidden="1">#REF!</definedName>
    <definedName name="XRefCopy22" hidden="1">#REF!</definedName>
    <definedName name="XRefCopy23" hidden="1">#REF!</definedName>
    <definedName name="XRefCopy24" hidden="1">#REF!</definedName>
    <definedName name="XRefCopy24Row" hidden="1">#REF!</definedName>
    <definedName name="XRefCopy25" hidden="1">#REF!</definedName>
    <definedName name="XRefCopy26" hidden="1">#REF!</definedName>
    <definedName name="XRefCopy27" hidden="1">#REF!</definedName>
    <definedName name="XRefCopy28" hidden="1">#REF!</definedName>
    <definedName name="XRefCopy29" hidden="1">#REF!</definedName>
    <definedName name="XRefCopy2Row" hidden="1">#REF!</definedName>
    <definedName name="XRefCopy3" hidden="1">#REF!</definedName>
    <definedName name="XRefCopy30" hidden="1">#REF!</definedName>
    <definedName name="XRefCopy31" hidden="1">#REF!</definedName>
    <definedName name="XRefCopy32" hidden="1">#REF!</definedName>
    <definedName name="XRefCopy33" hidden="1">#REF!</definedName>
    <definedName name="XRefCopy34" hidden="1">#REF!</definedName>
    <definedName name="XRefCopy35" hidden="1">#REF!</definedName>
    <definedName name="XRefCopy36" hidden="1">#REF!</definedName>
    <definedName name="XRefCopy37" hidden="1">#REF!</definedName>
    <definedName name="XRefCopy38" hidden="1">#REF!</definedName>
    <definedName name="XRefCopy39" hidden="1">#REF!</definedName>
    <definedName name="XRefCopy3Row" hidden="1">#REF!</definedName>
    <definedName name="XRefCopy4" hidden="1">#REF!</definedName>
    <definedName name="XRefCopy40" hidden="1">#REF!</definedName>
    <definedName name="XRefCopy41" hidden="1">#REF!</definedName>
    <definedName name="XRefCopy42" hidden="1">#REF!</definedName>
    <definedName name="XRefCopy43" hidden="1">#REF!</definedName>
    <definedName name="XRefCopy44" hidden="1">#REF!</definedName>
    <definedName name="XRefCopy45" hidden="1">#REF!</definedName>
    <definedName name="XRefCopy46" hidden="1">#REF!</definedName>
    <definedName name="XRefCopy47" hidden="1">#REF!</definedName>
    <definedName name="XRefCopy48" hidden="1">#REF!</definedName>
    <definedName name="XRefCopy49" hidden="1">#REF!</definedName>
    <definedName name="XRefCopy4Row" hidden="1">#REF!</definedName>
    <definedName name="XRefCopy5" hidden="1">#REF!</definedName>
    <definedName name="XRefCopy50" hidden="1">#REF!</definedName>
    <definedName name="XRefCopy53" hidden="1">#REF!</definedName>
    <definedName name="XRefCopy54" hidden="1">#REF!</definedName>
    <definedName name="XRefCopy54Row" hidden="1">#REF!</definedName>
    <definedName name="XRefCopy55" hidden="1">#REF!</definedName>
    <definedName name="XRefCopy55Row" hidden="1">#REF!</definedName>
    <definedName name="XRefCopy56" hidden="1">#REF!</definedName>
    <definedName name="XRefCopy56Row" hidden="1">#REF!</definedName>
    <definedName name="XRefCopy57" hidden="1">#REF!</definedName>
    <definedName name="XRefCopy57Row" hidden="1">#REF!</definedName>
    <definedName name="XRefCopy58" hidden="1">#REF!</definedName>
    <definedName name="XRefCopy58Row" hidden="1">#REF!</definedName>
    <definedName name="XRefCopy59" hidden="1">#REF!</definedName>
    <definedName name="XRefCopy59Row" hidden="1">#REF!</definedName>
    <definedName name="XRefCopy5Row" hidden="1">#REF!</definedName>
    <definedName name="XRefCopy6" hidden="1">#REF!</definedName>
    <definedName name="XRefCopy60" hidden="1">#REF!</definedName>
    <definedName name="XRefCopy60Row" hidden="1">#REF!</definedName>
    <definedName name="XRefCopy61" hidden="1">#REF!</definedName>
    <definedName name="XRefCopy61Row" hidden="1">#REF!</definedName>
    <definedName name="XRefCopy62" hidden="1">#REF!</definedName>
    <definedName name="XRefCopy63" hidden="1">#REF!</definedName>
    <definedName name="XRefCopy63Row" hidden="1">#REF!</definedName>
    <definedName name="XRefCopy64" hidden="1">#REF!</definedName>
    <definedName name="XRefCopy65" hidden="1">#REF!</definedName>
    <definedName name="XRefCopy65Row" hidden="1">#REF!</definedName>
    <definedName name="XRefCopy66" hidden="1">#REF!</definedName>
    <definedName name="XRefCopy66Row" hidden="1">#REF!</definedName>
    <definedName name="XRefCopy67" hidden="1">#REF!</definedName>
    <definedName name="XRefCopy67Row" hidden="1">#REF!</definedName>
    <definedName name="XRefCopy68" hidden="1">#REF!</definedName>
    <definedName name="XRefCopy68Row"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0Row" hidden="1">#REF!</definedName>
    <definedName name="XRefCopy71" hidden="1">#REF!</definedName>
    <definedName name="XRefCopy71Row" hidden="1">#REF!</definedName>
    <definedName name="XRefCopy72" hidden="1">#REF!</definedName>
    <definedName name="XRefCopy72Row" hidden="1">#REF!</definedName>
    <definedName name="XRefCopy73" hidden="1">#REF!</definedName>
    <definedName name="XRefCopy73Row" hidden="1">#REF!</definedName>
    <definedName name="XRefCopy75" hidden="1">#REF!</definedName>
    <definedName name="XRefCopy75Row" hidden="1">#REF!</definedName>
    <definedName name="XRefCopy76" hidden="1">#REF!</definedName>
    <definedName name="XRefCopy76Row" hidden="1">#REF!</definedName>
    <definedName name="XRefCopy77" hidden="1">#REF!</definedName>
    <definedName name="XRefCopy77Row" hidden="1">#REF!</definedName>
    <definedName name="XRefCopy78" hidden="1">#REF!</definedName>
    <definedName name="XRefCopy79" hidden="1">#REF!</definedName>
    <definedName name="XRefCopy7Row" hidden="1">#REF!</definedName>
    <definedName name="XRefCopy8" hidden="1">#REF!</definedName>
    <definedName name="XRefCopy80" hidden="1">#REF!</definedName>
    <definedName name="XRefCopy80Row" hidden="1">#REF!</definedName>
    <definedName name="XRefCopy81" hidden="1">#REF!</definedName>
    <definedName name="XRefCopy81Row" hidden="1">#REF!</definedName>
    <definedName name="XRefCopy82" hidden="1">#REF!</definedName>
    <definedName name="XRefCopy82Row" hidden="1">#REF!</definedName>
    <definedName name="XRefCopy83" hidden="1">#REF!</definedName>
    <definedName name="XRefCopy83Row" hidden="1">#REF!</definedName>
    <definedName name="XRefCopy84" hidden="1">#REF!</definedName>
    <definedName name="XRefCopy84Row" hidden="1">#REF!</definedName>
    <definedName name="XRefCopy85" hidden="1">#REF!</definedName>
    <definedName name="XRefCopy85Row" hidden="1">#REF!</definedName>
    <definedName name="XRefCopy86" hidden="1">#REF!</definedName>
    <definedName name="XRefCopy86Row" hidden="1">#REF!</definedName>
    <definedName name="XRefCopy87" hidden="1">#REF!</definedName>
    <definedName name="XRefCopy87Row" hidden="1">#REF!</definedName>
    <definedName name="XRefCopy88" hidden="1">#REF!</definedName>
    <definedName name="XRefCopy88Row" hidden="1">#REF!</definedName>
    <definedName name="XRefCopy89" hidden="1">#REF!</definedName>
    <definedName name="XRefCopy89Row" hidden="1">#REF!</definedName>
    <definedName name="XRefCopy8Row" hidden="1">#REF!</definedName>
    <definedName name="XRefCopy9" hidden="1">#REF!</definedName>
    <definedName name="XRefCopy90" hidden="1">#REF!</definedName>
    <definedName name="XRefCopy90Row" hidden="1">#REF!</definedName>
    <definedName name="XRefCopy91" hidden="1">#REF!</definedName>
    <definedName name="XRefCopy91Row" hidden="1">#REF!</definedName>
    <definedName name="XRefCopy92" hidden="1">#REF!</definedName>
    <definedName name="XRefCopy92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7Row" hidden="1">#REF!</definedName>
    <definedName name="XRefCopy98" hidden="1">#REF!</definedName>
    <definedName name="XRefCopy98Row" hidden="1">#REF!</definedName>
    <definedName name="XRefCopy99Row" hidden="1">#REF!</definedName>
    <definedName name="XRefCopy9Row" hidden="1">#REF!</definedName>
    <definedName name="XRefCopyRangeCount" hidden="1">50</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3" hidden="1">#REF!</definedName>
    <definedName name="XRefPaste23Row" hidden="1">#REF!</definedName>
    <definedName name="XRefPaste2Row" hidden="1">#REF!</definedName>
    <definedName name="XRefPaste3" hidden="1">#REF!</definedName>
    <definedName name="XRefPaste31Row" hidden="1">#REF!</definedName>
    <definedName name="XRefPaste3Row" hidden="1">#REF!</definedName>
    <definedName name="XRefPaste4" hidden="1">#REF!</definedName>
    <definedName name="XRefPaste4Row" hidden="1">#REF!</definedName>
    <definedName name="XRefPaste5" hidden="1">#REF!</definedName>
    <definedName name="XRefPaste57" hidden="1">#REF!</definedName>
    <definedName name="XRefPaste57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3" hidden="1">#REF!</definedName>
    <definedName name="XRefPaste63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8" hidden="1">#REF!</definedName>
    <definedName name="XRefPaste68Row" hidden="1">#REF!</definedName>
    <definedName name="XRefPaste69" hidden="1">#REF!</definedName>
    <definedName name="XRefPaste69Row" hidden="1">#REF!</definedName>
    <definedName name="XRefPaste6Row" hidden="1">#REF!</definedName>
    <definedName name="XRefPaste7" hidden="1">#REF!</definedName>
    <definedName name="XRefPaste70" hidden="1">#REF!</definedName>
    <definedName name="XRefPaste70Row" hidden="1">#REF!</definedName>
    <definedName name="XRefPaste71" hidden="1">#REF!</definedName>
    <definedName name="XRefPaste71Row" hidden="1">#REF!</definedName>
    <definedName name="XRefPaste72" hidden="1">#REF!</definedName>
    <definedName name="XRefPaste72Row" hidden="1">#REF!</definedName>
    <definedName name="XRefPaste73" hidden="1">#REF!</definedName>
    <definedName name="XRefPaste73Row" hidden="1">#REF!</definedName>
    <definedName name="XRefPaste74" hidden="1">#REF!</definedName>
    <definedName name="XRefPaste74Row" hidden="1">#REF!</definedName>
    <definedName name="XRefPaste75" hidden="1">#REF!</definedName>
    <definedName name="XRefPaste75Row" hidden="1">#REF!</definedName>
    <definedName name="XRefPaste76" hidden="1">#REF!</definedName>
    <definedName name="XRefPaste76Row" hidden="1">#REF!</definedName>
    <definedName name="XRefPaste77" hidden="1">#REF!</definedName>
    <definedName name="XRefPaste77Row" hidden="1">#REF!</definedName>
    <definedName name="XRefPaste78" hidden="1">#REF!</definedName>
    <definedName name="XRefPaste78Row" hidden="1">#REF!</definedName>
    <definedName name="XRefPaste79" hidden="1">#REF!</definedName>
    <definedName name="XRefPaste79Row" hidden="1">#REF!</definedName>
    <definedName name="XRefPaste7Row" hidden="1">#REF!</definedName>
    <definedName name="XRefPaste8" hidden="1">#REF!</definedName>
    <definedName name="XRefPaste80" hidden="1">#REF!</definedName>
    <definedName name="XRefPaste80Row"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4" hidden="1">#REF!</definedName>
    <definedName name="XRefPaste84Row" hidden="1">#REF!</definedName>
    <definedName name="XRefPaste85" hidden="1">#REF!</definedName>
    <definedName name="XRefPaste85Row" hidden="1">#REF!</definedName>
    <definedName name="XRefPaste86" hidden="1">#REF!</definedName>
    <definedName name="XRefPaste86Row" hidden="1">#REF!</definedName>
    <definedName name="XRefPaste87" hidden="1">#REF!</definedName>
    <definedName name="XRefPaste87Row" hidden="1">#REF!</definedName>
    <definedName name="XRefPaste88" hidden="1">#REF!</definedName>
    <definedName name="XRefPaste88Row" hidden="1">#REF!</definedName>
    <definedName name="XRefPaste89" hidden="1">#REF!</definedName>
    <definedName name="XRefPaste89Row" hidden="1">#REF!</definedName>
    <definedName name="XRefPaste8Row" hidden="1">#REF!</definedName>
    <definedName name="XRefPaste9" hidden="1">#REF!</definedName>
    <definedName name="XRefPaste90" hidden="1">#REF!</definedName>
    <definedName name="XRefPaste90Row" hidden="1">#REF!</definedName>
    <definedName name="XRefPaste91" hidden="1">#REF!</definedName>
    <definedName name="XRefPaste91Row" hidden="1">#REF!</definedName>
    <definedName name="XRefPaste9Row" hidden="1">#REF!</definedName>
    <definedName name="XRefPasteRangeCount" hidden="1">8</definedName>
    <definedName name="xss" hidden="1">#REF!</definedName>
    <definedName name="xx">#REF!</definedName>
    <definedName name="xy" localSheetId="14"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xy" localSheetId="0"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xy" localSheetId="7"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xy" localSheetId="11"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xy" hidden="1">{#N/A,#N/A,TRUE,"Range Names";#N/A,#N/A,TRUE,"Cost of Project";#N/A,#N/A,TRUE,"Capital Structure";#N/A,#N/A,TRUE,"Spending Plan";#N/A,#N/A,TRUE,"Expansion Schedule";#N/A,#N/A,TRUE,"Production &amp; Revenue Schedules";#N/A,#N/A,TRUE,"Major Cost Heads";#N/A,#N/A,TRUE,"Other Schedules";#N/A,#N/A,TRUE,"Financial Statements";#N/A,#N/A,TRUE,"Dollar Financial Statements";#N/A,#N/A,TRUE,"Investor IRR Calculation";#N/A,#N/A,TRUE,"Sponsor IRR Calculation"}</definedName>
    <definedName name="xyz" localSheetId="14">{#N/A,#N/A,TRUE,"Introduction";#N/A,#N/A,TRUE,"Operating Statistics";#N/A,#N/A,TRUE,"Capex &amp; Depreciation";#N/A,#N/A,TRUE,"Equity";#N/A,#N/A,TRUE,"Debt";#N/A,#N/A,TRUE,"Debt (2)";#N/A,#N/A,TRUE,"Financials";#N/A,#N/A,TRUE,"Market Info";#N/A,#N/A,TRUE,"Company Card";#N/A,#N/A,TRUE,"One Pager";#N/A,#N/A,TRUE,"First Page";#N/A,#N/A,TRUE,"Technical";#N/A,#N/A,TRUE,"Range Names"}</definedName>
    <definedName name="xyz" localSheetId="0">{#N/A,#N/A,TRUE,"Introduction";#N/A,#N/A,TRUE,"Operating Statistics";#N/A,#N/A,TRUE,"Capex &amp; Depreciation";#N/A,#N/A,TRUE,"Equity";#N/A,#N/A,TRUE,"Debt";#N/A,#N/A,TRUE,"Debt (2)";#N/A,#N/A,TRUE,"Financials";#N/A,#N/A,TRUE,"Market Info";#N/A,#N/A,TRUE,"Company Card";#N/A,#N/A,TRUE,"One Pager";#N/A,#N/A,TRUE,"First Page";#N/A,#N/A,TRUE,"Technical";#N/A,#N/A,TRUE,"Range Names"}</definedName>
    <definedName name="xyz" localSheetId="7">{#N/A,#N/A,TRUE,"Introduction";#N/A,#N/A,TRUE,"Operating Statistics";#N/A,#N/A,TRUE,"Capex &amp; Depreciation";#N/A,#N/A,TRUE,"Equity";#N/A,#N/A,TRUE,"Debt";#N/A,#N/A,TRUE,"Debt (2)";#N/A,#N/A,TRUE,"Financials";#N/A,#N/A,TRUE,"Market Info";#N/A,#N/A,TRUE,"Company Card";#N/A,#N/A,TRUE,"One Pager";#N/A,#N/A,TRUE,"First Page";#N/A,#N/A,TRUE,"Technical";#N/A,#N/A,TRUE,"Range Names"}</definedName>
    <definedName name="xyz" localSheetId="11">{#N/A,#N/A,TRUE,"Introduction";#N/A,#N/A,TRUE,"Operating Statistics";#N/A,#N/A,TRUE,"Capex &amp; Depreciation";#N/A,#N/A,TRUE,"Equity";#N/A,#N/A,TRUE,"Debt";#N/A,#N/A,TRUE,"Debt (2)";#N/A,#N/A,TRUE,"Financials";#N/A,#N/A,TRUE,"Market Info";#N/A,#N/A,TRUE,"Company Card";#N/A,#N/A,TRUE,"One Pager";#N/A,#N/A,TRUE,"First Page";#N/A,#N/A,TRUE,"Technical";#N/A,#N/A,TRUE,"Range Names"}</definedName>
    <definedName name="xyz">{#N/A,#N/A,TRUE,"Introduction";#N/A,#N/A,TRUE,"Operating Statistics";#N/A,#N/A,TRUE,"Capex &amp; Depreciation";#N/A,#N/A,TRUE,"Equity";#N/A,#N/A,TRUE,"Debt";#N/A,#N/A,TRUE,"Debt (2)";#N/A,#N/A,TRUE,"Financials";#N/A,#N/A,TRUE,"Market Info";#N/A,#N/A,TRUE,"Company Card";#N/A,#N/A,TRUE,"One Pager";#N/A,#N/A,TRUE,"First Page";#N/A,#N/A,TRUE,"Technical";#N/A,#N/A,TRUE,"Range Names"}</definedName>
    <definedName name="XZDWWA" localSheetId="14" hidden="1">{#N/A,#N/A,TRUE,"Data Elements-Staffing";#N/A,#N/A,TRUE,"Data Elements-Exp Driv &amp; Assump";#N/A,#N/A,TRUE,"Staffing Sheet";#N/A,#N/A,TRUE,"Income";#N/A,#N/A,TRUE,"Income Summary";#N/A,#N/A,TRUE,"Staffing Summary"}</definedName>
    <definedName name="XZDWWA" localSheetId="0" hidden="1">{#N/A,#N/A,TRUE,"Data Elements-Staffing";#N/A,#N/A,TRUE,"Data Elements-Exp Driv &amp; Assump";#N/A,#N/A,TRUE,"Staffing Sheet";#N/A,#N/A,TRUE,"Income";#N/A,#N/A,TRUE,"Income Summary";#N/A,#N/A,TRUE,"Staffing Summary"}</definedName>
    <definedName name="XZDWWA" localSheetId="7" hidden="1">{#N/A,#N/A,TRUE,"Data Elements-Staffing";#N/A,#N/A,TRUE,"Data Elements-Exp Driv &amp; Assump";#N/A,#N/A,TRUE,"Staffing Sheet";#N/A,#N/A,TRUE,"Income";#N/A,#N/A,TRUE,"Income Summary";#N/A,#N/A,TRUE,"Staffing Summary"}</definedName>
    <definedName name="XZDWWA" localSheetId="11" hidden="1">{#N/A,#N/A,TRUE,"Data Elements-Staffing";#N/A,#N/A,TRUE,"Data Elements-Exp Driv &amp; Assump";#N/A,#N/A,TRUE,"Staffing Sheet";#N/A,#N/A,TRUE,"Income";#N/A,#N/A,TRUE,"Income Summary";#N/A,#N/A,TRUE,"Staffing Summary"}</definedName>
    <definedName name="XZDWWA" hidden="1">{#N/A,#N/A,TRUE,"Data Elements-Staffing";#N/A,#N/A,TRUE,"Data Elements-Exp Driv &amp; Assump";#N/A,#N/A,TRUE,"Staffing Sheet";#N/A,#N/A,TRUE,"Income";#N/A,#N/A,TRUE,"Income Summary";#N/A,#N/A,TRUE,"Staffing Summary"}</definedName>
    <definedName name="YEAR">"$C$6"</definedName>
    <definedName name="Year_1_Promoter_Contribution">#REF!</definedName>
    <definedName name="Year_2_Promoter_Contribution">#REF!</definedName>
    <definedName name="yesno">[15]list!$A$22:$A$23</definedName>
    <definedName name="Yr2_topup_int">'[52]Input -PER ACCOUNT VINTAGE DATA'!$C$24</definedName>
    <definedName name="Yr3_topup_int">'[52]Input -PER ACCOUNT VINTAGE DATA'!$D$24</definedName>
    <definedName name="yyy" localSheetId="14">{#N/A,#N/A,TRUE,"Data Elements-Staffing";#N/A,#N/A,TRUE,"Data Elements-Exp Driv &amp; Assump";#N/A,#N/A,TRUE,"Staffing Sheet";#N/A,#N/A,TRUE,"Income";#N/A,#N/A,TRUE,"Income Summary";#N/A,#N/A,TRUE,"Staffing Summary"}</definedName>
    <definedName name="yyy" localSheetId="0">{#N/A,#N/A,TRUE,"Data Elements-Staffing";#N/A,#N/A,TRUE,"Data Elements-Exp Driv &amp; Assump";#N/A,#N/A,TRUE,"Staffing Sheet";#N/A,#N/A,TRUE,"Income";#N/A,#N/A,TRUE,"Income Summary";#N/A,#N/A,TRUE,"Staffing Summary"}</definedName>
    <definedName name="yyy" localSheetId="7">{#N/A,#N/A,TRUE,"Data Elements-Staffing";#N/A,#N/A,TRUE,"Data Elements-Exp Driv &amp; Assump";#N/A,#N/A,TRUE,"Staffing Sheet";#N/A,#N/A,TRUE,"Income";#N/A,#N/A,TRUE,"Income Summary";#N/A,#N/A,TRUE,"Staffing Summary"}</definedName>
    <definedName name="yyy" localSheetId="11">{#N/A,#N/A,TRUE,"Data Elements-Staffing";#N/A,#N/A,TRUE,"Data Elements-Exp Driv &amp; Assump";#N/A,#N/A,TRUE,"Staffing Sheet";#N/A,#N/A,TRUE,"Income";#N/A,#N/A,TRUE,"Income Summary";#N/A,#N/A,TRUE,"Staffing Summary"}</definedName>
    <definedName name="yyy">{#N/A,#N/A,TRUE,"Data Elements-Staffing";#N/A,#N/A,TRUE,"Data Elements-Exp Driv &amp; Assump";#N/A,#N/A,TRUE,"Staffing Sheet";#N/A,#N/A,TRUE,"Income";#N/A,#N/A,TRUE,"Income Summary";#N/A,#N/A,TRUE,"Staffing Summary"}</definedName>
    <definedName name="Z">#REF!</definedName>
    <definedName name="z_13">#REF!</definedName>
    <definedName name="Z_14975FFC_4F72_4AAC_B05A_7E3F2538B3AD_.wvu.FilterData" hidden="1">#REF!</definedName>
    <definedName name="Z_1A3E9F40_4FCC_11D2_A7FF_0060971217C0_.wvu.PrintArea" hidden="1">#REF!</definedName>
    <definedName name="Z_1A3E9F40_4FCC_11D2_A7FF_0060971217C0_.wvu.PrintTitles" hidden="1">#REF!</definedName>
    <definedName name="Z_2F0BD9A2_457D_11D2_8EE8_0060971217D4_.wvu.PrintArea" hidden="1">#REF!</definedName>
    <definedName name="Z_2F0BD9A2_457D_11D2_8EE8_0060971217D4_.wvu.PrintTitles" hidden="1">#REF!</definedName>
    <definedName name="Z_3AB84060_44C7_11D2_8EE8_0060971217D4_.wvu.PrintArea" hidden="1">#REF!</definedName>
    <definedName name="Z_3AB84060_44C7_11D2_8EE8_0060971217D4_.wvu.PrintTitles" hidden="1">#REF!</definedName>
    <definedName name="Z_40BD8C62_D3AE_11D2_BB99_006097121403_.wvu.Cols" localSheetId="14" hidden="1">#REF!,#REF!,#REF!,#REF!,#REF!,#REF!</definedName>
    <definedName name="Z_40BD8C62_D3AE_11D2_BB99_006097121403_.wvu.Cols" localSheetId="0" hidden="1">#REF!,#REF!,#REF!,#REF!,#REF!,#REF!</definedName>
    <definedName name="Z_40BD8C62_D3AE_11D2_BB99_006097121403_.wvu.Cols" localSheetId="7" hidden="1">#REF!,#REF!,#REF!,#REF!,#REF!,#REF!</definedName>
    <definedName name="Z_40BD8C62_D3AE_11D2_BB99_006097121403_.wvu.Cols" localSheetId="11" hidden="1">#REF!,#REF!,#REF!,#REF!,#REF!,#REF!</definedName>
    <definedName name="Z_40BD8C62_D3AE_11D2_BB99_006097121403_.wvu.Cols" hidden="1">#REF!,#REF!,#REF!,#REF!,#REF!,#REF!</definedName>
    <definedName name="Z_40BD8C62_D3AE_11D2_BB99_006097121403_.wvu.FilterData" localSheetId="14" hidden="1">#REF!</definedName>
    <definedName name="Z_40BD8C62_D3AE_11D2_BB99_006097121403_.wvu.FilterData" localSheetId="7" hidden="1">#REF!</definedName>
    <definedName name="Z_40BD8C62_D3AE_11D2_BB99_006097121403_.wvu.FilterData" hidden="1">#REF!</definedName>
    <definedName name="Z_40BD8C62_D3AE_11D2_BB99_006097121403_.wvu.PrintArea" hidden="1">#REF!</definedName>
    <definedName name="Z_42082262_47C5_4083_A75E_526FAD58A78A_.wvu.Rows" localSheetId="14" hidden="1">#REF!,#REF!,#REF!,#REF!,#REF!,#REF!</definedName>
    <definedName name="Z_42082262_47C5_4083_A75E_526FAD58A78A_.wvu.Rows" localSheetId="7" hidden="1">#REF!,#REF!,#REF!,#REF!,#REF!,#REF!</definedName>
    <definedName name="Z_42082262_47C5_4083_A75E_526FAD58A78A_.wvu.Rows" hidden="1">#REF!,#REF!,#REF!,#REF!,#REF!,#REF!</definedName>
    <definedName name="Z_42CB23D9_FE0D_4360_B7CD_56A3AF127F7C_.wvu.Rows" localSheetId="14" hidden="1">#REF!,#REF!,#REF!,#REF!,#REF!,#REF!</definedName>
    <definedName name="Z_42CB23D9_FE0D_4360_B7CD_56A3AF127F7C_.wvu.Rows" localSheetId="7" hidden="1">#REF!,#REF!,#REF!,#REF!,#REF!,#REF!</definedName>
    <definedName name="Z_42CB23D9_FE0D_4360_B7CD_56A3AF127F7C_.wvu.Rows" hidden="1">#REF!,#REF!,#REF!,#REF!,#REF!,#REF!</definedName>
    <definedName name="Z_53D5D240_D3BC_11D2_B7DD_000001014838_.wvu.Cols" hidden="1">#REF!,#REF!,#REF!,#REF!,#REF!,#REF!,#REF!</definedName>
    <definedName name="Z_53D5D240_D3BC_11D2_B7DD_000001014838_.wvu.FilterData" hidden="1">#REF!</definedName>
    <definedName name="Z_5F72E90E_5306_4453_8ECA_43061516744D_.wvu.Rows" hidden="1">#REF!,#REF!,#REF!,#REF!,#REF!,#REF!</definedName>
    <definedName name="Z_7268092C_48A6_11D6_BF00_0048545546A4_.wvu.PrintArea" hidden="1">#REF!</definedName>
    <definedName name="Z_7268092C_48A6_11D6_BF00_0048545546A4_.wvu.Rows" hidden="1">#REF!,#REF!,#REF!,#REF!,#REF!,#REF!</definedName>
    <definedName name="Z_746852D3_BFD6_47E8_9DA9_56CF052FA174_.wvu.Rows" hidden="1">#REF!</definedName>
    <definedName name="Z_7CC30400_52D6_11D2_91E6_0060971217D4_.wvu.PrintArea" hidden="1">#REF!</definedName>
    <definedName name="Z_7CC30400_52D6_11D2_91E6_0060971217D4_.wvu.PrintTitles" hidden="1">#REF!</definedName>
    <definedName name="Z_95199381_509B_11D2_A368_00001C3AD7D3_.wvu.PrintArea" hidden="1">#REF!</definedName>
    <definedName name="Z_95199381_509B_11D2_A368_00001C3AD7D3_.wvu.PrintTitles" hidden="1">#REF!</definedName>
    <definedName name="Z_A1FB87D3_2893_43D1_8E7A_26B23B8067F7_.wvu.FilterData" hidden="1">#REF!</definedName>
    <definedName name="Z_A3876EF3_8056_414D_9895_185A0A47AC3D_.wvu.Rows" hidden="1">#REF!,#REF!,#REF!,#REF!,#REF!,#REF!</definedName>
    <definedName name="Z_BF010B80_D537_11D2_8F10_000001014271_.wvu.Cols" hidden="1">#REF!,#REF!,#REF!,#REF!,#REF!,#REF!,#REF!</definedName>
    <definedName name="Z_C2C0FF43_603F_11D2_A368_00001C3AD7D3_.wvu.PrintArea" hidden="1">#REF!</definedName>
    <definedName name="Z_C2C0FF43_603F_11D2_A368_00001C3AD7D3_.wvu.PrintTitles" hidden="1">#REF!</definedName>
    <definedName name="Z_D068BBA0_44C0_11D2_8EE8_0060971217D4_.wvu.Cols" hidden="1">#REF!,#REF!,#REF!,#REF!</definedName>
    <definedName name="Z_D068BBA0_44C0_11D2_8EE8_0060971217D4_.wvu.PrintArea" hidden="1">#REF!</definedName>
    <definedName name="Z_D068BBA0_44C0_11D2_8EE8_0060971217D4_.wvu.PrintTitles" hidden="1">#REF!</definedName>
    <definedName name="Z_DE54EB4E_7288_4CBC_B1F8_54C2468A83E6_.wvu.Cols" hidden="1">#REF!,#REF!</definedName>
    <definedName name="Z_DE54EB4E_7288_4CBC_B1F8_54C2468A83E6_.wvu.PrintArea" hidden="1">#REF!</definedName>
    <definedName name="Z_DE54EB4E_7288_4CBC_B1F8_54C2468A83E6_.wvu.Rows" hidden="1">#REF!,#REF!,#REF!,#REF!</definedName>
    <definedName name="Z_F3F2DB71_7CF8_11D4_AF24_0080AD91B2FE_.wvu.Rows" hidden="1">#REF!,#REF!,#REF!,#REF!,#REF!,#REF!</definedName>
    <definedName name="ZDWWAA" localSheetId="14" hidden="1">{#N/A,#N/A,TRUE,"Data Elements-Staffing";#N/A,#N/A,TRUE,"Data Elements-Exp Driv &amp; Assump";#N/A,#N/A,TRUE,"Staffing Sheet";#N/A,#N/A,TRUE,"Income";#N/A,#N/A,TRUE,"Income Summary";#N/A,#N/A,TRUE,"Staffing Summary"}</definedName>
    <definedName name="ZDWWAA" localSheetId="0" hidden="1">{#N/A,#N/A,TRUE,"Data Elements-Staffing";#N/A,#N/A,TRUE,"Data Elements-Exp Driv &amp; Assump";#N/A,#N/A,TRUE,"Staffing Sheet";#N/A,#N/A,TRUE,"Income";#N/A,#N/A,TRUE,"Income Summary";#N/A,#N/A,TRUE,"Staffing Summary"}</definedName>
    <definedName name="ZDWWAA" localSheetId="7" hidden="1">{#N/A,#N/A,TRUE,"Data Elements-Staffing";#N/A,#N/A,TRUE,"Data Elements-Exp Driv &amp; Assump";#N/A,#N/A,TRUE,"Staffing Sheet";#N/A,#N/A,TRUE,"Income";#N/A,#N/A,TRUE,"Income Summary";#N/A,#N/A,TRUE,"Staffing Summary"}</definedName>
    <definedName name="ZDWWAA" localSheetId="11" hidden="1">{#N/A,#N/A,TRUE,"Data Elements-Staffing";#N/A,#N/A,TRUE,"Data Elements-Exp Driv &amp; Assump";#N/A,#N/A,TRUE,"Staffing Sheet";#N/A,#N/A,TRUE,"Income";#N/A,#N/A,TRUE,"Income Summary";#N/A,#N/A,TRUE,"Staffing Summary"}</definedName>
    <definedName name="ZDWWAA" hidden="1">{#N/A,#N/A,TRUE,"Data Elements-Staffing";#N/A,#N/A,TRUE,"Data Elements-Exp Driv &amp; Assump";#N/A,#N/A,TRUE,"Staffing Sheet";#N/A,#N/A,TRUE,"Income";#N/A,#N/A,TRUE,"Income Summary";#N/A,#N/A,TRUE,"Staffing Summary"}</definedName>
  </definedName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1" i="21" l="1"/>
  <c r="I101" i="21"/>
  <c r="J101" i="21"/>
  <c r="K101" i="21"/>
  <c r="L101" i="21"/>
  <c r="N101" i="21"/>
  <c r="M101" i="21"/>
  <c r="Q42" i="17"/>
  <c r="Q41" i="17"/>
  <c r="Q39" i="17"/>
  <c r="O41" i="17"/>
  <c r="O40" i="17"/>
  <c r="N40" i="17"/>
  <c r="O39" i="17"/>
  <c r="O38" i="17"/>
  <c r="O37" i="17"/>
  <c r="O36" i="17"/>
  <c r="C86" i="22"/>
  <c r="E82" i="22"/>
  <c r="F82" i="22"/>
  <c r="G82" i="22"/>
  <c r="H82" i="22"/>
  <c r="I82" i="22"/>
  <c r="J82" i="22"/>
  <c r="D82" i="22"/>
  <c r="I12" i="35"/>
  <c r="I64" i="35"/>
  <c r="D55" i="35"/>
  <c r="C76" i="35"/>
  <c r="D42" i="35"/>
  <c r="D48" i="35" s="1"/>
  <c r="D50" i="35" s="1"/>
  <c r="F17" i="26"/>
  <c r="E16" i="26"/>
  <c r="D12" i="35"/>
  <c r="C12" i="35"/>
  <c r="I11" i="35"/>
  <c r="D11" i="35"/>
  <c r="E11" i="35"/>
  <c r="F11" i="35"/>
  <c r="G11" i="35"/>
  <c r="H11" i="35"/>
  <c r="C11" i="35"/>
  <c r="D9" i="35"/>
  <c r="E9" i="35"/>
  <c r="F9" i="35"/>
  <c r="G9" i="35"/>
  <c r="H9" i="35"/>
  <c r="I9" i="35"/>
  <c r="C9" i="35"/>
  <c r="B82" i="35"/>
  <c r="B83" i="35" s="1"/>
  <c r="B84" i="35" s="1"/>
  <c r="B85" i="35" s="1"/>
  <c r="B86" i="35" s="1"/>
  <c r="C81" i="35"/>
  <c r="C82" i="35" s="1"/>
  <c r="C83" i="35" s="1"/>
  <c r="C84" i="35" s="1"/>
  <c r="C85" i="35" s="1"/>
  <c r="C86" i="35" s="1"/>
  <c r="B81" i="35"/>
  <c r="D73" i="35"/>
  <c r="E73" i="35" s="1"/>
  <c r="F73" i="35" s="1"/>
  <c r="G73" i="35" s="1"/>
  <c r="H73" i="35" s="1"/>
  <c r="I73" i="35" s="1"/>
  <c r="C71" i="35"/>
  <c r="C59" i="35"/>
  <c r="D59" i="35" s="1"/>
  <c r="E59" i="35" s="1"/>
  <c r="F59" i="35" s="1"/>
  <c r="G59" i="35" s="1"/>
  <c r="H59" i="35" s="1"/>
  <c r="I59" i="35" s="1"/>
  <c r="D54" i="35"/>
  <c r="D46" i="35"/>
  <c r="C40" i="35"/>
  <c r="D24" i="35"/>
  <c r="C24" i="35"/>
  <c r="D20" i="35"/>
  <c r="E20" i="35" s="1"/>
  <c r="E24" i="35" s="1"/>
  <c r="E25" i="35" s="1"/>
  <c r="C19" i="35"/>
  <c r="H12" i="35"/>
  <c r="G12" i="35"/>
  <c r="F12" i="35"/>
  <c r="E12" i="35"/>
  <c r="D5" i="35"/>
  <c r="E5" i="35" s="1"/>
  <c r="F5" i="35" s="1"/>
  <c r="G5" i="35" s="1"/>
  <c r="H5" i="35" s="1"/>
  <c r="I5" i="35" s="1"/>
  <c r="D4" i="35"/>
  <c r="F20" i="35" l="1"/>
  <c r="D56" i="35"/>
  <c r="D57" i="35" s="1"/>
  <c r="C16" i="35" s="1"/>
  <c r="I61" i="35" s="1"/>
  <c r="I65" i="35" s="1"/>
  <c r="D71" i="35"/>
  <c r="E4" i="35"/>
  <c r="D19" i="35"/>
  <c r="F24" i="35"/>
  <c r="F25" i="35" s="1"/>
  <c r="G20" i="35"/>
  <c r="H61" i="35" l="1"/>
  <c r="C61" i="35"/>
  <c r="F61" i="35"/>
  <c r="G61" i="35"/>
  <c r="E61" i="35"/>
  <c r="D61" i="35"/>
  <c r="H20" i="35"/>
  <c r="G24" i="35"/>
  <c r="G25" i="35" s="1"/>
  <c r="E19" i="35"/>
  <c r="F4" i="35"/>
  <c r="E71" i="35"/>
  <c r="I20" i="35" l="1"/>
  <c r="I24" i="35" s="1"/>
  <c r="H24" i="35"/>
  <c r="H25" i="35" s="1"/>
  <c r="I25" i="35" s="1"/>
  <c r="G4" i="35"/>
  <c r="F19" i="35"/>
  <c r="F71" i="35"/>
  <c r="G19" i="35" l="1"/>
  <c r="G71" i="35"/>
  <c r="H4" i="35"/>
  <c r="H71" i="35" l="1"/>
  <c r="I4" i="35"/>
  <c r="H19" i="35"/>
  <c r="I19" i="35" l="1"/>
  <c r="I71" i="35"/>
  <c r="L42" i="17" l="1"/>
  <c r="L41" i="17"/>
  <c r="L40" i="17"/>
  <c r="D23" i="27" l="1"/>
  <c r="E23" i="27"/>
  <c r="F23" i="27"/>
  <c r="G23" i="27"/>
  <c r="H23" i="27"/>
  <c r="I23" i="27"/>
  <c r="J23" i="27"/>
  <c r="E22" i="27"/>
  <c r="F22" i="27"/>
  <c r="G22" i="27"/>
  <c r="H22" i="27"/>
  <c r="I22" i="27"/>
  <c r="J22" i="27"/>
  <c r="D22" i="27"/>
  <c r="G25" i="5"/>
  <c r="H25" i="5"/>
  <c r="I25" i="5"/>
  <c r="J25" i="5"/>
  <c r="K25" i="5"/>
  <c r="L25" i="5"/>
  <c r="M25" i="5"/>
  <c r="N25" i="5"/>
  <c r="O25" i="5"/>
  <c r="F25" i="5"/>
  <c r="H23" i="5"/>
  <c r="I23" i="5"/>
  <c r="J23" i="5"/>
  <c r="K23" i="5"/>
  <c r="L23" i="5"/>
  <c r="M23" i="5"/>
  <c r="N23" i="5"/>
  <c r="O23" i="5"/>
  <c r="E17" i="27"/>
  <c r="F17" i="27" s="1"/>
  <c r="G17" i="27" s="1"/>
  <c r="H17" i="27" s="1"/>
  <c r="I17" i="27" s="1"/>
  <c r="J17" i="27" s="1"/>
  <c r="H42" i="2" l="1"/>
  <c r="A91" i="3"/>
  <c r="A66" i="3"/>
  <c r="O12" i="34" l="1"/>
  <c r="O30" i="34"/>
  <c r="P30" i="34"/>
  <c r="M30" i="34"/>
  <c r="I30" i="34"/>
  <c r="E30" i="34"/>
  <c r="M28" i="34"/>
  <c r="L28" i="34"/>
  <c r="K28" i="34"/>
  <c r="J28" i="34"/>
  <c r="I28" i="34"/>
  <c r="H28" i="34"/>
  <c r="G28" i="34"/>
  <c r="F28" i="34"/>
  <c r="E28" i="34"/>
  <c r="M27" i="34"/>
  <c r="L27" i="34"/>
  <c r="K27" i="34"/>
  <c r="J27" i="34"/>
  <c r="I27" i="34"/>
  <c r="H27" i="34"/>
  <c r="G27" i="34"/>
  <c r="F27" i="34"/>
  <c r="E27" i="34"/>
  <c r="M26" i="34"/>
  <c r="L26" i="34"/>
  <c r="K26" i="34"/>
  <c r="J26" i="34"/>
  <c r="I26" i="34"/>
  <c r="H26" i="34"/>
  <c r="G26" i="34"/>
  <c r="F26" i="34"/>
  <c r="E26" i="34"/>
  <c r="M25" i="34"/>
  <c r="L25" i="34"/>
  <c r="K25" i="34"/>
  <c r="J25" i="34"/>
  <c r="I25" i="34"/>
  <c r="H25" i="34"/>
  <c r="G25" i="34"/>
  <c r="F25" i="34"/>
  <c r="E25" i="34"/>
  <c r="M24" i="34"/>
  <c r="L24" i="34"/>
  <c r="K24" i="34"/>
  <c r="J24" i="34"/>
  <c r="I24" i="34"/>
  <c r="H24" i="34"/>
  <c r="G24" i="34"/>
  <c r="F24" i="34"/>
  <c r="E24" i="34"/>
  <c r="M23" i="34"/>
  <c r="L23" i="34"/>
  <c r="K23" i="34"/>
  <c r="J23" i="34"/>
  <c r="I23" i="34"/>
  <c r="H23" i="34"/>
  <c r="G23" i="34"/>
  <c r="F23" i="34"/>
  <c r="E23" i="34"/>
  <c r="M22" i="34"/>
  <c r="L22" i="34"/>
  <c r="L30" i="34" s="1"/>
  <c r="L32" i="34" s="1"/>
  <c r="K22" i="34"/>
  <c r="K30" i="34" s="1"/>
  <c r="J22" i="34"/>
  <c r="J30" i="34" s="1"/>
  <c r="I22" i="34"/>
  <c r="H22" i="34"/>
  <c r="H30" i="34" s="1"/>
  <c r="H32" i="34" s="1"/>
  <c r="G22" i="34"/>
  <c r="G30" i="34" s="1"/>
  <c r="F22" i="34"/>
  <c r="F30" i="34" s="1"/>
  <c r="E22" i="34"/>
  <c r="M19" i="34"/>
  <c r="M32" i="34" s="1"/>
  <c r="L19" i="34"/>
  <c r="K19" i="34"/>
  <c r="J19" i="34"/>
  <c r="I19" i="34"/>
  <c r="I32" i="34" s="1"/>
  <c r="H19" i="34"/>
  <c r="G19" i="34"/>
  <c r="F19" i="34"/>
  <c r="E19" i="34"/>
  <c r="E32" i="34" s="1"/>
  <c r="J17" i="34"/>
  <c r="F17" i="34"/>
  <c r="M16" i="34"/>
  <c r="L16" i="34"/>
  <c r="K16" i="34"/>
  <c r="J16" i="34"/>
  <c r="I16" i="34"/>
  <c r="H16" i="34"/>
  <c r="G16" i="34"/>
  <c r="F16" i="34"/>
  <c r="E16" i="34"/>
  <c r="M15" i="34"/>
  <c r="L15" i="34"/>
  <c r="K15" i="34"/>
  <c r="J15" i="34"/>
  <c r="I15" i="34"/>
  <c r="H15" i="34"/>
  <c r="G15" i="34"/>
  <c r="F15" i="34"/>
  <c r="E15" i="34"/>
  <c r="M14" i="34"/>
  <c r="L14" i="34"/>
  <c r="K14" i="34"/>
  <c r="J14" i="34"/>
  <c r="I14" i="34"/>
  <c r="H14" i="34"/>
  <c r="G14" i="34"/>
  <c r="F14" i="34"/>
  <c r="E14" i="34"/>
  <c r="M13" i="34"/>
  <c r="L13" i="34"/>
  <c r="K13" i="34"/>
  <c r="J13" i="34"/>
  <c r="I13" i="34"/>
  <c r="H13" i="34"/>
  <c r="G13" i="34"/>
  <c r="F13" i="34"/>
  <c r="E13" i="34"/>
  <c r="M11" i="34"/>
  <c r="L11" i="34"/>
  <c r="K11" i="34"/>
  <c r="J11" i="34"/>
  <c r="I11" i="34"/>
  <c r="H11" i="34"/>
  <c r="G11" i="34"/>
  <c r="F11" i="34"/>
  <c r="E11" i="34"/>
  <c r="M10" i="34"/>
  <c r="L10" i="34"/>
  <c r="K10" i="34"/>
  <c r="J10" i="34"/>
  <c r="I10" i="34"/>
  <c r="H10" i="34"/>
  <c r="G10" i="34"/>
  <c r="F10" i="34"/>
  <c r="E10" i="34"/>
  <c r="M9" i="34"/>
  <c r="M17" i="34" s="1"/>
  <c r="L9" i="34"/>
  <c r="L17" i="34" s="1"/>
  <c r="K9" i="34"/>
  <c r="K17" i="34" s="1"/>
  <c r="J9" i="34"/>
  <c r="I9" i="34"/>
  <c r="I17" i="34" s="1"/>
  <c r="H9" i="34"/>
  <c r="H17" i="34" s="1"/>
  <c r="G9" i="34"/>
  <c r="G17" i="34" s="1"/>
  <c r="F9" i="34"/>
  <c r="E9" i="34"/>
  <c r="E17" i="34" s="1"/>
  <c r="M36" i="34" l="1"/>
  <c r="M34" i="34"/>
  <c r="E36" i="34"/>
  <c r="E34" i="34"/>
  <c r="F32" i="34"/>
  <c r="J32" i="34"/>
  <c r="J34" i="34" s="1"/>
  <c r="I36" i="34"/>
  <c r="I34" i="34"/>
  <c r="H36" i="34"/>
  <c r="H34" i="34"/>
  <c r="L36" i="34"/>
  <c r="L34" i="34"/>
  <c r="F34" i="34"/>
  <c r="G32" i="34"/>
  <c r="G34" i="34" s="1"/>
  <c r="K32" i="34"/>
  <c r="K36" i="34" s="1"/>
  <c r="F36" i="34"/>
  <c r="G36" i="34" l="1"/>
  <c r="K34" i="34"/>
  <c r="J36" i="34"/>
  <c r="E42" i="33" l="1"/>
  <c r="F42" i="33"/>
  <c r="G42" i="33"/>
  <c r="H42" i="33"/>
  <c r="I42" i="33"/>
  <c r="J42" i="33"/>
  <c r="K42" i="33"/>
  <c r="D42" i="33"/>
  <c r="D40" i="33"/>
  <c r="E40" i="33" s="1"/>
  <c r="F40" i="33" s="1"/>
  <c r="G40" i="33" s="1"/>
  <c r="H40" i="33" s="1"/>
  <c r="I40" i="33" s="1"/>
  <c r="J40" i="33" s="1"/>
  <c r="K40" i="33" s="1"/>
  <c r="D32" i="33"/>
  <c r="D30" i="33"/>
  <c r="E30" i="33" s="1"/>
  <c r="CC23" i="33"/>
  <c r="CB23" i="33"/>
  <c r="BZ23" i="33"/>
  <c r="BY23" i="33"/>
  <c r="BW23" i="33"/>
  <c r="BV23" i="33"/>
  <c r="BT23" i="33"/>
  <c r="BS23" i="33"/>
  <c r="BQ23" i="33"/>
  <c r="BP23" i="33"/>
  <c r="BN23" i="33"/>
  <c r="BM23" i="33"/>
  <c r="BK23" i="33"/>
  <c r="BJ23" i="33"/>
  <c r="BH23" i="33"/>
  <c r="BG23" i="33"/>
  <c r="BE23" i="33"/>
  <c r="BD23" i="33"/>
  <c r="BB23" i="33"/>
  <c r="BA23" i="33"/>
  <c r="AY23" i="33"/>
  <c r="AX23" i="33"/>
  <c r="AV23" i="33"/>
  <c r="AU23" i="33"/>
  <c r="AS23" i="33"/>
  <c r="AR23" i="33"/>
  <c r="AP23" i="33"/>
  <c r="AO23" i="33"/>
  <c r="AM23" i="33"/>
  <c r="AL23" i="33"/>
  <c r="AJ23" i="33"/>
  <c r="AI23" i="33"/>
  <c r="AG23" i="33"/>
  <c r="AF23" i="33"/>
  <c r="AD23" i="33"/>
  <c r="AC23" i="33"/>
  <c r="AA23" i="33"/>
  <c r="Z23" i="33"/>
  <c r="X23" i="33"/>
  <c r="W23" i="33"/>
  <c r="U23" i="33"/>
  <c r="T23" i="33"/>
  <c r="R23" i="33"/>
  <c r="Q23" i="33"/>
  <c r="O23" i="33"/>
  <c r="N23" i="33"/>
  <c r="L23" i="33"/>
  <c r="K23" i="33"/>
  <c r="I23" i="33"/>
  <c r="H23" i="33"/>
  <c r="F23" i="33"/>
  <c r="E23" i="33"/>
  <c r="G20" i="33"/>
  <c r="J20" i="33" s="1"/>
  <c r="M20" i="33" s="1"/>
  <c r="P20" i="33" s="1"/>
  <c r="BO19" i="33"/>
  <c r="BR19" i="33" s="1"/>
  <c r="BU19" i="33" s="1"/>
  <c r="BX19" i="33" s="1"/>
  <c r="CA19" i="33" s="1"/>
  <c r="CD19" i="33" s="1"/>
  <c r="BC19" i="33"/>
  <c r="BF19" i="33" s="1"/>
  <c r="BI19" i="33" s="1"/>
  <c r="AQ19" i="33"/>
  <c r="AT19" i="33" s="1"/>
  <c r="AW19" i="33" s="1"/>
  <c r="AZ19" i="33" s="1"/>
  <c r="AE19" i="33"/>
  <c r="AH19" i="33" s="1"/>
  <c r="AK19" i="33" s="1"/>
  <c r="AN19" i="33" s="1"/>
  <c r="S19" i="33"/>
  <c r="V19" i="33" s="1"/>
  <c r="Y19" i="33" s="1"/>
  <c r="AB19" i="33" s="1"/>
  <c r="G19" i="33"/>
  <c r="J19" i="33" s="1"/>
  <c r="M19" i="33" s="1"/>
  <c r="CA12" i="33"/>
  <c r="CD12" i="33" s="1"/>
  <c r="CD23" i="33" s="1"/>
  <c r="BO12" i="33"/>
  <c r="BO23" i="33" s="1"/>
  <c r="BC12" i="33"/>
  <c r="BC23" i="33" s="1"/>
  <c r="AQ12" i="33"/>
  <c r="AQ23" i="33" s="1"/>
  <c r="AE12" i="33"/>
  <c r="AE23" i="33" s="1"/>
  <c r="G12" i="33"/>
  <c r="G23" i="33" s="1"/>
  <c r="D12" i="33"/>
  <c r="D23" i="33" s="1"/>
  <c r="D25" i="33" s="1"/>
  <c r="AS24" i="33" s="1"/>
  <c r="C11" i="33"/>
  <c r="D4" i="33"/>
  <c r="D5" i="33" s="1"/>
  <c r="A1" i="33"/>
  <c r="J23" i="17"/>
  <c r="L15" i="17"/>
  <c r="L14" i="17"/>
  <c r="L13" i="17"/>
  <c r="H15" i="17"/>
  <c r="H14" i="17"/>
  <c r="H13" i="17"/>
  <c r="H12" i="17"/>
  <c r="H11" i="17"/>
  <c r="H10" i="17"/>
  <c r="H9" i="17"/>
  <c r="D13" i="17"/>
  <c r="D14" i="17"/>
  <c r="D15" i="17"/>
  <c r="D10" i="17"/>
  <c r="D11" i="17"/>
  <c r="D12" i="17"/>
  <c r="D9" i="17"/>
  <c r="M14" i="17" l="1"/>
  <c r="M15" i="17"/>
  <c r="E12" i="17"/>
  <c r="E14" i="17"/>
  <c r="BR12" i="33"/>
  <c r="BR23" i="33" s="1"/>
  <c r="BF12" i="33"/>
  <c r="BF23" i="33" s="1"/>
  <c r="CA23" i="33"/>
  <c r="AH12" i="33"/>
  <c r="AH23" i="33" s="1"/>
  <c r="BE24" i="33"/>
  <c r="AC24" i="33"/>
  <c r="BY24" i="33"/>
  <c r="J12" i="33"/>
  <c r="AT12" i="33"/>
  <c r="AT23" i="33" s="1"/>
  <c r="AO24" i="33"/>
  <c r="E22" i="33"/>
  <c r="I24" i="33"/>
  <c r="P19" i="33"/>
  <c r="P24" i="33" s="1"/>
  <c r="M24" i="33"/>
  <c r="BL19" i="33"/>
  <c r="D6" i="33"/>
  <c r="D7" i="33"/>
  <c r="E4" i="33"/>
  <c r="E5" i="33" s="1"/>
  <c r="CG12" i="33"/>
  <c r="CJ12" i="33" s="1"/>
  <c r="CB24" i="33"/>
  <c r="BT24" i="33"/>
  <c r="BP24" i="33"/>
  <c r="BH24" i="33"/>
  <c r="BD24" i="33"/>
  <c r="AV24" i="33"/>
  <c r="AR24" i="33"/>
  <c r="AJ24" i="33"/>
  <c r="AF24" i="33"/>
  <c r="X24" i="33"/>
  <c r="T24" i="33"/>
  <c r="L24" i="33"/>
  <c r="H24" i="33"/>
  <c r="BW24" i="33"/>
  <c r="BS24" i="33"/>
  <c r="BK24" i="33"/>
  <c r="BG24" i="33"/>
  <c r="AY24" i="33"/>
  <c r="AU24" i="33"/>
  <c r="AM24" i="33"/>
  <c r="AI24" i="33"/>
  <c r="AA24" i="33"/>
  <c r="W24" i="33"/>
  <c r="O24" i="33"/>
  <c r="K24" i="33"/>
  <c r="G24" i="33"/>
  <c r="BZ24" i="33"/>
  <c r="BV24" i="33"/>
  <c r="BN24" i="33"/>
  <c r="BJ24" i="33"/>
  <c r="BB24" i="33"/>
  <c r="AX24" i="33"/>
  <c r="AP24" i="33"/>
  <c r="AL24" i="33"/>
  <c r="AD24" i="33"/>
  <c r="Z24" i="33"/>
  <c r="R24" i="33"/>
  <c r="N24" i="33"/>
  <c r="J24" i="33"/>
  <c r="F24" i="33"/>
  <c r="Q24" i="33"/>
  <c r="AG24" i="33"/>
  <c r="BM24" i="33"/>
  <c r="CC24" i="33"/>
  <c r="F30" i="33"/>
  <c r="D27" i="33"/>
  <c r="E24" i="33"/>
  <c r="U24" i="33"/>
  <c r="BA24" i="33"/>
  <c r="BQ24" i="33"/>
  <c r="I11" i="17"/>
  <c r="I12" i="17"/>
  <c r="I13" i="17"/>
  <c r="I10" i="17"/>
  <c r="I14" i="17"/>
  <c r="I15" i="17"/>
  <c r="E13" i="17"/>
  <c r="E11" i="17"/>
  <c r="E15" i="17"/>
  <c r="E10" i="17"/>
  <c r="AK12" i="33" l="1"/>
  <c r="AN12" i="33" s="1"/>
  <c r="AN23" i="33" s="1"/>
  <c r="BI12" i="33"/>
  <c r="BL12" i="33" s="1"/>
  <c r="BL23" i="33" s="1"/>
  <c r="I23" i="17"/>
  <c r="E23" i="17"/>
  <c r="E24" i="17" s="1"/>
  <c r="E25" i="17" s="1"/>
  <c r="E26" i="17" s="1"/>
  <c r="BU12" i="33"/>
  <c r="E25" i="33"/>
  <c r="F22" i="33" s="1"/>
  <c r="F25" i="33" s="1"/>
  <c r="G22" i="33" s="1"/>
  <c r="AW12" i="33"/>
  <c r="AZ12" i="33" s="1"/>
  <c r="AZ23" i="33" s="1"/>
  <c r="BI23" i="33"/>
  <c r="J23" i="33"/>
  <c r="M12" i="33"/>
  <c r="E7" i="33"/>
  <c r="E27" i="33" s="1"/>
  <c r="E6" i="33"/>
  <c r="F4" i="33"/>
  <c r="F5" i="33" s="1"/>
  <c r="G30" i="33"/>
  <c r="AW23" i="33"/>
  <c r="AK23" i="33"/>
  <c r="D79" i="32"/>
  <c r="E79" i="32" s="1"/>
  <c r="F23" i="17" l="1"/>
  <c r="I24" i="17"/>
  <c r="I25" i="17" s="1"/>
  <c r="I26" i="17" s="1"/>
  <c r="BU23" i="33"/>
  <c r="BX12" i="33"/>
  <c r="BX23" i="33" s="1"/>
  <c r="M23" i="33"/>
  <c r="P12" i="33"/>
  <c r="P23" i="33" s="1"/>
  <c r="H30" i="33"/>
  <c r="F6" i="33"/>
  <c r="G4" i="33"/>
  <c r="G5" i="33" s="1"/>
  <c r="F7" i="33"/>
  <c r="F27" i="33" s="1"/>
  <c r="G25" i="33"/>
  <c r="H22" i="33" s="1"/>
  <c r="L18" i="32"/>
  <c r="J21" i="32"/>
  <c r="K20" i="32" s="1"/>
  <c r="C43" i="32"/>
  <c r="E6" i="32"/>
  <c r="E5" i="32"/>
  <c r="H25" i="33" l="1"/>
  <c r="I22" i="33" s="1"/>
  <c r="I30" i="33"/>
  <c r="G7" i="33"/>
  <c r="G27" i="33" s="1"/>
  <c r="G6" i="33"/>
  <c r="H4" i="33"/>
  <c r="H5" i="33" s="1"/>
  <c r="K18" i="32"/>
  <c r="E46" i="32"/>
  <c r="J10" i="32" s="1"/>
  <c r="E55" i="32"/>
  <c r="E57" i="32"/>
  <c r="J8" i="32" s="1"/>
  <c r="I23" i="21"/>
  <c r="B100" i="31"/>
  <c r="B99" i="31"/>
  <c r="B98" i="31"/>
  <c r="B95" i="31"/>
  <c r="B13" i="31"/>
  <c r="K90" i="31"/>
  <c r="J90" i="31"/>
  <c r="I90" i="31"/>
  <c r="H27" i="21"/>
  <c r="I27" i="21"/>
  <c r="J27" i="21"/>
  <c r="J16" i="17"/>
  <c r="J24" i="17" s="1"/>
  <c r="B23" i="17"/>
  <c r="B16" i="17" s="1"/>
  <c r="K26" i="21" s="1"/>
  <c r="K22" i="17"/>
  <c r="K23" i="17" s="1"/>
  <c r="G22" i="17"/>
  <c r="G23" i="17" s="1"/>
  <c r="C22" i="17"/>
  <c r="B100" i="29"/>
  <c r="B99" i="29"/>
  <c r="B98" i="29"/>
  <c r="B95" i="29"/>
  <c r="B13" i="29"/>
  <c r="K24" i="17" l="1"/>
  <c r="J30" i="33"/>
  <c r="H6" i="33"/>
  <c r="H7" i="33"/>
  <c r="H27" i="33" s="1"/>
  <c r="I4" i="33"/>
  <c r="I5" i="33" s="1"/>
  <c r="I25" i="33"/>
  <c r="J22" i="33" s="1"/>
  <c r="E59" i="32"/>
  <c r="E60" i="32" s="1"/>
  <c r="C23" i="17"/>
  <c r="C16" i="17" s="1"/>
  <c r="D16" i="17" s="1"/>
  <c r="E16" i="17" s="1"/>
  <c r="G16" i="17"/>
  <c r="F16" i="17"/>
  <c r="F24" i="17" s="1"/>
  <c r="G24" i="17" s="1"/>
  <c r="B24" i="17"/>
  <c r="C24" i="17" s="1"/>
  <c r="I7" i="33" l="1"/>
  <c r="I27" i="33" s="1"/>
  <c r="I6" i="33"/>
  <c r="J4" i="33"/>
  <c r="J5" i="33" s="1"/>
  <c r="K30" i="33"/>
  <c r="J25" i="33"/>
  <c r="K22" i="33" s="1"/>
  <c r="K31" i="21"/>
  <c r="H16" i="17"/>
  <c r="I16" i="17" s="1"/>
  <c r="K16" i="17"/>
  <c r="E61" i="32"/>
  <c r="J17" i="17"/>
  <c r="J25" i="17" s="1"/>
  <c r="K25" i="17" s="1"/>
  <c r="K34" i="21"/>
  <c r="K27" i="21"/>
  <c r="K28" i="21" s="1"/>
  <c r="F17" i="17"/>
  <c r="F25" i="17" s="1"/>
  <c r="G25" i="17" s="1"/>
  <c r="K30" i="21"/>
  <c r="P16" i="17"/>
  <c r="B17" i="17"/>
  <c r="L26" i="21" s="1"/>
  <c r="C17" i="17"/>
  <c r="J7" i="33" l="1"/>
  <c r="J27" i="33" s="1"/>
  <c r="K4" i="33"/>
  <c r="K5" i="33" s="1"/>
  <c r="J6" i="33"/>
  <c r="K25" i="33"/>
  <c r="L22" i="33" s="1"/>
  <c r="K35" i="21"/>
  <c r="L16" i="17"/>
  <c r="M16" i="17" s="1"/>
  <c r="K32" i="21"/>
  <c r="K17" i="17"/>
  <c r="G17" i="17"/>
  <c r="D17" i="17"/>
  <c r="E17" i="17" s="1"/>
  <c r="Q16" i="17"/>
  <c r="E62" i="32"/>
  <c r="J12" i="32"/>
  <c r="J14" i="32" s="1"/>
  <c r="J22" i="32" s="1"/>
  <c r="J18" i="17"/>
  <c r="J26" i="17" s="1"/>
  <c r="K26" i="17" s="1"/>
  <c r="L34" i="21"/>
  <c r="G18" i="17"/>
  <c r="L30" i="21"/>
  <c r="L27" i="21"/>
  <c r="L28" i="21" s="1"/>
  <c r="B25" i="17"/>
  <c r="C25" i="17" s="1"/>
  <c r="P17" i="17"/>
  <c r="L25" i="33" l="1"/>
  <c r="M22" i="33" s="1"/>
  <c r="K6" i="33"/>
  <c r="K7" i="33"/>
  <c r="K27" i="33" s="1"/>
  <c r="L4" i="33"/>
  <c r="L5" i="33" s="1"/>
  <c r="K36" i="21"/>
  <c r="L35" i="21"/>
  <c r="L36" i="21" s="1"/>
  <c r="L17" i="17"/>
  <c r="M17" i="17" s="1"/>
  <c r="Q17" i="17"/>
  <c r="L31" i="21"/>
  <c r="L32" i="21" s="1"/>
  <c r="H17" i="17"/>
  <c r="I17" i="17" s="1"/>
  <c r="M31" i="21"/>
  <c r="R17" i="17"/>
  <c r="J19" i="17"/>
  <c r="N34" i="21" s="1"/>
  <c r="M34" i="21"/>
  <c r="K18" i="17"/>
  <c r="F18" i="17"/>
  <c r="F26" i="17" s="1"/>
  <c r="G26" i="17" s="1"/>
  <c r="C18" i="17"/>
  <c r="B18" i="17"/>
  <c r="L6" i="33" l="1"/>
  <c r="L7" i="33"/>
  <c r="L27" i="33" s="1"/>
  <c r="M4" i="33"/>
  <c r="M5" i="33" s="1"/>
  <c r="M25" i="33"/>
  <c r="N22" i="33" s="1"/>
  <c r="H18" i="17"/>
  <c r="I18" i="17" s="1"/>
  <c r="M35" i="21"/>
  <c r="M36" i="21" s="1"/>
  <c r="L18" i="17"/>
  <c r="M18" i="17" s="1"/>
  <c r="L102" i="21"/>
  <c r="D18" i="17"/>
  <c r="E18" i="17" s="1"/>
  <c r="K19" i="17"/>
  <c r="Q18" i="17"/>
  <c r="M27" i="21"/>
  <c r="M30" i="21"/>
  <c r="M32" i="21" s="1"/>
  <c r="P18" i="17"/>
  <c r="M26" i="21"/>
  <c r="B26" i="17"/>
  <c r="N25" i="33" l="1"/>
  <c r="O22" i="33" s="1"/>
  <c r="M7" i="33"/>
  <c r="M27" i="33" s="1"/>
  <c r="M6" i="33"/>
  <c r="N4" i="33"/>
  <c r="N5" i="33" s="1"/>
  <c r="N35" i="21"/>
  <c r="N36" i="21" s="1"/>
  <c r="L19" i="17"/>
  <c r="M19" i="17" s="1"/>
  <c r="R18" i="17"/>
  <c r="G19" i="17"/>
  <c r="F19" i="17"/>
  <c r="N30" i="21" s="1"/>
  <c r="M28" i="21"/>
  <c r="M102" i="21"/>
  <c r="C26" i="17"/>
  <c r="C19" i="17" s="1"/>
  <c r="B19" i="17"/>
  <c r="O4" i="33" l="1"/>
  <c r="O5" i="33" s="1"/>
  <c r="N7" i="33"/>
  <c r="N27" i="33" s="1"/>
  <c r="N6" i="33"/>
  <c r="O25" i="33"/>
  <c r="P22" i="33" s="1"/>
  <c r="N31" i="21"/>
  <c r="N32" i="21" s="1"/>
  <c r="H19" i="17"/>
  <c r="I19" i="17" s="1"/>
  <c r="D19" i="17"/>
  <c r="E19" i="17" s="1"/>
  <c r="Q19" i="17"/>
  <c r="N27" i="21"/>
  <c r="N26" i="21"/>
  <c r="P19" i="17"/>
  <c r="P25" i="33" l="1"/>
  <c r="Q22" i="33" s="1"/>
  <c r="O7" i="33"/>
  <c r="O27" i="33" s="1"/>
  <c r="O6" i="33"/>
  <c r="P4" i="33"/>
  <c r="P5" i="33" s="1"/>
  <c r="N102" i="21"/>
  <c r="R19" i="17"/>
  <c r="N28" i="21"/>
  <c r="P6" i="33" l="1"/>
  <c r="P7" i="33"/>
  <c r="P27" i="33" s="1"/>
  <c r="Q4" i="33"/>
  <c r="Q5" i="33" s="1"/>
  <c r="Q25" i="33"/>
  <c r="R22" i="33" s="1"/>
  <c r="M17" i="26"/>
  <c r="O17" i="26" s="1"/>
  <c r="I14" i="2"/>
  <c r="I185" i="21"/>
  <c r="F7" i="26"/>
  <c r="D2" i="26"/>
  <c r="E2" i="26" s="1"/>
  <c r="F2" i="26" s="1"/>
  <c r="G2" i="26" s="1"/>
  <c r="H2" i="26" s="1"/>
  <c r="I2" i="26" s="1"/>
  <c r="J2" i="26" s="1"/>
  <c r="K2" i="26" s="1"/>
  <c r="D40" i="23"/>
  <c r="E40" i="23" s="1"/>
  <c r="F40" i="23" s="1"/>
  <c r="G40" i="23" s="1"/>
  <c r="H40" i="23" s="1"/>
  <c r="I40" i="23" s="1"/>
  <c r="J40" i="23" s="1"/>
  <c r="K40" i="23" s="1"/>
  <c r="Y20" i="33" l="1"/>
  <c r="S20" i="33"/>
  <c r="R25" i="33"/>
  <c r="S22" i="33" s="1"/>
  <c r="Q7" i="33"/>
  <c r="Q27" i="33" s="1"/>
  <c r="Q6" i="33"/>
  <c r="R4" i="33"/>
  <c r="R5" i="33" s="1"/>
  <c r="C30" i="17"/>
  <c r="G30" i="17"/>
  <c r="K30" i="17"/>
  <c r="F29" i="17"/>
  <c r="G29" i="17" s="1"/>
  <c r="V20" i="33" l="1"/>
  <c r="V24" i="33" s="1"/>
  <c r="S24" i="33"/>
  <c r="AB20" i="33"/>
  <c r="AB24" i="33" s="1"/>
  <c r="Y24" i="33"/>
  <c r="R7" i="33"/>
  <c r="R27" i="33" s="1"/>
  <c r="S4" i="33"/>
  <c r="S5" i="33" s="1"/>
  <c r="R6" i="33"/>
  <c r="B29" i="17"/>
  <c r="C29" i="17" s="1"/>
  <c r="F101" i="21"/>
  <c r="J34" i="22"/>
  <c r="J79" i="22"/>
  <c r="O37" i="4"/>
  <c r="O51" i="4"/>
  <c r="P76" i="3"/>
  <c r="P92" i="3"/>
  <c r="P143" i="3"/>
  <c r="P145" i="3"/>
  <c r="P151" i="3"/>
  <c r="P285" i="3"/>
  <c r="P312" i="3"/>
  <c r="P53" i="3" s="1"/>
  <c r="BY23" i="23"/>
  <c r="BZ23" i="23"/>
  <c r="CB23" i="23"/>
  <c r="CC23" i="23"/>
  <c r="O168" i="21"/>
  <c r="G166" i="21"/>
  <c r="M185" i="21"/>
  <c r="BO20" i="33" s="1"/>
  <c r="L185" i="21"/>
  <c r="K185" i="21"/>
  <c r="J185" i="21"/>
  <c r="S20" i="23"/>
  <c r="M184" i="21"/>
  <c r="L184" i="21"/>
  <c r="K184" i="21"/>
  <c r="J184" i="21"/>
  <c r="AE19" i="23" s="1"/>
  <c r="I184" i="21"/>
  <c r="S19" i="23" s="1"/>
  <c r="N196" i="21"/>
  <c r="N188" i="21"/>
  <c r="N171" i="21"/>
  <c r="N97" i="21"/>
  <c r="CA12" i="23"/>
  <c r="CA23" i="23" s="1"/>
  <c r="P166" i="21"/>
  <c r="I180" i="21"/>
  <c r="S10" i="17"/>
  <c r="S11" i="17" s="1"/>
  <c r="S12" i="17" s="1"/>
  <c r="Q10" i="17"/>
  <c r="Q11" i="17"/>
  <c r="Q12" i="17"/>
  <c r="Q13" i="17"/>
  <c r="Q14" i="17"/>
  <c r="Q15" i="17"/>
  <c r="Q9" i="17"/>
  <c r="P14" i="17"/>
  <c r="P13" i="17"/>
  <c r="P12" i="17"/>
  <c r="P11" i="17"/>
  <c r="P10" i="17"/>
  <c r="P9" i="17"/>
  <c r="P15" i="17"/>
  <c r="J95" i="2"/>
  <c r="K95" i="2" s="1"/>
  <c r="L95" i="2" s="1"/>
  <c r="M95" i="2" s="1"/>
  <c r="N95" i="2" s="1"/>
  <c r="O95" i="2" s="1"/>
  <c r="P95" i="2" s="1"/>
  <c r="J93" i="2"/>
  <c r="K93" i="2" s="1"/>
  <c r="L93" i="2" s="1"/>
  <c r="M93" i="2" s="1"/>
  <c r="N93" i="2" s="1"/>
  <c r="O93" i="2" s="1"/>
  <c r="P93" i="2" s="1"/>
  <c r="J90" i="2"/>
  <c r="K90" i="2" s="1"/>
  <c r="L90" i="2" s="1"/>
  <c r="M90" i="2" s="1"/>
  <c r="N90" i="2" s="1"/>
  <c r="O90" i="2" s="1"/>
  <c r="P90" i="2" s="1"/>
  <c r="J91" i="2"/>
  <c r="K91" i="2" s="1"/>
  <c r="L91" i="2" s="1"/>
  <c r="M91" i="2" s="1"/>
  <c r="N91" i="2" s="1"/>
  <c r="O91" i="2" s="1"/>
  <c r="P91" i="2" s="1"/>
  <c r="M171" i="21"/>
  <c r="L171" i="21"/>
  <c r="K171" i="21"/>
  <c r="J171" i="21"/>
  <c r="H171" i="21"/>
  <c r="E12" i="21"/>
  <c r="F12" i="21" s="1"/>
  <c r="G12" i="21" s="1"/>
  <c r="H12" i="21" s="1"/>
  <c r="I12" i="21" s="1"/>
  <c r="J12" i="21" s="1"/>
  <c r="K12" i="21" s="1"/>
  <c r="L12" i="21" s="1"/>
  <c r="M12" i="21" s="1"/>
  <c r="N12" i="21" s="1"/>
  <c r="D12" i="23"/>
  <c r="C11" i="23"/>
  <c r="G12" i="23"/>
  <c r="J12" i="23" s="1"/>
  <c r="M12" i="23" s="1"/>
  <c r="P12" i="23" s="1"/>
  <c r="BO12" i="23"/>
  <c r="BO23" i="23" s="1"/>
  <c r="BC12" i="23"/>
  <c r="BC23" i="23" s="1"/>
  <c r="AQ12" i="23"/>
  <c r="AQ23" i="23" s="1"/>
  <c r="AE12" i="23"/>
  <c r="AE23" i="23" s="1"/>
  <c r="D32" i="23"/>
  <c r="G20" i="23"/>
  <c r="J20" i="23" s="1"/>
  <c r="M20" i="23" s="1"/>
  <c r="P20" i="23" s="1"/>
  <c r="G19" i="23"/>
  <c r="BW23" i="23"/>
  <c r="BV23" i="23"/>
  <c r="BT23" i="23"/>
  <c r="BS23" i="23"/>
  <c r="BQ23" i="23"/>
  <c r="BP23" i="23"/>
  <c r="BN23" i="23"/>
  <c r="BM23" i="23"/>
  <c r="BK23" i="23"/>
  <c r="BJ23" i="23"/>
  <c r="BH23" i="23"/>
  <c r="BG23" i="23"/>
  <c r="BE23" i="23"/>
  <c r="BD23" i="23"/>
  <c r="BB23" i="23"/>
  <c r="BA23" i="23"/>
  <c r="AY23" i="23"/>
  <c r="AX23" i="23"/>
  <c r="AV23" i="23"/>
  <c r="AU23" i="23"/>
  <c r="AS23" i="23"/>
  <c r="AR23" i="23"/>
  <c r="AP23" i="23"/>
  <c r="AO23" i="23"/>
  <c r="AM23" i="23"/>
  <c r="AL23" i="23"/>
  <c r="AJ23" i="23"/>
  <c r="AI23" i="23"/>
  <c r="AG23" i="23"/>
  <c r="AF23" i="23"/>
  <c r="AD23" i="23"/>
  <c r="AC23" i="23"/>
  <c r="AA23" i="23"/>
  <c r="Z23" i="23"/>
  <c r="X23" i="23"/>
  <c r="W23" i="23"/>
  <c r="U23" i="23"/>
  <c r="T23" i="23"/>
  <c r="R23" i="23"/>
  <c r="Q23" i="23"/>
  <c r="O23" i="23"/>
  <c r="N23" i="23"/>
  <c r="L23" i="23"/>
  <c r="K23" i="23"/>
  <c r="I23" i="23"/>
  <c r="H23" i="23"/>
  <c r="F23" i="23"/>
  <c r="E23" i="23"/>
  <c r="P150" i="3" l="1"/>
  <c r="S12" i="23"/>
  <c r="S23" i="23" s="1"/>
  <c r="S12" i="33"/>
  <c r="AE20" i="23"/>
  <c r="AH20" i="23" s="1"/>
  <c r="AK20" i="23" s="1"/>
  <c r="AN20" i="23" s="1"/>
  <c r="AE20" i="33"/>
  <c r="AQ20" i="23"/>
  <c r="AT20" i="23" s="1"/>
  <c r="AW20" i="23" s="1"/>
  <c r="AZ20" i="23" s="1"/>
  <c r="AQ20" i="33"/>
  <c r="BC20" i="23"/>
  <c r="BF20" i="23" s="1"/>
  <c r="BI20" i="23" s="1"/>
  <c r="BL20" i="23" s="1"/>
  <c r="BC20" i="33"/>
  <c r="BR20" i="33"/>
  <c r="BO24" i="33"/>
  <c r="S6" i="33"/>
  <c r="S7" i="33"/>
  <c r="S27" i="33" s="1"/>
  <c r="T4" i="33"/>
  <c r="T5" i="33" s="1"/>
  <c r="N184" i="21"/>
  <c r="R16" i="17"/>
  <c r="S13" i="17"/>
  <c r="S14" i="17" s="1"/>
  <c r="S15" i="17" s="1"/>
  <c r="S16" i="17" s="1"/>
  <c r="R13" i="17"/>
  <c r="R10" i="17"/>
  <c r="R14" i="17"/>
  <c r="R11" i="17"/>
  <c r="R15" i="17"/>
  <c r="R12" i="17"/>
  <c r="BF12" i="23"/>
  <c r="BI12" i="23" s="1"/>
  <c r="CD12" i="23"/>
  <c r="N185" i="21"/>
  <c r="O167" i="21"/>
  <c r="J44" i="22"/>
  <c r="AQ19" i="23"/>
  <c r="BC19" i="23"/>
  <c r="BO20" i="23"/>
  <c r="BR20" i="23" s="1"/>
  <c r="BU20" i="23" s="1"/>
  <c r="BX20" i="23" s="1"/>
  <c r="Y20" i="23"/>
  <c r="I143" i="3"/>
  <c r="AH12" i="23"/>
  <c r="AH23" i="23" s="1"/>
  <c r="BR12" i="23"/>
  <c r="BR23" i="23" s="1"/>
  <c r="BF23" i="23"/>
  <c r="AT12" i="23"/>
  <c r="V20" i="23"/>
  <c r="BO19" i="23"/>
  <c r="D45" i="24"/>
  <c r="L145" i="3"/>
  <c r="M145" i="3"/>
  <c r="N145" i="3"/>
  <c r="O145" i="3"/>
  <c r="L92" i="3"/>
  <c r="M92" i="3"/>
  <c r="N92" i="3"/>
  <c r="O92" i="3"/>
  <c r="L76" i="3"/>
  <c r="M76" i="3"/>
  <c r="N76" i="3"/>
  <c r="O76" i="3"/>
  <c r="E64" i="24"/>
  <c r="C169" i="21" s="1"/>
  <c r="I169" i="21" s="1"/>
  <c r="K76" i="3" s="1"/>
  <c r="C42" i="24"/>
  <c r="E5" i="24"/>
  <c r="E4" i="24"/>
  <c r="V12" i="23" l="1"/>
  <c r="V23" i="23" s="1"/>
  <c r="CA20" i="23"/>
  <c r="CD20" i="23" s="1"/>
  <c r="CA20" i="33"/>
  <c r="BF20" i="33"/>
  <c r="BC24" i="33"/>
  <c r="AH20" i="33"/>
  <c r="AE24" i="33"/>
  <c r="AT20" i="33"/>
  <c r="AQ24" i="33"/>
  <c r="S23" i="33"/>
  <c r="S25" i="33" s="1"/>
  <c r="T22" i="33" s="1"/>
  <c r="T25" i="33" s="1"/>
  <c r="U22" i="33" s="1"/>
  <c r="U25" i="33" s="1"/>
  <c r="V22" i="33" s="1"/>
  <c r="V12" i="33"/>
  <c r="BU20" i="33"/>
  <c r="BR24" i="33"/>
  <c r="T6" i="33"/>
  <c r="T7" i="33"/>
  <c r="U4" i="33"/>
  <c r="U5" i="33" s="1"/>
  <c r="S17" i="17"/>
  <c r="T16" i="17"/>
  <c r="CG12" i="23"/>
  <c r="CJ12" i="23" s="1"/>
  <c r="CD23" i="23"/>
  <c r="AB20" i="23"/>
  <c r="AK12" i="23"/>
  <c r="AK23" i="23" s="1"/>
  <c r="BU12" i="23"/>
  <c r="BU23" i="23" s="1"/>
  <c r="BI23" i="23"/>
  <c r="BL12" i="23"/>
  <c r="BL23" i="23" s="1"/>
  <c r="AW12" i="23"/>
  <c r="AT23" i="23"/>
  <c r="E45" i="24"/>
  <c r="J76" i="3"/>
  <c r="Y12" i="23" l="1"/>
  <c r="AB12" i="23" s="1"/>
  <c r="AB23" i="23" s="1"/>
  <c r="T27" i="33"/>
  <c r="BX20" i="33"/>
  <c r="BX24" i="33" s="1"/>
  <c r="BU24" i="33"/>
  <c r="AW20" i="33"/>
  <c r="AT24" i="33"/>
  <c r="BI20" i="33"/>
  <c r="BF24" i="33"/>
  <c r="V23" i="33"/>
  <c r="V25" i="33" s="1"/>
  <c r="W22" i="33" s="1"/>
  <c r="Y12" i="33"/>
  <c r="CD20" i="33"/>
  <c r="CD24" i="33" s="1"/>
  <c r="CA24" i="33"/>
  <c r="AK20" i="33"/>
  <c r="AH24" i="33"/>
  <c r="U7" i="33"/>
  <c r="U27" i="33" s="1"/>
  <c r="U6" i="33"/>
  <c r="V4" i="33"/>
  <c r="V5" i="33" s="1"/>
  <c r="S18" i="17"/>
  <c r="T17" i="17"/>
  <c r="Y23" i="23"/>
  <c r="BX12" i="23"/>
  <c r="BX23" i="23" s="1"/>
  <c r="AN12" i="23"/>
  <c r="AN23" i="23" s="1"/>
  <c r="AW23" i="23"/>
  <c r="AZ12" i="23"/>
  <c r="AZ23" i="23" s="1"/>
  <c r="E56" i="24"/>
  <c r="E55" i="24"/>
  <c r="Y23" i="33" l="1"/>
  <c r="AB12" i="33"/>
  <c r="AB23" i="33" s="1"/>
  <c r="AN20" i="33"/>
  <c r="AN24" i="33" s="1"/>
  <c r="AK24" i="33"/>
  <c r="AZ20" i="33"/>
  <c r="AZ24" i="33" s="1"/>
  <c r="AW24" i="33"/>
  <c r="BL20" i="33"/>
  <c r="BL24" i="33" s="1"/>
  <c r="BI24" i="33"/>
  <c r="W25" i="33"/>
  <c r="X22" i="33" s="1"/>
  <c r="W4" i="33"/>
  <c r="W5" i="33" s="1"/>
  <c r="V6" i="33"/>
  <c r="V7" i="33"/>
  <c r="V27" i="33" s="1"/>
  <c r="S19" i="17"/>
  <c r="T19" i="17" s="1"/>
  <c r="T18" i="17"/>
  <c r="E58" i="24"/>
  <c r="E59" i="24" s="1"/>
  <c r="E63" i="24"/>
  <c r="E65" i="24" s="1"/>
  <c r="F59" i="24"/>
  <c r="F60" i="24" s="1"/>
  <c r="F61" i="24" s="1"/>
  <c r="W6" i="33" l="1"/>
  <c r="W7" i="33"/>
  <c r="W27" i="33" s="1"/>
  <c r="X4" i="33"/>
  <c r="X5" i="33" s="1"/>
  <c r="X25" i="33"/>
  <c r="Y22" i="33" s="1"/>
  <c r="C170" i="21"/>
  <c r="E60" i="24"/>
  <c r="E61" i="24" s="1"/>
  <c r="Y25" i="33" l="1"/>
  <c r="Z22" i="33" s="1"/>
  <c r="X6" i="33"/>
  <c r="X7" i="33"/>
  <c r="X27" i="33" s="1"/>
  <c r="Y4" i="33"/>
  <c r="Y5" i="33" s="1"/>
  <c r="C171" i="21"/>
  <c r="I170" i="21"/>
  <c r="J92" i="3"/>
  <c r="J145" i="3"/>
  <c r="J19" i="23"/>
  <c r="D23" i="23"/>
  <c r="J23" i="21"/>
  <c r="K23" i="21" s="1"/>
  <c r="L23" i="21" s="1"/>
  <c r="M23" i="21" s="1"/>
  <c r="N23" i="21" s="1"/>
  <c r="Y7" i="33" l="1"/>
  <c r="Y27" i="33" s="1"/>
  <c r="Y6" i="33"/>
  <c r="Z4" i="33"/>
  <c r="Z5" i="33" s="1"/>
  <c r="Z25" i="33"/>
  <c r="AA22" i="33" s="1"/>
  <c r="K92" i="3"/>
  <c r="I171" i="21"/>
  <c r="O166" i="21"/>
  <c r="I166" i="21"/>
  <c r="M19" i="23"/>
  <c r="A1" i="23"/>
  <c r="A142" i="21"/>
  <c r="A145" i="21"/>
  <c r="E101" i="21"/>
  <c r="D101" i="21"/>
  <c r="K97" i="21"/>
  <c r="L97" i="21"/>
  <c r="U99" i="21" s="1"/>
  <c r="M97" i="21"/>
  <c r="E97" i="21"/>
  <c r="F97" i="21"/>
  <c r="D97" i="21"/>
  <c r="F98" i="21"/>
  <c r="E98" i="21"/>
  <c r="D98" i="21"/>
  <c r="F20" i="5"/>
  <c r="E20" i="5"/>
  <c r="G20" i="5"/>
  <c r="F15" i="5"/>
  <c r="E15" i="5"/>
  <c r="G15" i="5"/>
  <c r="G14" i="21"/>
  <c r="H151" i="3"/>
  <c r="H150" i="3"/>
  <c r="H149" i="3"/>
  <c r="H136" i="3"/>
  <c r="I37" i="4"/>
  <c r="J37" i="4"/>
  <c r="K37" i="4"/>
  <c r="L37" i="4"/>
  <c r="M37" i="4"/>
  <c r="N37" i="4"/>
  <c r="J285" i="3"/>
  <c r="K285" i="3"/>
  <c r="L285" i="3"/>
  <c r="M285" i="3"/>
  <c r="N285" i="3"/>
  <c r="O285" i="3"/>
  <c r="I285" i="3"/>
  <c r="E4" i="5"/>
  <c r="E5" i="5" s="1"/>
  <c r="D19" i="5"/>
  <c r="D14" i="5"/>
  <c r="D9" i="5"/>
  <c r="E4" i="4"/>
  <c r="E5" i="4" s="1"/>
  <c r="E6" i="4" s="1"/>
  <c r="E4" i="3"/>
  <c r="E5" i="3" s="1"/>
  <c r="E4" i="2"/>
  <c r="E5" i="2" s="1"/>
  <c r="F4" i="2" s="1"/>
  <c r="F5" i="2" s="1"/>
  <c r="G4" i="2" s="1"/>
  <c r="G5" i="2" s="1"/>
  <c r="H4" i="2" s="1"/>
  <c r="D79" i="22"/>
  <c r="E79" i="22"/>
  <c r="F79" i="22"/>
  <c r="G79" i="22"/>
  <c r="H79" i="22"/>
  <c r="I79" i="22"/>
  <c r="C79" i="22"/>
  <c r="A85" i="22"/>
  <c r="A84" i="22"/>
  <c r="A83" i="22"/>
  <c r="A81" i="22"/>
  <c r="A80" i="22"/>
  <c r="A79" i="22"/>
  <c r="A78" i="22"/>
  <c r="A77" i="22"/>
  <c r="A69" i="22"/>
  <c r="A70" i="22"/>
  <c r="A71" i="22"/>
  <c r="A72" i="22"/>
  <c r="A73" i="22"/>
  <c r="A74" i="22"/>
  <c r="A68" i="22"/>
  <c r="A52" i="22"/>
  <c r="A53" i="22"/>
  <c r="A54" i="22"/>
  <c r="A55" i="22"/>
  <c r="A56" i="22"/>
  <c r="A57" i="22"/>
  <c r="A58" i="22"/>
  <c r="A51" i="22"/>
  <c r="I311" i="3"/>
  <c r="J311" i="3" s="1"/>
  <c r="I310" i="3"/>
  <c r="J310" i="3" s="1"/>
  <c r="K310" i="3" s="1"/>
  <c r="L310" i="3" s="1"/>
  <c r="M310" i="3" s="1"/>
  <c r="E313" i="3"/>
  <c r="F313" i="3"/>
  <c r="G313" i="3"/>
  <c r="H313" i="3"/>
  <c r="D313" i="3"/>
  <c r="E285" i="3"/>
  <c r="F285" i="3"/>
  <c r="G285" i="3"/>
  <c r="H285" i="3"/>
  <c r="D34" i="22"/>
  <c r="E34" i="22"/>
  <c r="F34" i="22"/>
  <c r="G34" i="22"/>
  <c r="H34" i="22"/>
  <c r="I34" i="22"/>
  <c r="C34" i="22"/>
  <c r="F279" i="3"/>
  <c r="G279" i="3"/>
  <c r="H279" i="3"/>
  <c r="D279" i="3"/>
  <c r="C13" i="22"/>
  <c r="H196" i="21"/>
  <c r="I196" i="21"/>
  <c r="J196" i="21"/>
  <c r="K196" i="21"/>
  <c r="L196" i="21"/>
  <c r="M196" i="21"/>
  <c r="I96" i="2"/>
  <c r="J96" i="2" s="1"/>
  <c r="K96" i="2" s="1"/>
  <c r="L96" i="2" s="1"/>
  <c r="M96" i="2" s="1"/>
  <c r="N96" i="2" s="1"/>
  <c r="O96" i="2" s="1"/>
  <c r="P96" i="2" s="1"/>
  <c r="I92" i="2"/>
  <c r="J92" i="2" s="1"/>
  <c r="K92" i="2" s="1"/>
  <c r="L92" i="2" s="1"/>
  <c r="M92" i="2" s="1"/>
  <c r="N92" i="2" s="1"/>
  <c r="O92" i="2" s="1"/>
  <c r="P92" i="2" s="1"/>
  <c r="H97" i="2"/>
  <c r="H33" i="2" s="1"/>
  <c r="G97" i="2"/>
  <c r="G33" i="2" s="1"/>
  <c r="F97" i="2"/>
  <c r="F33" i="2" s="1"/>
  <c r="E97" i="2"/>
  <c r="E33" i="2" s="1"/>
  <c r="I16" i="3"/>
  <c r="H166" i="3"/>
  <c r="I166" i="3" s="1"/>
  <c r="I167" i="3" s="1"/>
  <c r="G166" i="3"/>
  <c r="A164" i="3" s="1"/>
  <c r="F166" i="3"/>
  <c r="H135" i="3"/>
  <c r="N51" i="4"/>
  <c r="E8" i="4"/>
  <c r="I268" i="3"/>
  <c r="J268" i="3" s="1"/>
  <c r="K268" i="3" s="1"/>
  <c r="L268" i="3" s="1"/>
  <c r="M268" i="3" s="1"/>
  <c r="N268" i="3" s="1"/>
  <c r="O268" i="3" s="1"/>
  <c r="P268" i="3" s="1"/>
  <c r="I267" i="3"/>
  <c r="J267" i="3" s="1"/>
  <c r="K267" i="3" s="1"/>
  <c r="L267" i="3" s="1"/>
  <c r="M267" i="3" s="1"/>
  <c r="N267" i="3" s="1"/>
  <c r="O267" i="3" s="1"/>
  <c r="P267" i="3" s="1"/>
  <c r="I264" i="3"/>
  <c r="J264" i="3" s="1"/>
  <c r="K264" i="3" s="1"/>
  <c r="L264" i="3" s="1"/>
  <c r="M264" i="3" s="1"/>
  <c r="N264" i="3" s="1"/>
  <c r="O264" i="3" s="1"/>
  <c r="P264" i="3" s="1"/>
  <c r="I261" i="3"/>
  <c r="J261" i="3" s="1"/>
  <c r="K261" i="3" s="1"/>
  <c r="L261" i="3" s="1"/>
  <c r="M261" i="3" s="1"/>
  <c r="N261" i="3" s="1"/>
  <c r="O261" i="3" s="1"/>
  <c r="P261" i="3" s="1"/>
  <c r="O143" i="3"/>
  <c r="O150" i="3"/>
  <c r="O151" i="3"/>
  <c r="I258" i="3"/>
  <c r="J258" i="3" s="1"/>
  <c r="K258" i="3" s="1"/>
  <c r="L258" i="3" s="1"/>
  <c r="M258" i="3" s="1"/>
  <c r="N258" i="3" s="1"/>
  <c r="O258" i="3" s="1"/>
  <c r="P258" i="3" s="1"/>
  <c r="I246" i="3"/>
  <c r="J246" i="3" s="1"/>
  <c r="I245" i="3"/>
  <c r="J245" i="3" s="1"/>
  <c r="K245" i="3" s="1"/>
  <c r="I241" i="3"/>
  <c r="J241" i="3" s="1"/>
  <c r="K241" i="3" s="1"/>
  <c r="L241" i="3" s="1"/>
  <c r="M241" i="3" s="1"/>
  <c r="N241" i="3" s="1"/>
  <c r="O241" i="3" s="1"/>
  <c r="P241" i="3" s="1"/>
  <c r="I237" i="3"/>
  <c r="I238" i="3"/>
  <c r="J238" i="3" s="1"/>
  <c r="K238" i="3" s="1"/>
  <c r="L238" i="3" s="1"/>
  <c r="M238" i="3" s="1"/>
  <c r="N238" i="3" s="1"/>
  <c r="O238" i="3" s="1"/>
  <c r="P238" i="3" s="1"/>
  <c r="I235" i="3"/>
  <c r="J235" i="3" s="1"/>
  <c r="K229" i="3"/>
  <c r="L229" i="3" s="1"/>
  <c r="M229" i="3" s="1"/>
  <c r="N229" i="3" s="1"/>
  <c r="O229" i="3" s="1"/>
  <c r="P229" i="3" s="1"/>
  <c r="I229" i="3"/>
  <c r="I228" i="3"/>
  <c r="J228" i="3" s="1"/>
  <c r="J230" i="3" s="1"/>
  <c r="I194" i="3"/>
  <c r="J194" i="3" s="1"/>
  <c r="K194" i="3" s="1"/>
  <c r="L194" i="3" s="1"/>
  <c r="M194" i="3" s="1"/>
  <c r="N194" i="3" s="1"/>
  <c r="O194" i="3" s="1"/>
  <c r="P194" i="3" s="1"/>
  <c r="I193" i="3"/>
  <c r="J193" i="3" s="1"/>
  <c r="K193" i="3" s="1"/>
  <c r="I187" i="3"/>
  <c r="J187" i="3" s="1"/>
  <c r="K187" i="3" s="1"/>
  <c r="L187" i="3" s="1"/>
  <c r="M187" i="3" s="1"/>
  <c r="N187" i="3" s="1"/>
  <c r="O187" i="3" s="1"/>
  <c r="P187" i="3" s="1"/>
  <c r="I186" i="3"/>
  <c r="J186" i="3" s="1"/>
  <c r="K186" i="3" s="1"/>
  <c r="L186" i="3" s="1"/>
  <c r="M186" i="3" s="1"/>
  <c r="N186" i="3" s="1"/>
  <c r="O186" i="3" s="1"/>
  <c r="P186" i="3" s="1"/>
  <c r="I185" i="3"/>
  <c r="J185" i="3" s="1"/>
  <c r="K185" i="3" s="1"/>
  <c r="L185" i="3" s="1"/>
  <c r="M185" i="3" s="1"/>
  <c r="N185" i="3" s="1"/>
  <c r="O185" i="3" s="1"/>
  <c r="P185" i="3" s="1"/>
  <c r="I184" i="3"/>
  <c r="J184" i="3" s="1"/>
  <c r="K184" i="3" s="1"/>
  <c r="I178" i="3"/>
  <c r="J178" i="3" s="1"/>
  <c r="K178" i="3" s="1"/>
  <c r="H141" i="3"/>
  <c r="H140" i="3"/>
  <c r="H139" i="3"/>
  <c r="F146" i="3"/>
  <c r="G146" i="3"/>
  <c r="E146" i="3"/>
  <c r="L143" i="3"/>
  <c r="M143" i="3"/>
  <c r="N143" i="3"/>
  <c r="J143" i="3"/>
  <c r="E143" i="21"/>
  <c r="F143" i="21"/>
  <c r="D143" i="21"/>
  <c r="V99" i="21" l="1"/>
  <c r="W99" i="21"/>
  <c r="Z7" i="33"/>
  <c r="Z27" i="33" s="1"/>
  <c r="AA4" i="33"/>
  <c r="AA5" i="33" s="1"/>
  <c r="Z6" i="33"/>
  <c r="AA25" i="33"/>
  <c r="AB22" i="33" s="1"/>
  <c r="K96" i="3"/>
  <c r="O169" i="21"/>
  <c r="P169" i="21" s="1"/>
  <c r="P168" i="21"/>
  <c r="P167" i="21"/>
  <c r="H152" i="3"/>
  <c r="I4" i="2"/>
  <c r="P19" i="23"/>
  <c r="E6" i="5"/>
  <c r="F4" i="5"/>
  <c r="F5" i="5" s="1"/>
  <c r="F4" i="4"/>
  <c r="F5" i="4" s="1"/>
  <c r="E6" i="3"/>
  <c r="F4" i="3"/>
  <c r="F5" i="3" s="1"/>
  <c r="E6" i="2"/>
  <c r="H5" i="2"/>
  <c r="H6" i="2" s="1"/>
  <c r="F6" i="2"/>
  <c r="G6" i="2"/>
  <c r="I97" i="2"/>
  <c r="I33" i="2" s="1"/>
  <c r="N310" i="3"/>
  <c r="O310" i="3" s="1"/>
  <c r="P310" i="3" s="1"/>
  <c r="K311" i="3"/>
  <c r="I179" i="3"/>
  <c r="I195" i="3"/>
  <c r="I230" i="3"/>
  <c r="I242" i="3"/>
  <c r="I188" i="3"/>
  <c r="J247" i="3"/>
  <c r="K235" i="3"/>
  <c r="I247" i="3"/>
  <c r="J237" i="3"/>
  <c r="K237" i="3" s="1"/>
  <c r="L237" i="3" s="1"/>
  <c r="M237" i="3" s="1"/>
  <c r="N237" i="3" s="1"/>
  <c r="O237" i="3" s="1"/>
  <c r="P237" i="3" s="1"/>
  <c r="K228" i="3"/>
  <c r="L228" i="3" s="1"/>
  <c r="M228" i="3" s="1"/>
  <c r="L245" i="3"/>
  <c r="K246" i="3"/>
  <c r="L246" i="3" s="1"/>
  <c r="M246" i="3" s="1"/>
  <c r="N246" i="3" s="1"/>
  <c r="O246" i="3" s="1"/>
  <c r="P246" i="3" s="1"/>
  <c r="L193" i="3"/>
  <c r="K195" i="3"/>
  <c r="J195" i="3"/>
  <c r="L184" i="3"/>
  <c r="K188" i="3"/>
  <c r="J188" i="3"/>
  <c r="L178" i="3"/>
  <c r="K179" i="3"/>
  <c r="J179" i="3"/>
  <c r="AA6" i="33" l="1"/>
  <c r="AA7" i="33"/>
  <c r="AA27" i="33" s="1"/>
  <c r="AB4" i="33"/>
  <c r="AB5" i="33" s="1"/>
  <c r="AB25" i="33"/>
  <c r="AC22" i="33" s="1"/>
  <c r="F6" i="5"/>
  <c r="G4" i="5"/>
  <c r="G5" i="5" s="1"/>
  <c r="F6" i="4"/>
  <c r="G4" i="4"/>
  <c r="G5" i="4" s="1"/>
  <c r="F6" i="3"/>
  <c r="G4" i="3"/>
  <c r="G5" i="3" s="1"/>
  <c r="I4" i="3" s="1"/>
  <c r="I5" i="2"/>
  <c r="L311" i="3"/>
  <c r="K230" i="3"/>
  <c r="L230" i="3"/>
  <c r="K247" i="3"/>
  <c r="K242" i="3"/>
  <c r="L235" i="3"/>
  <c r="J242" i="3"/>
  <c r="M245" i="3"/>
  <c r="L247" i="3"/>
  <c r="N228" i="3"/>
  <c r="M230" i="3"/>
  <c r="L195" i="3"/>
  <c r="M193" i="3"/>
  <c r="M184" i="3"/>
  <c r="L188" i="3"/>
  <c r="M178" i="3"/>
  <c r="L179" i="3"/>
  <c r="AC25" i="33" l="1"/>
  <c r="AD22" i="33" s="1"/>
  <c r="AB6" i="33"/>
  <c r="AB7" i="33"/>
  <c r="AB27" i="33" s="1"/>
  <c r="AC4" i="33"/>
  <c r="AC5" i="33" s="1"/>
  <c r="H4" i="5"/>
  <c r="H5" i="5" s="1"/>
  <c r="G6" i="5"/>
  <c r="H4" i="4"/>
  <c r="H5" i="4" s="1"/>
  <c r="H6" i="4" s="1"/>
  <c r="G6" i="4"/>
  <c r="H5" i="3"/>
  <c r="H4" i="3"/>
  <c r="G6" i="3"/>
  <c r="J4" i="2"/>
  <c r="J5" i="2" s="1"/>
  <c r="I6" i="2"/>
  <c r="M311" i="3"/>
  <c r="N230" i="3"/>
  <c r="O228" i="3"/>
  <c r="M235" i="3"/>
  <c r="L242" i="3"/>
  <c r="M247" i="3"/>
  <c r="N245" i="3"/>
  <c r="N193" i="3"/>
  <c r="M195" i="3"/>
  <c r="N184" i="3"/>
  <c r="M188" i="3"/>
  <c r="M179" i="3"/>
  <c r="N178" i="3"/>
  <c r="AC7" i="33" l="1"/>
  <c r="AC27" i="33" s="1"/>
  <c r="AD4" i="33"/>
  <c r="AD5" i="33" s="1"/>
  <c r="AC6" i="33"/>
  <c r="AD25" i="33"/>
  <c r="AE22" i="33" s="1"/>
  <c r="O230" i="3"/>
  <c r="P228" i="3"/>
  <c r="P230" i="3" s="1"/>
  <c r="I4" i="5"/>
  <c r="I5" i="5" s="1"/>
  <c r="H6" i="5"/>
  <c r="I4" i="4"/>
  <c r="I5" i="4" s="1"/>
  <c r="I5" i="3"/>
  <c r="H6" i="3"/>
  <c r="K4" i="2"/>
  <c r="K5" i="2" s="1"/>
  <c r="J6" i="2"/>
  <c r="N311" i="3"/>
  <c r="O311" i="3" s="1"/>
  <c r="N179" i="3"/>
  <c r="O178" i="3"/>
  <c r="N247" i="3"/>
  <c r="O245" i="3"/>
  <c r="N195" i="3"/>
  <c r="O193" i="3"/>
  <c r="N188" i="3"/>
  <c r="O184" i="3"/>
  <c r="M242" i="3"/>
  <c r="N235" i="3"/>
  <c r="AE4" i="33" l="1"/>
  <c r="AE5" i="33" s="1"/>
  <c r="AD7" i="33"/>
  <c r="AD27" i="33" s="1"/>
  <c r="AD6" i="33"/>
  <c r="AE25" i="33"/>
  <c r="AF22" i="33" s="1"/>
  <c r="O188" i="3"/>
  <c r="P184" i="3"/>
  <c r="P188" i="3" s="1"/>
  <c r="O247" i="3"/>
  <c r="P245" i="3"/>
  <c r="P247" i="3" s="1"/>
  <c r="P311" i="3"/>
  <c r="P313" i="3" s="1"/>
  <c r="P52" i="3" s="1"/>
  <c r="O195" i="3"/>
  <c r="P193" i="3"/>
  <c r="P195" i="3" s="1"/>
  <c r="O179" i="3"/>
  <c r="P178" i="3"/>
  <c r="P179" i="3" s="1"/>
  <c r="J4" i="5"/>
  <c r="J5" i="5" s="1"/>
  <c r="I6" i="5"/>
  <c r="J4" i="4"/>
  <c r="J5" i="4" s="1"/>
  <c r="I6" i="4"/>
  <c r="J4" i="3"/>
  <c r="J5" i="3" s="1"/>
  <c r="I6" i="3"/>
  <c r="L4" i="2"/>
  <c r="L5" i="2" s="1"/>
  <c r="K6" i="2"/>
  <c r="N242" i="3"/>
  <c r="O235" i="3"/>
  <c r="AF25" i="33" l="1"/>
  <c r="AG22" i="33" s="1"/>
  <c r="AE6" i="33"/>
  <c r="AE7" i="33"/>
  <c r="AE27" i="33" s="1"/>
  <c r="AF4" i="33"/>
  <c r="AF5" i="33" s="1"/>
  <c r="J81" i="22"/>
  <c r="O242" i="3"/>
  <c r="P235" i="3"/>
  <c r="P242" i="3" s="1"/>
  <c r="K4" i="5"/>
  <c r="K5" i="5" s="1"/>
  <c r="J6" i="5"/>
  <c r="K4" i="4"/>
  <c r="K5" i="4" s="1"/>
  <c r="J6" i="4"/>
  <c r="K4" i="3"/>
  <c r="K5" i="3" s="1"/>
  <c r="J6" i="3"/>
  <c r="M4" i="2"/>
  <c r="M5" i="2" s="1"/>
  <c r="L6" i="2"/>
  <c r="AF6" i="33" l="1"/>
  <c r="AF7" i="33"/>
  <c r="AF27" i="33" s="1"/>
  <c r="AG4" i="33"/>
  <c r="AG5" i="33" s="1"/>
  <c r="AG25" i="33"/>
  <c r="AH22" i="33" s="1"/>
  <c r="K6" i="5"/>
  <c r="L4" i="5"/>
  <c r="L5" i="5" s="1"/>
  <c r="L4" i="4"/>
  <c r="L5" i="4" s="1"/>
  <c r="K6" i="4"/>
  <c r="K6" i="3"/>
  <c r="L4" i="3"/>
  <c r="L5" i="3" s="1"/>
  <c r="N4" i="2"/>
  <c r="N5" i="2" s="1"/>
  <c r="M6" i="2"/>
  <c r="AH25" i="33" l="1"/>
  <c r="AI22" i="33" s="1"/>
  <c r="AG7" i="33"/>
  <c r="AG27" i="33" s="1"/>
  <c r="AG6" i="33"/>
  <c r="AH4" i="33"/>
  <c r="AH5" i="33" s="1"/>
  <c r="L6" i="5"/>
  <c r="M4" i="5"/>
  <c r="M5" i="5" s="1"/>
  <c r="M4" i="4"/>
  <c r="M5" i="4" s="1"/>
  <c r="L6" i="4"/>
  <c r="L6" i="3"/>
  <c r="M4" i="3"/>
  <c r="M5" i="3" s="1"/>
  <c r="O4" i="2"/>
  <c r="O5" i="2" s="1"/>
  <c r="N6" i="2"/>
  <c r="AI25" i="33" l="1"/>
  <c r="AJ22" i="33" s="1"/>
  <c r="AH7" i="33"/>
  <c r="AH27" i="33" s="1"/>
  <c r="AI4" i="33"/>
  <c r="AI5" i="33" s="1"/>
  <c r="AH6" i="33"/>
  <c r="O6" i="2"/>
  <c r="P4" i="2"/>
  <c r="P5" i="2" s="1"/>
  <c r="P6" i="2" s="1"/>
  <c r="M6" i="5"/>
  <c r="N4" i="5"/>
  <c r="N5" i="5" s="1"/>
  <c r="N4" i="4"/>
  <c r="N5" i="4" s="1"/>
  <c r="O4" i="4" s="1"/>
  <c r="O5" i="4" s="1"/>
  <c r="O6" i="4" s="1"/>
  <c r="M6" i="4"/>
  <c r="M6" i="3"/>
  <c r="N4" i="3"/>
  <c r="N5" i="3" s="1"/>
  <c r="AI6" i="33" l="1"/>
  <c r="AI7" i="33"/>
  <c r="AI27" i="33" s="1"/>
  <c r="AJ4" i="33"/>
  <c r="AJ5" i="33" s="1"/>
  <c r="AJ25" i="33"/>
  <c r="AK22" i="33" s="1"/>
  <c r="N6" i="5"/>
  <c r="O4" i="5"/>
  <c r="O5" i="5" s="1"/>
  <c r="O6" i="5" s="1"/>
  <c r="N6" i="4"/>
  <c r="N6" i="3"/>
  <c r="O4" i="3"/>
  <c r="O5" i="3" s="1"/>
  <c r="AK25" i="33" l="1"/>
  <c r="AL22" i="33" s="1"/>
  <c r="AJ6" i="33"/>
  <c r="AJ7" i="33"/>
  <c r="AJ27" i="33" s="1"/>
  <c r="AK4" i="33"/>
  <c r="AK5" i="33" s="1"/>
  <c r="O6" i="3"/>
  <c r="P4" i="3"/>
  <c r="P5" i="3" s="1"/>
  <c r="P6" i="3" s="1"/>
  <c r="D22" i="21"/>
  <c r="F148" i="21"/>
  <c r="E148" i="21"/>
  <c r="D148" i="21"/>
  <c r="G149" i="21"/>
  <c r="H149" i="21" s="1"/>
  <c r="I149" i="21" s="1"/>
  <c r="AK7" i="33" l="1"/>
  <c r="AK27" i="33" s="1"/>
  <c r="AL4" i="33"/>
  <c r="AL5" i="33" s="1"/>
  <c r="AK6" i="33"/>
  <c r="AL25" i="33"/>
  <c r="AM22" i="33" s="1"/>
  <c r="D24" i="21"/>
  <c r="D95" i="21" s="1"/>
  <c r="E22" i="21"/>
  <c r="J149" i="21"/>
  <c r="AM4" i="33" l="1"/>
  <c r="AM5" i="33" s="1"/>
  <c r="AL6" i="33"/>
  <c r="AL7" i="33"/>
  <c r="AL27" i="33" s="1"/>
  <c r="AM25" i="33"/>
  <c r="AN22" i="33" s="1"/>
  <c r="F22" i="21"/>
  <c r="E24" i="21"/>
  <c r="E95" i="21" s="1"/>
  <c r="K149" i="21"/>
  <c r="AN25" i="33" l="1"/>
  <c r="AO22" i="33" s="1"/>
  <c r="AM6" i="33"/>
  <c r="AM7" i="33"/>
  <c r="AM27" i="33" s="1"/>
  <c r="AN4" i="33"/>
  <c r="AN5" i="33" s="1"/>
  <c r="G22" i="21"/>
  <c r="F24" i="21"/>
  <c r="F95" i="21" s="1"/>
  <c r="L149" i="21"/>
  <c r="M149" i="21" s="1"/>
  <c r="N149" i="21" s="1"/>
  <c r="AN6" i="33" l="1"/>
  <c r="AN7" i="33"/>
  <c r="AN27" i="33" s="1"/>
  <c r="AO4" i="33"/>
  <c r="AO5" i="33" s="1"/>
  <c r="AO25" i="33"/>
  <c r="AP22" i="33" s="1"/>
  <c r="H22" i="21"/>
  <c r="G24" i="21"/>
  <c r="G95" i="21" s="1"/>
  <c r="E8" i="3"/>
  <c r="F8" i="3" s="1"/>
  <c r="G8" i="3" s="1"/>
  <c r="H8" i="3" s="1"/>
  <c r="E99" i="21"/>
  <c r="F99" i="21"/>
  <c r="D99" i="21"/>
  <c r="J35" i="21"/>
  <c r="I35" i="21"/>
  <c r="H35" i="21"/>
  <c r="J34" i="21"/>
  <c r="I34" i="21"/>
  <c r="H34" i="21"/>
  <c r="J31" i="21"/>
  <c r="I31" i="21"/>
  <c r="H31" i="21"/>
  <c r="G31" i="21"/>
  <c r="J30" i="21"/>
  <c r="I30" i="21"/>
  <c r="H30" i="21"/>
  <c r="G30" i="21"/>
  <c r="G27" i="21"/>
  <c r="J26" i="21"/>
  <c r="I26" i="21"/>
  <c r="H26" i="21"/>
  <c r="G26" i="21"/>
  <c r="M18" i="18"/>
  <c r="J20" i="18"/>
  <c r="K20" i="18" s="1"/>
  <c r="J21" i="18"/>
  <c r="K21" i="18" s="1"/>
  <c r="J19" i="18"/>
  <c r="K19" i="18" s="1"/>
  <c r="E106" i="21"/>
  <c r="F106" i="21"/>
  <c r="D106" i="21"/>
  <c r="E145" i="21"/>
  <c r="F145" i="21"/>
  <c r="G145" i="21"/>
  <c r="D145" i="21"/>
  <c r="D142" i="21"/>
  <c r="I22" i="2"/>
  <c r="C53" i="22" s="1"/>
  <c r="I21" i="2"/>
  <c r="C52" i="22" s="1"/>
  <c r="AO7" i="33" l="1"/>
  <c r="AO27" i="33" s="1"/>
  <c r="AO6" i="33"/>
  <c r="AP4" i="33"/>
  <c r="AP5" i="33" s="1"/>
  <c r="AP25" i="33"/>
  <c r="AQ22" i="33" s="1"/>
  <c r="I22" i="21"/>
  <c r="H24" i="21"/>
  <c r="H95" i="21" s="1"/>
  <c r="I97" i="21"/>
  <c r="G101" i="21"/>
  <c r="J97" i="21"/>
  <c r="H106" i="21"/>
  <c r="I106" i="21"/>
  <c r="K102" i="21"/>
  <c r="G97" i="21"/>
  <c r="G96" i="21" s="1"/>
  <c r="H97" i="21"/>
  <c r="I8" i="3"/>
  <c r="J8" i="3" s="1"/>
  <c r="K8" i="3" s="1"/>
  <c r="L8" i="3" s="1"/>
  <c r="M8" i="3" s="1"/>
  <c r="N8" i="3" s="1"/>
  <c r="O8" i="3" s="1"/>
  <c r="P8" i="3" s="1"/>
  <c r="H145" i="21"/>
  <c r="I145" i="21" s="1"/>
  <c r="J145" i="21" s="1"/>
  <c r="K145" i="21" s="1"/>
  <c r="L145" i="21" s="1"/>
  <c r="M145" i="21" s="1"/>
  <c r="N145" i="21" s="1"/>
  <c r="E107" i="21"/>
  <c r="F102" i="21"/>
  <c r="E96" i="21"/>
  <c r="D96" i="21"/>
  <c r="F96" i="21"/>
  <c r="E102" i="21"/>
  <c r="F107" i="21"/>
  <c r="I36" i="21"/>
  <c r="H32" i="21"/>
  <c r="J36" i="21"/>
  <c r="G32" i="21"/>
  <c r="I28" i="21"/>
  <c r="I32" i="21"/>
  <c r="J28" i="21"/>
  <c r="H28" i="21"/>
  <c r="J32" i="21"/>
  <c r="G28" i="21"/>
  <c r="H36" i="21"/>
  <c r="R99" i="21" l="1"/>
  <c r="I99" i="21"/>
  <c r="S99" i="21"/>
  <c r="T99" i="21"/>
  <c r="AP7" i="33"/>
  <c r="AP27" i="33" s="1"/>
  <c r="AQ4" i="33"/>
  <c r="AQ5" i="33" s="1"/>
  <c r="AP6" i="33"/>
  <c r="AQ25" i="33"/>
  <c r="AR22" i="33" s="1"/>
  <c r="H96" i="21"/>
  <c r="D5" i="27" s="1"/>
  <c r="J22" i="21"/>
  <c r="I24" i="21"/>
  <c r="I95" i="21" s="1"/>
  <c r="I96" i="21" s="1"/>
  <c r="E5" i="27" s="1"/>
  <c r="J106" i="21"/>
  <c r="L11" i="2" s="1"/>
  <c r="G102" i="21"/>
  <c r="G106" i="21"/>
  <c r="H107" i="21" s="1"/>
  <c r="J11" i="2"/>
  <c r="D4" i="27" s="1"/>
  <c r="I107" i="21"/>
  <c r="K11" i="2"/>
  <c r="I102" i="21"/>
  <c r="H102" i="21"/>
  <c r="J102" i="21"/>
  <c r="AQ6" i="33" l="1"/>
  <c r="AQ7" i="33"/>
  <c r="AQ27" i="33" s="1"/>
  <c r="AR4" i="33"/>
  <c r="AR5" i="33" s="1"/>
  <c r="AR25" i="33"/>
  <c r="AS22" i="33" s="1"/>
  <c r="K10" i="5"/>
  <c r="F4" i="27"/>
  <c r="J10" i="5"/>
  <c r="E4" i="27"/>
  <c r="K22" i="21"/>
  <c r="J24" i="21"/>
  <c r="J95" i="21" s="1"/>
  <c r="J96" i="21" s="1"/>
  <c r="F5" i="27" s="1"/>
  <c r="J107" i="21"/>
  <c r="K22" i="2"/>
  <c r="E53" i="22" s="1"/>
  <c r="I11" i="2"/>
  <c r="I42" i="2" s="1"/>
  <c r="G107" i="21"/>
  <c r="J22" i="2"/>
  <c r="D53" i="22" s="1"/>
  <c r="L22" i="2"/>
  <c r="F53" i="22" s="1"/>
  <c r="AS25" i="33" l="1"/>
  <c r="AT22" i="33" s="1"/>
  <c r="AR6" i="33"/>
  <c r="AR7" i="33"/>
  <c r="AR27" i="33" s="1"/>
  <c r="AS4" i="33"/>
  <c r="AS5" i="33" s="1"/>
  <c r="L22" i="21"/>
  <c r="K24" i="21"/>
  <c r="K95" i="21" s="1"/>
  <c r="K96" i="21" s="1"/>
  <c r="G5" i="27" s="1"/>
  <c r="E151" i="21"/>
  <c r="E150" i="21" s="1"/>
  <c r="F151" i="21"/>
  <c r="D151" i="21"/>
  <c r="D150" i="21" s="1"/>
  <c r="E142" i="21"/>
  <c r="F142" i="21"/>
  <c r="I188" i="21"/>
  <c r="J188" i="21"/>
  <c r="K188" i="21"/>
  <c r="L188" i="21"/>
  <c r="M188" i="21"/>
  <c r="H188" i="21"/>
  <c r="D30" i="23"/>
  <c r="BF19" i="23"/>
  <c r="AT19" i="23"/>
  <c r="AH19" i="23"/>
  <c r="V19" i="23"/>
  <c r="C15" i="23"/>
  <c r="D4" i="23"/>
  <c r="D5" i="23" s="1"/>
  <c r="AS7" i="33" l="1"/>
  <c r="AS27" i="33" s="1"/>
  <c r="AS6" i="33"/>
  <c r="AT4" i="33"/>
  <c r="AT5" i="33" s="1"/>
  <c r="AT25" i="33"/>
  <c r="AU22" i="33" s="1"/>
  <c r="E30" i="23"/>
  <c r="D6" i="23"/>
  <c r="D7" i="23"/>
  <c r="D27" i="23" s="1"/>
  <c r="F30" i="23"/>
  <c r="AW19" i="23"/>
  <c r="Y19" i="23"/>
  <c r="AK19" i="23"/>
  <c r="BI19" i="23"/>
  <c r="M22" i="21"/>
  <c r="L24" i="21"/>
  <c r="L95" i="21" s="1"/>
  <c r="L96" i="21" s="1"/>
  <c r="H5" i="27" s="1"/>
  <c r="F150" i="21"/>
  <c r="E4" i="23"/>
  <c r="E5" i="23" s="1"/>
  <c r="AU4" i="33" l="1"/>
  <c r="AU5" i="33" s="1"/>
  <c r="AT7" i="33"/>
  <c r="AT27" i="33" s="1"/>
  <c r="AT6" i="33"/>
  <c r="AU25" i="33"/>
  <c r="AV22" i="33" s="1"/>
  <c r="G30" i="23"/>
  <c r="M24" i="21"/>
  <c r="M95" i="21" s="1"/>
  <c r="M96" i="21" s="1"/>
  <c r="I5" i="27" s="1"/>
  <c r="N22" i="21"/>
  <c r="N24" i="21" s="1"/>
  <c r="N95" i="21" s="1"/>
  <c r="N96" i="21" s="1"/>
  <c r="J5" i="27" s="1"/>
  <c r="BL19" i="23"/>
  <c r="AN19" i="23"/>
  <c r="AB19" i="23"/>
  <c r="AZ19" i="23"/>
  <c r="D25" i="23"/>
  <c r="H30" i="23"/>
  <c r="E7" i="23"/>
  <c r="F4" i="23"/>
  <c r="F5" i="23" s="1"/>
  <c r="E6" i="23"/>
  <c r="AV25" i="33" l="1"/>
  <c r="AW22" i="33" s="1"/>
  <c r="AU6" i="33"/>
  <c r="AU7" i="33"/>
  <c r="AU27" i="33" s="1"/>
  <c r="AV4" i="33"/>
  <c r="AV5" i="33" s="1"/>
  <c r="AK24" i="23"/>
  <c r="BZ24" i="23"/>
  <c r="CB24" i="23"/>
  <c r="CC24" i="23"/>
  <c r="BY24" i="23"/>
  <c r="BL24" i="23"/>
  <c r="AW24" i="23"/>
  <c r="Y24" i="23"/>
  <c r="BV24" i="23"/>
  <c r="BD24" i="23"/>
  <c r="AL24" i="23"/>
  <c r="T24" i="23"/>
  <c r="BT24" i="23"/>
  <c r="BB24" i="23"/>
  <c r="AJ24" i="23"/>
  <c r="R24" i="23"/>
  <c r="BS24" i="23"/>
  <c r="BA24" i="23"/>
  <c r="AI24" i="23"/>
  <c r="Q24" i="23"/>
  <c r="BQ24" i="23"/>
  <c r="AY24" i="23"/>
  <c r="AG24" i="23"/>
  <c r="O24" i="23"/>
  <c r="BP24" i="23"/>
  <c r="AX24" i="23"/>
  <c r="AF24" i="23"/>
  <c r="N24" i="23"/>
  <c r="BN24" i="23"/>
  <c r="AV24" i="23"/>
  <c r="AD24" i="23"/>
  <c r="L24" i="23"/>
  <c r="BM24" i="23"/>
  <c r="AU24" i="23"/>
  <c r="AC24" i="23"/>
  <c r="K24" i="23"/>
  <c r="BK24" i="23"/>
  <c r="AS24" i="23"/>
  <c r="AA24" i="23"/>
  <c r="I24" i="23"/>
  <c r="BJ24" i="23"/>
  <c r="AR24" i="23"/>
  <c r="Z24" i="23"/>
  <c r="H24" i="23"/>
  <c r="BH24" i="23"/>
  <c r="AP24" i="23"/>
  <c r="X24" i="23"/>
  <c r="F24" i="23"/>
  <c r="BG24" i="23"/>
  <c r="AO24" i="23"/>
  <c r="W24" i="23"/>
  <c r="E24" i="23"/>
  <c r="BW24" i="23"/>
  <c r="BE24" i="23"/>
  <c r="AM24" i="23"/>
  <c r="U24" i="23"/>
  <c r="BC24" i="23"/>
  <c r="S24" i="23"/>
  <c r="AE24" i="23"/>
  <c r="G24" i="23"/>
  <c r="AQ24" i="23"/>
  <c r="BO24" i="23"/>
  <c r="J24" i="23"/>
  <c r="M24" i="23"/>
  <c r="P24" i="23"/>
  <c r="AH24" i="23"/>
  <c r="AT24" i="23"/>
  <c r="BF24" i="23"/>
  <c r="V24" i="23"/>
  <c r="AZ24" i="23"/>
  <c r="AB24" i="23"/>
  <c r="AN24" i="23"/>
  <c r="BI24" i="23"/>
  <c r="E22" i="23"/>
  <c r="I30" i="23"/>
  <c r="F6" i="23"/>
  <c r="G4" i="23"/>
  <c r="G5" i="23" s="1"/>
  <c r="F7" i="23"/>
  <c r="AV6" i="33" l="1"/>
  <c r="AV7" i="33"/>
  <c r="AV27" i="33" s="1"/>
  <c r="AW4" i="33"/>
  <c r="AW5" i="33" s="1"/>
  <c r="AW25" i="33"/>
  <c r="AX22" i="33" s="1"/>
  <c r="E27" i="23"/>
  <c r="E25" i="23"/>
  <c r="F22" i="23" s="1"/>
  <c r="F25" i="23" s="1"/>
  <c r="G22" i="23" s="1"/>
  <c r="H4" i="23"/>
  <c r="H5" i="23" s="1"/>
  <c r="G6" i="23"/>
  <c r="G7" i="23"/>
  <c r="J30" i="23"/>
  <c r="AW7" i="33" l="1"/>
  <c r="AW27" i="33" s="1"/>
  <c r="AW6" i="33"/>
  <c r="AX4" i="33"/>
  <c r="AX5" i="33" s="1"/>
  <c r="AX25" i="33"/>
  <c r="AY22" i="33" s="1"/>
  <c r="K30" i="23"/>
  <c r="G27" i="23"/>
  <c r="F27" i="23"/>
  <c r="H7" i="23"/>
  <c r="H6" i="23"/>
  <c r="I4" i="23"/>
  <c r="I5" i="23" s="1"/>
  <c r="AX7" i="33" l="1"/>
  <c r="AX27" i="33" s="1"/>
  <c r="AY4" i="33"/>
  <c r="AY5" i="33" s="1"/>
  <c r="AX6" i="33"/>
  <c r="AY25" i="33"/>
  <c r="AZ22" i="33" s="1"/>
  <c r="I6" i="23"/>
  <c r="I7" i="23"/>
  <c r="J4" i="23"/>
  <c r="J5" i="23" s="1"/>
  <c r="AY6" i="33" l="1"/>
  <c r="AY7" i="33"/>
  <c r="AY27" i="33" s="1"/>
  <c r="AZ4" i="33"/>
  <c r="AZ5" i="33" s="1"/>
  <c r="AZ25" i="33"/>
  <c r="BA22" i="33" s="1"/>
  <c r="J6" i="23"/>
  <c r="J7" i="23"/>
  <c r="K4" i="23"/>
  <c r="K5" i="23" s="1"/>
  <c r="AZ6" i="33" l="1"/>
  <c r="AZ7" i="33"/>
  <c r="AZ27" i="33" s="1"/>
  <c r="BA4" i="33"/>
  <c r="BA5" i="33" s="1"/>
  <c r="BA25" i="33"/>
  <c r="BB22" i="33" s="1"/>
  <c r="K7" i="23"/>
  <c r="L4" i="23"/>
  <c r="L5" i="23" s="1"/>
  <c r="K6" i="23"/>
  <c r="BA7" i="33" l="1"/>
  <c r="BA27" i="33" s="1"/>
  <c r="BB4" i="33"/>
  <c r="BB5" i="33" s="1"/>
  <c r="BA6" i="33"/>
  <c r="BB25" i="33"/>
  <c r="BC22" i="33" s="1"/>
  <c r="L6" i="23"/>
  <c r="L7" i="23"/>
  <c r="M4" i="23"/>
  <c r="M5" i="23" s="1"/>
  <c r="BC4" i="33" l="1"/>
  <c r="BC5" i="33" s="1"/>
  <c r="BB6" i="33"/>
  <c r="BB7" i="33"/>
  <c r="BB27" i="33" s="1"/>
  <c r="BC25" i="33"/>
  <c r="BD22" i="33" s="1"/>
  <c r="M7" i="23"/>
  <c r="N4" i="23"/>
  <c r="N5" i="23" s="1"/>
  <c r="M6" i="23"/>
  <c r="BD25" i="33" l="1"/>
  <c r="BE22" i="33" s="1"/>
  <c r="BC6" i="33"/>
  <c r="BD4" i="33"/>
  <c r="BD5" i="33" s="1"/>
  <c r="BC7" i="33"/>
  <c r="BC27" i="33" s="1"/>
  <c r="N6" i="23"/>
  <c r="O4" i="23"/>
  <c r="O5" i="23" s="1"/>
  <c r="N7" i="23"/>
  <c r="BD6" i="33" l="1"/>
  <c r="BD7" i="33"/>
  <c r="BD27" i="33" s="1"/>
  <c r="BE4" i="33"/>
  <c r="BE5" i="33" s="1"/>
  <c r="BE25" i="33"/>
  <c r="BF22" i="33" s="1"/>
  <c r="P4" i="23"/>
  <c r="P5" i="23" s="1"/>
  <c r="O7" i="23"/>
  <c r="O6" i="23"/>
  <c r="BE7" i="33" l="1"/>
  <c r="BE27" i="33" s="1"/>
  <c r="BE6" i="33"/>
  <c r="BF4" i="33"/>
  <c r="BF5" i="33" s="1"/>
  <c r="BF25" i="33"/>
  <c r="BG22" i="33" s="1"/>
  <c r="Q4" i="23"/>
  <c r="Q5" i="23" s="1"/>
  <c r="P7" i="23"/>
  <c r="P6" i="23"/>
  <c r="BF7" i="33" l="1"/>
  <c r="BF27" i="33" s="1"/>
  <c r="BG4" i="33"/>
  <c r="BG5" i="33" s="1"/>
  <c r="BF6" i="33"/>
  <c r="BG25" i="33"/>
  <c r="BH22" i="33" s="1"/>
  <c r="R4" i="23"/>
  <c r="R5" i="23" s="1"/>
  <c r="Q6" i="23"/>
  <c r="Q7" i="23"/>
  <c r="BH25" i="33" l="1"/>
  <c r="BI22" i="33" s="1"/>
  <c r="BG6" i="33"/>
  <c r="BG7" i="33"/>
  <c r="BG27" i="33" s="1"/>
  <c r="BH4" i="33"/>
  <c r="BH5" i="33" s="1"/>
  <c r="R6" i="23"/>
  <c r="R7" i="23"/>
  <c r="S4" i="23"/>
  <c r="S5" i="23" s="1"/>
  <c r="BH6" i="33" l="1"/>
  <c r="BH7" i="33"/>
  <c r="BH27" i="33" s="1"/>
  <c r="BI4" i="33"/>
  <c r="BI5" i="33" s="1"/>
  <c r="BI25" i="33"/>
  <c r="BJ22" i="33" s="1"/>
  <c r="S7" i="23"/>
  <c r="S6" i="23"/>
  <c r="T4" i="23"/>
  <c r="T5" i="23" s="1"/>
  <c r="BI7" i="33" l="1"/>
  <c r="BI27" i="33" s="1"/>
  <c r="BI6" i="33"/>
  <c r="BJ4" i="33"/>
  <c r="BJ5" i="33" s="1"/>
  <c r="BJ25" i="33"/>
  <c r="BK22" i="33" s="1"/>
  <c r="T7" i="23"/>
  <c r="T6" i="23"/>
  <c r="U4" i="23"/>
  <c r="U5" i="23" s="1"/>
  <c r="BK4" i="33" l="1"/>
  <c r="BK5" i="33" s="1"/>
  <c r="BJ7" i="33"/>
  <c r="BJ27" i="33" s="1"/>
  <c r="BJ6" i="33"/>
  <c r="BK25" i="33"/>
  <c r="BL22" i="33" s="1"/>
  <c r="U7" i="23"/>
  <c r="V4" i="23"/>
  <c r="V5" i="23" s="1"/>
  <c r="U6" i="23"/>
  <c r="BL25" i="33" l="1"/>
  <c r="BM22" i="33" s="1"/>
  <c r="BK6" i="33"/>
  <c r="BL4" i="33"/>
  <c r="BL5" i="33" s="1"/>
  <c r="BK7" i="33"/>
  <c r="BK27" i="33" s="1"/>
  <c r="V6" i="23"/>
  <c r="V7" i="23"/>
  <c r="W4" i="23"/>
  <c r="W5" i="23" s="1"/>
  <c r="BL6" i="33" l="1"/>
  <c r="BL7" i="33"/>
  <c r="BL27" i="33" s="1"/>
  <c r="BM4" i="33"/>
  <c r="BM5" i="33" s="1"/>
  <c r="BM25" i="33"/>
  <c r="BN22" i="33" s="1"/>
  <c r="X4" i="23"/>
  <c r="X5" i="23" s="1"/>
  <c r="W7" i="23"/>
  <c r="W6" i="23"/>
  <c r="BM7" i="33" l="1"/>
  <c r="BM27" i="33" s="1"/>
  <c r="BM6" i="33"/>
  <c r="BN4" i="33"/>
  <c r="BN5" i="33" s="1"/>
  <c r="BN25" i="33"/>
  <c r="BO22" i="33" s="1"/>
  <c r="X7" i="23"/>
  <c r="Y4" i="23"/>
  <c r="Y5" i="23" s="1"/>
  <c r="X6" i="23"/>
  <c r="BN7" i="33" l="1"/>
  <c r="BN27" i="33" s="1"/>
  <c r="BO4" i="33"/>
  <c r="BO5" i="33" s="1"/>
  <c r="BN6" i="33"/>
  <c r="BO25" i="33"/>
  <c r="BP22" i="33" s="1"/>
  <c r="Z4" i="23"/>
  <c r="Z5" i="23" s="1"/>
  <c r="Y6" i="23"/>
  <c r="Y7" i="23"/>
  <c r="BO6" i="33" l="1"/>
  <c r="BO7" i="33"/>
  <c r="BO27" i="33" s="1"/>
  <c r="BP4" i="33"/>
  <c r="BP5" i="33" s="1"/>
  <c r="BP25" i="33"/>
  <c r="BQ22" i="33" s="1"/>
  <c r="AA4" i="23"/>
  <c r="AA5" i="23" s="1"/>
  <c r="Z6" i="23"/>
  <c r="Z7" i="23"/>
  <c r="BP6" i="33" l="1"/>
  <c r="BP7" i="33"/>
  <c r="BP27" i="33" s="1"/>
  <c r="BQ4" i="33"/>
  <c r="BQ5" i="33" s="1"/>
  <c r="BQ25" i="33"/>
  <c r="BR22" i="33" s="1"/>
  <c r="AA7" i="23"/>
  <c r="AB4" i="23"/>
  <c r="AB5" i="23" s="1"/>
  <c r="AA6" i="23"/>
  <c r="BQ7" i="33" l="1"/>
  <c r="BQ27" i="33" s="1"/>
  <c r="BR4" i="33"/>
  <c r="BR5" i="33" s="1"/>
  <c r="BQ6" i="33"/>
  <c r="BR25" i="33"/>
  <c r="BS22" i="33" s="1"/>
  <c r="AB7" i="23"/>
  <c r="AB6" i="23"/>
  <c r="AC4" i="23"/>
  <c r="AC5" i="23" s="1"/>
  <c r="BS4" i="33" l="1"/>
  <c r="BS5" i="33" s="1"/>
  <c r="BR6" i="33"/>
  <c r="BR7" i="33"/>
  <c r="BR27" i="33" s="1"/>
  <c r="BS25" i="33"/>
  <c r="BT22" i="33" s="1"/>
  <c r="AC7" i="23"/>
  <c r="AD4" i="23"/>
  <c r="AD5" i="23" s="1"/>
  <c r="AC6" i="23"/>
  <c r="BT25" i="33" l="1"/>
  <c r="BU22" i="33" s="1"/>
  <c r="BS6" i="33"/>
  <c r="BT4" i="33"/>
  <c r="BT5" i="33" s="1"/>
  <c r="BS7" i="33"/>
  <c r="BS27" i="33" s="1"/>
  <c r="AD6" i="23"/>
  <c r="AD7" i="23"/>
  <c r="AE4" i="23"/>
  <c r="AE5" i="23" s="1"/>
  <c r="BT6" i="33" l="1"/>
  <c r="BT7" i="33"/>
  <c r="BT27" i="33" s="1"/>
  <c r="BU4" i="33"/>
  <c r="BU5" i="33" s="1"/>
  <c r="BU25" i="33"/>
  <c r="BV22" i="33" s="1"/>
  <c r="AF4" i="23"/>
  <c r="AF5" i="23" s="1"/>
  <c r="AE6" i="23"/>
  <c r="AE7" i="23"/>
  <c r="BU7" i="33" l="1"/>
  <c r="BU27" i="33" s="1"/>
  <c r="BU6" i="33"/>
  <c r="BV4" i="33"/>
  <c r="BV5" i="33" s="1"/>
  <c r="BV25" i="33"/>
  <c r="BW22" i="33" s="1"/>
  <c r="AF6" i="23"/>
  <c r="AF7" i="23"/>
  <c r="AG4" i="23"/>
  <c r="AG5" i="23" s="1"/>
  <c r="BV7" i="33" l="1"/>
  <c r="BV27" i="33" s="1"/>
  <c r="BW4" i="33"/>
  <c r="BW5" i="33" s="1"/>
  <c r="BV6" i="33"/>
  <c r="BW25" i="33"/>
  <c r="BX22" i="33" s="1"/>
  <c r="AG7" i="23"/>
  <c r="AH4" i="23"/>
  <c r="AH5" i="23" s="1"/>
  <c r="AG6" i="23"/>
  <c r="BW6" i="33" l="1"/>
  <c r="BW7" i="33"/>
  <c r="BW27" i="33" s="1"/>
  <c r="BX4" i="33"/>
  <c r="BX5" i="33" s="1"/>
  <c r="BX25" i="33"/>
  <c r="BY22" i="33" s="1"/>
  <c r="AH7" i="23"/>
  <c r="AI4" i="23"/>
  <c r="AI5" i="23" s="1"/>
  <c r="AH6" i="23"/>
  <c r="BX6" i="33" l="1"/>
  <c r="BX7" i="33"/>
  <c r="BX27" i="33" s="1"/>
  <c r="BY4" i="33"/>
  <c r="BY5" i="33" s="1"/>
  <c r="BY25" i="33"/>
  <c r="BZ22" i="33" s="1"/>
  <c r="AI7" i="23"/>
  <c r="AJ4" i="23"/>
  <c r="AJ5" i="23" s="1"/>
  <c r="AI6" i="23"/>
  <c r="BY7" i="33" l="1"/>
  <c r="BY27" i="33" s="1"/>
  <c r="BY6" i="33"/>
  <c r="BZ4" i="33"/>
  <c r="BZ5" i="33" s="1"/>
  <c r="BZ25" i="33"/>
  <c r="CA22" i="33" s="1"/>
  <c r="AJ7" i="23"/>
  <c r="AJ6" i="23"/>
  <c r="AK4" i="23"/>
  <c r="AK5" i="23" s="1"/>
  <c r="CA4" i="33" l="1"/>
  <c r="CA5" i="33" s="1"/>
  <c r="BZ7" i="33"/>
  <c r="BZ27" i="33" s="1"/>
  <c r="BZ6" i="33"/>
  <c r="CA25" i="33"/>
  <c r="CB22" i="33" s="1"/>
  <c r="AK7" i="23"/>
  <c r="AL4" i="23"/>
  <c r="AL5" i="23" s="1"/>
  <c r="AK6" i="23"/>
  <c r="CB25" i="33" l="1"/>
  <c r="CC22" i="33" s="1"/>
  <c r="CA6" i="33"/>
  <c r="CB4" i="33"/>
  <c r="CB5" i="33" s="1"/>
  <c r="CA7" i="33"/>
  <c r="CA27" i="33" s="1"/>
  <c r="AL6" i="23"/>
  <c r="AL7" i="23"/>
  <c r="AM4" i="23"/>
  <c r="AM5" i="23" s="1"/>
  <c r="CB6" i="33" l="1"/>
  <c r="CB7" i="33"/>
  <c r="CB27" i="33" s="1"/>
  <c r="CC4" i="33"/>
  <c r="CC5" i="33" s="1"/>
  <c r="CC25" i="33"/>
  <c r="CD22" i="33" s="1"/>
  <c r="AN4" i="23"/>
  <c r="AN5" i="23" s="1"/>
  <c r="AM6" i="23"/>
  <c r="AM7" i="23"/>
  <c r="CC7" i="33" l="1"/>
  <c r="CC27" i="33" s="1"/>
  <c r="CC6" i="33"/>
  <c r="CD4" i="33"/>
  <c r="CD5" i="33" s="1"/>
  <c r="CD25" i="33"/>
  <c r="AN6" i="23"/>
  <c r="AN7" i="23"/>
  <c r="AO4" i="23"/>
  <c r="AO5" i="23" s="1"/>
  <c r="CD7" i="33" l="1"/>
  <c r="CD27" i="33" s="1"/>
  <c r="CD6" i="33"/>
  <c r="AO6" i="23"/>
  <c r="AO7" i="23"/>
  <c r="AP4" i="23"/>
  <c r="AP5" i="23" s="1"/>
  <c r="F36" i="33" l="1"/>
  <c r="D33" i="33"/>
  <c r="G33" i="33"/>
  <c r="H36" i="33"/>
  <c r="F34" i="33"/>
  <c r="E97" i="27" s="1"/>
  <c r="D34" i="33"/>
  <c r="E34" i="33"/>
  <c r="D97" i="27" s="1"/>
  <c r="F33" i="33"/>
  <c r="D36" i="33"/>
  <c r="E36" i="33"/>
  <c r="G36" i="33"/>
  <c r="E33" i="33"/>
  <c r="I36" i="33"/>
  <c r="H34" i="33"/>
  <c r="G97" i="27" s="1"/>
  <c r="I33" i="33"/>
  <c r="G34" i="33"/>
  <c r="F97" i="27" s="1"/>
  <c r="H33" i="33"/>
  <c r="I34" i="33"/>
  <c r="H97" i="27" s="1"/>
  <c r="J33" i="33"/>
  <c r="K34" i="33"/>
  <c r="J97" i="27" s="1"/>
  <c r="J36" i="33"/>
  <c r="J34" i="33"/>
  <c r="I97" i="27" s="1"/>
  <c r="K36" i="33"/>
  <c r="K33" i="33"/>
  <c r="AP6" i="23"/>
  <c r="AQ4" i="23"/>
  <c r="AQ5" i="23" s="1"/>
  <c r="AP7" i="23"/>
  <c r="G85" i="27" l="1"/>
  <c r="G96" i="27"/>
  <c r="J85" i="27"/>
  <c r="J96" i="27"/>
  <c r="F85" i="27"/>
  <c r="F96" i="27"/>
  <c r="L97" i="27"/>
  <c r="D85" i="27"/>
  <c r="D96" i="27"/>
  <c r="I85" i="27"/>
  <c r="I96" i="27"/>
  <c r="H96" i="27"/>
  <c r="H85" i="27"/>
  <c r="E85" i="27"/>
  <c r="E96" i="27"/>
  <c r="D35" i="33"/>
  <c r="E32" i="33" s="1"/>
  <c r="E35" i="33" s="1"/>
  <c r="F32" i="33" s="1"/>
  <c r="F35" i="33" s="1"/>
  <c r="G32" i="33" s="1"/>
  <c r="G35" i="33" s="1"/>
  <c r="H32" i="33" s="1"/>
  <c r="H35" i="33" s="1"/>
  <c r="I32" i="33" s="1"/>
  <c r="I35" i="33" s="1"/>
  <c r="J32" i="33" s="1"/>
  <c r="J35" i="33" s="1"/>
  <c r="K32" i="33" s="1"/>
  <c r="K35" i="33" s="1"/>
  <c r="AQ7" i="23"/>
  <c r="AR4" i="23"/>
  <c r="AR5" i="23" s="1"/>
  <c r="AQ6" i="23"/>
  <c r="L96" i="27" l="1"/>
  <c r="AR7" i="23"/>
  <c r="AR6" i="23"/>
  <c r="AS4" i="23"/>
  <c r="AS5" i="23" s="1"/>
  <c r="AS7" i="23" l="1"/>
  <c r="AT4" i="23"/>
  <c r="AT5" i="23" s="1"/>
  <c r="AS6" i="23"/>
  <c r="AT6" i="23" l="1"/>
  <c r="AU4" i="23"/>
  <c r="AU5" i="23" s="1"/>
  <c r="AT7" i="23"/>
  <c r="AV4" i="23" l="1"/>
  <c r="AV5" i="23" s="1"/>
  <c r="AU7" i="23"/>
  <c r="AU6" i="23"/>
  <c r="AV7" i="23" l="1"/>
  <c r="AW4" i="23"/>
  <c r="AW5" i="23" s="1"/>
  <c r="AV6" i="23"/>
  <c r="AW7" i="23" l="1"/>
  <c r="AX4" i="23"/>
  <c r="AX5" i="23" s="1"/>
  <c r="AW6" i="23"/>
  <c r="AX6" i="23" l="1"/>
  <c r="AX7" i="23"/>
  <c r="AY4" i="23"/>
  <c r="AY5" i="23" s="1"/>
  <c r="AY7" i="23" l="1"/>
  <c r="AY6" i="23"/>
  <c r="AZ4" i="23"/>
  <c r="AZ5" i="23" s="1"/>
  <c r="AZ7" i="23" l="1"/>
  <c r="AZ6" i="23"/>
  <c r="BA4" i="23"/>
  <c r="BA5" i="23" s="1"/>
  <c r="BA7" i="23" l="1"/>
  <c r="BB4" i="23"/>
  <c r="BB5" i="23" s="1"/>
  <c r="BA6" i="23"/>
  <c r="BB6" i="23" l="1"/>
  <c r="BC4" i="23"/>
  <c r="BC5" i="23" s="1"/>
  <c r="BB7" i="23"/>
  <c r="BD4" i="23" l="1"/>
  <c r="BD5" i="23" s="1"/>
  <c r="BC7" i="23"/>
  <c r="BC6" i="23"/>
  <c r="BE4" i="23" l="1"/>
  <c r="BE5" i="23" s="1"/>
  <c r="BD6" i="23"/>
  <c r="BD7" i="23"/>
  <c r="BF4" i="23" l="1"/>
  <c r="BF5" i="23" s="1"/>
  <c r="BE7" i="23"/>
  <c r="BE6" i="23"/>
  <c r="BG4" i="23" l="1"/>
  <c r="BG5" i="23" s="1"/>
  <c r="BF7" i="23"/>
  <c r="BF6" i="23"/>
  <c r="BG7" i="23" l="1"/>
  <c r="BH4" i="23"/>
  <c r="BH5" i="23" s="1"/>
  <c r="BG6" i="23"/>
  <c r="BH7" i="23" l="1"/>
  <c r="BH6" i="23"/>
  <c r="BI4" i="23"/>
  <c r="BI5" i="23" s="1"/>
  <c r="BI7" i="23" l="1"/>
  <c r="BJ4" i="23"/>
  <c r="BJ5" i="23" s="1"/>
  <c r="BI6" i="23"/>
  <c r="BJ6" i="23" l="1"/>
  <c r="BJ7" i="23"/>
  <c r="BK4" i="23"/>
  <c r="BK5" i="23" s="1"/>
  <c r="BL4" i="23" l="1"/>
  <c r="BL5" i="23" s="1"/>
  <c r="BK7" i="23"/>
  <c r="BK6" i="23"/>
  <c r="BL6" i="23" l="1"/>
  <c r="BM4" i="23"/>
  <c r="BM5" i="23" s="1"/>
  <c r="BL7" i="23"/>
  <c r="BN4" i="23" l="1"/>
  <c r="BN5" i="23" s="1"/>
  <c r="BM7" i="23"/>
  <c r="BM6" i="23"/>
  <c r="BO4" i="23" l="1"/>
  <c r="BO5" i="23" s="1"/>
  <c r="BN7" i="23"/>
  <c r="BN6" i="23"/>
  <c r="BO7" i="23" l="1"/>
  <c r="BP4" i="23"/>
  <c r="BP5" i="23" s="1"/>
  <c r="BO6" i="23"/>
  <c r="BP7" i="23" l="1"/>
  <c r="BP6" i="23"/>
  <c r="BQ4" i="23"/>
  <c r="BQ5" i="23" s="1"/>
  <c r="BQ7" i="23" l="1"/>
  <c r="BR4" i="23"/>
  <c r="BR5" i="23" s="1"/>
  <c r="BQ6" i="23"/>
  <c r="BR6" i="23" l="1"/>
  <c r="BS4" i="23"/>
  <c r="BS5" i="23" s="1"/>
  <c r="BR7" i="23"/>
  <c r="BT4" i="23" l="1"/>
  <c r="BT5" i="23" s="1"/>
  <c r="BS7" i="23"/>
  <c r="BS6" i="23"/>
  <c r="BT6" i="23" l="1"/>
  <c r="BT7" i="23"/>
  <c r="BU4" i="23"/>
  <c r="BU5" i="23" s="1"/>
  <c r="BU6" i="23" l="1"/>
  <c r="BU7" i="23"/>
  <c r="BV4" i="23"/>
  <c r="BV5" i="23" s="1"/>
  <c r="BV7" i="23" l="1"/>
  <c r="BV6" i="23"/>
  <c r="BW4" i="23"/>
  <c r="BW5" i="23" s="1"/>
  <c r="BW7" i="23" l="1"/>
  <c r="BW6" i="23"/>
  <c r="BX4" i="23"/>
  <c r="BX5" i="23" s="1"/>
  <c r="BY4" i="23" s="1"/>
  <c r="BY5" i="23" s="1"/>
  <c r="BY6" i="23" l="1"/>
  <c r="BY7" i="23"/>
  <c r="BZ4" i="23"/>
  <c r="BZ5" i="23" s="1"/>
  <c r="BX7" i="23"/>
  <c r="BX6" i="23"/>
  <c r="N189" i="21" s="1"/>
  <c r="P89" i="2" s="1"/>
  <c r="BZ7" i="23" l="1"/>
  <c r="BZ6" i="23"/>
  <c r="CA4" i="23"/>
  <c r="CA5" i="23" s="1"/>
  <c r="P97" i="2"/>
  <c r="P33" i="2" s="1"/>
  <c r="J13" i="22"/>
  <c r="E8" i="2"/>
  <c r="E4" i="31" s="1"/>
  <c r="E90" i="31" s="1"/>
  <c r="F32" i="21"/>
  <c r="E32" i="21"/>
  <c r="D32" i="21"/>
  <c r="F28" i="21"/>
  <c r="E28" i="21"/>
  <c r="D28" i="21"/>
  <c r="C91" i="22"/>
  <c r="D91" i="22" s="1"/>
  <c r="E91" i="22" s="1"/>
  <c r="F91" i="22" s="1"/>
  <c r="G91" i="22" s="1"/>
  <c r="H91" i="22" s="1"/>
  <c r="I91" i="22" s="1"/>
  <c r="J91" i="22" s="1"/>
  <c r="C66" i="22"/>
  <c r="D66" i="22" s="1"/>
  <c r="E66" i="22" s="1"/>
  <c r="F66" i="22" s="1"/>
  <c r="G66" i="22" s="1"/>
  <c r="H66" i="22" s="1"/>
  <c r="I66" i="22" s="1"/>
  <c r="J66" i="22" s="1"/>
  <c r="C41" i="22"/>
  <c r="D41" i="22" s="1"/>
  <c r="E41" i="22" s="1"/>
  <c r="F41" i="22" s="1"/>
  <c r="G41" i="22" s="1"/>
  <c r="H41" i="22" s="1"/>
  <c r="I41" i="22" s="1"/>
  <c r="J41" i="22" s="1"/>
  <c r="C29" i="22"/>
  <c r="D29" i="22" s="1"/>
  <c r="E29" i="22" s="1"/>
  <c r="F29" i="22" s="1"/>
  <c r="G29" i="22" s="1"/>
  <c r="H29" i="22" s="1"/>
  <c r="I29" i="22" s="1"/>
  <c r="J29" i="22" s="1"/>
  <c r="C21" i="22"/>
  <c r="D21" i="22" s="1"/>
  <c r="E21" i="22" s="1"/>
  <c r="F21" i="22" s="1"/>
  <c r="G21" i="22" s="1"/>
  <c r="H21" i="22" s="1"/>
  <c r="I21" i="22" s="1"/>
  <c r="J21" i="22" s="1"/>
  <c r="C6" i="22"/>
  <c r="D6" i="22" s="1"/>
  <c r="E6" i="22" s="1"/>
  <c r="F6" i="22" s="1"/>
  <c r="G6" i="22" s="1"/>
  <c r="H6" i="22" s="1"/>
  <c r="I6" i="22" s="1"/>
  <c r="J6" i="22" s="1"/>
  <c r="G196" i="21"/>
  <c r="E193" i="21"/>
  <c r="F193" i="21" s="1"/>
  <c r="G193" i="21" s="1"/>
  <c r="H193" i="21" s="1"/>
  <c r="I193" i="21" s="1"/>
  <c r="J193" i="21" s="1"/>
  <c r="K193" i="21" s="1"/>
  <c r="L193" i="21" s="1"/>
  <c r="M193" i="21" s="1"/>
  <c r="N193" i="21" s="1"/>
  <c r="E175" i="21"/>
  <c r="F175" i="21" s="1"/>
  <c r="G175" i="21" s="1"/>
  <c r="H175" i="21" s="1"/>
  <c r="E164" i="21"/>
  <c r="F164" i="21" s="1"/>
  <c r="G164" i="21" s="1"/>
  <c r="H164" i="21" s="1"/>
  <c r="I164" i="21" s="1"/>
  <c r="J164" i="21" s="1"/>
  <c r="K164" i="21" s="1"/>
  <c r="L164" i="21" s="1"/>
  <c r="M164" i="21" s="1"/>
  <c r="N164" i="21" s="1"/>
  <c r="E141" i="21"/>
  <c r="F141" i="21" s="1"/>
  <c r="G141" i="21" s="1"/>
  <c r="H141" i="21" s="1"/>
  <c r="I141" i="21" s="1"/>
  <c r="J141" i="21" s="1"/>
  <c r="K141" i="21" s="1"/>
  <c r="L141" i="21" s="1"/>
  <c r="M141" i="21" s="1"/>
  <c r="E21" i="21"/>
  <c r="F8" i="4" s="1"/>
  <c r="D4" i="21"/>
  <c r="D5" i="21" s="1"/>
  <c r="I164" i="3"/>
  <c r="K151" i="3"/>
  <c r="L151" i="3"/>
  <c r="M151" i="3"/>
  <c r="N151" i="3"/>
  <c r="J151" i="3"/>
  <c r="L150" i="3"/>
  <c r="M150" i="3"/>
  <c r="N150" i="3"/>
  <c r="J150" i="3"/>
  <c r="D136" i="3"/>
  <c r="I127" i="3"/>
  <c r="I119" i="3"/>
  <c r="I111" i="3"/>
  <c r="I103" i="3"/>
  <c r="I92" i="3"/>
  <c r="I84" i="3"/>
  <c r="I76" i="3"/>
  <c r="I165" i="3"/>
  <c r="H37" i="4" s="1"/>
  <c r="H56" i="3"/>
  <c r="I56" i="3" s="1"/>
  <c r="C85" i="22" s="1"/>
  <c r="I151" i="3"/>
  <c r="J51" i="4"/>
  <c r="K51" i="4"/>
  <c r="L51" i="4"/>
  <c r="M51" i="4"/>
  <c r="I51" i="4"/>
  <c r="J61" i="27" l="1"/>
  <c r="J36" i="27"/>
  <c r="K93" i="31"/>
  <c r="K97" i="31" s="1"/>
  <c r="K93" i="29"/>
  <c r="K97" i="29" s="1"/>
  <c r="I95" i="3"/>
  <c r="J95" i="3" s="1"/>
  <c r="J9" i="22"/>
  <c r="O17" i="4"/>
  <c r="O55" i="4" s="1"/>
  <c r="O8" i="2"/>
  <c r="J4" i="29" s="1"/>
  <c r="J90" i="29" s="1"/>
  <c r="N141" i="21"/>
  <c r="P8" i="2" s="1"/>
  <c r="K4" i="29" s="1"/>
  <c r="K90" i="29" s="1"/>
  <c r="CA6" i="23"/>
  <c r="CA7" i="23"/>
  <c r="CB4" i="23"/>
  <c r="CB5" i="23" s="1"/>
  <c r="E87" i="2"/>
  <c r="E46" i="2"/>
  <c r="BR19" i="23"/>
  <c r="BR24" i="23" s="1"/>
  <c r="E4" i="21"/>
  <c r="E5" i="21" s="1"/>
  <c r="D6" i="21"/>
  <c r="J164" i="3"/>
  <c r="I150" i="3"/>
  <c r="F21" i="21"/>
  <c r="G8" i="4" s="1"/>
  <c r="I8" i="2"/>
  <c r="H4" i="31" s="1"/>
  <c r="H90" i="31" s="1"/>
  <c r="L8" i="2"/>
  <c r="G4" i="29" s="1"/>
  <c r="G90" i="29" s="1"/>
  <c r="J8" i="2"/>
  <c r="E4" i="29" s="1"/>
  <c r="E90" i="29" s="1"/>
  <c r="K8" i="2"/>
  <c r="F4" i="29" s="1"/>
  <c r="F90" i="29" s="1"/>
  <c r="M8" i="2"/>
  <c r="H4" i="29" s="1"/>
  <c r="H90" i="29" s="1"/>
  <c r="N8" i="2"/>
  <c r="I4" i="29" s="1"/>
  <c r="I90" i="29" s="1"/>
  <c r="F8" i="2"/>
  <c r="F4" i="31" s="1"/>
  <c r="F90" i="31" s="1"/>
  <c r="G8" i="2"/>
  <c r="G4" i="31" s="1"/>
  <c r="G90" i="31" s="1"/>
  <c r="I175" i="21"/>
  <c r="I168" i="3"/>
  <c r="I14" i="3" s="1"/>
  <c r="I16" i="2"/>
  <c r="J16" i="2" s="1"/>
  <c r="K16" i="2" s="1"/>
  <c r="L16" i="2" s="1"/>
  <c r="M16" i="2" s="1"/>
  <c r="N16" i="2" s="1"/>
  <c r="O16" i="2" s="1"/>
  <c r="P16" i="2" s="1"/>
  <c r="H27" i="2"/>
  <c r="I27" i="2" s="1"/>
  <c r="H26" i="2"/>
  <c r="I26" i="2" s="1"/>
  <c r="C57" i="22" s="1"/>
  <c r="H25" i="2"/>
  <c r="I25" i="2" s="1"/>
  <c r="C56" i="22" s="1"/>
  <c r="H85" i="2"/>
  <c r="I23" i="2"/>
  <c r="I20" i="2"/>
  <c r="C51" i="22" s="1"/>
  <c r="H17" i="2"/>
  <c r="H43" i="3"/>
  <c r="I43" i="3" s="1"/>
  <c r="H48" i="3"/>
  <c r="I48" i="3" s="1"/>
  <c r="F49" i="3"/>
  <c r="G49" i="3"/>
  <c r="H49" i="3"/>
  <c r="I49" i="3" s="1"/>
  <c r="C78" i="22" s="1"/>
  <c r="F50" i="3"/>
  <c r="G50" i="3"/>
  <c r="H50" i="3"/>
  <c r="F51" i="3"/>
  <c r="G51" i="3"/>
  <c r="H51" i="3"/>
  <c r="F56" i="3"/>
  <c r="G56" i="3"/>
  <c r="H29" i="4" s="1"/>
  <c r="H40" i="3"/>
  <c r="F41" i="3"/>
  <c r="G41" i="3"/>
  <c r="H41" i="3"/>
  <c r="I41" i="3" s="1"/>
  <c r="C43" i="22" s="1"/>
  <c r="F33" i="3"/>
  <c r="G33" i="3"/>
  <c r="H51" i="4" s="1"/>
  <c r="H33" i="3"/>
  <c r="H146" i="3"/>
  <c r="H158" i="3" s="1"/>
  <c r="H131" i="3"/>
  <c r="H123" i="3"/>
  <c r="E56" i="3"/>
  <c r="E51" i="3"/>
  <c r="E50" i="3"/>
  <c r="E49" i="3"/>
  <c r="E41" i="3"/>
  <c r="E33" i="3"/>
  <c r="H318" i="3"/>
  <c r="H54" i="3" s="1"/>
  <c r="I54" i="3" s="1"/>
  <c r="C83" i="22" s="1"/>
  <c r="G318" i="3"/>
  <c r="G54" i="3" s="1"/>
  <c r="F318" i="3"/>
  <c r="F54" i="3" s="1"/>
  <c r="E318" i="3"/>
  <c r="E54" i="3" s="1"/>
  <c r="D318" i="3"/>
  <c r="H52" i="3"/>
  <c r="G52" i="3"/>
  <c r="F52" i="3"/>
  <c r="E52" i="3"/>
  <c r="H304" i="3"/>
  <c r="G304" i="3"/>
  <c r="F304" i="3"/>
  <c r="E304" i="3"/>
  <c r="D304" i="3"/>
  <c r="H295" i="3"/>
  <c r="H55" i="3" s="1"/>
  <c r="I55" i="3" s="1"/>
  <c r="C84" i="22" s="1"/>
  <c r="G295" i="3"/>
  <c r="G55" i="3" s="1"/>
  <c r="F295" i="3"/>
  <c r="F55" i="3" s="1"/>
  <c r="E295" i="3"/>
  <c r="E55" i="3" s="1"/>
  <c r="D295" i="3"/>
  <c r="H290" i="3"/>
  <c r="H42" i="3" s="1"/>
  <c r="I42" i="3" s="1"/>
  <c r="G290" i="3"/>
  <c r="G42" i="3" s="1"/>
  <c r="F290" i="3"/>
  <c r="F42" i="3" s="1"/>
  <c r="E290" i="3"/>
  <c r="E42" i="3" s="1"/>
  <c r="D290" i="3"/>
  <c r="E48" i="3"/>
  <c r="D285" i="3"/>
  <c r="G40" i="3"/>
  <c r="F48" i="3"/>
  <c r="E278" i="3"/>
  <c r="G272" i="3"/>
  <c r="F272" i="3"/>
  <c r="E272" i="3"/>
  <c r="H270" i="3"/>
  <c r="H34" i="3" s="1"/>
  <c r="G270" i="3"/>
  <c r="G34" i="3" s="1"/>
  <c r="F270" i="3"/>
  <c r="F34" i="3" s="1"/>
  <c r="E270" i="3"/>
  <c r="E34" i="3" s="1"/>
  <c r="D270" i="3"/>
  <c r="H262" i="3"/>
  <c r="I262" i="3" s="1"/>
  <c r="J262" i="3" s="1"/>
  <c r="K262" i="3" s="1"/>
  <c r="L262" i="3" s="1"/>
  <c r="M262" i="3" s="1"/>
  <c r="N262" i="3" s="1"/>
  <c r="O262" i="3" s="1"/>
  <c r="P262" i="3" s="1"/>
  <c r="G262" i="3"/>
  <c r="F262" i="3"/>
  <c r="E262" i="3"/>
  <c r="D262" i="3"/>
  <c r="H259" i="3"/>
  <c r="I259" i="3" s="1"/>
  <c r="J259" i="3" s="1"/>
  <c r="K259" i="3" s="1"/>
  <c r="L259" i="3" s="1"/>
  <c r="M259" i="3" s="1"/>
  <c r="N259" i="3" s="1"/>
  <c r="O259" i="3" s="1"/>
  <c r="P259" i="3" s="1"/>
  <c r="G259" i="3"/>
  <c r="F259" i="3"/>
  <c r="E259" i="3"/>
  <c r="D259" i="3"/>
  <c r="G254" i="3"/>
  <c r="G43" i="3" s="1"/>
  <c r="F254" i="3"/>
  <c r="F43" i="3" s="1"/>
  <c r="E254" i="3"/>
  <c r="E43" i="3" s="1"/>
  <c r="D254" i="3"/>
  <c r="H247" i="3"/>
  <c r="H27" i="3" s="1"/>
  <c r="I27" i="3" s="1"/>
  <c r="C74" i="22" s="1"/>
  <c r="G247" i="3"/>
  <c r="G27" i="3" s="1"/>
  <c r="F247" i="3"/>
  <c r="F27" i="3" s="1"/>
  <c r="E247" i="3"/>
  <c r="E27" i="3" s="1"/>
  <c r="D247" i="3"/>
  <c r="H242" i="3"/>
  <c r="H17" i="3" s="1"/>
  <c r="I17" i="3" s="1"/>
  <c r="G242" i="3"/>
  <c r="G17" i="3" s="1"/>
  <c r="F242" i="3"/>
  <c r="F17" i="3" s="1"/>
  <c r="E242" i="3"/>
  <c r="E17" i="3" s="1"/>
  <c r="D242" i="3"/>
  <c r="H230" i="3"/>
  <c r="H24" i="3" s="1"/>
  <c r="I24" i="3" s="1"/>
  <c r="C71" i="22" s="1"/>
  <c r="G230" i="3"/>
  <c r="G24" i="3" s="1"/>
  <c r="F230" i="3"/>
  <c r="F24" i="3" s="1"/>
  <c r="E230" i="3"/>
  <c r="E24" i="3" s="1"/>
  <c r="D230" i="3"/>
  <c r="H222" i="3"/>
  <c r="H23" i="3" s="1"/>
  <c r="G222" i="3"/>
  <c r="G23" i="3" s="1"/>
  <c r="F222" i="3"/>
  <c r="F23" i="3" s="1"/>
  <c r="E222" i="3"/>
  <c r="E23" i="3" s="1"/>
  <c r="D222" i="3"/>
  <c r="H215" i="3"/>
  <c r="H217" i="3" s="1"/>
  <c r="H22" i="3" s="1"/>
  <c r="G215" i="3"/>
  <c r="G217" i="3" s="1"/>
  <c r="G22" i="3" s="1"/>
  <c r="F215" i="3"/>
  <c r="F217" i="3" s="1"/>
  <c r="F22" i="3" s="1"/>
  <c r="E215" i="3"/>
  <c r="E217" i="3" s="1"/>
  <c r="E22" i="3" s="1"/>
  <c r="D215" i="3"/>
  <c r="D217" i="3" s="1"/>
  <c r="H208" i="3"/>
  <c r="H21" i="3" s="1"/>
  <c r="G208" i="3"/>
  <c r="G21" i="3" s="1"/>
  <c r="F208" i="3"/>
  <c r="F21" i="3" s="1"/>
  <c r="E208" i="3"/>
  <c r="E21" i="3" s="1"/>
  <c r="D208" i="3"/>
  <c r="H195" i="3"/>
  <c r="H26" i="3" s="1"/>
  <c r="I26" i="3" s="1"/>
  <c r="C73" i="22" s="1"/>
  <c r="G195" i="3"/>
  <c r="G26" i="3" s="1"/>
  <c r="F195" i="3"/>
  <c r="F26" i="3" s="1"/>
  <c r="E195" i="3"/>
  <c r="E26" i="3" s="1"/>
  <c r="D195" i="3"/>
  <c r="H188" i="3"/>
  <c r="H15" i="3" s="1"/>
  <c r="I15" i="3" s="1"/>
  <c r="G188" i="3"/>
  <c r="G15" i="3" s="1"/>
  <c r="F188" i="3"/>
  <c r="F15" i="3" s="1"/>
  <c r="E188" i="3"/>
  <c r="E15" i="3" s="1"/>
  <c r="D188" i="3"/>
  <c r="H179" i="3"/>
  <c r="H25" i="3" s="1"/>
  <c r="I25" i="3" s="1"/>
  <c r="C72" i="22" s="1"/>
  <c r="G179" i="3"/>
  <c r="G25" i="3" s="1"/>
  <c r="F179" i="3"/>
  <c r="F25" i="3" s="1"/>
  <c r="E179" i="3"/>
  <c r="E25" i="3" s="1"/>
  <c r="D179" i="3"/>
  <c r="H168" i="3"/>
  <c r="H14" i="3" s="1"/>
  <c r="G168" i="3"/>
  <c r="G14" i="3" s="1"/>
  <c r="F168" i="3"/>
  <c r="F14" i="3" s="1"/>
  <c r="E168" i="3"/>
  <c r="E14" i="3" s="1"/>
  <c r="D168" i="3"/>
  <c r="H115" i="3"/>
  <c r="H107" i="3"/>
  <c r="H99" i="3"/>
  <c r="H88" i="3"/>
  <c r="H80" i="3"/>
  <c r="H72" i="3"/>
  <c r="O46" i="2" l="1"/>
  <c r="O87" i="2"/>
  <c r="D3" i="27"/>
  <c r="D16" i="27" s="1"/>
  <c r="J3" i="27"/>
  <c r="J16" i="27" s="1"/>
  <c r="H3" i="27"/>
  <c r="H16" i="27" s="1"/>
  <c r="F3" i="27"/>
  <c r="F16" i="27" s="1"/>
  <c r="I3" i="27"/>
  <c r="I16" i="27" s="1"/>
  <c r="G3" i="27"/>
  <c r="G16" i="27" s="1"/>
  <c r="E3" i="27"/>
  <c r="E16" i="27" s="1"/>
  <c r="K95" i="3"/>
  <c r="CC4" i="23"/>
  <c r="CC5" i="23" s="1"/>
  <c r="CB6" i="23"/>
  <c r="CB7" i="23"/>
  <c r="P46" i="2"/>
  <c r="P87" i="2"/>
  <c r="M87" i="2"/>
  <c r="M46" i="2"/>
  <c r="K87" i="2"/>
  <c r="K46" i="2"/>
  <c r="J46" i="2"/>
  <c r="J87" i="2"/>
  <c r="G87" i="2"/>
  <c r="G46" i="2"/>
  <c r="L87" i="2"/>
  <c r="L46" i="2"/>
  <c r="F87" i="2"/>
  <c r="F46" i="2"/>
  <c r="I46" i="2"/>
  <c r="I87" i="2"/>
  <c r="N87" i="2"/>
  <c r="N46" i="2"/>
  <c r="BU19" i="23"/>
  <c r="BU24" i="23" s="1"/>
  <c r="E6" i="21"/>
  <c r="F4" i="21"/>
  <c r="F5" i="21" s="1"/>
  <c r="C45" i="22"/>
  <c r="C77" i="22"/>
  <c r="G160" i="21"/>
  <c r="C58" i="22"/>
  <c r="J14" i="2"/>
  <c r="K14" i="2" s="1"/>
  <c r="C48" i="22"/>
  <c r="C49" i="22" s="1"/>
  <c r="G148" i="21"/>
  <c r="C54" i="22"/>
  <c r="H8" i="2"/>
  <c r="H26" i="4"/>
  <c r="E279" i="3"/>
  <c r="E40" i="3" s="1"/>
  <c r="J166" i="3"/>
  <c r="J167" i="3" s="1"/>
  <c r="J168" i="3" s="1"/>
  <c r="J14" i="3" s="1"/>
  <c r="K164" i="3"/>
  <c r="G143" i="21"/>
  <c r="H15" i="5"/>
  <c r="H20" i="5"/>
  <c r="J25" i="3"/>
  <c r="D72" i="22" s="1"/>
  <c r="H40" i="4"/>
  <c r="H23" i="4"/>
  <c r="J26" i="3"/>
  <c r="H25" i="4"/>
  <c r="J27" i="3"/>
  <c r="H24" i="4"/>
  <c r="I24" i="2"/>
  <c r="C55" i="22" s="1"/>
  <c r="G154" i="21"/>
  <c r="G153" i="21"/>
  <c r="G157" i="21"/>
  <c r="G156" i="21"/>
  <c r="H24" i="2"/>
  <c r="H28" i="2" s="1"/>
  <c r="H30" i="2" s="1"/>
  <c r="H32" i="2" s="1"/>
  <c r="G21" i="21"/>
  <c r="H8" i="4" s="1"/>
  <c r="G142" i="21"/>
  <c r="H142" i="21" s="1"/>
  <c r="I142" i="21" s="1"/>
  <c r="J142" i="21" s="1"/>
  <c r="K142" i="21" s="1"/>
  <c r="L142" i="21" s="1"/>
  <c r="M142" i="21" s="1"/>
  <c r="N142" i="21" s="1"/>
  <c r="G151" i="21"/>
  <c r="G150" i="21" s="1"/>
  <c r="H150" i="21" s="1"/>
  <c r="C9" i="22"/>
  <c r="H17" i="4"/>
  <c r="H55" i="4" s="1"/>
  <c r="I17" i="2"/>
  <c r="H6" i="31" s="1"/>
  <c r="G159" i="21"/>
  <c r="H10" i="5"/>
  <c r="J175" i="21"/>
  <c r="J17" i="3"/>
  <c r="H38" i="4"/>
  <c r="H50" i="4"/>
  <c r="H52" i="4"/>
  <c r="J15" i="3"/>
  <c r="H39" i="4"/>
  <c r="H13" i="3"/>
  <c r="I142" i="3"/>
  <c r="I146" i="3" s="1"/>
  <c r="I158" i="3" s="1"/>
  <c r="J41" i="3"/>
  <c r="D43" i="22" s="1"/>
  <c r="H49" i="4"/>
  <c r="H28" i="4"/>
  <c r="G48" i="3"/>
  <c r="H44" i="3"/>
  <c r="F40" i="3"/>
  <c r="H57" i="3"/>
  <c r="H28" i="3"/>
  <c r="H35" i="3"/>
  <c r="H133" i="3"/>
  <c r="H154" i="3" s="1"/>
  <c r="H155" i="3" s="1"/>
  <c r="CC6" i="23" l="1"/>
  <c r="CD4" i="23"/>
  <c r="CD5" i="23" s="1"/>
  <c r="CC7" i="23"/>
  <c r="L95" i="3"/>
  <c r="M95" i="3" s="1"/>
  <c r="H46" i="2"/>
  <c r="H87" i="2"/>
  <c r="BX19" i="23"/>
  <c r="G4" i="21"/>
  <c r="G5" i="21" s="1"/>
  <c r="F6" i="21"/>
  <c r="C59" i="22"/>
  <c r="C61" i="22" s="1"/>
  <c r="D48" i="22"/>
  <c r="D49" i="22" s="1"/>
  <c r="I28" i="2"/>
  <c r="I30" i="2" s="1"/>
  <c r="L14" i="2"/>
  <c r="E48" i="22"/>
  <c r="E49" i="22" s="1"/>
  <c r="I23" i="4"/>
  <c r="D73" i="22"/>
  <c r="I24" i="4"/>
  <c r="D74" i="22"/>
  <c r="K25" i="3"/>
  <c r="L164" i="3"/>
  <c r="K166" i="3"/>
  <c r="K167" i="3" s="1"/>
  <c r="K168" i="3" s="1"/>
  <c r="K14" i="3" s="1"/>
  <c r="H143" i="21"/>
  <c r="J20" i="2" s="1"/>
  <c r="I150" i="21"/>
  <c r="H151" i="21"/>
  <c r="H21" i="21"/>
  <c r="I8" i="4" s="1"/>
  <c r="K175" i="21"/>
  <c r="I10" i="5"/>
  <c r="J17" i="2"/>
  <c r="J42" i="2"/>
  <c r="K41" i="3"/>
  <c r="I49" i="4"/>
  <c r="H53" i="4"/>
  <c r="K15" i="3"/>
  <c r="I39" i="4"/>
  <c r="K17" i="3"/>
  <c r="I38" i="4"/>
  <c r="H12" i="3"/>
  <c r="H18" i="3" s="1"/>
  <c r="H30" i="3" s="1"/>
  <c r="K26" i="3"/>
  <c r="K27" i="3"/>
  <c r="H59" i="3"/>
  <c r="D57" i="27" l="1"/>
  <c r="D81" i="27"/>
  <c r="D32" i="27"/>
  <c r="H7" i="31"/>
  <c r="E6" i="29"/>
  <c r="E13" i="29" s="1"/>
  <c r="E14" i="29" s="1"/>
  <c r="N95" i="3"/>
  <c r="O95" i="3" s="1"/>
  <c r="CD6" i="23"/>
  <c r="CD7" i="23"/>
  <c r="BX24" i="23"/>
  <c r="CA19" i="23"/>
  <c r="H4" i="21"/>
  <c r="H5" i="21" s="1"/>
  <c r="G6" i="21"/>
  <c r="I15" i="5"/>
  <c r="D51" i="22"/>
  <c r="M14" i="2"/>
  <c r="N14" i="2" s="1"/>
  <c r="O14" i="2" s="1"/>
  <c r="P14" i="2" s="1"/>
  <c r="F48" i="22"/>
  <c r="F49" i="22" s="1"/>
  <c r="J23" i="4"/>
  <c r="E73" i="22"/>
  <c r="L25" i="3"/>
  <c r="E72" i="22"/>
  <c r="L41" i="3"/>
  <c r="K49" i="4" s="1"/>
  <c r="E43" i="22"/>
  <c r="J24" i="4"/>
  <c r="E74" i="22"/>
  <c r="L166" i="3"/>
  <c r="L167" i="3" s="1"/>
  <c r="M164" i="3"/>
  <c r="N164" i="3" s="1"/>
  <c r="O164" i="3" s="1"/>
  <c r="P164" i="3" s="1"/>
  <c r="H39" i="2"/>
  <c r="H34" i="2"/>
  <c r="H36" i="2" s="1"/>
  <c r="I39" i="2"/>
  <c r="G13" i="21" s="1"/>
  <c r="J49" i="4"/>
  <c r="I143" i="21"/>
  <c r="K20" i="2" s="1"/>
  <c r="J23" i="2"/>
  <c r="J150" i="21"/>
  <c r="I151" i="21"/>
  <c r="K23" i="2" s="1"/>
  <c r="I21" i="21"/>
  <c r="J8" i="4" s="1"/>
  <c r="L175" i="21"/>
  <c r="K42" i="2"/>
  <c r="K17" i="2"/>
  <c r="L17" i="3"/>
  <c r="J38" i="4"/>
  <c r="L15" i="3"/>
  <c r="J39" i="4"/>
  <c r="L26" i="3"/>
  <c r="L27" i="3"/>
  <c r="H61" i="3"/>
  <c r="P95" i="3" l="1"/>
  <c r="E57" i="27"/>
  <c r="E81" i="27"/>
  <c r="E32" i="27"/>
  <c r="F6" i="29"/>
  <c r="F13" i="29" s="1"/>
  <c r="F14" i="29" s="1"/>
  <c r="CD19" i="23"/>
  <c r="CD24" i="23" s="1"/>
  <c r="CA24" i="23"/>
  <c r="D33" i="23"/>
  <c r="D36" i="23"/>
  <c r="D34" i="23"/>
  <c r="C14" i="22" s="1"/>
  <c r="C15" i="22" s="1"/>
  <c r="E34" i="23"/>
  <c r="H33" i="23"/>
  <c r="F34" i="23"/>
  <c r="F33" i="23"/>
  <c r="I33" i="23"/>
  <c r="H34" i="23"/>
  <c r="J34" i="23"/>
  <c r="N312" i="3" s="1"/>
  <c r="G33" i="23"/>
  <c r="G34" i="23"/>
  <c r="J33" i="23"/>
  <c r="I34" i="23"/>
  <c r="K33" i="23"/>
  <c r="K34" i="23"/>
  <c r="I14" i="22"/>
  <c r="I4" i="21"/>
  <c r="I5" i="21" s="1"/>
  <c r="H6" i="21"/>
  <c r="I148" i="21"/>
  <c r="E54" i="22"/>
  <c r="H148" i="21"/>
  <c r="D54" i="22"/>
  <c r="J15" i="5"/>
  <c r="E51" i="22"/>
  <c r="L168" i="3"/>
  <c r="K24" i="4"/>
  <c r="F74" i="22"/>
  <c r="M41" i="3"/>
  <c r="F43" i="22"/>
  <c r="M25" i="3"/>
  <c r="F72" i="22"/>
  <c r="K23" i="4"/>
  <c r="F73" i="22"/>
  <c r="J143" i="21"/>
  <c r="L20" i="2" s="1"/>
  <c r="K150" i="21"/>
  <c r="J151" i="21"/>
  <c r="L23" i="2" s="1"/>
  <c r="J21" i="21"/>
  <c r="K8" i="4" s="1"/>
  <c r="M175" i="21"/>
  <c r="N175" i="21" s="1"/>
  <c r="L42" i="2"/>
  <c r="L17" i="2"/>
  <c r="M15" i="3"/>
  <c r="K39" i="4"/>
  <c r="M17" i="3"/>
  <c r="K38" i="4"/>
  <c r="M26" i="3"/>
  <c r="M27" i="3"/>
  <c r="E56" i="4"/>
  <c r="E59" i="4"/>
  <c r="E36" i="4"/>
  <c r="E42" i="4" s="1"/>
  <c r="E14" i="4"/>
  <c r="F42" i="4"/>
  <c r="F56" i="4"/>
  <c r="G56" i="4"/>
  <c r="G42" i="4"/>
  <c r="F14" i="4"/>
  <c r="J24" i="3"/>
  <c r="E21" i="4"/>
  <c r="E20" i="4"/>
  <c r="F21" i="4"/>
  <c r="F20" i="4"/>
  <c r="G21" i="4"/>
  <c r="G20" i="4"/>
  <c r="G73" i="27" l="1"/>
  <c r="G48" i="27"/>
  <c r="J73" i="27"/>
  <c r="J48" i="27"/>
  <c r="F73" i="27"/>
  <c r="F48" i="27"/>
  <c r="D73" i="27"/>
  <c r="D48" i="27"/>
  <c r="H73" i="27"/>
  <c r="H48" i="27"/>
  <c r="I48" i="27"/>
  <c r="I73" i="27"/>
  <c r="E48" i="27"/>
  <c r="E73" i="27"/>
  <c r="F81" i="27"/>
  <c r="F32" i="27"/>
  <c r="F57" i="27"/>
  <c r="H96" i="29"/>
  <c r="H96" i="31"/>
  <c r="K96" i="31"/>
  <c r="K98" i="31" s="1"/>
  <c r="K96" i="29"/>
  <c r="K98" i="29" s="1"/>
  <c r="G96" i="31"/>
  <c r="G96" i="29"/>
  <c r="E96" i="31"/>
  <c r="E96" i="29"/>
  <c r="I96" i="31"/>
  <c r="I96" i="29"/>
  <c r="J96" i="29"/>
  <c r="J96" i="31"/>
  <c r="F96" i="29"/>
  <c r="F96" i="31"/>
  <c r="G6" i="29"/>
  <c r="G13" i="29" s="1"/>
  <c r="G14" i="29" s="1"/>
  <c r="G14" i="22"/>
  <c r="L312" i="3"/>
  <c r="F14" i="22"/>
  <c r="K312" i="3"/>
  <c r="J312" i="3"/>
  <c r="E14" i="22"/>
  <c r="M312" i="3"/>
  <c r="H14" i="22"/>
  <c r="J14" i="22"/>
  <c r="J15" i="22" s="1"/>
  <c r="O312" i="3"/>
  <c r="D14" i="22"/>
  <c r="I312" i="3"/>
  <c r="D35" i="23"/>
  <c r="N313" i="3"/>
  <c r="N53" i="3"/>
  <c r="H44" i="22"/>
  <c r="J4" i="21"/>
  <c r="J5" i="21" s="1"/>
  <c r="I6" i="21"/>
  <c r="J148" i="21"/>
  <c r="F54" i="22"/>
  <c r="K15" i="5"/>
  <c r="F51" i="22"/>
  <c r="N41" i="3"/>
  <c r="G43" i="22"/>
  <c r="L49" i="4"/>
  <c r="I26" i="4"/>
  <c r="D71" i="22"/>
  <c r="L23" i="4"/>
  <c r="G73" i="22"/>
  <c r="N25" i="3"/>
  <c r="G72" i="22"/>
  <c r="L24" i="4"/>
  <c r="G74" i="22"/>
  <c r="M166" i="3"/>
  <c r="M167" i="3" s="1"/>
  <c r="L14" i="3"/>
  <c r="L150" i="21"/>
  <c r="K151" i="21"/>
  <c r="K21" i="21"/>
  <c r="L8" i="4" s="1"/>
  <c r="N17" i="3"/>
  <c r="L38" i="4"/>
  <c r="N15" i="3"/>
  <c r="L39" i="4"/>
  <c r="N27" i="3"/>
  <c r="H74" i="22" s="1"/>
  <c r="N26" i="3"/>
  <c r="H73" i="22" s="1"/>
  <c r="K24" i="3"/>
  <c r="L48" i="27" l="1"/>
  <c r="L73" i="27"/>
  <c r="I53" i="3"/>
  <c r="H47" i="4" s="1"/>
  <c r="I313" i="3"/>
  <c r="C44" i="22"/>
  <c r="K53" i="3"/>
  <c r="K313" i="3"/>
  <c r="E44" i="22"/>
  <c r="G44" i="22"/>
  <c r="M53" i="3"/>
  <c r="M47" i="4" s="1"/>
  <c r="M313" i="3"/>
  <c r="O53" i="3"/>
  <c r="O47" i="4" s="1"/>
  <c r="I44" i="22"/>
  <c r="O313" i="3"/>
  <c r="L53" i="3"/>
  <c r="F44" i="22"/>
  <c r="L313" i="3"/>
  <c r="C31" i="22"/>
  <c r="C32" i="22" s="1"/>
  <c r="C96" i="22"/>
  <c r="C97" i="22" s="1"/>
  <c r="C22" i="22"/>
  <c r="C23" i="22" s="1"/>
  <c r="E32" i="23"/>
  <c r="I274" i="3"/>
  <c r="I279" i="3" s="1"/>
  <c r="I40" i="3" s="1"/>
  <c r="J53" i="3"/>
  <c r="I47" i="4" s="1"/>
  <c r="J313" i="3"/>
  <c r="D44" i="22"/>
  <c r="N52" i="3"/>
  <c r="K4" i="21"/>
  <c r="K5" i="21" s="1"/>
  <c r="J6" i="21"/>
  <c r="M168" i="3"/>
  <c r="J26" i="4"/>
  <c r="E71" i="22"/>
  <c r="H43" i="22"/>
  <c r="O41" i="3"/>
  <c r="P41" i="3" s="1"/>
  <c r="M49" i="4"/>
  <c r="O25" i="3"/>
  <c r="H72" i="22"/>
  <c r="O27" i="3"/>
  <c r="P27" i="3" s="1"/>
  <c r="M24" i="4"/>
  <c r="O26" i="3"/>
  <c r="P26" i="3" s="1"/>
  <c r="M23" i="4"/>
  <c r="M39" i="4"/>
  <c r="O15" i="3"/>
  <c r="P15" i="3" s="1"/>
  <c r="O39" i="4" s="1"/>
  <c r="M38" i="4"/>
  <c r="O17" i="3"/>
  <c r="L151" i="21"/>
  <c r="N23" i="2" s="1"/>
  <c r="M150" i="21"/>
  <c r="M23" i="2"/>
  <c r="L21" i="21"/>
  <c r="L24" i="3"/>
  <c r="I52" i="3" l="1"/>
  <c r="C81" i="22" s="1"/>
  <c r="N47" i="4"/>
  <c r="H54" i="22"/>
  <c r="G54" i="22"/>
  <c r="O52" i="3"/>
  <c r="O27" i="4" s="1"/>
  <c r="L47" i="4"/>
  <c r="L52" i="3"/>
  <c r="K47" i="4"/>
  <c r="M52" i="3"/>
  <c r="K52" i="3"/>
  <c r="C42" i="22"/>
  <c r="C46" i="22" s="1"/>
  <c r="C62" i="22" s="1"/>
  <c r="G18" i="21" s="1"/>
  <c r="H46" i="4"/>
  <c r="J47" i="4"/>
  <c r="O23" i="4"/>
  <c r="J73" i="22"/>
  <c r="I72" i="22"/>
  <c r="P25" i="3"/>
  <c r="J72" i="22" s="1"/>
  <c r="N38" i="4"/>
  <c r="P17" i="3"/>
  <c r="O38" i="4" s="1"/>
  <c r="M151" i="21"/>
  <c r="O23" i="2" s="1"/>
  <c r="N150" i="21"/>
  <c r="N151" i="21" s="1"/>
  <c r="P23" i="2" s="1"/>
  <c r="J52" i="3"/>
  <c r="J74" i="22"/>
  <c r="O24" i="4"/>
  <c r="J43" i="22"/>
  <c r="O49" i="4"/>
  <c r="L4" i="21"/>
  <c r="L5" i="21" s="1"/>
  <c r="K6" i="21"/>
  <c r="M8" i="4"/>
  <c r="M21" i="21"/>
  <c r="N49" i="4"/>
  <c r="I43" i="22"/>
  <c r="N23" i="4"/>
  <c r="I73" i="22"/>
  <c r="K26" i="4"/>
  <c r="F71" i="22"/>
  <c r="N24" i="4"/>
  <c r="I74" i="22"/>
  <c r="N166" i="3"/>
  <c r="N167" i="3" s="1"/>
  <c r="M14" i="3"/>
  <c r="N39" i="4"/>
  <c r="M24" i="3"/>
  <c r="H27" i="4" l="1"/>
  <c r="I54" i="22"/>
  <c r="J54" i="22"/>
  <c r="N8" i="4"/>
  <c r="N21" i="21"/>
  <c r="O8" i="4" s="1"/>
  <c r="M4" i="21"/>
  <c r="M5" i="21" s="1"/>
  <c r="L6" i="21"/>
  <c r="N168" i="3"/>
  <c r="L26" i="4"/>
  <c r="G71" i="22"/>
  <c r="N24" i="3"/>
  <c r="H71" i="22" s="1"/>
  <c r="M6" i="21" l="1"/>
  <c r="N4" i="21"/>
  <c r="N5" i="21" s="1"/>
  <c r="N6" i="21" s="1"/>
  <c r="O166" i="3"/>
  <c r="O167" i="3" s="1"/>
  <c r="N14" i="3"/>
  <c r="M26" i="4"/>
  <c r="O24" i="3"/>
  <c r="P24" i="3" s="1"/>
  <c r="O168" i="3" l="1"/>
  <c r="P166" i="3" s="1"/>
  <c r="P167" i="3" s="1"/>
  <c r="P168" i="3" s="1"/>
  <c r="P14" i="3" s="1"/>
  <c r="J71" i="22"/>
  <c r="O26" i="4"/>
  <c r="N26" i="4"/>
  <c r="I71" i="22"/>
  <c r="O14" i="3" l="1"/>
  <c r="J55" i="3"/>
  <c r="D84" i="22" s="1"/>
  <c r="J54" i="3"/>
  <c r="D83" i="22" s="1"/>
  <c r="D81" i="22"/>
  <c r="J49" i="3"/>
  <c r="D78" i="22" s="1"/>
  <c r="J43" i="3"/>
  <c r="I53" i="4" s="1"/>
  <c r="J42" i="3"/>
  <c r="I52" i="4" s="1"/>
  <c r="G151" i="3"/>
  <c r="F151" i="3"/>
  <c r="E151" i="3"/>
  <c r="G150" i="3"/>
  <c r="F150" i="3"/>
  <c r="E150" i="3"/>
  <c r="G135" i="3"/>
  <c r="F135" i="3"/>
  <c r="E135" i="3"/>
  <c r="D135" i="3"/>
  <c r="F131" i="3"/>
  <c r="E131" i="3"/>
  <c r="D131" i="3"/>
  <c r="G126" i="3"/>
  <c r="F123" i="3"/>
  <c r="E123" i="3"/>
  <c r="D123" i="3"/>
  <c r="G118" i="3"/>
  <c r="F115" i="3"/>
  <c r="E115" i="3"/>
  <c r="D115" i="3"/>
  <c r="G110" i="3"/>
  <c r="F107" i="3"/>
  <c r="E107" i="3"/>
  <c r="D107" i="3"/>
  <c r="G102" i="3"/>
  <c r="F99" i="3"/>
  <c r="E99" i="3"/>
  <c r="D99" i="3"/>
  <c r="G91" i="3"/>
  <c r="F88" i="3"/>
  <c r="E88" i="3"/>
  <c r="D88" i="3"/>
  <c r="G83" i="3"/>
  <c r="F80" i="3"/>
  <c r="E80" i="3"/>
  <c r="D80" i="3"/>
  <c r="G75" i="3"/>
  <c r="D72" i="3"/>
  <c r="G71" i="3"/>
  <c r="F71" i="3"/>
  <c r="F136" i="3" s="1"/>
  <c r="E71" i="3"/>
  <c r="E136" i="3" s="1"/>
  <c r="G67" i="3"/>
  <c r="F67" i="3"/>
  <c r="F149" i="3" s="1"/>
  <c r="E67" i="3"/>
  <c r="K42" i="3" l="1"/>
  <c r="J52" i="4" s="1"/>
  <c r="K43" i="3"/>
  <c r="J53" i="4" s="1"/>
  <c r="G80" i="3"/>
  <c r="I75" i="3"/>
  <c r="G99" i="3"/>
  <c r="I91" i="3"/>
  <c r="G115" i="3"/>
  <c r="I110" i="3"/>
  <c r="G131" i="3"/>
  <c r="I126" i="3"/>
  <c r="I67" i="3"/>
  <c r="G88" i="3"/>
  <c r="I83" i="3"/>
  <c r="G107" i="3"/>
  <c r="I102" i="3"/>
  <c r="I105" i="3" s="1"/>
  <c r="G123" i="3"/>
  <c r="I118" i="3"/>
  <c r="G136" i="3"/>
  <c r="K49" i="3"/>
  <c r="E78" i="22" s="1"/>
  <c r="I50" i="4"/>
  <c r="J48" i="3"/>
  <c r="E13" i="3"/>
  <c r="E158" i="3"/>
  <c r="F158" i="3"/>
  <c r="F13" i="3"/>
  <c r="G158" i="3"/>
  <c r="G13" i="3"/>
  <c r="K55" i="3"/>
  <c r="E84" i="22" s="1"/>
  <c r="I25" i="4"/>
  <c r="K54" i="3"/>
  <c r="E83" i="22" s="1"/>
  <c r="I28" i="4"/>
  <c r="E81" i="22"/>
  <c r="I27" i="4"/>
  <c r="G149" i="3"/>
  <c r="G152" i="3" s="1"/>
  <c r="H159" i="3" s="1"/>
  <c r="H161" i="3" s="1"/>
  <c r="E149" i="3"/>
  <c r="E152" i="3" s="1"/>
  <c r="E159" i="3" s="1"/>
  <c r="F152" i="3"/>
  <c r="D133" i="3"/>
  <c r="D12" i="3" s="1"/>
  <c r="E72" i="3"/>
  <c r="E133" i="3" s="1"/>
  <c r="E12" i="3" s="1"/>
  <c r="F72" i="3"/>
  <c r="F133" i="3" s="1"/>
  <c r="F12" i="3" s="1"/>
  <c r="G72" i="3"/>
  <c r="I94" i="3" l="1"/>
  <c r="I97" i="3" s="1"/>
  <c r="I98" i="3" s="1"/>
  <c r="I70" i="3"/>
  <c r="I71" i="3" s="1"/>
  <c r="I72" i="3" s="1"/>
  <c r="D45" i="22"/>
  <c r="D77" i="22"/>
  <c r="I78" i="3"/>
  <c r="L43" i="3"/>
  <c r="K53" i="4" s="1"/>
  <c r="L42" i="3"/>
  <c r="K52" i="4" s="1"/>
  <c r="I121" i="3"/>
  <c r="I122" i="3" s="1"/>
  <c r="I123" i="3" s="1"/>
  <c r="I106" i="3"/>
  <c r="I107" i="3" s="1"/>
  <c r="I129" i="3"/>
  <c r="I130" i="3" s="1"/>
  <c r="I131" i="3" s="1"/>
  <c r="I86" i="3"/>
  <c r="I87" i="3" s="1"/>
  <c r="I113" i="3"/>
  <c r="I114" i="3" s="1"/>
  <c r="K143" i="3"/>
  <c r="J118" i="3"/>
  <c r="I149" i="3"/>
  <c r="I152" i="3" s="1"/>
  <c r="J67" i="3"/>
  <c r="J102" i="3"/>
  <c r="J126" i="3"/>
  <c r="J75" i="3"/>
  <c r="J83" i="3"/>
  <c r="J91" i="3"/>
  <c r="G133" i="3"/>
  <c r="G12" i="3" s="1"/>
  <c r="J110" i="3"/>
  <c r="L49" i="3"/>
  <c r="F78" i="22" s="1"/>
  <c r="J50" i="4"/>
  <c r="G159" i="3"/>
  <c r="F159" i="3"/>
  <c r="J142" i="3"/>
  <c r="I13" i="3"/>
  <c r="K48" i="3"/>
  <c r="L55" i="3"/>
  <c r="F84" i="22" s="1"/>
  <c r="J25" i="4"/>
  <c r="L54" i="3"/>
  <c r="F83" i="22" s="1"/>
  <c r="J28" i="4"/>
  <c r="F81" i="22"/>
  <c r="J27" i="4"/>
  <c r="E154" i="3"/>
  <c r="E155" i="3" s="1"/>
  <c r="E161" i="3" s="1"/>
  <c r="F154" i="3"/>
  <c r="F155" i="3" s="1"/>
  <c r="J105" i="3" l="1"/>
  <c r="J94" i="3"/>
  <c r="J121" i="3"/>
  <c r="J122" i="3" s="1"/>
  <c r="J70" i="3"/>
  <c r="J71" i="3" s="1"/>
  <c r="E45" i="22"/>
  <c r="E77" i="22"/>
  <c r="M42" i="3"/>
  <c r="L52" i="4" s="1"/>
  <c r="M43" i="3"/>
  <c r="L53" i="4" s="1"/>
  <c r="J129" i="3"/>
  <c r="J130" i="3" s="1"/>
  <c r="J131" i="3" s="1"/>
  <c r="J106" i="3"/>
  <c r="J149" i="3"/>
  <c r="J152" i="3" s="1"/>
  <c r="K149" i="3" s="1"/>
  <c r="I159" i="3"/>
  <c r="I161" i="3" s="1"/>
  <c r="H36" i="4" s="1"/>
  <c r="J146" i="3"/>
  <c r="J158" i="3" s="1"/>
  <c r="K110" i="3"/>
  <c r="I115" i="3"/>
  <c r="J113" i="3" s="1"/>
  <c r="K67" i="3"/>
  <c r="J72" i="3"/>
  <c r="K91" i="3"/>
  <c r="I99" i="3"/>
  <c r="I79" i="3"/>
  <c r="I135" i="3"/>
  <c r="I31" i="2" s="1"/>
  <c r="I32" i="2" s="1"/>
  <c r="H9" i="31" s="1"/>
  <c r="F161" i="3"/>
  <c r="F160" i="3"/>
  <c r="K83" i="3"/>
  <c r="K126" i="3"/>
  <c r="K118" i="3"/>
  <c r="I88" i="3"/>
  <c r="J86" i="3" s="1"/>
  <c r="J87" i="3" s="1"/>
  <c r="K75" i="3"/>
  <c r="G154" i="3"/>
  <c r="G155" i="3" s="1"/>
  <c r="H160" i="3" s="1"/>
  <c r="K102" i="3"/>
  <c r="M49" i="3"/>
  <c r="G78" i="22" s="1"/>
  <c r="K50" i="4"/>
  <c r="L48" i="3"/>
  <c r="M55" i="3"/>
  <c r="G84" i="22" s="1"/>
  <c r="K25" i="4"/>
  <c r="M54" i="3"/>
  <c r="G83" i="22" s="1"/>
  <c r="K28" i="4"/>
  <c r="G81" i="22"/>
  <c r="K27" i="4"/>
  <c r="H41" i="2"/>
  <c r="H40" i="2"/>
  <c r="J97" i="3" l="1"/>
  <c r="J98" i="3" s="1"/>
  <c r="J99" i="3" s="1"/>
  <c r="K94" i="3"/>
  <c r="F45" i="22"/>
  <c r="F77" i="22"/>
  <c r="H42" i="4"/>
  <c r="H12" i="4"/>
  <c r="C8" i="22"/>
  <c r="K129" i="3"/>
  <c r="K130" i="3" s="1"/>
  <c r="J13" i="3"/>
  <c r="K142" i="3"/>
  <c r="J159" i="3"/>
  <c r="J161" i="3" s="1"/>
  <c r="I36" i="4" s="1"/>
  <c r="N43" i="3"/>
  <c r="M53" i="4" s="1"/>
  <c r="N42" i="3"/>
  <c r="M52" i="4" s="1"/>
  <c r="K70" i="3"/>
  <c r="K71" i="3" s="1"/>
  <c r="K72" i="3" s="1"/>
  <c r="K150" i="3"/>
  <c r="K152" i="3" s="1"/>
  <c r="J114" i="3"/>
  <c r="J115" i="3" s="1"/>
  <c r="K113" i="3" s="1"/>
  <c r="K114" i="3" s="1"/>
  <c r="K145" i="3"/>
  <c r="J107" i="3"/>
  <c r="K105" i="3" s="1"/>
  <c r="K106" i="3" s="1"/>
  <c r="J88" i="3"/>
  <c r="K86" i="3" s="1"/>
  <c r="K87" i="3" s="1"/>
  <c r="G161" i="3"/>
  <c r="G160" i="3"/>
  <c r="L75" i="3"/>
  <c r="L67" i="3"/>
  <c r="I80" i="3"/>
  <c r="I136" i="3"/>
  <c r="L118" i="3"/>
  <c r="L102" i="3"/>
  <c r="L110" i="3"/>
  <c r="L83" i="3"/>
  <c r="J123" i="3"/>
  <c r="K121" i="3" s="1"/>
  <c r="K122" i="3" s="1"/>
  <c r="L91" i="3"/>
  <c r="L126" i="3"/>
  <c r="N49" i="3"/>
  <c r="H78" i="22" s="1"/>
  <c r="L50" i="4"/>
  <c r="M48" i="3"/>
  <c r="N55" i="3"/>
  <c r="H84" i="22" s="1"/>
  <c r="L25" i="4"/>
  <c r="N54" i="3"/>
  <c r="H83" i="22" s="1"/>
  <c r="L28" i="4"/>
  <c r="H81" i="22"/>
  <c r="L27" i="4"/>
  <c r="I21" i="18"/>
  <c r="I20" i="18"/>
  <c r="I19" i="18"/>
  <c r="F10" i="18"/>
  <c r="F9" i="18"/>
  <c r="F8" i="18"/>
  <c r="T15" i="17"/>
  <c r="T14" i="17"/>
  <c r="T13" i="17"/>
  <c r="T12" i="17"/>
  <c r="T11" i="17"/>
  <c r="T10" i="17"/>
  <c r="T9" i="17"/>
  <c r="K16" i="16"/>
  <c r="K15" i="16"/>
  <c r="K14" i="16"/>
  <c r="K9" i="16"/>
  <c r="J9" i="15"/>
  <c r="K9" i="15"/>
  <c r="J10" i="15"/>
  <c r="K10" i="15"/>
  <c r="J11" i="15"/>
  <c r="K11" i="15"/>
  <c r="I17" i="13"/>
  <c r="I19" i="13" s="1"/>
  <c r="F17" i="13"/>
  <c r="F19" i="13" s="1"/>
  <c r="H15" i="13"/>
  <c r="H14" i="13"/>
  <c r="H13" i="13"/>
  <c r="H12" i="13"/>
  <c r="H11" i="13"/>
  <c r="H10" i="13"/>
  <c r="H9" i="13"/>
  <c r="H8" i="13"/>
  <c r="H7" i="13"/>
  <c r="H6" i="13"/>
  <c r="H5" i="13"/>
  <c r="H17" i="13" s="1"/>
  <c r="L94" i="3" l="1"/>
  <c r="K97" i="3"/>
  <c r="K98" i="3" s="1"/>
  <c r="K99" i="3" s="1"/>
  <c r="L96" i="3"/>
  <c r="L97" i="3" s="1"/>
  <c r="G45" i="22"/>
  <c r="G77" i="22"/>
  <c r="L70" i="3"/>
  <c r="L71" i="3" s="1"/>
  <c r="L72" i="3" s="1"/>
  <c r="K146" i="3"/>
  <c r="K158" i="3" s="1"/>
  <c r="I34" i="2"/>
  <c r="I40" i="2"/>
  <c r="I42" i="4"/>
  <c r="M28" i="4"/>
  <c r="O54" i="3"/>
  <c r="P54" i="3" s="1"/>
  <c r="M25" i="4"/>
  <c r="O55" i="3"/>
  <c r="P55" i="3" s="1"/>
  <c r="M27" i="4"/>
  <c r="M50" i="4"/>
  <c r="O49" i="3"/>
  <c r="P49" i="3" s="1"/>
  <c r="O42" i="3"/>
  <c r="O43" i="3"/>
  <c r="L149" i="3"/>
  <c r="L152" i="3" s="1"/>
  <c r="L159" i="3" s="1"/>
  <c r="K159" i="3"/>
  <c r="I133" i="3"/>
  <c r="I12" i="3" s="1"/>
  <c r="J78" i="3"/>
  <c r="K115" i="3"/>
  <c r="L113" i="3" s="1"/>
  <c r="L114" i="3" s="1"/>
  <c r="K123" i="3"/>
  <c r="L121" i="3" s="1"/>
  <c r="L122" i="3" s="1"/>
  <c r="K131" i="3"/>
  <c r="L129" i="3" s="1"/>
  <c r="K88" i="3"/>
  <c r="L86" i="3" s="1"/>
  <c r="L87" i="3" s="1"/>
  <c r="K107" i="3"/>
  <c r="L105" i="3" s="1"/>
  <c r="L106" i="3" s="1"/>
  <c r="M126" i="3"/>
  <c r="M91" i="3"/>
  <c r="M67" i="3"/>
  <c r="M110" i="3"/>
  <c r="M118" i="3"/>
  <c r="M83" i="3"/>
  <c r="M75" i="3"/>
  <c r="M102" i="3"/>
  <c r="N48" i="3"/>
  <c r="H77" i="22" s="1"/>
  <c r="H18" i="13"/>
  <c r="H19" i="13" s="1"/>
  <c r="D44" i="3"/>
  <c r="D57" i="3"/>
  <c r="D35" i="3"/>
  <c r="D28" i="3"/>
  <c r="D18" i="3"/>
  <c r="F18" i="3"/>
  <c r="G18" i="3"/>
  <c r="E18" i="3"/>
  <c r="F28" i="3"/>
  <c r="G28" i="3"/>
  <c r="E28" i="3"/>
  <c r="F35" i="3"/>
  <c r="G35" i="3"/>
  <c r="E35" i="3"/>
  <c r="F44" i="3"/>
  <c r="G44" i="3"/>
  <c r="I44" i="3"/>
  <c r="E44" i="3"/>
  <c r="F57" i="3"/>
  <c r="G57" i="3"/>
  <c r="E57" i="3"/>
  <c r="F19" i="5"/>
  <c r="G19" i="5"/>
  <c r="E19" i="5"/>
  <c r="G14" i="5"/>
  <c r="F14" i="5"/>
  <c r="E14" i="5"/>
  <c r="F9" i="5"/>
  <c r="G9" i="5"/>
  <c r="E9" i="5"/>
  <c r="G27" i="2"/>
  <c r="F27" i="2"/>
  <c r="E27" i="2"/>
  <c r="G26" i="2"/>
  <c r="F26" i="2"/>
  <c r="E26" i="2"/>
  <c r="G25" i="2"/>
  <c r="F25" i="2"/>
  <c r="E25" i="2"/>
  <c r="G35" i="2"/>
  <c r="F35" i="2"/>
  <c r="E35" i="2"/>
  <c r="G12" i="4"/>
  <c r="F12" i="4"/>
  <c r="E12" i="4"/>
  <c r="G17" i="4"/>
  <c r="F17" i="4"/>
  <c r="E17" i="4"/>
  <c r="E10" i="5"/>
  <c r="F85" i="2"/>
  <c r="G85" i="2"/>
  <c r="E85" i="2"/>
  <c r="N53" i="4" l="1"/>
  <c r="P43" i="3"/>
  <c r="O53" i="4" s="1"/>
  <c r="N52" i="4"/>
  <c r="P42" i="3"/>
  <c r="O52" i="4" s="1"/>
  <c r="O25" i="4"/>
  <c r="J84" i="22"/>
  <c r="E11" i="5"/>
  <c r="O50" i="4"/>
  <c r="J78" i="22"/>
  <c r="M94" i="3"/>
  <c r="N94" i="3" s="1"/>
  <c r="O94" i="3" s="1"/>
  <c r="P94" i="3" s="1"/>
  <c r="J83" i="22"/>
  <c r="O28" i="4"/>
  <c r="M96" i="3"/>
  <c r="G21" i="5"/>
  <c r="L98" i="3"/>
  <c r="L99" i="3" s="1"/>
  <c r="K13" i="3"/>
  <c r="K161" i="3"/>
  <c r="J36" i="4" s="1"/>
  <c r="J42" i="4" s="1"/>
  <c r="G16" i="5"/>
  <c r="E16" i="5"/>
  <c r="F16" i="5"/>
  <c r="E21" i="5"/>
  <c r="F21" i="5"/>
  <c r="I154" i="3"/>
  <c r="I155" i="3" s="1"/>
  <c r="I160" i="3" s="1"/>
  <c r="N27" i="4"/>
  <c r="I81" i="22"/>
  <c r="I18" i="3"/>
  <c r="C92" i="22"/>
  <c r="C94" i="22" s="1"/>
  <c r="C98" i="22" s="1"/>
  <c r="G16" i="21" s="1"/>
  <c r="N25" i="4"/>
  <c r="I84" i="22"/>
  <c r="N28" i="4"/>
  <c r="I83" i="22"/>
  <c r="L142" i="3"/>
  <c r="L146" i="3" s="1"/>
  <c r="L158" i="3" s="1"/>
  <c r="L161" i="3" s="1"/>
  <c r="K36" i="4" s="1"/>
  <c r="N50" i="4"/>
  <c r="I78" i="22"/>
  <c r="O48" i="3"/>
  <c r="P48" i="3" s="1"/>
  <c r="H45" i="22"/>
  <c r="M149" i="3"/>
  <c r="M152" i="3" s="1"/>
  <c r="N149" i="3" s="1"/>
  <c r="N152" i="3" s="1"/>
  <c r="O149" i="3" s="1"/>
  <c r="O152" i="3" s="1"/>
  <c r="H11" i="4"/>
  <c r="G195" i="21"/>
  <c r="I35" i="2" s="1"/>
  <c r="M70" i="3"/>
  <c r="M71" i="3" s="1"/>
  <c r="M72" i="3" s="1"/>
  <c r="J135" i="3"/>
  <c r="J31" i="2" s="1"/>
  <c r="D20" i="27" s="1"/>
  <c r="J79" i="3"/>
  <c r="L130" i="3"/>
  <c r="L131" i="3" s="1"/>
  <c r="M129" i="3" s="1"/>
  <c r="M130" i="3" s="1"/>
  <c r="L115" i="3"/>
  <c r="M113" i="3" s="1"/>
  <c r="M114" i="3" s="1"/>
  <c r="L123" i="3"/>
  <c r="M121" i="3" s="1"/>
  <c r="M122" i="3" s="1"/>
  <c r="M123" i="3" s="1"/>
  <c r="L88" i="3"/>
  <c r="M86" i="3" s="1"/>
  <c r="M87" i="3" s="1"/>
  <c r="L107" i="3"/>
  <c r="M105" i="3" s="1"/>
  <c r="M106" i="3" s="1"/>
  <c r="N75" i="3"/>
  <c r="O75" i="3" s="1"/>
  <c r="P75" i="3" s="1"/>
  <c r="N118" i="3"/>
  <c r="O118" i="3" s="1"/>
  <c r="P118" i="3" s="1"/>
  <c r="N126" i="3"/>
  <c r="O126" i="3" s="1"/>
  <c r="P126" i="3" s="1"/>
  <c r="N102" i="3"/>
  <c r="O102" i="3" s="1"/>
  <c r="P102" i="3" s="1"/>
  <c r="N83" i="3"/>
  <c r="O83" i="3" s="1"/>
  <c r="P83" i="3" s="1"/>
  <c r="N110" i="3"/>
  <c r="O110" i="3" s="1"/>
  <c r="P110" i="3" s="1"/>
  <c r="N67" i="3"/>
  <c r="O67" i="3" s="1"/>
  <c r="P67" i="3" s="1"/>
  <c r="N91" i="3"/>
  <c r="O91" i="3" s="1"/>
  <c r="P91" i="3" s="1"/>
  <c r="D156" i="21"/>
  <c r="D157" i="21"/>
  <c r="F160" i="21"/>
  <c r="F159" i="21"/>
  <c r="E160" i="21"/>
  <c r="E159" i="21"/>
  <c r="E154" i="21"/>
  <c r="E153" i="21"/>
  <c r="F24" i="2"/>
  <c r="F28" i="2" s="1"/>
  <c r="F154" i="21"/>
  <c r="F153" i="21"/>
  <c r="G24" i="2"/>
  <c r="G28" i="2" s="1"/>
  <c r="E156" i="21"/>
  <c r="E157" i="21"/>
  <c r="F156" i="21"/>
  <c r="F157" i="21"/>
  <c r="D160" i="21"/>
  <c r="D159" i="21"/>
  <c r="D153" i="21"/>
  <c r="D154" i="21"/>
  <c r="E24" i="2"/>
  <c r="E28" i="2" s="1"/>
  <c r="D30" i="3"/>
  <c r="G42" i="2"/>
  <c r="G10" i="5"/>
  <c r="G11" i="5" s="1"/>
  <c r="G23" i="5" s="1"/>
  <c r="F17" i="2"/>
  <c r="F6" i="31" s="1"/>
  <c r="F13" i="31" s="1"/>
  <c r="F42" i="2"/>
  <c r="E30" i="3"/>
  <c r="G59" i="3"/>
  <c r="G30" i="3"/>
  <c r="F30" i="3"/>
  <c r="E59" i="3"/>
  <c r="F59" i="3"/>
  <c r="D59" i="3"/>
  <c r="J56" i="3"/>
  <c r="D85" i="22" s="1"/>
  <c r="F10" i="5"/>
  <c r="F11" i="5" s="1"/>
  <c r="E17" i="2"/>
  <c r="E6" i="31" s="1"/>
  <c r="E13" i="31" s="1"/>
  <c r="E14" i="31" s="1"/>
  <c r="G17" i="2"/>
  <c r="G6" i="31" s="1"/>
  <c r="G13" i="31" s="1"/>
  <c r="G14" i="31" s="1"/>
  <c r="D86" i="27" l="1"/>
  <c r="D62" i="27"/>
  <c r="D37" i="27"/>
  <c r="F14" i="31"/>
  <c r="E30" i="2"/>
  <c r="E92" i="29"/>
  <c r="E92" i="31"/>
  <c r="F30" i="2"/>
  <c r="G30" i="2"/>
  <c r="O159" i="3"/>
  <c r="P149" i="3"/>
  <c r="P152" i="3" s="1"/>
  <c r="J77" i="22"/>
  <c r="J45" i="22"/>
  <c r="E23" i="5"/>
  <c r="H11" i="5"/>
  <c r="F23" i="5"/>
  <c r="M97" i="3"/>
  <c r="M98" i="3" s="1"/>
  <c r="M99" i="3" s="1"/>
  <c r="N96" i="3"/>
  <c r="N97" i="3" s="1"/>
  <c r="M142" i="3"/>
  <c r="M146" i="3" s="1"/>
  <c r="M13" i="3" s="1"/>
  <c r="L13" i="3"/>
  <c r="I45" i="22"/>
  <c r="I77" i="22"/>
  <c r="M159" i="3"/>
  <c r="H32" i="4"/>
  <c r="I36" i="2"/>
  <c r="K42" i="4"/>
  <c r="I12" i="4"/>
  <c r="D8" i="22"/>
  <c r="H159" i="21"/>
  <c r="I159" i="21" s="1"/>
  <c r="J159" i="21" s="1"/>
  <c r="K159" i="21" s="1"/>
  <c r="L159" i="21" s="1"/>
  <c r="M159" i="21" s="1"/>
  <c r="N159" i="21" s="1"/>
  <c r="N121" i="3"/>
  <c r="N122" i="3" s="1"/>
  <c r="N123" i="3" s="1"/>
  <c r="O121" i="3" s="1"/>
  <c r="O122" i="3" s="1"/>
  <c r="N70" i="3"/>
  <c r="N71" i="3" s="1"/>
  <c r="J136" i="3"/>
  <c r="J80" i="3"/>
  <c r="M107" i="3"/>
  <c r="N105" i="3" s="1"/>
  <c r="N106" i="3" s="1"/>
  <c r="N107" i="3" s="1"/>
  <c r="O105" i="3" s="1"/>
  <c r="O106" i="3" s="1"/>
  <c r="O107" i="3" s="1"/>
  <c r="P105" i="3" s="1"/>
  <c r="P106" i="3" s="1"/>
  <c r="P107" i="3" s="1"/>
  <c r="M131" i="3"/>
  <c r="N129" i="3" s="1"/>
  <c r="N130" i="3" s="1"/>
  <c r="N131" i="3" s="1"/>
  <c r="O129" i="3" s="1"/>
  <c r="O130" i="3" s="1"/>
  <c r="O131" i="3" s="1"/>
  <c r="P129" i="3" s="1"/>
  <c r="P130" i="3" s="1"/>
  <c r="P131" i="3" s="1"/>
  <c r="M115" i="3"/>
  <c r="N113" i="3" s="1"/>
  <c r="N114" i="3" s="1"/>
  <c r="N115" i="3" s="1"/>
  <c r="O113" i="3" s="1"/>
  <c r="O114" i="3" s="1"/>
  <c r="O115" i="3" s="1"/>
  <c r="P113" i="3" s="1"/>
  <c r="P114" i="3" s="1"/>
  <c r="P115" i="3" s="1"/>
  <c r="M88" i="3"/>
  <c r="N86" i="3" s="1"/>
  <c r="N87" i="3" s="1"/>
  <c r="N88" i="3" s="1"/>
  <c r="O86" i="3" s="1"/>
  <c r="O87" i="3" s="1"/>
  <c r="O88" i="3" s="1"/>
  <c r="P86" i="3" s="1"/>
  <c r="P87" i="3" s="1"/>
  <c r="P88" i="3" s="1"/>
  <c r="N159" i="3"/>
  <c r="H153" i="21"/>
  <c r="I153" i="21" s="1"/>
  <c r="J153" i="21" s="1"/>
  <c r="K153" i="21" s="1"/>
  <c r="L153" i="21" s="1"/>
  <c r="M153" i="21" s="1"/>
  <c r="N153" i="21" s="1"/>
  <c r="H156" i="21"/>
  <c r="I156" i="21" s="1"/>
  <c r="J156" i="21" s="1"/>
  <c r="K156" i="21" s="1"/>
  <c r="L156" i="21" s="1"/>
  <c r="M156" i="21" s="1"/>
  <c r="N156" i="21" s="1"/>
  <c r="E61" i="3"/>
  <c r="D61" i="3"/>
  <c r="G61" i="3"/>
  <c r="F61" i="3"/>
  <c r="K56" i="3"/>
  <c r="E85" i="22" s="1"/>
  <c r="H11" i="31" l="1"/>
  <c r="I34" i="3"/>
  <c r="E32" i="2"/>
  <c r="E9" i="31" s="1"/>
  <c r="E7" i="31"/>
  <c r="G32" i="2"/>
  <c r="G9" i="31" s="1"/>
  <c r="G7" i="31"/>
  <c r="F32" i="2"/>
  <c r="F9" i="31" s="1"/>
  <c r="F7" i="31"/>
  <c r="O123" i="3"/>
  <c r="P121" i="3" s="1"/>
  <c r="P122" i="3" s="1"/>
  <c r="P123" i="3" s="1"/>
  <c r="P159" i="3"/>
  <c r="O96" i="3"/>
  <c r="N142" i="3"/>
  <c r="N146" i="3" s="1"/>
  <c r="N13" i="3" s="1"/>
  <c r="M158" i="3"/>
  <c r="M161" i="3" s="1"/>
  <c r="L36" i="4" s="1"/>
  <c r="L42" i="4" s="1"/>
  <c r="N98" i="3"/>
  <c r="N99" i="3" s="1"/>
  <c r="H160" i="21"/>
  <c r="J27" i="2" s="1"/>
  <c r="D58" i="22" s="1"/>
  <c r="I269" i="3"/>
  <c r="C7" i="22"/>
  <c r="C12" i="22" s="1"/>
  <c r="I41" i="2"/>
  <c r="F39" i="2"/>
  <c r="F34" i="2"/>
  <c r="E39" i="2"/>
  <c r="G39" i="2"/>
  <c r="N72" i="3"/>
  <c r="O70" i="3" s="1"/>
  <c r="O71" i="3" s="1"/>
  <c r="J133" i="3"/>
  <c r="J12" i="3" s="1"/>
  <c r="D92" i="22" s="1"/>
  <c r="D94" i="22" s="1"/>
  <c r="K78" i="3"/>
  <c r="H157" i="21"/>
  <c r="J26" i="2" s="1"/>
  <c r="I160" i="21"/>
  <c r="K27" i="2" s="1"/>
  <c r="E58" i="22" s="1"/>
  <c r="H154" i="21"/>
  <c r="J25" i="2" s="1"/>
  <c r="L56" i="3"/>
  <c r="F85" i="22" s="1"/>
  <c r="H21" i="5"/>
  <c r="H19" i="5" s="1"/>
  <c r="I51" i="3" s="1"/>
  <c r="C80" i="22" s="1"/>
  <c r="H16" i="5"/>
  <c r="D57" i="22" l="1"/>
  <c r="D56" i="22"/>
  <c r="O97" i="3"/>
  <c r="O98" i="3" s="1"/>
  <c r="P96" i="3"/>
  <c r="P97" i="3" s="1"/>
  <c r="N158" i="3"/>
  <c r="N161" i="3" s="1"/>
  <c r="M36" i="4" s="1"/>
  <c r="M42" i="4" s="1"/>
  <c r="O142" i="3"/>
  <c r="O146" i="3" s="1"/>
  <c r="F40" i="2"/>
  <c r="C36" i="22"/>
  <c r="C37" i="22" s="1"/>
  <c r="C38" i="22" s="1"/>
  <c r="G19" i="21" s="1"/>
  <c r="I270" i="3"/>
  <c r="C24" i="22"/>
  <c r="C25" i="22" s="1"/>
  <c r="C26" i="22" s="1"/>
  <c r="I35" i="3"/>
  <c r="J24" i="2"/>
  <c r="D55" i="22" s="1"/>
  <c r="O72" i="3"/>
  <c r="P70" i="3" s="1"/>
  <c r="P71" i="3" s="1"/>
  <c r="K135" i="3"/>
  <c r="K31" i="2" s="1"/>
  <c r="E20" i="27" s="1"/>
  <c r="K79" i="3"/>
  <c r="J18" i="3"/>
  <c r="J154" i="3"/>
  <c r="J155" i="3" s="1"/>
  <c r="J160" i="3" s="1"/>
  <c r="I21" i="5"/>
  <c r="I11" i="5"/>
  <c r="H9" i="5"/>
  <c r="I154" i="21"/>
  <c r="K25" i="2" s="1"/>
  <c r="J160" i="21"/>
  <c r="L27" i="2" s="1"/>
  <c r="F58" i="22" s="1"/>
  <c r="H14" i="5"/>
  <c r="I21" i="3" s="1"/>
  <c r="C68" i="22" s="1"/>
  <c r="I16" i="5"/>
  <c r="I157" i="21"/>
  <c r="K26" i="2" s="1"/>
  <c r="H22" i="4"/>
  <c r="F36" i="2"/>
  <c r="F11" i="4"/>
  <c r="F31" i="4" s="1"/>
  <c r="F33" i="4" s="1"/>
  <c r="F58" i="4" s="1"/>
  <c r="I57" i="3"/>
  <c r="M56" i="3"/>
  <c r="G85" i="22" s="1"/>
  <c r="E34" i="2"/>
  <c r="E40" i="2"/>
  <c r="G34" i="2"/>
  <c r="G40" i="2"/>
  <c r="E57" i="22" l="1"/>
  <c r="E86" i="27"/>
  <c r="E62" i="27"/>
  <c r="E37" i="27"/>
  <c r="F92" i="29"/>
  <c r="F92" i="31"/>
  <c r="F41" i="2"/>
  <c r="F11" i="31"/>
  <c r="P72" i="3"/>
  <c r="O99" i="3"/>
  <c r="P98" i="3"/>
  <c r="P99" i="3" s="1"/>
  <c r="O158" i="3"/>
  <c r="O161" i="3" s="1"/>
  <c r="N36" i="4" s="1"/>
  <c r="N42" i="4" s="1"/>
  <c r="P142" i="3"/>
  <c r="P146" i="3" s="1"/>
  <c r="O13" i="3"/>
  <c r="I22" i="3"/>
  <c r="C69" i="22" s="1"/>
  <c r="K24" i="2"/>
  <c r="E55" i="22" s="1"/>
  <c r="E56" i="22"/>
  <c r="I59" i="3"/>
  <c r="E8" i="22"/>
  <c r="J12" i="4"/>
  <c r="K80" i="3"/>
  <c r="K136" i="3"/>
  <c r="J157" i="21"/>
  <c r="L26" i="2" s="1"/>
  <c r="J16" i="5"/>
  <c r="J154" i="21"/>
  <c r="L25" i="2" s="1"/>
  <c r="J11" i="5"/>
  <c r="I9" i="5"/>
  <c r="J21" i="5"/>
  <c r="H21" i="4"/>
  <c r="E36" i="2"/>
  <c r="E11" i="4"/>
  <c r="E31" i="4" s="1"/>
  <c r="E33" i="4" s="1"/>
  <c r="E58" i="4" s="1"/>
  <c r="E60" i="4" s="1"/>
  <c r="F59" i="4" s="1"/>
  <c r="F60" i="4" s="1"/>
  <c r="G36" i="2"/>
  <c r="G11" i="4"/>
  <c r="G31" i="4" s="1"/>
  <c r="G33" i="4" s="1"/>
  <c r="G58" i="4" s="1"/>
  <c r="N56" i="3"/>
  <c r="F57" i="22" l="1"/>
  <c r="E41" i="2"/>
  <c r="E11" i="31"/>
  <c r="G41" i="2"/>
  <c r="G11" i="31"/>
  <c r="F56" i="22"/>
  <c r="P158" i="3"/>
  <c r="P161" i="3" s="1"/>
  <c r="O36" i="4" s="1"/>
  <c r="O42" i="4" s="1"/>
  <c r="P13" i="3"/>
  <c r="G60" i="4"/>
  <c r="H59" i="4" s="1"/>
  <c r="H20" i="4"/>
  <c r="H31" i="4" s="1"/>
  <c r="H33" i="4" s="1"/>
  <c r="O56" i="3"/>
  <c r="H85" i="22"/>
  <c r="J22" i="3"/>
  <c r="K133" i="3"/>
  <c r="L78" i="3"/>
  <c r="L24" i="2"/>
  <c r="F55" i="22" s="1"/>
  <c r="K11" i="5"/>
  <c r="J9" i="5"/>
  <c r="K21" i="5"/>
  <c r="K16" i="5"/>
  <c r="J14" i="5"/>
  <c r="I85" i="22" l="1"/>
  <c r="P56" i="3"/>
  <c r="J85" i="22" s="1"/>
  <c r="K22" i="3"/>
  <c r="E69" i="22" s="1"/>
  <c r="I20" i="4"/>
  <c r="D69" i="22"/>
  <c r="L135" i="3"/>
  <c r="L31" i="2" s="1"/>
  <c r="L79" i="3"/>
  <c r="K154" i="3"/>
  <c r="K155" i="3" s="1"/>
  <c r="K160" i="3" s="1"/>
  <c r="K12" i="3"/>
  <c r="K21" i="3"/>
  <c r="E68" i="22" s="1"/>
  <c r="L16" i="5"/>
  <c r="M16" i="5" s="1"/>
  <c r="N16" i="5" s="1"/>
  <c r="O16" i="5" s="1"/>
  <c r="K14" i="5"/>
  <c r="L21" i="5"/>
  <c r="M21" i="5" s="1"/>
  <c r="N21" i="5" s="1"/>
  <c r="O21" i="5" s="1"/>
  <c r="L11" i="5"/>
  <c r="K9" i="5"/>
  <c r="F20" i="27" l="1"/>
  <c r="F86" i="27"/>
  <c r="F62" i="27"/>
  <c r="F37" i="27"/>
  <c r="G92" i="31"/>
  <c r="G92" i="29"/>
  <c r="J20" i="4"/>
  <c r="L22" i="3"/>
  <c r="K20" i="4" s="1"/>
  <c r="K18" i="3"/>
  <c r="E92" i="22"/>
  <c r="E94" i="22" s="1"/>
  <c r="K12" i="4"/>
  <c r="F8" i="22"/>
  <c r="L136" i="3"/>
  <c r="L80" i="3"/>
  <c r="L21" i="3"/>
  <c r="L21" i="2"/>
  <c r="M11" i="5"/>
  <c r="N11" i="5" s="1"/>
  <c r="O11" i="5" s="1"/>
  <c r="H56" i="4"/>
  <c r="F52" i="22" l="1"/>
  <c r="F59" i="22" s="1"/>
  <c r="F61" i="22" s="1"/>
  <c r="F69" i="22"/>
  <c r="K21" i="4"/>
  <c r="F68" i="22"/>
  <c r="L133" i="3"/>
  <c r="M78" i="3"/>
  <c r="K20" i="5"/>
  <c r="K19" i="5" s="1"/>
  <c r="L28" i="2"/>
  <c r="H58" i="4"/>
  <c r="H60" i="4" s="1"/>
  <c r="L30" i="2" l="1"/>
  <c r="G8" i="31" s="1"/>
  <c r="F84" i="27"/>
  <c r="F87" i="27" s="1"/>
  <c r="F91" i="27" s="1"/>
  <c r="F60" i="27"/>
  <c r="F35" i="27"/>
  <c r="L51" i="3"/>
  <c r="F80" i="22" s="1"/>
  <c r="F86" i="22" s="1"/>
  <c r="I23" i="3"/>
  <c r="C70" i="22" s="1"/>
  <c r="G15" i="21"/>
  <c r="M135" i="3"/>
  <c r="M31" i="2" s="1"/>
  <c r="G20" i="27" s="1"/>
  <c r="M79" i="3"/>
  <c r="L154" i="3"/>
  <c r="L155" i="3" s="1"/>
  <c r="L160" i="3" s="1"/>
  <c r="L12" i="3"/>
  <c r="I59" i="4"/>
  <c r="C75" i="22" l="1"/>
  <c r="C87" i="22" s="1"/>
  <c r="G17" i="21" s="1"/>
  <c r="L39" i="2"/>
  <c r="J13" i="21" s="1"/>
  <c r="L32" i="2"/>
  <c r="E6" i="35" s="1"/>
  <c r="G10" i="31"/>
  <c r="G7" i="29"/>
  <c r="G8" i="29" s="1"/>
  <c r="G86" i="27"/>
  <c r="G62" i="27"/>
  <c r="G37" i="27"/>
  <c r="H92" i="31"/>
  <c r="H92" i="29"/>
  <c r="L57" i="3"/>
  <c r="I28" i="3"/>
  <c r="I30" i="3" s="1"/>
  <c r="I61" i="3" s="1"/>
  <c r="L18" i="3"/>
  <c r="F92" i="22"/>
  <c r="F94" i="22" s="1"/>
  <c r="G8" i="22"/>
  <c r="L12" i="4"/>
  <c r="M136" i="3"/>
  <c r="M80" i="3"/>
  <c r="F18" i="27" l="1"/>
  <c r="L40" i="2"/>
  <c r="G9" i="29"/>
  <c r="G10" i="29" s="1"/>
  <c r="M133" i="3"/>
  <c r="N78" i="3"/>
  <c r="K106" i="21"/>
  <c r="K107" i="21" s="1"/>
  <c r="N135" i="3" l="1"/>
  <c r="N79" i="3"/>
  <c r="M154" i="3"/>
  <c r="M155" i="3" s="1"/>
  <c r="M160" i="3" s="1"/>
  <c r="M12" i="3"/>
  <c r="L106" i="21"/>
  <c r="L107" i="21" s="1"/>
  <c r="M11" i="2"/>
  <c r="L10" i="5" l="1"/>
  <c r="L9" i="5" s="1"/>
  <c r="M22" i="3" s="1"/>
  <c r="G4" i="27"/>
  <c r="M18" i="3"/>
  <c r="G92" i="22"/>
  <c r="G94" i="22" s="1"/>
  <c r="K143" i="21"/>
  <c r="M20" i="2" s="1"/>
  <c r="G48" i="22"/>
  <c r="G49" i="22" s="1"/>
  <c r="N31" i="2"/>
  <c r="H20" i="27" s="1"/>
  <c r="N80" i="3"/>
  <c r="N136" i="3"/>
  <c r="K160" i="21"/>
  <c r="M27" i="2" s="1"/>
  <c r="G58" i="22" s="1"/>
  <c r="K148" i="21"/>
  <c r="N11" i="2"/>
  <c r="K154" i="21"/>
  <c r="M25" i="2" s="1"/>
  <c r="K157" i="21"/>
  <c r="M26" i="2" s="1"/>
  <c r="M22" i="2"/>
  <c r="G53" i="22" s="1"/>
  <c r="M17" i="2"/>
  <c r="M42" i="2"/>
  <c r="G57" i="22" l="1"/>
  <c r="F7" i="27"/>
  <c r="F8" i="27" s="1"/>
  <c r="H86" i="27"/>
  <c r="H62" i="27"/>
  <c r="H37" i="27"/>
  <c r="H13" i="31"/>
  <c r="H14" i="31" s="1"/>
  <c r="E19" i="31" s="1"/>
  <c r="G57" i="27"/>
  <c r="G81" i="27"/>
  <c r="G32" i="27"/>
  <c r="I92" i="31"/>
  <c r="I92" i="29"/>
  <c r="G56" i="22"/>
  <c r="G51" i="22"/>
  <c r="H6" i="29"/>
  <c r="H13" i="29" s="1"/>
  <c r="H14" i="29" s="1"/>
  <c r="M10" i="5"/>
  <c r="M9" i="5" s="1"/>
  <c r="N22" i="3" s="1"/>
  <c r="H69" i="22" s="1"/>
  <c r="H4" i="27"/>
  <c r="P11" i="2"/>
  <c r="J4" i="27" s="1"/>
  <c r="N106" i="21"/>
  <c r="L20" i="4"/>
  <c r="G69" i="22"/>
  <c r="O11" i="2"/>
  <c r="M106" i="21"/>
  <c r="M107" i="21" s="1"/>
  <c r="L143" i="21"/>
  <c r="N20" i="2" s="1"/>
  <c r="H48" i="22"/>
  <c r="H49" i="22" s="1"/>
  <c r="L15" i="5"/>
  <c r="M12" i="4"/>
  <c r="H8" i="22"/>
  <c r="N133" i="3"/>
  <c r="N154" i="3" s="1"/>
  <c r="N155" i="3" s="1"/>
  <c r="N160" i="3" s="1"/>
  <c r="O78" i="3"/>
  <c r="N22" i="2"/>
  <c r="H53" i="22" s="1"/>
  <c r="L157" i="21"/>
  <c r="N26" i="2" s="1"/>
  <c r="L154" i="21"/>
  <c r="N25" i="2" s="1"/>
  <c r="N42" i="2"/>
  <c r="N17" i="2"/>
  <c r="M24" i="2"/>
  <c r="G55" i="22" s="1"/>
  <c r="L160" i="21"/>
  <c r="N27" i="2" s="1"/>
  <c r="H58" i="22" s="1"/>
  <c r="L148" i="21"/>
  <c r="F12" i="27" l="1"/>
  <c r="F9" i="27"/>
  <c r="H57" i="22"/>
  <c r="H57" i="27"/>
  <c r="H81" i="27"/>
  <c r="H32" i="27"/>
  <c r="H56" i="22"/>
  <c r="H51" i="22"/>
  <c r="I6" i="29"/>
  <c r="I13" i="29" s="1"/>
  <c r="I14" i="29" s="1"/>
  <c r="M143" i="21"/>
  <c r="O20" i="2" s="1"/>
  <c r="I4" i="27"/>
  <c r="N107" i="21"/>
  <c r="P42" i="2"/>
  <c r="P17" i="2"/>
  <c r="O10" i="5"/>
  <c r="O9" i="5" s="1"/>
  <c r="P22" i="3" s="1"/>
  <c r="P22" i="2"/>
  <c r="J53" i="22" s="1"/>
  <c r="J48" i="22"/>
  <c r="J49" i="22" s="1"/>
  <c r="N143" i="21"/>
  <c r="P20" i="2" s="1"/>
  <c r="N148" i="21"/>
  <c r="N160" i="21"/>
  <c r="P27" i="2" s="1"/>
  <c r="J58" i="22" s="1"/>
  <c r="N157" i="21"/>
  <c r="P26" i="2" s="1"/>
  <c r="N154" i="21"/>
  <c r="P25" i="2" s="1"/>
  <c r="M20" i="4"/>
  <c r="O42" i="2"/>
  <c r="I48" i="22"/>
  <c r="I49" i="22" s="1"/>
  <c r="N10" i="5"/>
  <c r="N9" i="5" s="1"/>
  <c r="M160" i="21"/>
  <c r="O27" i="2" s="1"/>
  <c r="I58" i="22" s="1"/>
  <c r="M157" i="21"/>
  <c r="O26" i="2" s="1"/>
  <c r="M154" i="21"/>
  <c r="O25" i="2" s="1"/>
  <c r="O17" i="2"/>
  <c r="O22" i="2"/>
  <c r="I53" i="22" s="1"/>
  <c r="M148" i="21"/>
  <c r="M15" i="5"/>
  <c r="M14" i="5" s="1"/>
  <c r="N12" i="3"/>
  <c r="O79" i="3"/>
  <c r="O135" i="3"/>
  <c r="O31" i="2" s="1"/>
  <c r="I20" i="27" s="1"/>
  <c r="N24" i="2"/>
  <c r="H55" i="22" s="1"/>
  <c r="L14" i="5"/>
  <c r="J57" i="22" l="1"/>
  <c r="I57" i="22"/>
  <c r="I86" i="27"/>
  <c r="I62" i="27"/>
  <c r="I37" i="27"/>
  <c r="I57" i="27"/>
  <c r="I81" i="27"/>
  <c r="I32" i="27"/>
  <c r="J81" i="27"/>
  <c r="J32" i="27"/>
  <c r="J57" i="27"/>
  <c r="J92" i="29"/>
  <c r="J92" i="31"/>
  <c r="I51" i="22"/>
  <c r="I56" i="22"/>
  <c r="N15" i="5"/>
  <c r="N14" i="5" s="1"/>
  <c r="O21" i="3" s="1"/>
  <c r="I68" i="22" s="1"/>
  <c r="J6" i="29"/>
  <c r="J13" i="29" s="1"/>
  <c r="J14" i="29" s="1"/>
  <c r="K6" i="29"/>
  <c r="K13" i="29" s="1"/>
  <c r="J69" i="22"/>
  <c r="P24" i="2"/>
  <c r="J55" i="22" s="1"/>
  <c r="J56" i="22"/>
  <c r="J51" i="22"/>
  <c r="O15" i="5"/>
  <c r="O14" i="5" s="1"/>
  <c r="O22" i="3"/>
  <c r="O20" i="4" s="1"/>
  <c r="O24" i="2"/>
  <c r="I55" i="22" s="1"/>
  <c r="N18" i="3"/>
  <c r="H92" i="22"/>
  <c r="H94" i="22" s="1"/>
  <c r="I8" i="22"/>
  <c r="N12" i="4"/>
  <c r="O80" i="3"/>
  <c r="O136" i="3"/>
  <c r="M21" i="3"/>
  <c r="M21" i="2"/>
  <c r="G7" i="27" s="1"/>
  <c r="N21" i="3"/>
  <c r="N21" i="2"/>
  <c r="H7" i="27" s="1"/>
  <c r="G52" i="22" l="1"/>
  <c r="G59" i="22" s="1"/>
  <c r="G61" i="22" s="1"/>
  <c r="H52" i="22"/>
  <c r="H59" i="22" s="1"/>
  <c r="H61" i="22" s="1"/>
  <c r="O21" i="2"/>
  <c r="I7" i="27" s="1"/>
  <c r="K14" i="29"/>
  <c r="E19" i="29" s="1"/>
  <c r="O133" i="3"/>
  <c r="O154" i="3" s="1"/>
  <c r="O155" i="3" s="1"/>
  <c r="O160" i="3" s="1"/>
  <c r="P78" i="3"/>
  <c r="P21" i="2"/>
  <c r="J7" i="27" s="1"/>
  <c r="P21" i="3"/>
  <c r="I69" i="22"/>
  <c r="N20" i="4"/>
  <c r="L21" i="4"/>
  <c r="G68" i="22"/>
  <c r="N21" i="4"/>
  <c r="H68" i="22"/>
  <c r="M21" i="4"/>
  <c r="L20" i="5"/>
  <c r="L19" i="5" s="1"/>
  <c r="M28" i="2"/>
  <c r="M20" i="5"/>
  <c r="M19" i="5" s="1"/>
  <c r="N28" i="2"/>
  <c r="N30" i="2" l="1"/>
  <c r="N39" i="2" s="1"/>
  <c r="L13" i="21" s="1"/>
  <c r="H35" i="27"/>
  <c r="H60" i="27"/>
  <c r="H84" i="27"/>
  <c r="H87" i="27" s="1"/>
  <c r="H91" i="27" s="1"/>
  <c r="M30" i="2"/>
  <c r="H8" i="31" s="1"/>
  <c r="G60" i="27"/>
  <c r="G35" i="27"/>
  <c r="G84" i="27"/>
  <c r="G87" i="27" s="1"/>
  <c r="G91" i="27" s="1"/>
  <c r="N20" i="5"/>
  <c r="N19" i="5" s="1"/>
  <c r="O51" i="3" s="1"/>
  <c r="O57" i="3" s="1"/>
  <c r="G8" i="27"/>
  <c r="J8" i="27"/>
  <c r="H8" i="27"/>
  <c r="O12" i="3"/>
  <c r="O18" i="3" s="1"/>
  <c r="O28" i="2"/>
  <c r="I52" i="22"/>
  <c r="I59" i="22" s="1"/>
  <c r="I61" i="22" s="1"/>
  <c r="P135" i="3"/>
  <c r="P31" i="2" s="1"/>
  <c r="P79" i="3"/>
  <c r="O21" i="4"/>
  <c r="J68" i="22"/>
  <c r="O20" i="5"/>
  <c r="O19" i="5" s="1"/>
  <c r="P51" i="3" s="1"/>
  <c r="J52" i="22"/>
  <c r="J59" i="22" s="1"/>
  <c r="J61" i="22" s="1"/>
  <c r="P28" i="2"/>
  <c r="N51" i="3"/>
  <c r="H80" i="22" s="1"/>
  <c r="H86" i="22" s="1"/>
  <c r="M51" i="3"/>
  <c r="G80" i="22" s="1"/>
  <c r="G86" i="22" s="1"/>
  <c r="N32" i="2" l="1"/>
  <c r="G6" i="35" s="1"/>
  <c r="I7" i="29"/>
  <c r="I8" i="29" s="1"/>
  <c r="M32" i="2"/>
  <c r="F6" i="35" s="1"/>
  <c r="M39" i="2"/>
  <c r="K13" i="21" s="1"/>
  <c r="H7" i="29"/>
  <c r="H8" i="29" s="1"/>
  <c r="J20" i="27"/>
  <c r="J11" i="27"/>
  <c r="H10" i="31"/>
  <c r="O30" i="2"/>
  <c r="J7" i="29" s="1"/>
  <c r="J8" i="29" s="1"/>
  <c r="I84" i="27"/>
  <c r="I87" i="27" s="1"/>
  <c r="I91" i="27" s="1"/>
  <c r="I35" i="27"/>
  <c r="I60" i="27"/>
  <c r="P30" i="2"/>
  <c r="P32" i="2" s="1"/>
  <c r="I6" i="35" s="1"/>
  <c r="J84" i="27"/>
  <c r="J35" i="27"/>
  <c r="J60" i="27"/>
  <c r="H9" i="27"/>
  <c r="H12" i="27"/>
  <c r="J9" i="27"/>
  <c r="J12" i="27"/>
  <c r="G9" i="27"/>
  <c r="G12" i="27"/>
  <c r="I8" i="27"/>
  <c r="I92" i="22"/>
  <c r="I94" i="22" s="1"/>
  <c r="J86" i="27"/>
  <c r="J62" i="27"/>
  <c r="J37" i="27"/>
  <c r="K92" i="31"/>
  <c r="K92" i="29"/>
  <c r="I9" i="29"/>
  <c r="I10" i="29" s="1"/>
  <c r="J80" i="22"/>
  <c r="J86" i="22" s="1"/>
  <c r="O22" i="4"/>
  <c r="P57" i="3"/>
  <c r="P80" i="3"/>
  <c r="P133" i="3" s="1"/>
  <c r="P136" i="3"/>
  <c r="J8" i="22"/>
  <c r="O12" i="4"/>
  <c r="N57" i="3"/>
  <c r="I80" i="22"/>
  <c r="I86" i="22" s="1"/>
  <c r="M22" i="4"/>
  <c r="N22" i="4"/>
  <c r="M57" i="3"/>
  <c r="L22" i="4"/>
  <c r="M40" i="2"/>
  <c r="I14" i="5"/>
  <c r="K7" i="29" l="1"/>
  <c r="K8" i="29" s="1"/>
  <c r="N40" i="2"/>
  <c r="O39" i="2"/>
  <c r="M13" i="21" s="1"/>
  <c r="G18" i="27"/>
  <c r="J18" i="27"/>
  <c r="H18" i="27"/>
  <c r="H9" i="29"/>
  <c r="H10" i="29" s="1"/>
  <c r="P39" i="2"/>
  <c r="N13" i="21" s="1"/>
  <c r="O32" i="2"/>
  <c r="H6" i="35" s="1"/>
  <c r="J13" i="27"/>
  <c r="J14" i="27" s="1"/>
  <c r="J87" i="27"/>
  <c r="J91" i="27" s="1"/>
  <c r="J38" i="27"/>
  <c r="J42" i="27" s="1"/>
  <c r="J63" i="27"/>
  <c r="J67" i="27" s="1"/>
  <c r="I12" i="27"/>
  <c r="I9" i="27"/>
  <c r="K9" i="29"/>
  <c r="K10" i="29" s="1"/>
  <c r="P12" i="3"/>
  <c r="P154" i="3"/>
  <c r="P155" i="3" s="1"/>
  <c r="P160" i="3" s="1"/>
  <c r="P40" i="2"/>
  <c r="P34" i="2"/>
  <c r="J21" i="3"/>
  <c r="D68" i="22" s="1"/>
  <c r="K21" i="2"/>
  <c r="E7" i="27" s="1"/>
  <c r="J21" i="2"/>
  <c r="D7" i="27" s="1"/>
  <c r="I18" i="27" l="1"/>
  <c r="J9" i="29"/>
  <c r="J10" i="29" s="1"/>
  <c r="O40" i="2"/>
  <c r="D8" i="27"/>
  <c r="E52" i="22"/>
  <c r="E59" i="22" s="1"/>
  <c r="E61" i="22" s="1"/>
  <c r="J92" i="22"/>
  <c r="J94" i="22" s="1"/>
  <c r="P18" i="3"/>
  <c r="O11" i="4"/>
  <c r="O31" i="4" s="1"/>
  <c r="N195" i="21"/>
  <c r="I7" i="35" s="1"/>
  <c r="I8" i="35" s="1"/>
  <c r="I10" i="35" s="1"/>
  <c r="I13" i="35" s="1"/>
  <c r="I63" i="35" s="1"/>
  <c r="I66" i="35" s="1"/>
  <c r="I21" i="4"/>
  <c r="J21" i="4"/>
  <c r="I20" i="5"/>
  <c r="I19" i="5" s="1"/>
  <c r="D52" i="22"/>
  <c r="D59" i="22" s="1"/>
  <c r="D61" i="22" s="1"/>
  <c r="J20" i="5"/>
  <c r="J19" i="5" s="1"/>
  <c r="K28" i="2"/>
  <c r="J28" i="2"/>
  <c r="J30" i="2" l="1"/>
  <c r="E8" i="31" s="1"/>
  <c r="D60" i="27"/>
  <c r="D35" i="27"/>
  <c r="D84" i="27"/>
  <c r="D87" i="27" s="1"/>
  <c r="D91" i="27" s="1"/>
  <c r="K30" i="2"/>
  <c r="F8" i="31" s="1"/>
  <c r="E60" i="27"/>
  <c r="E84" i="27"/>
  <c r="E87" i="27" s="1"/>
  <c r="E91" i="27" s="1"/>
  <c r="E35" i="27"/>
  <c r="D9" i="27"/>
  <c r="D12" i="27"/>
  <c r="E8" i="27"/>
  <c r="J68" i="27"/>
  <c r="J69" i="27" s="1"/>
  <c r="J70" i="27" s="1"/>
  <c r="J71" i="27" s="1"/>
  <c r="J92" i="27"/>
  <c r="J93" i="27" s="1"/>
  <c r="J94" i="27" s="1"/>
  <c r="J95" i="27" s="1"/>
  <c r="J98" i="27" s="1"/>
  <c r="P35" i="2"/>
  <c r="J19" i="27" s="1"/>
  <c r="J21" i="27" s="1"/>
  <c r="J24" i="27" s="1"/>
  <c r="J43" i="27"/>
  <c r="J44" i="27" s="1"/>
  <c r="J45" i="27" s="1"/>
  <c r="J46" i="27" s="1"/>
  <c r="I74" i="35" s="1"/>
  <c r="D86" i="35" s="1"/>
  <c r="E16" i="31"/>
  <c r="K32" i="2"/>
  <c r="D6" i="35" s="1"/>
  <c r="K51" i="3"/>
  <c r="E80" i="22" s="1"/>
  <c r="E86" i="22" s="1"/>
  <c r="J51" i="3"/>
  <c r="D80" i="22" s="1"/>
  <c r="D86" i="22" s="1"/>
  <c r="P36" i="2" l="1"/>
  <c r="J39" i="2"/>
  <c r="H13" i="21" s="1"/>
  <c r="J32" i="2"/>
  <c r="C6" i="35" s="1"/>
  <c r="F7" i="29"/>
  <c r="F8" i="29" s="1"/>
  <c r="E7" i="29"/>
  <c r="E8" i="29" s="1"/>
  <c r="K39" i="2"/>
  <c r="I13" i="21" s="1"/>
  <c r="O32" i="4"/>
  <c r="O33" i="4" s="1"/>
  <c r="E10" i="31"/>
  <c r="F10" i="31"/>
  <c r="E18" i="27"/>
  <c r="E12" i="27"/>
  <c r="E9" i="27"/>
  <c r="E17" i="31"/>
  <c r="K91" i="31"/>
  <c r="K95" i="31" s="1"/>
  <c r="K99" i="31" s="1"/>
  <c r="K11" i="29"/>
  <c r="K12" i="29" s="1"/>
  <c r="K91" i="29"/>
  <c r="K95" i="29" s="1"/>
  <c r="K99" i="29" s="1"/>
  <c r="N14" i="21" s="1"/>
  <c r="F9" i="29"/>
  <c r="F10" i="29" s="1"/>
  <c r="J7" i="22"/>
  <c r="J12" i="22" s="1"/>
  <c r="J16" i="22" s="1"/>
  <c r="P41" i="2"/>
  <c r="I22" i="4"/>
  <c r="K22" i="4"/>
  <c r="J57" i="3"/>
  <c r="K57" i="3"/>
  <c r="J22" i="4"/>
  <c r="K40" i="2"/>
  <c r="D18" i="27" l="1"/>
  <c r="J40" i="2"/>
  <c r="E9" i="29"/>
  <c r="E10" i="29" s="1"/>
  <c r="E17" i="29" s="1"/>
  <c r="E16" i="29"/>
  <c r="M23" i="23"/>
  <c r="P23" i="23"/>
  <c r="J23" i="23"/>
  <c r="G23" i="23"/>
  <c r="G25" i="23" s="1"/>
  <c r="H22" i="23" s="1"/>
  <c r="H27" i="23" s="1"/>
  <c r="E33" i="23" l="1"/>
  <c r="E35" i="23" s="1"/>
  <c r="D31" i="22" s="1"/>
  <c r="D32" i="22" s="1"/>
  <c r="H25" i="23"/>
  <c r="I22" i="23" s="1"/>
  <c r="I25" i="23" s="1"/>
  <c r="J22" i="23" s="1"/>
  <c r="J25" i="23" s="1"/>
  <c r="K22" i="23" s="1"/>
  <c r="J27" i="23" l="1"/>
  <c r="I27" i="23"/>
  <c r="D22" i="22"/>
  <c r="D23" i="22" s="1"/>
  <c r="D96" i="22"/>
  <c r="D97" i="22" s="1"/>
  <c r="D98" i="22" s="1"/>
  <c r="H16" i="21" s="1"/>
  <c r="F32" i="23"/>
  <c r="F35" i="23" s="1"/>
  <c r="G32" i="23" s="1"/>
  <c r="G35" i="23" s="1"/>
  <c r="J274" i="3"/>
  <c r="J279" i="3" s="1"/>
  <c r="J40" i="3" s="1"/>
  <c r="D42" i="22" s="1"/>
  <c r="D46" i="22" s="1"/>
  <c r="D62" i="22" s="1"/>
  <c r="H18" i="21" s="1"/>
  <c r="K27" i="23"/>
  <c r="K25" i="23"/>
  <c r="L22" i="23" s="1"/>
  <c r="J44" i="3" l="1"/>
  <c r="I46" i="4"/>
  <c r="E31" i="22"/>
  <c r="E32" i="22" s="1"/>
  <c r="E96" i="22"/>
  <c r="E97" i="22" s="1"/>
  <c r="E98" i="22" s="1"/>
  <c r="I16" i="21" s="1"/>
  <c r="K274" i="3"/>
  <c r="K279" i="3" s="1"/>
  <c r="K40" i="3" s="1"/>
  <c r="E42" i="22" s="1"/>
  <c r="E46" i="22" s="1"/>
  <c r="E62" i="22" s="1"/>
  <c r="I18" i="21" s="1"/>
  <c r="E22" i="22"/>
  <c r="E23" i="22" s="1"/>
  <c r="L27" i="23"/>
  <c r="L25" i="23"/>
  <c r="M22" i="23" s="1"/>
  <c r="H32" i="23"/>
  <c r="H35" i="23" s="1"/>
  <c r="F22" i="22"/>
  <c r="F23" i="22" s="1"/>
  <c r="F96" i="22"/>
  <c r="F97" i="22" s="1"/>
  <c r="F98" i="22" s="1"/>
  <c r="J16" i="21" s="1"/>
  <c r="L274" i="3"/>
  <c r="L279" i="3" s="1"/>
  <c r="L40" i="3" s="1"/>
  <c r="F31" i="22"/>
  <c r="F32" i="22" s="1"/>
  <c r="K44" i="3" l="1"/>
  <c r="J46" i="4"/>
  <c r="G31" i="22"/>
  <c r="G32" i="22" s="1"/>
  <c r="G22" i="22"/>
  <c r="G23" i="22" s="1"/>
  <c r="G96" i="22"/>
  <c r="G97" i="22" s="1"/>
  <c r="G98" i="22" s="1"/>
  <c r="K16" i="21" s="1"/>
  <c r="M274" i="3"/>
  <c r="M279" i="3" s="1"/>
  <c r="M40" i="3" s="1"/>
  <c r="I32" i="23"/>
  <c r="I35" i="23" s="1"/>
  <c r="M27" i="23"/>
  <c r="M25" i="23"/>
  <c r="N22" i="23" s="1"/>
  <c r="K46" i="4"/>
  <c r="L44" i="3"/>
  <c r="F42" i="22"/>
  <c r="F46" i="22" s="1"/>
  <c r="F62" i="22" s="1"/>
  <c r="J18" i="21" s="1"/>
  <c r="G42" i="22" l="1"/>
  <c r="G46" i="22" s="1"/>
  <c r="G62" i="22" s="1"/>
  <c r="K18" i="21" s="1"/>
  <c r="L46" i="4"/>
  <c r="M44" i="3"/>
  <c r="N25" i="23"/>
  <c r="O22" i="23" s="1"/>
  <c r="N27" i="23"/>
  <c r="N274" i="3"/>
  <c r="N279" i="3" s="1"/>
  <c r="N40" i="3" s="1"/>
  <c r="H96" i="22"/>
  <c r="H97" i="22" s="1"/>
  <c r="H98" i="22" s="1"/>
  <c r="L16" i="21" s="1"/>
  <c r="H31" i="22"/>
  <c r="H32" i="22" s="1"/>
  <c r="H22" i="22"/>
  <c r="H23" i="22" s="1"/>
  <c r="J32" i="23"/>
  <c r="J35" i="23" s="1"/>
  <c r="K32" i="23" s="1"/>
  <c r="K35" i="23" s="1"/>
  <c r="J22" i="22" l="1"/>
  <c r="J23" i="22" s="1"/>
  <c r="J31" i="22"/>
  <c r="J32" i="22" s="1"/>
  <c r="J96" i="22"/>
  <c r="J97" i="22" s="1"/>
  <c r="J98" i="22" s="1"/>
  <c r="N16" i="21" s="1"/>
  <c r="P274" i="3"/>
  <c r="P279" i="3" s="1"/>
  <c r="P40" i="3" s="1"/>
  <c r="H42" i="22"/>
  <c r="H46" i="22" s="1"/>
  <c r="H62" i="22" s="1"/>
  <c r="L18" i="21" s="1"/>
  <c r="N44" i="3"/>
  <c r="M46" i="4"/>
  <c r="O27" i="23"/>
  <c r="O25" i="23"/>
  <c r="P22" i="23" s="1"/>
  <c r="O274" i="3"/>
  <c r="O279" i="3" s="1"/>
  <c r="O40" i="3" s="1"/>
  <c r="I22" i="22"/>
  <c r="I23" i="22" s="1"/>
  <c r="I96" i="22"/>
  <c r="I97" i="22" s="1"/>
  <c r="I98" i="22" s="1"/>
  <c r="M16" i="21" s="1"/>
  <c r="I31" i="22"/>
  <c r="I32" i="22" s="1"/>
  <c r="P44" i="3" l="1"/>
  <c r="O46" i="4"/>
  <c r="O56" i="4" s="1"/>
  <c r="O58" i="4" s="1"/>
  <c r="J42" i="22"/>
  <c r="J46" i="22" s="1"/>
  <c r="J62" i="22" s="1"/>
  <c r="N18" i="21" s="1"/>
  <c r="N46" i="4"/>
  <c r="I42" i="22"/>
  <c r="I46" i="22" s="1"/>
  <c r="I62" i="22" s="1"/>
  <c r="M18" i="21" s="1"/>
  <c r="O44" i="3"/>
  <c r="P27" i="23"/>
  <c r="P25" i="23"/>
  <c r="Q22" i="23" s="1"/>
  <c r="Q27" i="23" l="1"/>
  <c r="Q25" i="23"/>
  <c r="R22" i="23" s="1"/>
  <c r="R27" i="23" l="1"/>
  <c r="R25" i="23"/>
  <c r="S22" i="23" s="1"/>
  <c r="S25" i="23" l="1"/>
  <c r="T22" i="23" s="1"/>
  <c r="S27" i="23"/>
  <c r="T27" i="23" l="1"/>
  <c r="T25" i="23"/>
  <c r="U22" i="23" s="1"/>
  <c r="U25" i="23" l="1"/>
  <c r="V22" i="23" s="1"/>
  <c r="U27" i="23"/>
  <c r="V25" i="23" l="1"/>
  <c r="W22" i="23" s="1"/>
  <c r="V27" i="23"/>
  <c r="W25" i="23" l="1"/>
  <c r="X22" i="23" s="1"/>
  <c r="W27" i="23"/>
  <c r="X27" i="23" l="1"/>
  <c r="X25" i="23"/>
  <c r="Y22" i="23" s="1"/>
  <c r="Y27" i="23" l="1"/>
  <c r="Y25" i="23"/>
  <c r="Z22" i="23" s="1"/>
  <c r="Z27" i="23" l="1"/>
  <c r="Z25" i="23"/>
  <c r="AA22" i="23" s="1"/>
  <c r="AA27" i="23" l="1"/>
  <c r="AA25" i="23"/>
  <c r="AB22" i="23" s="1"/>
  <c r="AB27" i="23" l="1"/>
  <c r="AB25" i="23"/>
  <c r="AC22" i="23" s="1"/>
  <c r="AC27" i="23" l="1"/>
  <c r="AC25" i="23"/>
  <c r="AD22" i="23" s="1"/>
  <c r="AD27" i="23" l="1"/>
  <c r="AD25" i="23"/>
  <c r="AE22" i="23" s="1"/>
  <c r="AE25" i="23" l="1"/>
  <c r="AF22" i="23" s="1"/>
  <c r="AE27" i="23"/>
  <c r="AF25" i="23" l="1"/>
  <c r="AG22" i="23" s="1"/>
  <c r="AF27" i="23"/>
  <c r="AG27" i="23" l="1"/>
  <c r="AG25" i="23"/>
  <c r="AH22" i="23" s="1"/>
  <c r="AH27" i="23" l="1"/>
  <c r="AH25" i="23"/>
  <c r="AI22" i="23" s="1"/>
  <c r="AI27" i="23" l="1"/>
  <c r="AI25" i="23"/>
  <c r="AJ22" i="23" s="1"/>
  <c r="AJ25" i="23" l="1"/>
  <c r="AK22" i="23" s="1"/>
  <c r="AJ27" i="23"/>
  <c r="AK27" i="23" l="1"/>
  <c r="AK25" i="23"/>
  <c r="AL22" i="23" s="1"/>
  <c r="AL27" i="23" l="1"/>
  <c r="AL25" i="23"/>
  <c r="AM22" i="23" s="1"/>
  <c r="AM27" i="23" l="1"/>
  <c r="AM25" i="23"/>
  <c r="AN22" i="23" s="1"/>
  <c r="AN27" i="23" l="1"/>
  <c r="AN25" i="23"/>
  <c r="AO22" i="23" s="1"/>
  <c r="AO25" i="23" l="1"/>
  <c r="AP22" i="23" s="1"/>
  <c r="AO27" i="23"/>
  <c r="AP27" i="23" l="1"/>
  <c r="AP25" i="23"/>
  <c r="AQ22" i="23" s="1"/>
  <c r="AQ25" i="23" l="1"/>
  <c r="AR22" i="23" s="1"/>
  <c r="AQ27" i="23"/>
  <c r="AR27" i="23" l="1"/>
  <c r="AR25" i="23"/>
  <c r="AS22" i="23" s="1"/>
  <c r="AS25" i="23" l="1"/>
  <c r="AT22" i="23" s="1"/>
  <c r="AS27" i="23"/>
  <c r="AT27" i="23" l="1"/>
  <c r="AT25" i="23"/>
  <c r="AU22" i="23" s="1"/>
  <c r="AU27" i="23" l="1"/>
  <c r="AU25" i="23"/>
  <c r="AV22" i="23" s="1"/>
  <c r="AV25" i="23" l="1"/>
  <c r="AW22" i="23" s="1"/>
  <c r="AV27" i="23"/>
  <c r="AW25" i="23" l="1"/>
  <c r="AX22" i="23" s="1"/>
  <c r="AW27" i="23"/>
  <c r="AX27" i="23" l="1"/>
  <c r="AX25" i="23"/>
  <c r="AY22" i="23" s="1"/>
  <c r="AY25" i="23" l="1"/>
  <c r="AZ22" i="23" s="1"/>
  <c r="AY27" i="23"/>
  <c r="AZ25" i="23" l="1"/>
  <c r="BA22" i="23" s="1"/>
  <c r="AZ27" i="23"/>
  <c r="BA27" i="23" l="1"/>
  <c r="BA25" i="23"/>
  <c r="BB22" i="23" s="1"/>
  <c r="BB27" i="23" l="1"/>
  <c r="BB25" i="23"/>
  <c r="BC22" i="23" s="1"/>
  <c r="BC27" i="23" l="1"/>
  <c r="BC25" i="23"/>
  <c r="BD22" i="23" s="1"/>
  <c r="BD25" i="23" l="1"/>
  <c r="BE22" i="23" s="1"/>
  <c r="BD27" i="23"/>
  <c r="BE27" i="23" l="1"/>
  <c r="BE25" i="23"/>
  <c r="BF22" i="23" s="1"/>
  <c r="BF25" i="23" l="1"/>
  <c r="BG22" i="23" s="1"/>
  <c r="BF27" i="23"/>
  <c r="BG27" i="23" l="1"/>
  <c r="BG25" i="23"/>
  <c r="BH22" i="23" s="1"/>
  <c r="BH25" i="23" l="1"/>
  <c r="BI22" i="23" s="1"/>
  <c r="BH27" i="23"/>
  <c r="BI27" i="23" l="1"/>
  <c r="BI25" i="23"/>
  <c r="BJ22" i="23" s="1"/>
  <c r="BJ27" i="23" l="1"/>
  <c r="BJ25" i="23"/>
  <c r="BK22" i="23" s="1"/>
  <c r="BK27" i="23" l="1"/>
  <c r="BK25" i="23"/>
  <c r="BL22" i="23" s="1"/>
  <c r="BL27" i="23" l="1"/>
  <c r="BL25" i="23"/>
  <c r="BM22" i="23" s="1"/>
  <c r="BM25" i="23" l="1"/>
  <c r="BN22" i="23" s="1"/>
  <c r="BM27" i="23"/>
  <c r="BN25" i="23" l="1"/>
  <c r="BO22" i="23" s="1"/>
  <c r="BN27" i="23"/>
  <c r="BO27" i="23" l="1"/>
  <c r="BO25" i="23"/>
  <c r="BP22" i="23" s="1"/>
  <c r="BP27" i="23" l="1"/>
  <c r="BP25" i="23"/>
  <c r="BQ22" i="23" s="1"/>
  <c r="BQ25" i="23" l="1"/>
  <c r="BR22" i="23" s="1"/>
  <c r="BQ27" i="23"/>
  <c r="BR27" i="23" l="1"/>
  <c r="BR25" i="23"/>
  <c r="BS22" i="23" s="1"/>
  <c r="BS25" i="23" l="1"/>
  <c r="BT22" i="23" s="1"/>
  <c r="BS27" i="23"/>
  <c r="BT27" i="23" l="1"/>
  <c r="BT25" i="23"/>
  <c r="BU22" i="23" s="1"/>
  <c r="BU27" i="23" l="1"/>
  <c r="BU25" i="23"/>
  <c r="BV22" i="23" s="1"/>
  <c r="BV27" i="23" l="1"/>
  <c r="BV25" i="23"/>
  <c r="BW22" i="23" s="1"/>
  <c r="BW27" i="23" l="1"/>
  <c r="BW25" i="23"/>
  <c r="BX22" i="23" s="1"/>
  <c r="BX27" i="23" l="1"/>
  <c r="BX25" i="23"/>
  <c r="BY22" i="23" s="1"/>
  <c r="BY27" i="23" l="1"/>
  <c r="BY25" i="23"/>
  <c r="BZ22" i="23" s="1"/>
  <c r="H189" i="21"/>
  <c r="J89" i="2" s="1"/>
  <c r="I189" i="21"/>
  <c r="K89" i="2" s="1"/>
  <c r="J189" i="21"/>
  <c r="L89" i="2" s="1"/>
  <c r="K189" i="21"/>
  <c r="M89" i="2" s="1"/>
  <c r="L189" i="21"/>
  <c r="N89" i="2" s="1"/>
  <c r="M189" i="21"/>
  <c r="O89" i="2" s="1"/>
  <c r="BZ25" i="23" l="1"/>
  <c r="CA22" i="23" s="1"/>
  <c r="BZ27" i="23"/>
  <c r="H13" i="22"/>
  <c r="H15" i="22" s="1"/>
  <c r="N97" i="2"/>
  <c r="N33" i="2" s="1"/>
  <c r="H11" i="27" s="1"/>
  <c r="H13" i="27" s="1"/>
  <c r="H14" i="27" s="1"/>
  <c r="M97" i="2"/>
  <c r="M33" i="2" s="1"/>
  <c r="G11" i="27" s="1"/>
  <c r="G13" i="27" s="1"/>
  <c r="G14" i="27" s="1"/>
  <c r="G13" i="22"/>
  <c r="G15" i="22" s="1"/>
  <c r="L97" i="2"/>
  <c r="L33" i="2" s="1"/>
  <c r="F11" i="27" s="1"/>
  <c r="F13" i="27" s="1"/>
  <c r="F14" i="27" s="1"/>
  <c r="F13" i="22"/>
  <c r="F15" i="22" s="1"/>
  <c r="K97" i="2"/>
  <c r="K33" i="2" s="1"/>
  <c r="E11" i="27" s="1"/>
  <c r="E13" i="27" s="1"/>
  <c r="E14" i="27" s="1"/>
  <c r="E13" i="22"/>
  <c r="E15" i="22" s="1"/>
  <c r="D13" i="22"/>
  <c r="D15" i="22" s="1"/>
  <c r="J97" i="2"/>
  <c r="J33" i="2" s="1"/>
  <c r="D11" i="27" s="1"/>
  <c r="D13" i="27" s="1"/>
  <c r="D14" i="27" s="1"/>
  <c r="I13" i="22"/>
  <c r="I15" i="22" s="1"/>
  <c r="O97" i="2"/>
  <c r="O33" i="2" s="1"/>
  <c r="I11" i="27" s="1"/>
  <c r="I13" i="27" s="1"/>
  <c r="I14" i="27" s="1"/>
  <c r="D36" i="27" l="1"/>
  <c r="D38" i="27" s="1"/>
  <c r="D42" i="27" s="1"/>
  <c r="D61" i="27"/>
  <c r="D63" i="27" s="1"/>
  <c r="D67" i="27" s="1"/>
  <c r="H61" i="27"/>
  <c r="H63" i="27" s="1"/>
  <c r="H67" i="27" s="1"/>
  <c r="H36" i="27"/>
  <c r="H38" i="27" s="1"/>
  <c r="H42" i="27" s="1"/>
  <c r="F36" i="27"/>
  <c r="F38" i="27" s="1"/>
  <c r="F42" i="27" s="1"/>
  <c r="F61" i="27"/>
  <c r="F63" i="27" s="1"/>
  <c r="F67" i="27" s="1"/>
  <c r="I61" i="27"/>
  <c r="I63" i="27" s="1"/>
  <c r="I67" i="27" s="1"/>
  <c r="I36" i="27"/>
  <c r="I38" i="27" s="1"/>
  <c r="I42" i="27" s="1"/>
  <c r="E61" i="27"/>
  <c r="E63" i="27" s="1"/>
  <c r="E67" i="27" s="1"/>
  <c r="E36" i="27"/>
  <c r="E38" i="27" s="1"/>
  <c r="E42" i="27" s="1"/>
  <c r="G36" i="27"/>
  <c r="G38" i="27" s="1"/>
  <c r="G42" i="27" s="1"/>
  <c r="G61" i="27"/>
  <c r="G63" i="27" s="1"/>
  <c r="G67" i="27" s="1"/>
  <c r="J93" i="29"/>
  <c r="J97" i="29" s="1"/>
  <c r="J98" i="29" s="1"/>
  <c r="J93" i="31"/>
  <c r="J97" i="31" s="1"/>
  <c r="J98" i="31" s="1"/>
  <c r="E93" i="31"/>
  <c r="E97" i="31" s="1"/>
  <c r="E98" i="31" s="1"/>
  <c r="E93" i="29"/>
  <c r="E97" i="29" s="1"/>
  <c r="E98" i="29" s="1"/>
  <c r="I93" i="31"/>
  <c r="I97" i="31" s="1"/>
  <c r="I98" i="31" s="1"/>
  <c r="I93" i="29"/>
  <c r="I97" i="29" s="1"/>
  <c r="I98" i="29" s="1"/>
  <c r="G93" i="31"/>
  <c r="G97" i="31" s="1"/>
  <c r="G98" i="31" s="1"/>
  <c r="G93" i="29"/>
  <c r="G97" i="29" s="1"/>
  <c r="G98" i="29" s="1"/>
  <c r="F93" i="29"/>
  <c r="F97" i="29" s="1"/>
  <c r="F98" i="29" s="1"/>
  <c r="F93" i="31"/>
  <c r="F97" i="31" s="1"/>
  <c r="F98" i="31" s="1"/>
  <c r="H93" i="31"/>
  <c r="H97" i="31" s="1"/>
  <c r="H98" i="31" s="1"/>
  <c r="H93" i="29"/>
  <c r="H97" i="29" s="1"/>
  <c r="H98" i="29" s="1"/>
  <c r="CA25" i="23"/>
  <c r="CB22" i="23" s="1"/>
  <c r="CA27" i="23"/>
  <c r="I17" i="4"/>
  <c r="I55" i="4" s="1"/>
  <c r="I56" i="4" s="1"/>
  <c r="D9" i="22"/>
  <c r="J34" i="2"/>
  <c r="J17" i="4"/>
  <c r="J55" i="4" s="1"/>
  <c r="J56" i="4" s="1"/>
  <c r="E9" i="22"/>
  <c r="K34" i="2"/>
  <c r="K17" i="4"/>
  <c r="K55" i="4" s="1"/>
  <c r="K56" i="4" s="1"/>
  <c r="L34" i="2"/>
  <c r="F9" i="22"/>
  <c r="G9" i="22"/>
  <c r="L17" i="4"/>
  <c r="L55" i="4" s="1"/>
  <c r="L56" i="4" s="1"/>
  <c r="M34" i="2"/>
  <c r="M17" i="4"/>
  <c r="M55" i="4" s="1"/>
  <c r="M56" i="4" s="1"/>
  <c r="N34" i="2"/>
  <c r="H9" i="22"/>
  <c r="O34" i="2"/>
  <c r="I9" i="22"/>
  <c r="N17" i="4"/>
  <c r="N55" i="4" s="1"/>
  <c r="N56" i="4" s="1"/>
  <c r="M98" i="29" l="1"/>
  <c r="M98" i="31"/>
  <c r="CB27" i="23"/>
  <c r="CB25" i="23"/>
  <c r="CC22" i="23" s="1"/>
  <c r="K11" i="4"/>
  <c r="K31" i="4" s="1"/>
  <c r="J195" i="21"/>
  <c r="E7" i="35" s="1"/>
  <c r="E8" i="35" s="1"/>
  <c r="E10" i="35" s="1"/>
  <c r="E13" i="35" s="1"/>
  <c r="E63" i="35" s="1"/>
  <c r="E66" i="35" s="1"/>
  <c r="J11" i="4"/>
  <c r="J31" i="4" s="1"/>
  <c r="I195" i="21"/>
  <c r="D7" i="35" s="1"/>
  <c r="D8" i="35" s="1"/>
  <c r="D10" i="35" s="1"/>
  <c r="D13" i="35" s="1"/>
  <c r="D63" i="35" s="1"/>
  <c r="D66" i="35" s="1"/>
  <c r="M195" i="21"/>
  <c r="H7" i="35" s="1"/>
  <c r="H8" i="35" s="1"/>
  <c r="H10" i="35" s="1"/>
  <c r="H13" i="35" s="1"/>
  <c r="H63" i="35" s="1"/>
  <c r="H66" i="35" s="1"/>
  <c r="N11" i="4"/>
  <c r="N31" i="4" s="1"/>
  <c r="H195" i="21"/>
  <c r="C7" i="35" s="1"/>
  <c r="C8" i="35" s="1"/>
  <c r="C10" i="35" s="1"/>
  <c r="C13" i="35" s="1"/>
  <c r="I11" i="4"/>
  <c r="I31" i="4" s="1"/>
  <c r="M11" i="4"/>
  <c r="M31" i="4" s="1"/>
  <c r="L195" i="21"/>
  <c r="G7" i="35" s="1"/>
  <c r="G8" i="35" s="1"/>
  <c r="G10" i="35" s="1"/>
  <c r="G13" i="35" s="1"/>
  <c r="G63" i="35" s="1"/>
  <c r="G66" i="35" s="1"/>
  <c r="K195" i="21"/>
  <c r="F7" i="35" s="1"/>
  <c r="F8" i="35" s="1"/>
  <c r="F10" i="35" s="1"/>
  <c r="F13" i="35" s="1"/>
  <c r="F63" i="35" s="1"/>
  <c r="F66" i="35" s="1"/>
  <c r="L11" i="4"/>
  <c r="L31" i="4" s="1"/>
  <c r="C14" i="35" l="1"/>
  <c r="C63" i="35"/>
  <c r="C66" i="35" s="1"/>
  <c r="C68" i="35" s="1"/>
  <c r="E43" i="27"/>
  <c r="E44" i="27" s="1"/>
  <c r="E45" i="27" s="1"/>
  <c r="E46" i="27" s="1"/>
  <c r="D74" i="35" s="1"/>
  <c r="D81" i="35" s="1"/>
  <c r="E68" i="27"/>
  <c r="E69" i="27" s="1"/>
  <c r="E70" i="27" s="1"/>
  <c r="E71" i="27" s="1"/>
  <c r="E92" i="27"/>
  <c r="E93" i="27" s="1"/>
  <c r="E94" i="27" s="1"/>
  <c r="E95" i="27" s="1"/>
  <c r="E98" i="27" s="1"/>
  <c r="D43" i="27"/>
  <c r="D44" i="27" s="1"/>
  <c r="D45" i="27" s="1"/>
  <c r="D46" i="27" s="1"/>
  <c r="C74" i="35" s="1"/>
  <c r="D68" i="27"/>
  <c r="D69" i="27" s="1"/>
  <c r="D70" i="27" s="1"/>
  <c r="D71" i="27" s="1"/>
  <c r="D92" i="27"/>
  <c r="D93" i="27" s="1"/>
  <c r="D94" i="27" s="1"/>
  <c r="D95" i="27" s="1"/>
  <c r="H43" i="27"/>
  <c r="H44" i="27" s="1"/>
  <c r="H45" i="27" s="1"/>
  <c r="H46" i="27" s="1"/>
  <c r="G74" i="35" s="1"/>
  <c r="D84" i="35" s="1"/>
  <c r="H92" i="27"/>
  <c r="H93" i="27" s="1"/>
  <c r="H94" i="27" s="1"/>
  <c r="H95" i="27" s="1"/>
  <c r="H98" i="27" s="1"/>
  <c r="H68" i="27"/>
  <c r="H69" i="27" s="1"/>
  <c r="H70" i="27" s="1"/>
  <c r="H71" i="27" s="1"/>
  <c r="F43" i="27"/>
  <c r="F44" i="27" s="1"/>
  <c r="F45" i="27" s="1"/>
  <c r="F46" i="27" s="1"/>
  <c r="E74" i="35" s="1"/>
  <c r="D82" i="35" s="1"/>
  <c r="F68" i="27"/>
  <c r="F69" i="27" s="1"/>
  <c r="F70" i="27" s="1"/>
  <c r="F71" i="27" s="1"/>
  <c r="F92" i="27"/>
  <c r="F93" i="27" s="1"/>
  <c r="F94" i="27" s="1"/>
  <c r="F95" i="27" s="1"/>
  <c r="F98" i="27" s="1"/>
  <c r="G43" i="27"/>
  <c r="G44" i="27" s="1"/>
  <c r="G45" i="27" s="1"/>
  <c r="G46" i="27" s="1"/>
  <c r="F74" i="35" s="1"/>
  <c r="D83" i="35" s="1"/>
  <c r="G68" i="27"/>
  <c r="G69" i="27" s="1"/>
  <c r="G70" i="27" s="1"/>
  <c r="G71" i="27" s="1"/>
  <c r="G92" i="27"/>
  <c r="G93" i="27" s="1"/>
  <c r="G94" i="27" s="1"/>
  <c r="G95" i="27" s="1"/>
  <c r="G98" i="27" s="1"/>
  <c r="I43" i="27"/>
  <c r="I44" i="27" s="1"/>
  <c r="I45" i="27" s="1"/>
  <c r="I46" i="27" s="1"/>
  <c r="H74" i="35" s="1"/>
  <c r="D85" i="35" s="1"/>
  <c r="I68" i="27"/>
  <c r="I69" i="27" s="1"/>
  <c r="I70" i="27" s="1"/>
  <c r="I71" i="27" s="1"/>
  <c r="I92" i="27"/>
  <c r="I93" i="27" s="1"/>
  <c r="I94" i="27" s="1"/>
  <c r="I95" i="27" s="1"/>
  <c r="I98" i="27" s="1"/>
  <c r="O35" i="2"/>
  <c r="K35" i="2"/>
  <c r="K36" i="2" s="1"/>
  <c r="N35" i="2"/>
  <c r="L35" i="2"/>
  <c r="M35" i="2"/>
  <c r="J35" i="2"/>
  <c r="CC27" i="23"/>
  <c r="CC25" i="23"/>
  <c r="CD22" i="23" s="1"/>
  <c r="D80" i="35" l="1"/>
  <c r="D87" i="35" s="1"/>
  <c r="C75" i="35"/>
  <c r="M36" i="2"/>
  <c r="H91" i="31" s="1"/>
  <c r="H95" i="31" s="1"/>
  <c r="H99" i="31" s="1"/>
  <c r="G19" i="27"/>
  <c r="G21" i="27" s="1"/>
  <c r="G24" i="27" s="1"/>
  <c r="N36" i="2"/>
  <c r="I11" i="29" s="1"/>
  <c r="I12" i="29" s="1"/>
  <c r="H19" i="27"/>
  <c r="H21" i="27" s="1"/>
  <c r="H24" i="27" s="1"/>
  <c r="O36" i="2"/>
  <c r="J91" i="29" s="1"/>
  <c r="J95" i="29" s="1"/>
  <c r="J99" i="29" s="1"/>
  <c r="M14" i="21" s="1"/>
  <c r="I19" i="27"/>
  <c r="I21" i="27" s="1"/>
  <c r="I24" i="27" s="1"/>
  <c r="I32" i="4"/>
  <c r="I33" i="4" s="1"/>
  <c r="I58" i="4" s="1"/>
  <c r="I60" i="4" s="1"/>
  <c r="H15" i="21" s="1"/>
  <c r="D19" i="27"/>
  <c r="D21" i="27" s="1"/>
  <c r="D24" i="27" s="1"/>
  <c r="K32" i="4"/>
  <c r="K33" i="4" s="1"/>
  <c r="K58" i="4" s="1"/>
  <c r="F19" i="27"/>
  <c r="F21" i="27" s="1"/>
  <c r="F24" i="27" s="1"/>
  <c r="J32" i="4"/>
  <c r="J33" i="4" s="1"/>
  <c r="J58" i="4" s="1"/>
  <c r="E19" i="27"/>
  <c r="E21" i="27" s="1"/>
  <c r="E24" i="27" s="1"/>
  <c r="L46" i="27"/>
  <c r="D98" i="27"/>
  <c r="L95" i="27"/>
  <c r="D99" i="27" s="1"/>
  <c r="L71" i="27"/>
  <c r="M32" i="4"/>
  <c r="M33" i="4" s="1"/>
  <c r="M58" i="4" s="1"/>
  <c r="F91" i="31"/>
  <c r="F95" i="31" s="1"/>
  <c r="F99" i="31" s="1"/>
  <c r="F12" i="31"/>
  <c r="H12" i="31"/>
  <c r="J91" i="31"/>
  <c r="J95" i="31" s="1"/>
  <c r="J99" i="31" s="1"/>
  <c r="N32" i="4"/>
  <c r="N33" i="4" s="1"/>
  <c r="N58" i="4" s="1"/>
  <c r="L32" i="4"/>
  <c r="L33" i="4" s="1"/>
  <c r="L58" i="4" s="1"/>
  <c r="L36" i="2"/>
  <c r="F7" i="22" s="1"/>
  <c r="F12" i="22" s="1"/>
  <c r="F16" i="22" s="1"/>
  <c r="J36" i="2"/>
  <c r="F11" i="29"/>
  <c r="F12" i="29" s="1"/>
  <c r="F91" i="29"/>
  <c r="F95" i="29" s="1"/>
  <c r="F99" i="29" s="1"/>
  <c r="I14" i="21" s="1"/>
  <c r="M41" i="2"/>
  <c r="CD25" i="23"/>
  <c r="CD27" i="23"/>
  <c r="J59" i="4"/>
  <c r="K41" i="2"/>
  <c r="E7" i="22"/>
  <c r="E12" i="22" s="1"/>
  <c r="E16" i="22" s="1"/>
  <c r="H11" i="29" l="1"/>
  <c r="H12" i="29" s="1"/>
  <c r="I91" i="29"/>
  <c r="I95" i="29" s="1"/>
  <c r="I99" i="29" s="1"/>
  <c r="L14" i="21" s="1"/>
  <c r="I7" i="22"/>
  <c r="I12" i="22" s="1"/>
  <c r="I16" i="22" s="1"/>
  <c r="O41" i="2"/>
  <c r="J11" i="29"/>
  <c r="J12" i="29" s="1"/>
  <c r="J60" i="4"/>
  <c r="I15" i="21" s="1"/>
  <c r="J23" i="3"/>
  <c r="G7" i="22"/>
  <c r="G12" i="22" s="1"/>
  <c r="G16" i="22" s="1"/>
  <c r="H91" i="29"/>
  <c r="H95" i="29" s="1"/>
  <c r="H99" i="29" s="1"/>
  <c r="K14" i="21" s="1"/>
  <c r="E80" i="35"/>
  <c r="C77" i="35"/>
  <c r="D75" i="35"/>
  <c r="I91" i="31"/>
  <c r="I95" i="31" s="1"/>
  <c r="I99" i="31" s="1"/>
  <c r="N41" i="2"/>
  <c r="H7" i="22"/>
  <c r="H12" i="22" s="1"/>
  <c r="H16" i="22" s="1"/>
  <c r="D25" i="27"/>
  <c r="E11" i="29"/>
  <c r="E12" i="29" s="1"/>
  <c r="E91" i="31"/>
  <c r="E95" i="31" s="1"/>
  <c r="E12" i="31"/>
  <c r="G11" i="29"/>
  <c r="G12" i="29" s="1"/>
  <c r="G91" i="31"/>
  <c r="G95" i="31" s="1"/>
  <c r="G99" i="31" s="1"/>
  <c r="G12" i="31"/>
  <c r="L41" i="2"/>
  <c r="G91" i="29"/>
  <c r="G95" i="29" s="1"/>
  <c r="G99" i="29" s="1"/>
  <c r="J14" i="21" s="1"/>
  <c r="E91" i="29"/>
  <c r="E95" i="29" s="1"/>
  <c r="E99" i="29" s="1"/>
  <c r="H14" i="21" s="1"/>
  <c r="D7" i="22"/>
  <c r="D12" i="22" s="1"/>
  <c r="J41" i="2"/>
  <c r="J34" i="3"/>
  <c r="K34" i="3" s="1"/>
  <c r="J269" i="3"/>
  <c r="D36" i="22" s="1"/>
  <c r="D37" i="22" s="1"/>
  <c r="D38" i="22" s="1"/>
  <c r="H19" i="21" s="1"/>
  <c r="E36" i="23"/>
  <c r="F36" i="23"/>
  <c r="G36" i="23"/>
  <c r="H36" i="23"/>
  <c r="I36" i="23"/>
  <c r="J36" i="23"/>
  <c r="K36" i="23"/>
  <c r="K59" i="4"/>
  <c r="K60" i="4" s="1"/>
  <c r="J28" i="3"/>
  <c r="J30" i="3" s="1"/>
  <c r="D70" i="22"/>
  <c r="K23" i="3" l="1"/>
  <c r="D75" i="22"/>
  <c r="D87" i="22" s="1"/>
  <c r="H17" i="21" s="1"/>
  <c r="E75" i="35"/>
  <c r="E81" i="35"/>
  <c r="E18" i="31"/>
  <c r="C18" i="22"/>
  <c r="H72" i="27"/>
  <c r="H74" i="27" s="1"/>
  <c r="H47" i="27"/>
  <c r="H49" i="27" s="1"/>
  <c r="D72" i="27"/>
  <c r="D47" i="27"/>
  <c r="G72" i="27"/>
  <c r="G74" i="27" s="1"/>
  <c r="G47" i="27"/>
  <c r="G49" i="27" s="1"/>
  <c r="J47" i="27"/>
  <c r="J49" i="27" s="1"/>
  <c r="J72" i="27"/>
  <c r="J74" i="27" s="1"/>
  <c r="F47" i="27"/>
  <c r="F49" i="27" s="1"/>
  <c r="F72" i="27"/>
  <c r="F74" i="27" s="1"/>
  <c r="I72" i="27"/>
  <c r="I74" i="27" s="1"/>
  <c r="I47" i="27"/>
  <c r="I49" i="27" s="1"/>
  <c r="E47" i="27"/>
  <c r="E49" i="27" s="1"/>
  <c r="E72" i="27"/>
  <c r="E74" i="27" s="1"/>
  <c r="D16" i="22"/>
  <c r="C17" i="22" s="1"/>
  <c r="D24" i="22"/>
  <c r="D25" i="22" s="1"/>
  <c r="D26" i="22" s="1"/>
  <c r="E18" i="29"/>
  <c r="K269" i="3"/>
  <c r="E36" i="22" s="1"/>
  <c r="E37" i="22" s="1"/>
  <c r="E38" i="22" s="1"/>
  <c r="I19" i="21" s="1"/>
  <c r="J270" i="3"/>
  <c r="D101" i="31"/>
  <c r="E99" i="31"/>
  <c r="M95" i="31"/>
  <c r="D100" i="31" s="1"/>
  <c r="M95" i="29"/>
  <c r="D100" i="29" s="1"/>
  <c r="J35" i="3"/>
  <c r="J59" i="3" s="1"/>
  <c r="J61" i="3" s="1"/>
  <c r="D101" i="29"/>
  <c r="J15" i="21"/>
  <c r="L59" i="4"/>
  <c r="L60" i="4" s="1"/>
  <c r="L23" i="3"/>
  <c r="E70" i="22"/>
  <c r="K28" i="3"/>
  <c r="K30" i="3" s="1"/>
  <c r="E24" i="22"/>
  <c r="E25" i="22" s="1"/>
  <c r="E26" i="22" s="1"/>
  <c r="K35" i="3"/>
  <c r="K59" i="3" s="1"/>
  <c r="L34" i="3"/>
  <c r="E75" i="22" l="1"/>
  <c r="E87" i="22" s="1"/>
  <c r="I17" i="21" s="1"/>
  <c r="F75" i="35"/>
  <c r="E82" i="35"/>
  <c r="L47" i="27"/>
  <c r="D50" i="27" s="1"/>
  <c r="D49" i="27"/>
  <c r="L72" i="27"/>
  <c r="D75" i="27" s="1"/>
  <c r="D74" i="27"/>
  <c r="K270" i="3"/>
  <c r="L269" i="3"/>
  <c r="L270" i="3" s="1"/>
  <c r="K61" i="3"/>
  <c r="M34" i="3"/>
  <c r="L35" i="3"/>
  <c r="L59" i="3" s="1"/>
  <c r="F24" i="22"/>
  <c r="F25" i="22" s="1"/>
  <c r="F26" i="22" s="1"/>
  <c r="L28" i="3"/>
  <c r="L30" i="3" s="1"/>
  <c r="F70" i="22"/>
  <c r="M59" i="4"/>
  <c r="M60" i="4" s="1"/>
  <c r="K15" i="21"/>
  <c r="M23" i="3"/>
  <c r="F75" i="22" l="1"/>
  <c r="F87" i="22" s="1"/>
  <c r="J17" i="21" s="1"/>
  <c r="G75" i="35"/>
  <c r="E83" i="35"/>
  <c r="F36" i="22"/>
  <c r="F37" i="22" s="1"/>
  <c r="F38" i="22" s="1"/>
  <c r="J19" i="21" s="1"/>
  <c r="M269" i="3"/>
  <c r="M270" i="3" s="1"/>
  <c r="M28" i="3"/>
  <c r="M30" i="3" s="1"/>
  <c r="G70" i="22"/>
  <c r="L15" i="21"/>
  <c r="N59" i="4"/>
  <c r="N60" i="4" s="1"/>
  <c r="O59" i="4" s="1"/>
  <c r="O60" i="4" s="1"/>
  <c r="N23" i="3"/>
  <c r="L61" i="3"/>
  <c r="M35" i="3"/>
  <c r="M59" i="3" s="1"/>
  <c r="G24" i="22"/>
  <c r="G25" i="22" s="1"/>
  <c r="G26" i="22" s="1"/>
  <c r="N34" i="3"/>
  <c r="G75" i="22" l="1"/>
  <c r="G87" i="22" s="1"/>
  <c r="K17" i="21" s="1"/>
  <c r="H75" i="35"/>
  <c r="E84" i="35"/>
  <c r="G36" i="22"/>
  <c r="G37" i="22" s="1"/>
  <c r="G38" i="22" s="1"/>
  <c r="K19" i="21" s="1"/>
  <c r="N269" i="3"/>
  <c r="O269" i="3" s="1"/>
  <c r="P269" i="3" s="1"/>
  <c r="P23" i="3"/>
  <c r="N15" i="21"/>
  <c r="M61" i="3"/>
  <c r="H70" i="22"/>
  <c r="N28" i="3"/>
  <c r="N30" i="3" s="1"/>
  <c r="M15" i="21"/>
  <c r="O23" i="3"/>
  <c r="H24" i="22"/>
  <c r="H25" i="22" s="1"/>
  <c r="H26" i="22" s="1"/>
  <c r="O34" i="3"/>
  <c r="P34" i="3" s="1"/>
  <c r="N35" i="3"/>
  <c r="N59" i="3" s="1"/>
  <c r="H75" i="22" l="1"/>
  <c r="H87" i="22" s="1"/>
  <c r="L17" i="21" s="1"/>
  <c r="I75" i="35"/>
  <c r="E86" i="35" s="1"/>
  <c r="E85" i="35"/>
  <c r="N270" i="3"/>
  <c r="H36" i="22"/>
  <c r="H37" i="22" s="1"/>
  <c r="H38" i="22" s="1"/>
  <c r="L19" i="21" s="1"/>
  <c r="P35" i="3"/>
  <c r="P59" i="3" s="1"/>
  <c r="J24" i="22"/>
  <c r="J25" i="22" s="1"/>
  <c r="J26" i="22" s="1"/>
  <c r="P270" i="3"/>
  <c r="J36" i="22"/>
  <c r="J37" i="22" s="1"/>
  <c r="J38" i="22" s="1"/>
  <c r="N19" i="21" s="1"/>
  <c r="J70" i="22"/>
  <c r="P28" i="3"/>
  <c r="P30" i="3" s="1"/>
  <c r="N61" i="3"/>
  <c r="O35" i="3"/>
  <c r="O59" i="3" s="1"/>
  <c r="I24" i="22"/>
  <c r="I25" i="22" s="1"/>
  <c r="I26" i="22" s="1"/>
  <c r="I36" i="22"/>
  <c r="I37" i="22" s="1"/>
  <c r="I38" i="22" s="1"/>
  <c r="M19" i="21" s="1"/>
  <c r="O270" i="3"/>
  <c r="O28" i="3"/>
  <c r="O30" i="3" s="1"/>
  <c r="I70" i="22"/>
  <c r="I75" i="22" l="1"/>
  <c r="I87" i="22" s="1"/>
  <c r="M17" i="21" s="1"/>
  <c r="J75" i="22"/>
  <c r="J87" i="22" s="1"/>
  <c r="N17" i="21" s="1"/>
  <c r="P61" i="3"/>
  <c r="O6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Niket Thakkar</author>
  </authors>
  <commentList>
    <comment ref="I23" authorId="0" shapeId="0" xr:uid="{00000000-0006-0000-0000-000001000000}">
      <text>
        <r>
          <rPr>
            <b/>
            <sz val="9"/>
            <color indexed="81"/>
            <rFont val="Tahoma"/>
            <family val="2"/>
          </rPr>
          <t>Niket Thakkar:</t>
        </r>
        <r>
          <rPr>
            <sz val="9"/>
            <color indexed="81"/>
            <rFont val="Tahoma"/>
            <family val="2"/>
          </rPr>
          <t xml:space="preserve">
As informed by the Company, the New Plant will be operational from 01.04.2025</t>
        </r>
      </text>
    </comment>
  </commentList>
</comments>
</file>

<file path=xl/sharedStrings.xml><?xml version="1.0" encoding="utf-8"?>
<sst xmlns="http://schemas.openxmlformats.org/spreadsheetml/2006/main" count="1970" uniqueCount="929">
  <si>
    <t>Avg. Selling Price per unit</t>
  </si>
  <si>
    <t>Domestic</t>
  </si>
  <si>
    <t>Export</t>
  </si>
  <si>
    <t>Capacity utilization %</t>
  </si>
  <si>
    <t>Sales (Amount)</t>
  </si>
  <si>
    <t xml:space="preserve">Domestic </t>
  </si>
  <si>
    <t xml:space="preserve">Export </t>
  </si>
  <si>
    <t>Rifamycin S</t>
  </si>
  <si>
    <t>Rifamycin O</t>
  </si>
  <si>
    <t>Sub-total</t>
  </si>
  <si>
    <t>Particulars</t>
  </si>
  <si>
    <t>Revenue from Operations</t>
  </si>
  <si>
    <t>Other Income</t>
  </si>
  <si>
    <t>Total Revenue</t>
  </si>
  <si>
    <t>Expenses</t>
  </si>
  <si>
    <t>Employee Cost</t>
  </si>
  <si>
    <t>Manufacturing Expenses</t>
  </si>
  <si>
    <t>Administrative Expenses</t>
  </si>
  <si>
    <t>Selling &amp; Distribution Expenses</t>
  </si>
  <si>
    <t>Total Expenses</t>
  </si>
  <si>
    <t>EBITDA</t>
  </si>
  <si>
    <t>Depreciation</t>
  </si>
  <si>
    <t>EBIT</t>
  </si>
  <si>
    <t>Finance Cost</t>
  </si>
  <si>
    <t>Profit before Tax</t>
  </si>
  <si>
    <t>Income Tax</t>
  </si>
  <si>
    <t>Profit after Tax</t>
  </si>
  <si>
    <t>EBITDA Margin</t>
  </si>
  <si>
    <t>EBIT Margin</t>
  </si>
  <si>
    <t>Net Profit Margin</t>
  </si>
  <si>
    <t>Revenue Growth Rate</t>
  </si>
  <si>
    <t>Finished Goods</t>
  </si>
  <si>
    <t>Scrap sales</t>
  </si>
  <si>
    <t>ASSETS</t>
  </si>
  <si>
    <t>Non Current Assets</t>
  </si>
  <si>
    <t>Inventories</t>
  </si>
  <si>
    <t>Trade Receivables</t>
  </si>
  <si>
    <t>Cash &amp; Cash Equivalents</t>
  </si>
  <si>
    <t>Total Current Assets</t>
  </si>
  <si>
    <t>Total Assets</t>
  </si>
  <si>
    <t>Equity</t>
  </si>
  <si>
    <t>Equity Share Capital</t>
  </si>
  <si>
    <t>Reserves &amp; Surplus</t>
  </si>
  <si>
    <t>Liabilities</t>
  </si>
  <si>
    <t>Provisions</t>
  </si>
  <si>
    <t>Current Liabilities</t>
  </si>
  <si>
    <t>Borrowings</t>
  </si>
  <si>
    <t>Trade Payables</t>
  </si>
  <si>
    <t>Other Financial Liabilities</t>
  </si>
  <si>
    <t>Other Current Liabilities</t>
  </si>
  <si>
    <t>Total Current Liabilities</t>
  </si>
  <si>
    <t>Cash Flow from Operating Activities</t>
  </si>
  <si>
    <t>Interest and finance charges</t>
  </si>
  <si>
    <t>Total Cash Flow from Operating activities (A)</t>
  </si>
  <si>
    <t>Cash Flow from Financing Activities</t>
  </si>
  <si>
    <t>Incease in share capital and premium &amp; reserves</t>
  </si>
  <si>
    <t>Cash Flow from Investing Activities</t>
  </si>
  <si>
    <t>Increase/ decrease in fixed assets</t>
  </si>
  <si>
    <t>Total Cash surplus/deficit</t>
  </si>
  <si>
    <t>Opening cash or bank balance</t>
  </si>
  <si>
    <t>Closing Cash or Bank Balance</t>
  </si>
  <si>
    <t>Days</t>
  </si>
  <si>
    <t>Cost of Materials Consumed</t>
  </si>
  <si>
    <t>Debt Schedule</t>
  </si>
  <si>
    <t>Additions</t>
  </si>
  <si>
    <t>Principal Repayment</t>
  </si>
  <si>
    <t>Opening Balance</t>
  </si>
  <si>
    <t>Other Current Financial Liabilities</t>
  </si>
  <si>
    <t>Gross Block</t>
  </si>
  <si>
    <t>Accumulated Depreciation</t>
  </si>
  <si>
    <t>Debt</t>
  </si>
  <si>
    <t>Other Expenses</t>
  </si>
  <si>
    <t>Land</t>
  </si>
  <si>
    <t>Opening Gross Block</t>
  </si>
  <si>
    <t>Deletions</t>
  </si>
  <si>
    <t>Current Year Depreciation</t>
  </si>
  <si>
    <t>Net</t>
  </si>
  <si>
    <t>Building</t>
  </si>
  <si>
    <t>Staff Quarters</t>
  </si>
  <si>
    <t>Plant and Equipment</t>
  </si>
  <si>
    <t>Furniture &amp; Fixtures</t>
  </si>
  <si>
    <t>Vehicles</t>
  </si>
  <si>
    <t>Erection &amp; Office Equipment</t>
  </si>
  <si>
    <t>Computer</t>
  </si>
  <si>
    <t>Rifampentine</t>
  </si>
  <si>
    <t>Consumption of stores and spares</t>
  </si>
  <si>
    <t>Power charges</t>
  </si>
  <si>
    <t>Fuel charges</t>
  </si>
  <si>
    <t>Water charges</t>
  </si>
  <si>
    <t>Insurance</t>
  </si>
  <si>
    <t>Rates and taxes</t>
  </si>
  <si>
    <t>Donation</t>
  </si>
  <si>
    <t>Legal and professional fees</t>
  </si>
  <si>
    <t>Repairs and maintenance</t>
  </si>
  <si>
    <t>Plant and Machinery</t>
  </si>
  <si>
    <t>Others</t>
  </si>
  <si>
    <t>Disposal Charges for removal of waste material</t>
  </si>
  <si>
    <t>Central Effluent Treatment Charges</t>
  </si>
  <si>
    <t>Drainage Cess Charges</t>
  </si>
  <si>
    <t>Directors' Sitting Fees</t>
  </si>
  <si>
    <t>Corporate Social Responsibility Expense</t>
  </si>
  <si>
    <t>Vehicle Expenses</t>
  </si>
  <si>
    <t>Rent for Flats</t>
  </si>
  <si>
    <t>-</t>
  </si>
  <si>
    <t>Payments to auditors*</t>
  </si>
  <si>
    <t>Security Charges</t>
  </si>
  <si>
    <t>Testing and Analytical Charges</t>
  </si>
  <si>
    <t>Printing and Stationary Expenses</t>
  </si>
  <si>
    <t>Provision for Doubtful debts/Advances</t>
  </si>
  <si>
    <t>Travelling and conveyance expenses</t>
  </si>
  <si>
    <t>Hire Charges</t>
  </si>
  <si>
    <t>Commission &amp; Brokerage</t>
  </si>
  <si>
    <t>Postage and Telegram Charges</t>
  </si>
  <si>
    <t>Telephone and Telex Charges</t>
  </si>
  <si>
    <t>Freight and Forwarding</t>
  </si>
  <si>
    <t>Job Work charges</t>
  </si>
  <si>
    <t>Sundry balances written off</t>
  </si>
  <si>
    <t>Research and Development Expense</t>
  </si>
  <si>
    <t>Miscellaneous expenses</t>
  </si>
  <si>
    <t>Foreign Exchange Fluctuation</t>
  </si>
  <si>
    <t>Membership &amp; Subscription</t>
  </si>
  <si>
    <t>Net loss on sale of investments</t>
  </si>
  <si>
    <t>Settlement of Disposal charges</t>
  </si>
  <si>
    <t>Total</t>
  </si>
  <si>
    <t>PPE</t>
  </si>
  <si>
    <t>Capital WIP</t>
  </si>
  <si>
    <t>Right of Use Assets</t>
  </si>
  <si>
    <t>Other Financial Assets</t>
  </si>
  <si>
    <t>Deferred Tax Asset (Net)</t>
  </si>
  <si>
    <t>Other Non-Current Assets</t>
  </si>
  <si>
    <t>Curent Assets</t>
  </si>
  <si>
    <t>Trade Receviables</t>
  </si>
  <si>
    <t>Other Bank Balances</t>
  </si>
  <si>
    <t>Loans</t>
  </si>
  <si>
    <t>Other Current Assets</t>
  </si>
  <si>
    <t>Total Equities</t>
  </si>
  <si>
    <t>Non- Current Liabilities</t>
  </si>
  <si>
    <t>Financial Liabilities</t>
  </si>
  <si>
    <t>Lease Liabilities</t>
  </si>
  <si>
    <t>Deferred Tax Liabilities (Net)</t>
  </si>
  <si>
    <t>Total Non Current Liabilities</t>
  </si>
  <si>
    <t>MSME</t>
  </si>
  <si>
    <t>Current Tax Liabilities</t>
  </si>
  <si>
    <t>Total Equities + Liabilities</t>
  </si>
  <si>
    <t>Depreciation Rates needs to be confirmed with the company official</t>
  </si>
  <si>
    <t>CFS</t>
  </si>
  <si>
    <t>Cost Assumptions</t>
  </si>
  <si>
    <t>Revenue from Finished Goods</t>
  </si>
  <si>
    <t>Supporting Schedules</t>
  </si>
  <si>
    <t>Non Current</t>
  </si>
  <si>
    <t>Financial assets carried at amortised cost</t>
  </si>
  <si>
    <t>Deposits with Financial institution more than 12 months maturity</t>
  </si>
  <si>
    <t>Interest Accrued on deposit</t>
  </si>
  <si>
    <t>Bank Deposits with more than 12 months maturity</t>
  </si>
  <si>
    <t>Interest Accrued on Bank deposit</t>
  </si>
  <si>
    <t>Other Assets</t>
  </si>
  <si>
    <t>Capital Advances</t>
  </si>
  <si>
    <t>Advances other than Capital Advances</t>
  </si>
  <si>
    <t>-Security Deposit</t>
  </si>
  <si>
    <t>-Advances to creditors</t>
  </si>
  <si>
    <t>Prepaid Expenses</t>
  </si>
  <si>
    <t>Payment of Taxes</t>
  </si>
  <si>
    <t>LOANS</t>
  </si>
  <si>
    <t>Current</t>
  </si>
  <si>
    <t>Investments ( National Savings Certificate)</t>
  </si>
  <si>
    <t>Loans considered good - Unsecured</t>
  </si>
  <si>
    <t>Loans to Employees</t>
  </si>
  <si>
    <t>Inter corporate deposits</t>
  </si>
  <si>
    <t>Deposits with Financial institution less than 12 months maturity</t>
  </si>
  <si>
    <t>Financial Liabilities at amortised cost</t>
  </si>
  <si>
    <t>Interest accrued &amp; due on borrowings</t>
  </si>
  <si>
    <t>Sundry creditors for capital asset</t>
  </si>
  <si>
    <t>Liability for expenses</t>
  </si>
  <si>
    <t>Unpaid dividends</t>
  </si>
  <si>
    <t>Advance received from customers</t>
  </si>
  <si>
    <t>Statutory Liabilities</t>
  </si>
  <si>
    <t>Non-current</t>
  </si>
  <si>
    <t>Increase/decrease in Borrowings</t>
  </si>
  <si>
    <t>Increase/decrease in Lease liabilities</t>
  </si>
  <si>
    <t>Capacity Utilisation (Production as well as Sales) bifurcated into company's core products required. Similarly we need bifurcation of sales amount as well. The data needs to be reconciled with Annual Report figures</t>
  </si>
  <si>
    <t>Repayment Schedule</t>
  </si>
  <si>
    <t>Check</t>
  </si>
  <si>
    <t>RS IN CRORES</t>
  </si>
  <si>
    <t>SR NO</t>
  </si>
  <si>
    <t>ACCOUNT HEAD</t>
  </si>
  <si>
    <t>Names of contractors and suppliers (wherever applicable)</t>
  </si>
  <si>
    <t>AMT SPENT SO FAR</t>
  </si>
  <si>
    <t>MEANS OF FINANCE</t>
  </si>
  <si>
    <t>PROJECTED AMT</t>
  </si>
  <si>
    <t>AMOUNT SOURCED SO FAR</t>
  </si>
  <si>
    <t>API</t>
  </si>
  <si>
    <t>CIVIL-SANGAM ENGINEERS</t>
  </si>
  <si>
    <t>OWN</t>
  </si>
  <si>
    <t>R &amp; D SU-01- WITH TERRACE</t>
  </si>
  <si>
    <t>CIVIL-H K ENTERPRISE</t>
  </si>
  <si>
    <t>R &amp; D SU-02</t>
  </si>
  <si>
    <t>WAREHOUSE</t>
  </si>
  <si>
    <t>CENTRAL QC</t>
  </si>
  <si>
    <t>NEW FERMENTOR PROJECT(50KL)</t>
  </si>
  <si>
    <t>NEW FERMENTOR PROJECT(30KL)</t>
  </si>
  <si>
    <t>MICRO AND R &amp; D LAB</t>
  </si>
  <si>
    <t>ETP ZLD-DIGASTER</t>
  </si>
  <si>
    <t>SOLVENT YARD</t>
  </si>
  <si>
    <t>TOTAL</t>
  </si>
  <si>
    <t>PREOPERATIVE EXP</t>
  </si>
  <si>
    <t>New Capacity to be installed</t>
  </si>
  <si>
    <t>YEAR</t>
  </si>
  <si>
    <t>NAME OF PRODUCT</t>
  </si>
  <si>
    <t>QTY IN MT</t>
  </si>
  <si>
    <t>2024-25</t>
  </si>
  <si>
    <t>RIFAPANTINE</t>
  </si>
  <si>
    <t>2025-26</t>
  </si>
  <si>
    <t>2026-27</t>
  </si>
  <si>
    <t>SALES VALUE RS IN LAKHS</t>
  </si>
  <si>
    <t xml:space="preserve">TOTAL </t>
  </si>
  <si>
    <t>RIFAPENTINE</t>
  </si>
  <si>
    <t>RIFA-O</t>
  </si>
  <si>
    <t>RIFA-S</t>
  </si>
  <si>
    <t>Impact on Revenue and cost of the company due to additional capacity</t>
  </si>
  <si>
    <t>Estimated Sales quantity and Selling price for the current and projected Financial Year</t>
  </si>
  <si>
    <t>A</t>
  </si>
  <si>
    <t>CURRENT YEAR SALES</t>
  </si>
  <si>
    <t>TOTAL CR</t>
  </si>
  <si>
    <t>QTY</t>
  </si>
  <si>
    <t>RS IN CR</t>
  </si>
  <si>
    <t>B</t>
  </si>
  <si>
    <t>PROJECTED FINANCIAL YEAR</t>
  </si>
  <si>
    <t>PRODUCTION</t>
  </si>
  <si>
    <t>2020-21</t>
  </si>
  <si>
    <t>2021-22</t>
  </si>
  <si>
    <t>2022-23</t>
  </si>
  <si>
    <t>2023-24</t>
  </si>
  <si>
    <t>LAST THREE YEARS PRODUCTION</t>
  </si>
  <si>
    <t>KGS</t>
  </si>
  <si>
    <t>UP TO DEC-23</t>
  </si>
  <si>
    <t>RS IN LAKHS</t>
  </si>
  <si>
    <t>OTHERS</t>
  </si>
  <si>
    <t>TOTAL TURN OVER</t>
  </si>
  <si>
    <t>SALES OTHERS</t>
  </si>
  <si>
    <t xml:space="preserve">Sr.No </t>
  </si>
  <si>
    <t xml:space="preserve">Fermentation Block Activities </t>
  </si>
  <si>
    <t>TCD</t>
  </si>
  <si>
    <t xml:space="preserve">Civil Work </t>
  </si>
  <si>
    <t xml:space="preserve">Civil strutures </t>
  </si>
  <si>
    <t>30.08.2024</t>
  </si>
  <si>
    <t>Brick works</t>
  </si>
  <si>
    <t>25.11.2024</t>
  </si>
  <si>
    <t>Flooring</t>
  </si>
  <si>
    <t>31.01.2025</t>
  </si>
  <si>
    <t>Internal drainge system</t>
  </si>
  <si>
    <t>25.08.2024</t>
  </si>
  <si>
    <t>Partitions</t>
  </si>
  <si>
    <t>25.02.2024</t>
  </si>
  <si>
    <t>False ceiling</t>
  </si>
  <si>
    <t>10.03.2025</t>
  </si>
  <si>
    <t>Painting</t>
  </si>
  <si>
    <t>Outside drainage system</t>
  </si>
  <si>
    <t>25.03.2025</t>
  </si>
  <si>
    <t>Storm water drainage</t>
  </si>
  <si>
    <t>Roads</t>
  </si>
  <si>
    <t>05.07.2024</t>
  </si>
  <si>
    <t>Door and windows</t>
  </si>
  <si>
    <t>MECHANICAL WORKS</t>
  </si>
  <si>
    <t>FAT at vendors works</t>
  </si>
  <si>
    <t>15.07.2024</t>
  </si>
  <si>
    <t>Equipment Installation</t>
  </si>
  <si>
    <t>21.08.2024</t>
  </si>
  <si>
    <t>Pipe rack structure</t>
  </si>
  <si>
    <t>10.09.2024</t>
  </si>
  <si>
    <t>Receipt of pipes&amp;valves</t>
  </si>
  <si>
    <t>30.05.2024</t>
  </si>
  <si>
    <t>All Piping</t>
  </si>
  <si>
    <t>30.03.2025</t>
  </si>
  <si>
    <t>Recept of process pumps</t>
  </si>
  <si>
    <t>01.08.2024</t>
  </si>
  <si>
    <t xml:space="preserve">Receipt of cenrtifuge&amp;dryer </t>
  </si>
  <si>
    <t>Installation</t>
  </si>
  <si>
    <t>20.11.2024</t>
  </si>
  <si>
    <t>UTILIES</t>
  </si>
  <si>
    <t>Brine chiller installation -20 degree c</t>
  </si>
  <si>
    <t>10.01.2025</t>
  </si>
  <si>
    <t xml:space="preserve">Brine chiller installation -10 degree c </t>
  </si>
  <si>
    <t>Piping</t>
  </si>
  <si>
    <t>Comissioning</t>
  </si>
  <si>
    <t>Receipt of AHU</t>
  </si>
  <si>
    <t>25.12.2025</t>
  </si>
  <si>
    <t>AHU Installation</t>
  </si>
  <si>
    <t>30.01.2025</t>
  </si>
  <si>
    <t>Ducting</t>
  </si>
  <si>
    <t>25.08.2023</t>
  </si>
  <si>
    <t>Trails&amp;comissiong</t>
  </si>
  <si>
    <t>Cooling tower receipt</t>
  </si>
  <si>
    <t>30.11.2024</t>
  </si>
  <si>
    <t>Circulation pumps receipt</t>
  </si>
  <si>
    <t>ELECTRICAL WORKS</t>
  </si>
  <si>
    <t xml:space="preserve">Electricals finalization </t>
  </si>
  <si>
    <t>30.03.2024</t>
  </si>
  <si>
    <t>Receipt of cables cables</t>
  </si>
  <si>
    <t>20.06.2024</t>
  </si>
  <si>
    <t>Laying cables in side plant</t>
  </si>
  <si>
    <t>25.12.2024</t>
  </si>
  <si>
    <t>Receipt of Electical panels</t>
  </si>
  <si>
    <t>10.12.2024</t>
  </si>
  <si>
    <t>Panels installation</t>
  </si>
  <si>
    <t>25.01.2025</t>
  </si>
  <si>
    <t>Panels charging</t>
  </si>
  <si>
    <t>Lighting fixtures</t>
  </si>
  <si>
    <t>PLANT COMISSIONING</t>
  </si>
  <si>
    <t>20.04.2025</t>
  </si>
  <si>
    <t>Process checks&amp;punch points</t>
  </si>
  <si>
    <t>Ready for water trails</t>
  </si>
  <si>
    <t>30.04.2025</t>
  </si>
  <si>
    <t>Received through email on 19.01.24</t>
  </si>
  <si>
    <t>Classification Head</t>
  </si>
  <si>
    <t>Property, Plant And Equpment</t>
  </si>
  <si>
    <t>Accumulated Depreciation (Including current year)</t>
  </si>
  <si>
    <t>Total Net</t>
  </si>
  <si>
    <t>Opening</t>
  </si>
  <si>
    <t>Addition</t>
  </si>
  <si>
    <t>Disposals</t>
  </si>
  <si>
    <t>Capital Work in Progress</t>
  </si>
  <si>
    <t>Project 1- Project API</t>
  </si>
  <si>
    <t>Project 2- P&amp;M</t>
  </si>
  <si>
    <t>PLANT CAPEX-OTHERS</t>
  </si>
  <si>
    <t>Increase in CWIP</t>
  </si>
  <si>
    <t>Increase in Gross Block of Assets</t>
  </si>
  <si>
    <t>Total Additions</t>
  </si>
  <si>
    <t>Gross Carrying Value</t>
  </si>
  <si>
    <t>Net Carrying Value</t>
  </si>
  <si>
    <t>Description</t>
  </si>
  <si>
    <t>Units</t>
  </si>
  <si>
    <t>%</t>
  </si>
  <si>
    <t>Rate of Interest</t>
  </si>
  <si>
    <t>Interest</t>
  </si>
  <si>
    <t>Profit Before Tax</t>
  </si>
  <si>
    <t>Interest Income classified as Investing CFS</t>
  </si>
  <si>
    <t>Sundry Balances W/O</t>
  </si>
  <si>
    <t>Provision for Doubtful Debt</t>
  </si>
  <si>
    <t>Exchange Rate Fluctuation</t>
  </si>
  <si>
    <t>Change in operating assets and liabilities</t>
  </si>
  <si>
    <t>(Increase)/Decrease in trade receivables</t>
  </si>
  <si>
    <t>(Increase)/Decrease in inventories</t>
  </si>
  <si>
    <t>(Increase)/Decrease in trade payables</t>
  </si>
  <si>
    <t>(Increase)/Decrease in other financial assets</t>
  </si>
  <si>
    <t>(Increase)/Decrease in other assets</t>
  </si>
  <si>
    <t>(Increase)/Decrease in provisions</t>
  </si>
  <si>
    <t>Less: Income taxes paid (Net)</t>
  </si>
  <si>
    <t>(Increase)/Decrease in other bank balances</t>
  </si>
  <si>
    <t>(Increase)/Decrease in other financial liabilities</t>
  </si>
  <si>
    <t>(Increase)/Decrease in other current liabilities</t>
  </si>
  <si>
    <t>Loans given (net of repayment)</t>
  </si>
  <si>
    <t>Interest received</t>
  </si>
  <si>
    <t>Dividend paid</t>
  </si>
  <si>
    <t>Financial Assets</t>
  </si>
  <si>
    <t>Raw Materials</t>
  </si>
  <si>
    <t>WIP</t>
  </si>
  <si>
    <t>Stores and Spares</t>
  </si>
  <si>
    <t>Steam Coal</t>
  </si>
  <si>
    <t>Diesel Oil</t>
  </si>
  <si>
    <t>Furnace Oil/LDO</t>
  </si>
  <si>
    <t>Packing Material</t>
  </si>
  <si>
    <t>Secured, considered good</t>
  </si>
  <si>
    <t>Unsecured, considered good</t>
  </si>
  <si>
    <t>Which have significant increase in credit risk</t>
  </si>
  <si>
    <t>Credit Impaired</t>
  </si>
  <si>
    <t>(-) Allowance for Bad &amp; Doubtful Debts</t>
  </si>
  <si>
    <t>Cash and Cash Equivalents</t>
  </si>
  <si>
    <t>Balances with Banks in Current Accounts</t>
  </si>
  <si>
    <t>Cash in Hand</t>
  </si>
  <si>
    <t>Margin money deposits with original maturity</t>
  </si>
  <si>
    <t>(Margin money to secure Bank Guarantee)</t>
  </si>
  <si>
    <t>Bank Deposits with less than 12 months</t>
  </si>
  <si>
    <t>Unpaid Dividend Account</t>
  </si>
  <si>
    <t>Balances with Banks (CSR Unspent)</t>
  </si>
  <si>
    <t>Other Advances</t>
  </si>
  <si>
    <t>Deferred Tax</t>
  </si>
  <si>
    <t>Temporary difference in the carrying amount of property, plant and equipment</t>
  </si>
  <si>
    <t>Temporary difference in the carrying amount of financial instruments at amortised cost</t>
  </si>
  <si>
    <t>Provision for employee benefits</t>
  </si>
  <si>
    <t>Loss allowances on financial assets</t>
  </si>
  <si>
    <t>Net Deferred Tax Assets / (Liabilities)</t>
  </si>
  <si>
    <t>Authorised Equity Share Capital Equtiy  Shares @ Rs. 5 each</t>
  </si>
  <si>
    <t>Number</t>
  </si>
  <si>
    <t>Amount</t>
  </si>
  <si>
    <t>Authorised Preference Share Capital Equtiy  Shares @ Rs. 100 each</t>
  </si>
  <si>
    <t>Amount (Rs. Cr)</t>
  </si>
  <si>
    <t>Issued, Subscribed &amp; Paid-up  (of Rs.5 each)</t>
  </si>
  <si>
    <t>Capital Reserves</t>
  </si>
  <si>
    <t>Security Premium Account</t>
  </si>
  <si>
    <t>Retained Earnings</t>
  </si>
  <si>
    <t>Unsecured Loans</t>
  </si>
  <si>
    <t>Term Loans from Others</t>
  </si>
  <si>
    <t>Loan from Optimus Drugs Pvt Ltd</t>
  </si>
  <si>
    <t>Current Borrowings</t>
  </si>
  <si>
    <t>Secured</t>
  </si>
  <si>
    <t>Loans repayable on Demand from Banks</t>
  </si>
  <si>
    <t>Cash Credit</t>
  </si>
  <si>
    <t>Current Maturity of Non-Current Borrowings</t>
  </si>
  <si>
    <t>Provisions (Non-Current)</t>
  </si>
  <si>
    <t>Gratuity</t>
  </si>
  <si>
    <t>Leave encashment</t>
  </si>
  <si>
    <t>Provisions (Current)</t>
  </si>
  <si>
    <t>Other than MSME</t>
  </si>
  <si>
    <t>Current Tax Liability (Net)</t>
  </si>
  <si>
    <t>CFO</t>
  </si>
  <si>
    <t>CFF</t>
  </si>
  <si>
    <t>CFI</t>
  </si>
  <si>
    <t>Increase/decrease in other non current assets</t>
  </si>
  <si>
    <t>Rate</t>
  </si>
  <si>
    <t>Increase/ decrease in ROUs</t>
  </si>
  <si>
    <t>(Increase)/Decrease in other current tax liabilities</t>
  </si>
  <si>
    <t>(Increase)/Decrease in Non-current provisions</t>
  </si>
  <si>
    <t>(Increase)/Decrease in Deferred Tax Liability</t>
  </si>
  <si>
    <t>Increase/decrease in other non current Financial assets</t>
  </si>
  <si>
    <t>Increase in Net Block of Assets</t>
  </si>
  <si>
    <t xml:space="preserve">GUJARAT THEMIS BIOSYN LIMITED </t>
  </si>
  <si>
    <t>Assumptions</t>
  </si>
  <si>
    <t>INR Cr</t>
  </si>
  <si>
    <t xml:space="preserve">FY Ending </t>
  </si>
  <si>
    <t>Days in Quarter</t>
  </si>
  <si>
    <t xml:space="preserve">Days in Year </t>
  </si>
  <si>
    <t>Revenue Growth Assumptions</t>
  </si>
  <si>
    <t>FY</t>
  </si>
  <si>
    <t>Capex Assumptions</t>
  </si>
  <si>
    <t>Debt Assumptions</t>
  </si>
  <si>
    <t>% p.a.</t>
  </si>
  <si>
    <t>Loan Availed</t>
  </si>
  <si>
    <t>BOB Term Loan</t>
  </si>
  <si>
    <t>Rs. Cr.</t>
  </si>
  <si>
    <t>Taxation Assumptions</t>
  </si>
  <si>
    <t>Direct Tax</t>
  </si>
  <si>
    <t>MAT</t>
  </si>
  <si>
    <t>Ratios</t>
  </si>
  <si>
    <t xml:space="preserve">Debt Service Coverage Ratio </t>
  </si>
  <si>
    <t>Unit</t>
  </si>
  <si>
    <t>PAT</t>
  </si>
  <si>
    <t>INR Crores</t>
  </si>
  <si>
    <t>Add: Depreciation</t>
  </si>
  <si>
    <t>Add: Finance Cost</t>
  </si>
  <si>
    <t>Add: (DTA)/DTL</t>
  </si>
  <si>
    <t>Add: Promoter Contribution</t>
  </si>
  <si>
    <t xml:space="preserve">Total Available (A) </t>
  </si>
  <si>
    <t>Interest Payment</t>
  </si>
  <si>
    <t>Total Obligation (B)</t>
  </si>
  <si>
    <t>DSCR (A/B)</t>
  </si>
  <si>
    <t>Ratio</t>
  </si>
  <si>
    <t>Minimum DSCR</t>
  </si>
  <si>
    <t>Average DSCR</t>
  </si>
  <si>
    <t>External Debt / Net Worth</t>
  </si>
  <si>
    <t>Term Loam - BOB</t>
  </si>
  <si>
    <t xml:space="preserve">External Debt (A) </t>
  </si>
  <si>
    <t>Net Worth (B)</t>
  </si>
  <si>
    <t>External Debt / Net Worth (A/B)</t>
  </si>
  <si>
    <t>Debt Equity Ratio</t>
  </si>
  <si>
    <t>Term Loans from Banks</t>
  </si>
  <si>
    <t>Total Current Assets (A)</t>
  </si>
  <si>
    <t>Capital Induction by New Promoter</t>
  </si>
  <si>
    <t>Reserves &amp; Surplus (P&amp;L Account)</t>
  </si>
  <si>
    <t>Total Equity (B)</t>
  </si>
  <si>
    <t>Debt Equity Ratio (A/B)</t>
  </si>
  <si>
    <t>Total Debt / EBITDA</t>
  </si>
  <si>
    <t>Long Term Debt - Term Loan</t>
  </si>
  <si>
    <t>Long Term Liab - Others</t>
  </si>
  <si>
    <t>Current Maturities of Debt</t>
  </si>
  <si>
    <t>Short Term Debt</t>
  </si>
  <si>
    <t>Total Debt (A)</t>
  </si>
  <si>
    <t>Net Sales</t>
  </si>
  <si>
    <t>Total Operating Expenses</t>
  </si>
  <si>
    <t>EBIDTA (B)</t>
  </si>
  <si>
    <t>Total Debt/EBIDTA</t>
  </si>
  <si>
    <t>Current Ratio</t>
  </si>
  <si>
    <t>Current Assets</t>
  </si>
  <si>
    <t>Total Current Liabilities (B)</t>
  </si>
  <si>
    <t>Current Ratio (A/B)</t>
  </si>
  <si>
    <t>Fixed Asset Cover Ratio (FACR)</t>
  </si>
  <si>
    <t>Net Tangible Assets</t>
  </si>
  <si>
    <t>Net Intangible Assets</t>
  </si>
  <si>
    <t>Total Net Fixed Assets (A)</t>
  </si>
  <si>
    <t>Repayable Loans O/s</t>
  </si>
  <si>
    <t>Total Loans O/s (B)</t>
  </si>
  <si>
    <t>FACR (A/B)</t>
  </si>
  <si>
    <t xml:space="preserve">INR Cr </t>
  </si>
  <si>
    <t>Month Starting</t>
  </si>
  <si>
    <t>Month Ending</t>
  </si>
  <si>
    <t>BOB - Term Loan</t>
  </si>
  <si>
    <t>Rs. Cr</t>
  </si>
  <si>
    <t>Repayment</t>
  </si>
  <si>
    <t>Closing Balance</t>
  </si>
  <si>
    <t>Repayment Schedule - Yearly</t>
  </si>
  <si>
    <t>Rate of Interest (p.a.)</t>
  </si>
  <si>
    <t>Changes in Inventories</t>
  </si>
  <si>
    <t>Purchase of Stock in trade</t>
  </si>
  <si>
    <t>Revenue</t>
  </si>
  <si>
    <t>Revenue Growth</t>
  </si>
  <si>
    <t>Sales Quantity (KGs)</t>
  </si>
  <si>
    <t>Installed Capacity (KGs)</t>
  </si>
  <si>
    <t>Total Revenue as per above details</t>
  </si>
  <si>
    <t>Capacity Utilisation</t>
  </si>
  <si>
    <t>Total Installed Capacity</t>
  </si>
  <si>
    <t>Summary</t>
  </si>
  <si>
    <t>Rs.Cr</t>
  </si>
  <si>
    <t>Inflation</t>
  </si>
  <si>
    <t>Inventory Days</t>
  </si>
  <si>
    <t>% of Total Sales</t>
  </si>
  <si>
    <t>No. of Employees</t>
  </si>
  <si>
    <t>Employees</t>
  </si>
  <si>
    <t>Average Employee Cost</t>
  </si>
  <si>
    <t>Plant 1</t>
  </si>
  <si>
    <t>Plant 2</t>
  </si>
  <si>
    <t>Capitalisation</t>
  </si>
  <si>
    <t>Plant &amp; Equipment</t>
  </si>
  <si>
    <t>Transfer/Capitalisation</t>
  </si>
  <si>
    <t>Secured Loans</t>
  </si>
  <si>
    <t>Term Loans from BOB</t>
  </si>
  <si>
    <t>Interest Expenses</t>
  </si>
  <si>
    <t>- Interest paid On Term loans</t>
  </si>
  <si>
    <t>- Interest cost On gratuity</t>
  </si>
  <si>
    <t>- Interest paid on Other Borrowings</t>
  </si>
  <si>
    <t>Bank and other finance Charges</t>
  </si>
  <si>
    <t>Other Borrowings costs</t>
  </si>
  <si>
    <t>Ind AS adjustment</t>
  </si>
  <si>
    <t>- Unwinding of finance cost</t>
  </si>
  <si>
    <t>- Interest expense On Lease Liabilities</t>
  </si>
  <si>
    <t>Trade Payables - MSME</t>
  </si>
  <si>
    <t>Trade Payables - Non-MSME</t>
  </si>
  <si>
    <t>FY Starting</t>
  </si>
  <si>
    <t>Balance Sheet</t>
  </si>
  <si>
    <t>Statement of Profit &amp; Loss</t>
  </si>
  <si>
    <t>Cash Flow Statement</t>
  </si>
  <si>
    <t>Working Capital</t>
  </si>
  <si>
    <t>Current Maturities of Non-Current Borrowings</t>
  </si>
  <si>
    <t>Total Non current assets</t>
  </si>
  <si>
    <t>DSCR</t>
  </si>
  <si>
    <t>Cash Balance</t>
  </si>
  <si>
    <t>FACR</t>
  </si>
  <si>
    <t>Kgs/annum</t>
  </si>
  <si>
    <t>Depreciation 1</t>
  </si>
  <si>
    <t>Depreciation 2</t>
  </si>
  <si>
    <t>Depreciation 3</t>
  </si>
  <si>
    <t>Total Sales</t>
  </si>
  <si>
    <t>Rs./kg</t>
  </si>
  <si>
    <t>Margins / Rate</t>
  </si>
  <si>
    <t>Total Cash Flow from Operating activities</t>
  </si>
  <si>
    <t>Trade Receivable Days</t>
  </si>
  <si>
    <t>Trade Payable Days</t>
  </si>
  <si>
    <t>Cost of Materials Consumed + Change in Inventories + Purchase</t>
  </si>
  <si>
    <t>Inventory</t>
  </si>
  <si>
    <t>Trade Payable</t>
  </si>
  <si>
    <t>Revenue as per Historical Financial Statements</t>
  </si>
  <si>
    <t>Realisation per kg</t>
  </si>
  <si>
    <t>Rifaximin</t>
  </si>
  <si>
    <t>Rifabutin</t>
  </si>
  <si>
    <t>TEGY CYCLING (White Product</t>
  </si>
  <si>
    <t>Please Note, the Below figures should match with Input-Output Ratio/Yield Ratio given by the company</t>
  </si>
  <si>
    <t>Raw Materials:</t>
  </si>
  <si>
    <t>Total Requirement in KGs per annum</t>
  </si>
  <si>
    <t>Total Cost in Rs. Cr</t>
  </si>
  <si>
    <t>TEGY CYCLING (White Product)</t>
  </si>
  <si>
    <t>Drawdown Schedule</t>
  </si>
  <si>
    <t>BUDGETED  COST OF NEW  FERMENTER PROJECT</t>
  </si>
  <si>
    <t>50MKL FERMENTER PROJECT</t>
  </si>
  <si>
    <t>S. NO.</t>
  </si>
  <si>
    <t>Equipments Name</t>
    <phoneticPr fontId="1" type="noConversion"/>
  </si>
  <si>
    <t>CAPACITY</t>
  </si>
  <si>
    <t>COST(IN LACS)</t>
  </si>
  <si>
    <t>Primary Culture Fermenter</t>
    <phoneticPr fontId="1" type="noConversion"/>
  </si>
  <si>
    <t>300 LTRS</t>
  </si>
  <si>
    <t>Need supporting docs</t>
  </si>
  <si>
    <t>Secondary Culture Fermenter</t>
    <phoneticPr fontId="1" type="noConversion"/>
  </si>
  <si>
    <t>8000 LTRS</t>
  </si>
  <si>
    <t>Main Fermenter</t>
    <phoneticPr fontId="1" type="noConversion"/>
  </si>
  <si>
    <t>50000 LTRS</t>
  </si>
  <si>
    <t>BROTH COOKER</t>
  </si>
  <si>
    <t>12000 LTRS</t>
  </si>
  <si>
    <t>Cal Carbonet Sol Pre Agi Vessel</t>
  </si>
  <si>
    <t>4000 L</t>
  </si>
  <si>
    <t>Amm SulSol Pre Agi Vessel</t>
  </si>
  <si>
    <t>4001 L</t>
  </si>
  <si>
    <t>Dextrose Storage Tank</t>
  </si>
  <si>
    <t>50000L</t>
  </si>
  <si>
    <t>Haerveter Tank</t>
  </si>
  <si>
    <t>100000L</t>
  </si>
  <si>
    <t>10000L</t>
  </si>
  <si>
    <t>Harvest Tank(Broth Holding Tank)</t>
    <phoneticPr fontId="1" type="noConversion"/>
  </si>
  <si>
    <t>500000 LTRS</t>
  </si>
  <si>
    <t xml:space="preserve">RVDF </t>
  </si>
  <si>
    <t>27M2</t>
  </si>
  <si>
    <t>Oxidation &amp; Work up</t>
  </si>
  <si>
    <t>Emulsion Extraction Reactor</t>
  </si>
  <si>
    <t>Sod Sulphate Washing Reactor</t>
  </si>
  <si>
    <t>8000L</t>
  </si>
  <si>
    <t>Emulsion Tripping Reactor</t>
  </si>
  <si>
    <t>4000L</t>
  </si>
  <si>
    <t>Sparkler Filter</t>
  </si>
  <si>
    <t>18"</t>
  </si>
  <si>
    <t>Wash Org Holding Tank</t>
  </si>
  <si>
    <t>5000L</t>
  </si>
  <si>
    <t>WFE Reactor</t>
  </si>
  <si>
    <t>Con Holding tank</t>
  </si>
  <si>
    <t>Hydrolysis Reactor</t>
  </si>
  <si>
    <t>Org Holding Tank</t>
  </si>
  <si>
    <t>Dist Reactor</t>
  </si>
  <si>
    <t>7000L</t>
  </si>
  <si>
    <t>Crystalizer Reactor</t>
  </si>
  <si>
    <t>Centrifuge</t>
  </si>
  <si>
    <t>48"</t>
  </si>
  <si>
    <t>Miller</t>
  </si>
  <si>
    <t>100kg/ hr</t>
  </si>
  <si>
    <t>Sifter</t>
  </si>
  <si>
    <t>30"</t>
  </si>
  <si>
    <t xml:space="preserve">Methanol Dist. columns </t>
  </si>
  <si>
    <t>Cont Dist</t>
  </si>
  <si>
    <t>IPA Dist Column</t>
  </si>
  <si>
    <t>Batch dist reactor</t>
  </si>
  <si>
    <t xml:space="preserve">3kl </t>
  </si>
  <si>
    <t>Workup reactor</t>
  </si>
  <si>
    <t>Storage tanks - Spent streams</t>
  </si>
  <si>
    <t>Storage Tanks Recovered solvents storage</t>
  </si>
  <si>
    <t>3 to 5 KL</t>
  </si>
  <si>
    <t xml:space="preserve">CENTRFUGALAIR COMPRESSOR </t>
  </si>
  <si>
    <t>10000CFM</t>
  </si>
  <si>
    <t>CHILLER 1200 TR</t>
  </si>
  <si>
    <t>700 TR</t>
  </si>
  <si>
    <t>BOILER  8 TON CAPACITY</t>
  </si>
  <si>
    <t>8 T per Hour</t>
  </si>
  <si>
    <t>COOLING TOWER  8000 TR</t>
  </si>
  <si>
    <t>UTILTY PUMPS FOR CHILLERS</t>
  </si>
  <si>
    <t>BRINE  PLANT MINUS 10 DEGC  60 TR</t>
  </si>
  <si>
    <t>PUMPS FOR BRINE CHILLER</t>
  </si>
  <si>
    <t>PROCESS TRFR PUMPS</t>
  </si>
  <si>
    <t>66 KV SUBSTATION COST</t>
  </si>
  <si>
    <t>GEB COST</t>
  </si>
  <si>
    <t>ONE 2000KVA TRANSFORMER 11 KV/440V</t>
  </si>
  <si>
    <t>66/11KV TRANSFORMER</t>
  </si>
  <si>
    <t>VCB 11 KV 4 NOS</t>
  </si>
  <si>
    <t>VCB 66 KV KV 1NO</t>
  </si>
  <si>
    <t>HT CABLE</t>
  </si>
  <si>
    <t>GENERATOR FOR STAND BY 3000 KVA WITH INSTALLATION</t>
  </si>
  <si>
    <t xml:space="preserve">CIVIL &amp; BUILDING COMPLETE </t>
  </si>
  <si>
    <t>HVAC &amp; PARTITION &amp; FALL CELLING</t>
  </si>
  <si>
    <t>ELECTRICAL &amp; INSTRUMENTATION</t>
  </si>
  <si>
    <t>PIPING &amp; ERECTION</t>
  </si>
  <si>
    <t>15% CONTINGENCY</t>
  </si>
  <si>
    <t>ELECTRICAL LOAD(KW)</t>
  </si>
  <si>
    <t>ELECTRICAL LOAD(H.P)</t>
  </si>
  <si>
    <t>DIVERSITY FACTOR .35</t>
  </si>
  <si>
    <t>EXTRA M.D REQUIRED ( KVA)</t>
  </si>
  <si>
    <t>PRESENT M.D ( KVA)</t>
  </si>
  <si>
    <t>M.D INCREASE FOR API</t>
  </si>
  <si>
    <t>TOTAL M.D</t>
  </si>
  <si>
    <t>PRESENT  CONTACT DEMAND(KVA)</t>
  </si>
  <si>
    <t>CONTACT DEMAND TO BE INCREASED FOR NEW FERMENTER PROJECT ( KVA)</t>
  </si>
  <si>
    <t>FA Head</t>
  </si>
  <si>
    <t>P&amp;M</t>
  </si>
  <si>
    <t>Bldg</t>
  </si>
  <si>
    <t>Capex</t>
  </si>
  <si>
    <t xml:space="preserve">Automation for Pri , Sec &amp; Main fermenters </t>
  </si>
  <si>
    <t>15 No</t>
  </si>
  <si>
    <t>3 to 30 kl</t>
  </si>
  <si>
    <t>Total (A)</t>
  </si>
  <si>
    <t>Total (B)</t>
  </si>
  <si>
    <t>TOTAL PROJECT COST (A+B)</t>
  </si>
  <si>
    <t>D</t>
  </si>
  <si>
    <t>E</t>
  </si>
  <si>
    <t>C</t>
  </si>
  <si>
    <t>Grand Total (C+D)</t>
  </si>
  <si>
    <r>
      <t>Switch</t>
    </r>
    <r>
      <rPr>
        <sz val="10"/>
        <rFont val="Calibri"/>
        <family val="2"/>
        <scheme val="minor"/>
      </rPr>
      <t xml:space="preserve"> </t>
    </r>
    <r>
      <rPr>
        <i/>
        <sz val="10"/>
        <rFont val="Calibri"/>
        <family val="2"/>
        <scheme val="minor"/>
      </rPr>
      <t>('0' - Rs. Cr.; '1' - %)</t>
    </r>
  </si>
  <si>
    <t>DCCO for CAPITAL WIP is required, basis which amount shall be transferred from WIP to Gross Block</t>
  </si>
  <si>
    <t>Total Qty Sold</t>
  </si>
  <si>
    <t>WHITE PRODUCT</t>
  </si>
  <si>
    <t>Sales to Total Capacity</t>
  </si>
  <si>
    <t>Total Capacity</t>
  </si>
  <si>
    <t>Total Cash Flow from Investing activities (B)</t>
  </si>
  <si>
    <t>Total Cash Flow from Financing activities (C)</t>
  </si>
  <si>
    <t xml:space="preserve">S. No. </t>
  </si>
  <si>
    <t xml:space="preserve">Particulars </t>
  </si>
  <si>
    <t xml:space="preserve">Activity </t>
  </si>
  <si>
    <t xml:space="preserve">Expected completion date </t>
  </si>
  <si>
    <t>Status</t>
  </si>
  <si>
    <t xml:space="preserve">Land Procurement </t>
  </si>
  <si>
    <t>Land Development</t>
  </si>
  <si>
    <t>Sanction of Rupee Term Loan</t>
  </si>
  <si>
    <t>Appointment of Architect</t>
  </si>
  <si>
    <t>Building Plan Preparation</t>
  </si>
  <si>
    <t>Building Plan Sanction</t>
  </si>
  <si>
    <t>Appointment of Civil contractor/ developer</t>
  </si>
  <si>
    <t>Building &amp; Civil Works completion</t>
  </si>
  <si>
    <t>Building &amp; 
Civil Works</t>
  </si>
  <si>
    <t>Finalization of P&amp;M suppliers</t>
  </si>
  <si>
    <t>Orders to P&amp;M suppliers</t>
  </si>
  <si>
    <t>Arrival of P&amp;M</t>
  </si>
  <si>
    <t>Installation of P&amp;M</t>
  </si>
  <si>
    <t>Utility Installation</t>
  </si>
  <si>
    <t>Plant &amp; 
Machinery</t>
  </si>
  <si>
    <t>Statutory Approvals, registrations &amp; NOCs</t>
  </si>
  <si>
    <t>From the respective authorities</t>
  </si>
  <si>
    <t>Finishing &amp; Trail Run</t>
  </si>
  <si>
    <t>Informed by client</t>
  </si>
  <si>
    <t>Commercial Operation Date</t>
  </si>
  <si>
    <t>S. No.</t>
  </si>
  <si>
    <t>REQUIRED APPROVALS</t>
  </si>
  <si>
    <t>REFERENCE NO./ DATE</t>
  </si>
  <si>
    <t>STATUS (Approved/ Applied For/ Pending)</t>
  </si>
  <si>
    <t>Certificate of Firm Registration</t>
  </si>
  <si>
    <t>Land conversion to Industrial/Non agriculture</t>
  </si>
  <si>
    <t>Building and civil works Plan Sanction Approval Concerned local development authorit</t>
  </si>
  <si>
    <t>Provisional Fire NOC (pre sanction) Fire Services Department</t>
  </si>
  <si>
    <t>Fire NOC (on completion) Fire Services Department</t>
  </si>
  <si>
    <t>Power Load Sanction Uttarakhand Power Corporation</t>
  </si>
  <si>
    <t>Consent to establish (under Water Act &amp; Air Act) State Pollution Control Board, UK</t>
  </si>
  <si>
    <t>Permission for extraction of ground water</t>
  </si>
  <si>
    <t>Sewage trade effluent</t>
  </si>
  <si>
    <t>Drug Licence Department Of Medical Health And Family Welfare Government Of Uttarakhand</t>
  </si>
  <si>
    <r>
      <t>Goods and Services Tax (GST) Registration</t>
    </r>
    <r>
      <rPr>
        <sz val="10"/>
        <color rgb="FF0D0D0D"/>
        <rFont val="Segoe UI"/>
        <family val="2"/>
      </rPr>
      <t>:</t>
    </r>
  </si>
  <si>
    <r>
      <t>Factory License</t>
    </r>
    <r>
      <rPr>
        <sz val="10"/>
        <color rgb="FF0D0D0D"/>
        <rFont val="Segoe UI"/>
        <family val="2"/>
      </rPr>
      <t>:</t>
    </r>
  </si>
  <si>
    <r>
      <t>Pollution Control Board Consent</t>
    </r>
    <r>
      <rPr>
        <sz val="10"/>
        <color rgb="FF0D0D0D"/>
        <rFont val="Segoe UI"/>
        <family val="2"/>
      </rPr>
      <t>:</t>
    </r>
  </si>
  <si>
    <r>
      <t>Building Plan Approval</t>
    </r>
    <r>
      <rPr>
        <sz val="10"/>
        <color rgb="FF0D0D0D"/>
        <rFont val="Segoe UI"/>
        <family val="2"/>
      </rPr>
      <t xml:space="preserve">: </t>
    </r>
  </si>
  <si>
    <r>
      <t>Fire Department NOC</t>
    </r>
    <r>
      <rPr>
        <sz val="10"/>
        <color rgb="FF0D0D0D"/>
        <rFont val="Segoe UI"/>
        <family val="2"/>
      </rPr>
      <t>:</t>
    </r>
  </si>
  <si>
    <r>
      <t>Environment Clearance</t>
    </r>
    <r>
      <rPr>
        <sz val="10"/>
        <color rgb="FF0D0D0D"/>
        <rFont val="Segoe UI"/>
        <family val="2"/>
      </rPr>
      <t>:</t>
    </r>
  </si>
  <si>
    <r>
      <t>Bureau of Indian Standards (BIS) Certification</t>
    </r>
    <r>
      <rPr>
        <sz val="10"/>
        <color rgb="FF0D0D0D"/>
        <rFont val="Segoe UI"/>
        <family val="2"/>
      </rPr>
      <t>:</t>
    </r>
  </si>
  <si>
    <r>
      <t>License under the Shops and Establishments Act</t>
    </r>
    <r>
      <rPr>
        <sz val="10"/>
        <color rgb="FF0D0D0D"/>
        <rFont val="Segoe UI"/>
        <family val="2"/>
      </rPr>
      <t>:</t>
    </r>
  </si>
  <si>
    <r>
      <t>Registration under the Employees' State Insurance Act (ESI)</t>
    </r>
    <r>
      <rPr>
        <sz val="10"/>
        <color rgb="FF0D0D0D"/>
        <rFont val="Segoe UI"/>
        <family val="2"/>
      </rPr>
      <t>:</t>
    </r>
  </si>
  <si>
    <r>
      <t>Registration under the Employees' Provident Funds and Miscellaneous Provisions Act</t>
    </r>
    <r>
      <rPr>
        <sz val="10"/>
        <color rgb="FF0D0D0D"/>
        <rFont val="Segoe UI"/>
        <family val="2"/>
      </rPr>
      <t>:</t>
    </r>
  </si>
  <si>
    <r>
      <t>Trademark Registration</t>
    </r>
    <r>
      <rPr>
        <sz val="10"/>
        <color rgb="FF0D0D0D"/>
        <rFont val="Segoe UI"/>
        <family val="2"/>
      </rPr>
      <t>:</t>
    </r>
  </si>
  <si>
    <r>
      <t>ISO Certification</t>
    </r>
    <r>
      <rPr>
        <sz val="10"/>
        <color rgb="FF0D0D0D"/>
        <rFont val="Segoe UI"/>
        <family val="2"/>
      </rPr>
      <t xml:space="preserve">: </t>
    </r>
  </si>
  <si>
    <r>
      <t>Pharmacy License</t>
    </r>
    <r>
      <rPr>
        <sz val="10"/>
        <color rgb="FF0D0D0D"/>
        <rFont val="Segoe UI"/>
        <family val="2"/>
      </rPr>
      <t xml:space="preserve">: </t>
    </r>
  </si>
  <si>
    <r>
      <t>FDA Registration</t>
    </r>
    <r>
      <rPr>
        <sz val="10"/>
        <color rgb="FF0D0D0D"/>
        <rFont val="Segoe UI"/>
        <family val="2"/>
      </rPr>
      <t>:</t>
    </r>
  </si>
  <si>
    <r>
      <t>Import-Export Code (IEC)</t>
    </r>
    <r>
      <rPr>
        <sz val="10"/>
        <color rgb="FF0D0D0D"/>
        <rFont val="Segoe UI"/>
        <family val="2"/>
      </rPr>
      <t>:</t>
    </r>
  </si>
  <si>
    <t>Water and Air Pollution NOC:</t>
  </si>
  <si>
    <t>Drug Manufacturing License:</t>
  </si>
  <si>
    <t>Land conversion to Industrial/Non agriculture:</t>
  </si>
  <si>
    <t>Certificate of Firm Registration:</t>
  </si>
  <si>
    <t>Should includes all  interest payments due during specified period.</t>
  </si>
  <si>
    <t>Per MT Price</t>
  </si>
  <si>
    <t xml:space="preserve">Debt Assumption </t>
  </si>
  <si>
    <t>Rate of Interest (P. A.)</t>
  </si>
  <si>
    <t>Term Loan</t>
  </si>
  <si>
    <t>Drawdown of BOB Term Loan</t>
  </si>
  <si>
    <t>Crs.</t>
  </si>
  <si>
    <t xml:space="preserve"> -</t>
  </si>
  <si>
    <t>NOTES:</t>
  </si>
  <si>
    <t>Door to door Tenure - 6.5 years (including Principal Moratirium of 1.5 Years)</t>
  </si>
  <si>
    <t>Drawdown of the Term Loan beginning from 31st March 2024 and ending on 30th September 2025 (at quarterly intervals).</t>
  </si>
  <si>
    <t>Repayment of the TL in 20 Quarterly structured instalments beginning from 31st December 2025 and ending on 30th September 2030.</t>
  </si>
  <si>
    <t>Crs</t>
  </si>
  <si>
    <t>NOTES</t>
  </si>
  <si>
    <t>The Total Project Cost of the New Plant is Considered as Rs. 151.97 Crores, basis the Total Project Cost Sheet Shared by the company.</t>
  </si>
  <si>
    <t>Break Even Analysis</t>
  </si>
  <si>
    <t>Variable Cost</t>
  </si>
  <si>
    <t>Total Variable Cost</t>
  </si>
  <si>
    <t>Contribution</t>
  </si>
  <si>
    <t>Contribution Margin</t>
  </si>
  <si>
    <t>Fixed Cost</t>
  </si>
  <si>
    <t>Total Fixed Cost</t>
  </si>
  <si>
    <t>PV Ratio</t>
  </si>
  <si>
    <t>Profit Volume (PV) Ratio</t>
  </si>
  <si>
    <t>Break Even Point  Sales</t>
  </si>
  <si>
    <t>Break even Point % of Sales</t>
  </si>
  <si>
    <t>PARTICULARS</t>
  </si>
  <si>
    <t>INCOME</t>
  </si>
  <si>
    <t>EXPENDITURE</t>
  </si>
  <si>
    <t>Finance Expenses</t>
  </si>
  <si>
    <t>Total Expenditure</t>
  </si>
  <si>
    <t>Income before Tax</t>
  </si>
  <si>
    <t>Taxation</t>
  </si>
  <si>
    <t>Income after Tax</t>
  </si>
  <si>
    <t>Cash Accruals</t>
  </si>
  <si>
    <t>Interest on T/L</t>
  </si>
  <si>
    <t>Installment of T/L</t>
  </si>
  <si>
    <r>
      <t xml:space="preserve">                      Sensitivity Analysis when there is increase in Interest Rate by </t>
    </r>
    <r>
      <rPr>
        <sz val="12"/>
        <rFont val="Arial"/>
        <family val="2"/>
      </rPr>
      <t>1.00%</t>
    </r>
    <r>
      <rPr>
        <b/>
        <sz val="12"/>
        <rFont val="Arial"/>
        <family val="2"/>
      </rPr>
      <t xml:space="preserve"> </t>
    </r>
  </si>
  <si>
    <t>Particular</t>
  </si>
  <si>
    <t>Terminal Value</t>
  </si>
  <si>
    <t>Discount rate</t>
  </si>
  <si>
    <t>Expected growth rate(Terminal)</t>
  </si>
  <si>
    <t>Discount Factor</t>
  </si>
  <si>
    <t>PV of FCF</t>
  </si>
  <si>
    <t>PV of Terminal Value</t>
  </si>
  <si>
    <t>NPV</t>
  </si>
  <si>
    <t>In Crores</t>
  </si>
  <si>
    <t>Ratio Analysis</t>
  </si>
  <si>
    <t xml:space="preserve">Revenue </t>
  </si>
  <si>
    <t xml:space="preserve">EBITDA  </t>
  </si>
  <si>
    <t>EBITDA Margin %</t>
  </si>
  <si>
    <t>EBIT Margin %</t>
  </si>
  <si>
    <t xml:space="preserve">Net profit  </t>
  </si>
  <si>
    <t>Net Profit Margin %</t>
  </si>
  <si>
    <t>Revenue Growth Rate %</t>
  </si>
  <si>
    <t>Average EBITDA Margin</t>
  </si>
  <si>
    <t>Average EBIT Margin</t>
  </si>
  <si>
    <t>Average Net Profit Margin</t>
  </si>
  <si>
    <t>Avergae Revenue Growth Rate</t>
  </si>
  <si>
    <t xml:space="preserve">Profit after tax </t>
  </si>
  <si>
    <t xml:space="preserve">Add: Depreciation for the year </t>
  </si>
  <si>
    <t>Add: Interest on Term Loan</t>
  </si>
  <si>
    <t>Add:Preliminary/pre-operative Expenses Written off (344.50 in 05 years)</t>
  </si>
  <si>
    <t>Repayment of Term Loan</t>
  </si>
  <si>
    <t>Interest on Term Loan</t>
  </si>
  <si>
    <t>O.K.</t>
  </si>
  <si>
    <t xml:space="preserve">Application of  funds : </t>
  </si>
  <si>
    <t xml:space="preserve">Total </t>
  </si>
  <si>
    <t xml:space="preserve">Building </t>
  </si>
  <si>
    <t xml:space="preserve"> </t>
  </si>
  <si>
    <t>SOURCES OF FUNDS</t>
  </si>
  <si>
    <t xml:space="preserve">Term Loan </t>
  </si>
  <si>
    <t>Equity (Share Capital + Securities Premium)</t>
  </si>
  <si>
    <t>2027-28</t>
  </si>
  <si>
    <t>2028-29</t>
  </si>
  <si>
    <t>2029-30</t>
  </si>
  <si>
    <t>2030-31</t>
  </si>
  <si>
    <t>Variable</t>
  </si>
  <si>
    <t>Fixed</t>
  </si>
  <si>
    <t>Brief Financials (In Crores)</t>
  </si>
  <si>
    <t>31st March,2023</t>
  </si>
  <si>
    <t>31st March 2022</t>
  </si>
  <si>
    <t>Total operating income</t>
  </si>
  <si>
    <t>PBILDT</t>
  </si>
  <si>
    <t>Trade Receivables (Debtor)</t>
  </si>
  <si>
    <t>Piller Centrifuge</t>
  </si>
  <si>
    <t xml:space="preserve"> 3 to 30 kl</t>
  </si>
  <si>
    <t>BOILER  8 TON CAPACITY with Shed</t>
  </si>
  <si>
    <t>TOTAL PROJECT COST</t>
  </si>
  <si>
    <t>Machinery and Equipments</t>
  </si>
  <si>
    <t>Rs.in Crores</t>
  </si>
  <si>
    <t xml:space="preserve">Other cost </t>
  </si>
  <si>
    <t>As per our assessment the per sq. ft. cost comes ~Rs.350/- which is in line.</t>
  </si>
  <si>
    <t>As per our assessment the per sq. ft. cost comes ~Rs.2100/- which is in line for such structures</t>
  </si>
  <si>
    <t>https://www.indiamart.com/proddetail/hvac-duct-manufacturing-2853116823088.html?pos=3</t>
  </si>
  <si>
    <t>Sq. Ft.</t>
  </si>
  <si>
    <t>Sq. Mtr</t>
  </si>
  <si>
    <t>Total (In Crores)</t>
  </si>
  <si>
    <t xml:space="preserve"> TOTAL </t>
  </si>
  <si>
    <t>PROJECT COST</t>
  </si>
  <si>
    <t>TOTAL (INR Crores)</t>
  </si>
  <si>
    <t>Plant And Machinery</t>
  </si>
  <si>
    <t>Other cost</t>
  </si>
  <si>
    <t>per MT Price</t>
  </si>
  <si>
    <r>
      <t xml:space="preserve">                      Sensitivity Analysis when there is decrease in Revenue by 0</t>
    </r>
    <r>
      <rPr>
        <sz val="12"/>
        <color theme="0"/>
        <rFont val="Arial"/>
        <family val="2"/>
      </rPr>
      <t>5%</t>
    </r>
    <r>
      <rPr>
        <b/>
        <sz val="12"/>
        <color theme="0"/>
        <rFont val="Arial"/>
        <family val="2"/>
      </rPr>
      <t xml:space="preserve"> </t>
    </r>
  </si>
  <si>
    <t>Tax rate</t>
  </si>
  <si>
    <t>Tax Rate</t>
  </si>
  <si>
    <t>13- BREAK EVEN POINT</t>
  </si>
  <si>
    <t>S.No.</t>
  </si>
  <si>
    <t>FIXED OVERHEADS</t>
  </si>
  <si>
    <t>Administrative Salaries</t>
  </si>
  <si>
    <t>Other Admn. Expenses</t>
  </si>
  <si>
    <t>Factory Insurance</t>
  </si>
  <si>
    <t>Repair &amp; Maintenance</t>
  </si>
  <si>
    <t>Interest On Term Loan</t>
  </si>
  <si>
    <t>Other Finance Charges</t>
  </si>
  <si>
    <t>Priliminary Expenses</t>
  </si>
  <si>
    <t>NET SALES</t>
  </si>
  <si>
    <t>VARIABLE OVERHEADS</t>
  </si>
  <si>
    <t xml:space="preserve">Raw Materials </t>
  </si>
  <si>
    <t>Chemicals</t>
  </si>
  <si>
    <t>Power &amp; Fuel</t>
  </si>
  <si>
    <t>Consumable Stores</t>
  </si>
  <si>
    <t>Direct Factory Wages</t>
  </si>
  <si>
    <t>Interest on Working Capital</t>
  </si>
  <si>
    <t>CONTRIBUTION</t>
  </si>
  <si>
    <t>BREAK EVEN POINT</t>
  </si>
  <si>
    <t>CASH B.E.P.</t>
  </si>
  <si>
    <r>
      <t xml:space="preserve">                      Sensitivity Analysis when there is increase in Operating Cost by </t>
    </r>
    <r>
      <rPr>
        <sz val="12"/>
        <rFont val="Arial"/>
        <family val="2"/>
      </rPr>
      <t>05%</t>
    </r>
    <r>
      <rPr>
        <b/>
        <sz val="12"/>
        <rFont val="Arial"/>
        <family val="2"/>
      </rPr>
      <t xml:space="preserve"> </t>
    </r>
  </si>
  <si>
    <t>It is assumed that the new plant will be operational W.e.f. 1st April 2025.</t>
  </si>
  <si>
    <t>Particulars (Rs in lacs)</t>
  </si>
  <si>
    <t>Period (Months)</t>
  </si>
  <si>
    <t>Less: Taxes</t>
  </si>
  <si>
    <t>Add: Depreciation &amp; Amortisation</t>
  </si>
  <si>
    <t>Gross Cash Flow</t>
  </si>
  <si>
    <t>Increase/(Decrease) in working capital</t>
  </si>
  <si>
    <t>Capex/ (salvage value)</t>
  </si>
  <si>
    <t>Free Cash Flow to Firm (FCFF)</t>
  </si>
  <si>
    <t>Project IRR (Post-tax)</t>
  </si>
  <si>
    <t>Net Working Capital</t>
  </si>
  <si>
    <t>Change in working Capital</t>
  </si>
  <si>
    <t>Rifapentine</t>
  </si>
  <si>
    <t xml:space="preserve">Project IRR </t>
  </si>
  <si>
    <t>INR in lacs</t>
  </si>
  <si>
    <t>WACC Calculation</t>
  </si>
  <si>
    <t>Incremental Cost of Debt</t>
  </si>
  <si>
    <t>Cost of Equity</t>
  </si>
  <si>
    <t>Proportion of Debt</t>
  </si>
  <si>
    <t>Tax</t>
  </si>
  <si>
    <t>WACC</t>
  </si>
  <si>
    <t>Discounting factor</t>
  </si>
  <si>
    <t>Target</t>
  </si>
  <si>
    <t>Median</t>
  </si>
  <si>
    <t>Damodaran - Green &amp; Renewable Energy</t>
  </si>
  <si>
    <t>Unlevered Beta - Industry</t>
  </si>
  <si>
    <t>Relevered Beta</t>
  </si>
  <si>
    <t>Industry</t>
  </si>
  <si>
    <t>Cost of Equity (Ke)</t>
  </si>
  <si>
    <t>Risk Free Rate (Rfr)</t>
  </si>
  <si>
    <t>RBI - 10-Year G-Sec Par Yield (FBIL) - 15 March 2024</t>
  </si>
  <si>
    <t>Market Return (Rm)</t>
  </si>
  <si>
    <t>Sum if Risk Free Rate and Market Risk Premium</t>
  </si>
  <si>
    <t>Market Risk Premium</t>
  </si>
  <si>
    <t>Damodaran ERP India Jan 2024</t>
  </si>
  <si>
    <t>Levered Beta</t>
  </si>
  <si>
    <t>Additional Risk Premium</t>
  </si>
  <si>
    <t>Higher CSRP on account of new business</t>
  </si>
  <si>
    <t>Cost of Debt (Kd)</t>
  </si>
  <si>
    <t>Pre Tax - Cost of Debt (Kd)</t>
  </si>
  <si>
    <t>Cost of Debt - Pre Tax</t>
  </si>
  <si>
    <t>Marginal tax rate</t>
  </si>
  <si>
    <t>To be considered from Tax Workings Sheet</t>
  </si>
  <si>
    <t>Post Tax - Cost of Debt (Kd)</t>
  </si>
  <si>
    <t>Debt / Equity</t>
  </si>
  <si>
    <t xml:space="preserve">  </t>
  </si>
  <si>
    <t>Rounded off WACC</t>
  </si>
  <si>
    <t>Discount period</t>
  </si>
  <si>
    <t>PV of FCF+ PV of Terminal Value</t>
  </si>
  <si>
    <t>Year</t>
  </si>
  <si>
    <t>No. Of Years</t>
  </si>
  <si>
    <t>Cash Accrual</t>
  </si>
  <si>
    <t>Accumulated Cash Accrual</t>
  </si>
  <si>
    <t>TPC</t>
  </si>
  <si>
    <t>Payback Period</t>
  </si>
  <si>
    <t>Years</t>
  </si>
  <si>
    <t>Growth %</t>
  </si>
  <si>
    <t xml:space="preserve">GUJARAT THEMIS BIOSYN LIMITED  </t>
  </si>
  <si>
    <t>mg</t>
  </si>
  <si>
    <t>gm</t>
  </si>
  <si>
    <t>kg</t>
  </si>
  <si>
    <t>T</t>
  </si>
  <si>
    <t>rs</t>
  </si>
  <si>
    <t>per Tonnes value</t>
  </si>
  <si>
    <t>For RIFAPENTINE</t>
  </si>
  <si>
    <t>150 mg MRP 21. 10 tablets</t>
  </si>
  <si>
    <t>Insurance, Rates and taxes, Donation, Legal and professional fees, Repairs and maintenance, Rent for Flats, Printing and Stationary Expenses, Travelling and conveyance expenses and others</t>
  </si>
  <si>
    <t>Disposal Charges for removal of waste material, Central Effluent Treatment Charges, Drainage Cess Charges, Freight and Forwarding and other Work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</si>
</sst>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 #,##0.00;[Red]&quot;₹&quot;\ \-#,##0.00"/>
    <numFmt numFmtId="43" formatCode="_ * #,##0.00_ ;_ * \-#,##0.00_ ;_ * &quot;-&quot;??_ ;_ @_ "/>
    <numFmt numFmtId="164" formatCode="_-* #,##0.00_-;\-* #,##0.00_-;_-* &quot;-&quot;??_-;_-@_-"/>
    <numFmt numFmtId="165" formatCode="0.0%"/>
    <numFmt numFmtId="166" formatCode="_ * #,##0_ ;_ * \-#,##0_ ;_ * &quot;-&quot;??_ ;_ @_ "/>
    <numFmt numFmtId="167" formatCode="_(* #,##0.00_);_(* \(#,##0.00\);_(* &quot;-&quot;??_);_(@_)"/>
    <numFmt numFmtId="168" formatCode="[$-409]d\-mmm\-yy;@"/>
    <numFmt numFmtId="169" formatCode="[$-409]dd/mmm/yy;@"/>
    <numFmt numFmtId="170" formatCode="_(* #,##0_);_(* \(#,##0\);_(* &quot;-&quot;??_);_(@_)"/>
    <numFmt numFmtId="171" formatCode="0.0"/>
    <numFmt numFmtId="172" formatCode="0_)"/>
    <numFmt numFmtId="173" formatCode="&quot;FY&quot;\ 0"/>
    <numFmt numFmtId="174" formatCode="0.0_);\(0.0\)"/>
    <numFmt numFmtId="175" formatCode="0.0000000%"/>
    <numFmt numFmtId="176" formatCode="0.000%"/>
    <numFmt numFmtId="177" formatCode="0.00_);\(0.00\)"/>
  </numFmts>
  <fonts count="9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u/>
      <sz val="11"/>
      <name val="Calibri"/>
      <family val="2"/>
      <scheme val="minor"/>
    </font>
    <font>
      <sz val="11"/>
      <name val="Calibri"/>
      <family val="2"/>
      <scheme val="minor"/>
    </font>
    <font>
      <b/>
      <sz val="11"/>
      <name val="Calibri"/>
      <family val="2"/>
      <scheme val="minor"/>
    </font>
    <font>
      <b/>
      <sz val="11"/>
      <color indexed="8"/>
      <name val="Calibri"/>
      <family val="2"/>
      <scheme val="minor"/>
    </font>
    <font>
      <sz val="10"/>
      <name val="Arial"/>
      <family val="2"/>
    </font>
    <font>
      <b/>
      <u/>
      <sz val="11"/>
      <name val="Calibri"/>
      <family val="2"/>
      <scheme val="minor"/>
    </font>
    <font>
      <sz val="11"/>
      <color indexed="8"/>
      <name val="Calibri"/>
      <family val="2"/>
      <scheme val="minor"/>
    </font>
    <font>
      <sz val="10"/>
      <color indexed="8"/>
      <name val="Calibri"/>
      <family val="2"/>
      <scheme val="minor"/>
    </font>
    <font>
      <sz val="10"/>
      <color indexed="8"/>
      <name val="MS Sans Serif"/>
    </font>
    <font>
      <u/>
      <sz val="11"/>
      <color theme="10"/>
      <name val="Calibri"/>
      <family val="2"/>
      <scheme val="minor"/>
    </font>
    <font>
      <sz val="10"/>
      <color indexed="8"/>
      <name val="MS Sans Serif"/>
      <family val="2"/>
    </font>
    <font>
      <b/>
      <sz val="14"/>
      <color theme="1"/>
      <name val="Calibri"/>
      <family val="2"/>
      <scheme val="minor"/>
    </font>
    <font>
      <sz val="14"/>
      <color theme="1"/>
      <name val="Calibri"/>
      <family val="2"/>
      <scheme val="minor"/>
    </font>
    <font>
      <sz val="14"/>
      <color theme="1"/>
      <name val="Trebuchet MS"/>
      <family val="2"/>
    </font>
    <font>
      <b/>
      <sz val="12"/>
      <color theme="1"/>
      <name val="Trebuchet MS"/>
      <family val="2"/>
    </font>
    <font>
      <b/>
      <sz val="12"/>
      <color theme="1"/>
      <name val="Calibri"/>
      <family val="2"/>
      <scheme val="minor"/>
    </font>
    <font>
      <sz val="12"/>
      <color theme="1"/>
      <name val="Calibri"/>
      <family val="2"/>
      <scheme val="minor"/>
    </font>
    <font>
      <b/>
      <sz val="10"/>
      <color theme="0"/>
      <name val="Calibri"/>
      <family val="2"/>
      <scheme val="minor"/>
    </font>
    <font>
      <b/>
      <sz val="10"/>
      <color rgb="FFFFFFFF"/>
      <name val="Calibri"/>
      <family val="2"/>
      <scheme val="minor"/>
    </font>
    <font>
      <sz val="10"/>
      <color rgb="FF0070C0"/>
      <name val="Calibri"/>
      <family val="2"/>
      <scheme val="minor"/>
    </font>
    <font>
      <sz val="10"/>
      <name val="Calibri"/>
      <family val="2"/>
      <scheme val="minor"/>
    </font>
    <font>
      <b/>
      <sz val="11"/>
      <color rgb="FF000000"/>
      <name val="Calibri"/>
      <family val="2"/>
      <scheme val="minor"/>
    </font>
    <font>
      <sz val="11"/>
      <color rgb="FF000000"/>
      <name val="Calibri"/>
      <family val="2"/>
      <scheme val="minor"/>
    </font>
    <font>
      <b/>
      <sz val="16"/>
      <color rgb="FFFFFFFF"/>
      <name val="Calibri"/>
      <family val="2"/>
      <scheme val="minor"/>
    </font>
    <font>
      <sz val="16"/>
      <color theme="1"/>
      <name val="Calibri"/>
      <family val="2"/>
      <scheme val="minor"/>
    </font>
    <font>
      <sz val="10"/>
      <color rgb="FFFFFFFF"/>
      <name val="Calibri"/>
      <family val="2"/>
      <scheme val="minor"/>
    </font>
    <font>
      <sz val="10"/>
      <color theme="1"/>
      <name val="Calibri"/>
      <family val="2"/>
      <scheme val="minor"/>
    </font>
    <font>
      <sz val="9"/>
      <name val="Calibri"/>
      <family val="2"/>
      <scheme val="minor"/>
    </font>
    <font>
      <sz val="9"/>
      <color theme="1"/>
      <name val="Calibri"/>
      <family val="2"/>
      <scheme val="minor"/>
    </font>
    <font>
      <sz val="9"/>
      <color rgb="FF000000"/>
      <name val="Calibri"/>
      <family val="2"/>
      <scheme val="minor"/>
    </font>
    <font>
      <u/>
      <sz val="10"/>
      <color theme="1"/>
      <name val="Calibri"/>
      <family val="2"/>
      <scheme val="minor"/>
    </font>
    <font>
      <sz val="10"/>
      <color rgb="FFFF0000"/>
      <name val="Calibri"/>
      <family val="2"/>
      <scheme val="minor"/>
    </font>
    <font>
      <sz val="10"/>
      <color theme="0" tint="-0.499984740745262"/>
      <name val="Calibri"/>
      <family val="2"/>
      <scheme val="minor"/>
    </font>
    <font>
      <b/>
      <sz val="10"/>
      <name val="Calibri"/>
      <family val="2"/>
      <scheme val="minor"/>
    </font>
    <font>
      <b/>
      <sz val="10"/>
      <color theme="1"/>
      <name val="Calibri"/>
      <family val="2"/>
      <scheme val="minor"/>
    </font>
    <font>
      <b/>
      <sz val="10"/>
      <color rgb="FF000000"/>
      <name val="Calibri"/>
      <family val="2"/>
      <scheme val="minor"/>
    </font>
    <font>
      <sz val="9"/>
      <color rgb="FFFFFFFF"/>
      <name val="Calibri"/>
      <family val="2"/>
      <scheme val="minor"/>
    </font>
    <font>
      <b/>
      <sz val="10"/>
      <color theme="0" tint="-0.499984740745262"/>
      <name val="Calibri"/>
      <family val="2"/>
      <scheme val="minor"/>
    </font>
    <font>
      <b/>
      <i/>
      <u/>
      <sz val="10"/>
      <color theme="1"/>
      <name val="Calibri"/>
      <family val="2"/>
      <scheme val="minor"/>
    </font>
    <font>
      <b/>
      <u/>
      <sz val="10"/>
      <color theme="1"/>
      <name val="Calibri"/>
      <family val="2"/>
      <scheme val="minor"/>
    </font>
    <font>
      <b/>
      <sz val="10"/>
      <color rgb="FF0070C0"/>
      <name val="Calibri"/>
      <family val="2"/>
      <scheme val="minor"/>
    </font>
    <font>
      <b/>
      <sz val="12"/>
      <color rgb="FFFFFFFF"/>
      <name val="Calibri"/>
      <family val="2"/>
      <scheme val="minor"/>
    </font>
    <font>
      <sz val="12"/>
      <color rgb="FFFFFFFF"/>
      <name val="Calibri"/>
      <family val="2"/>
      <scheme val="minor"/>
    </font>
    <font>
      <sz val="11"/>
      <color rgb="FF0070C0"/>
      <name val="Calibri"/>
      <family val="2"/>
      <scheme val="minor"/>
    </font>
    <font>
      <sz val="9"/>
      <color rgb="FF0070C0"/>
      <name val="Calibri"/>
      <family val="2"/>
      <scheme val="minor"/>
    </font>
    <font>
      <sz val="11"/>
      <color rgb="FFFF0000"/>
      <name val="Calibri"/>
      <family val="2"/>
      <scheme val="minor"/>
    </font>
    <font>
      <sz val="9"/>
      <color indexed="81"/>
      <name val="Tahoma"/>
      <family val="2"/>
    </font>
    <font>
      <b/>
      <sz val="9"/>
      <color indexed="81"/>
      <name val="Tahoma"/>
      <family val="2"/>
    </font>
    <font>
      <sz val="16"/>
      <color theme="1"/>
      <name val="Algerian"/>
      <family val="5"/>
    </font>
    <font>
      <b/>
      <sz val="11"/>
      <color theme="1"/>
      <name val="Arial Black"/>
      <family val="2"/>
    </font>
    <font>
      <b/>
      <sz val="14"/>
      <color rgb="FFFF0000"/>
      <name val="Calibri"/>
      <family val="2"/>
      <scheme val="minor"/>
    </font>
    <font>
      <i/>
      <sz val="10"/>
      <name val="Calibri"/>
      <family val="2"/>
      <scheme val="minor"/>
    </font>
    <font>
      <b/>
      <sz val="10"/>
      <color rgb="FFFF0000"/>
      <name val="Calibri"/>
      <family val="2"/>
      <scheme val="minor"/>
    </font>
    <font>
      <sz val="10"/>
      <color rgb="FF0D0D0D"/>
      <name val="Segoe UI"/>
      <family val="2"/>
    </font>
    <font>
      <sz val="11"/>
      <color theme="0"/>
      <name val="Calibri"/>
      <family val="2"/>
      <scheme val="minor"/>
    </font>
    <font>
      <sz val="11"/>
      <color theme="4" tint="0.39997558519241921"/>
      <name val="Calibri"/>
      <family val="2"/>
      <scheme val="minor"/>
    </font>
    <font>
      <b/>
      <sz val="10"/>
      <color theme="0"/>
      <name val="Arial"/>
      <family val="2"/>
    </font>
    <font>
      <b/>
      <sz val="10"/>
      <name val="Arial"/>
      <family val="2"/>
    </font>
    <font>
      <b/>
      <sz val="12"/>
      <color theme="0"/>
      <name val="Arial"/>
      <family val="2"/>
    </font>
    <font>
      <sz val="12"/>
      <color theme="0"/>
      <name val="Arial"/>
      <family val="2"/>
    </font>
    <font>
      <sz val="9"/>
      <name val="Arial"/>
      <family val="2"/>
    </font>
    <font>
      <b/>
      <sz val="9"/>
      <name val="Arial"/>
      <family val="2"/>
    </font>
    <font>
      <sz val="12"/>
      <name val="Arial"/>
      <family val="2"/>
    </font>
    <font>
      <b/>
      <sz val="12"/>
      <name val="Arial"/>
      <family val="2"/>
    </font>
    <font>
      <b/>
      <u/>
      <sz val="11"/>
      <color theme="0"/>
      <name val="Calibri"/>
      <family val="2"/>
      <scheme val="minor"/>
    </font>
    <font>
      <b/>
      <sz val="12"/>
      <color rgb="FFC00000"/>
      <name val="Calibri"/>
      <family val="2"/>
      <scheme val="minor"/>
    </font>
    <font>
      <i/>
      <sz val="11"/>
      <name val="Calibri"/>
      <family val="2"/>
      <scheme val="minor"/>
    </font>
    <font>
      <sz val="9"/>
      <color rgb="FF282829"/>
      <name val="Segoe UI"/>
      <family val="2"/>
    </font>
    <font>
      <b/>
      <sz val="11"/>
      <color rgb="FFFF0000"/>
      <name val="Calibri"/>
      <family val="2"/>
      <scheme val="minor"/>
    </font>
    <font>
      <sz val="8"/>
      <name val="Calibri"/>
      <family val="2"/>
      <scheme val="minor"/>
    </font>
    <font>
      <b/>
      <sz val="16"/>
      <color theme="1"/>
      <name val="Calibri"/>
      <family val="2"/>
      <scheme val="minor"/>
    </font>
    <font>
      <b/>
      <sz val="14"/>
      <name val="Calibri"/>
      <family val="2"/>
      <scheme val="minor"/>
    </font>
    <font>
      <sz val="11"/>
      <color theme="1"/>
      <name val="Arial"/>
      <family val="2"/>
    </font>
    <font>
      <b/>
      <u/>
      <sz val="11"/>
      <color rgb="FFFFFFFF"/>
      <name val="Calibri"/>
      <family val="2"/>
    </font>
    <font>
      <sz val="11"/>
      <color rgb="FFFFFFFF"/>
      <name val="Calibri"/>
      <family val="2"/>
    </font>
    <font>
      <sz val="11"/>
      <color theme="1"/>
      <name val="Calibri"/>
      <family val="2"/>
    </font>
    <font>
      <b/>
      <sz val="11"/>
      <color theme="1"/>
      <name val="Calibri"/>
      <family val="2"/>
    </font>
    <font>
      <b/>
      <sz val="11"/>
      <color rgb="FF000000"/>
      <name val="Calibri"/>
      <family val="2"/>
    </font>
    <font>
      <b/>
      <sz val="11"/>
      <color rgb="FFFFFFFF"/>
      <name val="Calibri"/>
      <family val="2"/>
    </font>
    <font>
      <b/>
      <u/>
      <sz val="9"/>
      <name val="Arial"/>
      <family val="2"/>
    </font>
    <font>
      <b/>
      <sz val="16"/>
      <color theme="1"/>
      <name val="Arial"/>
      <family val="2"/>
    </font>
    <font>
      <sz val="11"/>
      <color theme="1"/>
      <name val="Times New Roman"/>
      <family val="2"/>
    </font>
    <font>
      <b/>
      <sz val="11"/>
      <color rgb="FFC00000"/>
      <name val="Calibri"/>
      <family val="2"/>
    </font>
    <font>
      <sz val="11"/>
      <color rgb="FFC00000"/>
      <name val="Calibri"/>
      <family val="2"/>
    </font>
    <font>
      <sz val="11"/>
      <name val="Calibri"/>
      <family val="2"/>
    </font>
    <font>
      <b/>
      <sz val="11"/>
      <color indexed="12"/>
      <name val="Calibri"/>
      <family val="2"/>
    </font>
    <font>
      <b/>
      <sz val="11"/>
      <color theme="0"/>
      <name val="Calibri"/>
      <family val="2"/>
    </font>
    <font>
      <b/>
      <sz val="11"/>
      <name val="Calibri"/>
      <family val="2"/>
    </font>
    <font>
      <b/>
      <sz val="10"/>
      <color theme="0"/>
      <name val="Calibri"/>
      <family val="2"/>
    </font>
    <font>
      <sz val="10"/>
      <name val="Calibri"/>
      <family val="2"/>
    </font>
    <font>
      <b/>
      <u/>
      <sz val="10"/>
      <name val="Calibri"/>
      <family val="2"/>
    </font>
    <font>
      <i/>
      <sz val="10"/>
      <color rgb="FFFF0000"/>
      <name val="Calibri"/>
      <family val="2"/>
    </font>
    <font>
      <i/>
      <sz val="10"/>
      <name val="Calibri"/>
      <family val="2"/>
    </font>
    <font>
      <b/>
      <sz val="10"/>
      <name val="Calibri"/>
      <family val="2"/>
    </font>
  </fonts>
  <fills count="26">
    <fill>
      <patternFill patternType="none"/>
    </fill>
    <fill>
      <patternFill patternType="gray125"/>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CC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00338D"/>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8"/>
        <bgColor indexed="64"/>
      </patternFill>
    </fill>
    <fill>
      <patternFill patternType="solid">
        <fgColor rgb="FF002060"/>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8DB3E2"/>
        <bgColor indexed="64"/>
      </patternFill>
    </fill>
    <fill>
      <patternFill patternType="solid">
        <fgColor theme="4" tint="0.39997558519241921"/>
        <bgColor indexed="64"/>
      </patternFill>
    </fill>
    <fill>
      <patternFill patternType="solid">
        <fgColor indexed="9"/>
        <bgColor indexed="64"/>
      </patternFill>
    </fill>
    <fill>
      <patternFill patternType="solid">
        <fgColor theme="3" tint="0.79998168889431442"/>
        <bgColor indexed="64"/>
      </patternFill>
    </fill>
    <fill>
      <patternFill patternType="solid">
        <fgColor rgb="FF01274E"/>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61">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 fillId="0" borderId="0"/>
    <xf numFmtId="0" fontId="1" fillId="0" borderId="0"/>
    <xf numFmtId="0" fontId="1" fillId="0" borderId="0"/>
    <xf numFmtId="9" fontId="9" fillId="0" borderId="0" applyFont="0" applyFill="0" applyBorder="0" applyAlignment="0" applyProtection="0"/>
    <xf numFmtId="0" fontId="13" fillId="0" borderId="0"/>
    <xf numFmtId="0" fontId="14" fillId="0" borderId="0" applyNumberFormat="0" applyFill="0" applyBorder="0" applyAlignment="0" applyProtection="0"/>
    <xf numFmtId="164" fontId="15" fillId="0" borderId="0" applyFont="0" applyFill="0" applyBorder="0" applyAlignment="0" applyProtection="0"/>
    <xf numFmtId="9" fontId="13" fillId="0" borderId="0" applyFont="0" applyFill="0" applyBorder="0" applyAlignment="0" applyProtection="0"/>
    <xf numFmtId="43" fontId="9" fillId="0" borderId="0" applyFont="0" applyFill="0" applyBorder="0" applyAlignment="0" applyProtection="0"/>
    <xf numFmtId="9" fontId="1" fillId="0" borderId="0" applyFont="0" applyFill="0" applyBorder="0" applyAlignment="0" applyProtection="0"/>
    <xf numFmtId="0" fontId="1" fillId="0" borderId="0"/>
    <xf numFmtId="43" fontId="9" fillId="0" borderId="0" applyFont="0" applyFill="0" applyBorder="0" applyAlignment="0" applyProtection="0"/>
    <xf numFmtId="9" fontId="1" fillId="0" borderId="0" applyFont="0" applyFill="0" applyBorder="0" applyAlignment="0" applyProtection="0"/>
    <xf numFmtId="0" fontId="1" fillId="0" borderId="0"/>
    <xf numFmtId="43" fontId="9" fillId="0" borderId="0" applyFont="0" applyFill="0" applyBorder="0" applyAlignment="0" applyProtection="0"/>
    <xf numFmtId="0" fontId="1" fillId="0" borderId="0"/>
    <xf numFmtId="0" fontId="9"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9" fillId="0" borderId="0" applyFont="0" applyFill="0" applyBorder="0" applyAlignment="0" applyProtection="0"/>
    <xf numFmtId="9" fontId="1" fillId="0" borderId="0" applyFont="0" applyFill="0" applyBorder="0" applyAlignment="0" applyProtection="0"/>
    <xf numFmtId="0" fontId="1" fillId="0" borderId="0"/>
    <xf numFmtId="43" fontId="9"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0" fontId="9" fillId="0" borderId="0"/>
    <xf numFmtId="0" fontId="15" fillId="0" borderId="0"/>
    <xf numFmtId="0" fontId="1" fillId="0" borderId="0"/>
    <xf numFmtId="169" fontId="1" fillId="0" borderId="0"/>
    <xf numFmtId="169" fontId="1" fillId="0" borderId="0"/>
    <xf numFmtId="43" fontId="1" fillId="0" borderId="0" applyFont="0" applyFill="0" applyBorder="0" applyAlignment="0" applyProtection="0"/>
    <xf numFmtId="0" fontId="14" fillId="0" borderId="0" applyNumberFormat="0" applyFill="0" applyBorder="0" applyAlignment="0" applyProtection="0"/>
    <xf numFmtId="167" fontId="9" fillId="0" borderId="0" applyFont="0" applyFill="0" applyBorder="0" applyAlignment="0" applyProtection="0"/>
    <xf numFmtId="9" fontId="9"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0" fontId="9" fillId="0" borderId="0"/>
    <xf numFmtId="0" fontId="86" fillId="0" borderId="0"/>
  </cellStyleXfs>
  <cellXfs count="643">
    <xf numFmtId="0" fontId="0" fillId="0" borderId="0" xfId="0"/>
    <xf numFmtId="0" fontId="0" fillId="0" borderId="1" xfId="0" applyBorder="1"/>
    <xf numFmtId="0" fontId="3" fillId="0" borderId="0" xfId="0" applyFont="1"/>
    <xf numFmtId="0" fontId="6" fillId="0" borderId="0" xfId="0" applyFont="1"/>
    <xf numFmtId="0" fontId="7" fillId="0" borderId="0" xfId="0" applyFont="1"/>
    <xf numFmtId="0" fontId="6" fillId="0" borderId="0" xfId="0" applyFont="1" applyAlignment="1">
      <alignment horizontal="left"/>
    </xf>
    <xf numFmtId="0" fontId="10" fillId="0" borderId="0" xfId="3" applyFont="1" applyAlignment="1">
      <alignment vertical="center"/>
    </xf>
    <xf numFmtId="0" fontId="6" fillId="0" borderId="0" xfId="3" applyFont="1" applyAlignment="1">
      <alignment vertical="center" wrapText="1"/>
    </xf>
    <xf numFmtId="0" fontId="11" fillId="0" borderId="0" xfId="0" applyFont="1" applyAlignment="1">
      <alignment horizontal="center" vertical="center"/>
    </xf>
    <xf numFmtId="0" fontId="7" fillId="0" borderId="0" xfId="3" applyFont="1" applyAlignment="1">
      <alignment vertical="center"/>
    </xf>
    <xf numFmtId="0" fontId="6" fillId="0" borderId="0" xfId="3" applyFont="1" applyAlignment="1">
      <alignment vertical="center"/>
    </xf>
    <xf numFmtId="0" fontId="10" fillId="0" borderId="0" xfId="3" applyFont="1" applyAlignment="1">
      <alignment vertical="center" wrapText="1"/>
    </xf>
    <xf numFmtId="0" fontId="12" fillId="0" borderId="0" xfId="0" applyFont="1"/>
    <xf numFmtId="0" fontId="11" fillId="0" borderId="0" xfId="0" applyFont="1"/>
    <xf numFmtId="0" fontId="11" fillId="0" borderId="1" xfId="0" applyFont="1" applyBorder="1"/>
    <xf numFmtId="4" fontId="11" fillId="0" borderId="1" xfId="0" applyNumberFormat="1" applyFont="1" applyBorder="1"/>
    <xf numFmtId="2" fontId="11" fillId="0" borderId="1" xfId="0" applyNumberFormat="1" applyFont="1" applyBorder="1"/>
    <xf numFmtId="0" fontId="11" fillId="0" borderId="0" xfId="0" applyFont="1" applyAlignment="1">
      <alignment horizontal="center"/>
    </xf>
    <xf numFmtId="2" fontId="11" fillId="0" borderId="0" xfId="0" applyNumberFormat="1" applyFont="1"/>
    <xf numFmtId="0" fontId="0" fillId="0" borderId="2" xfId="0" applyBorder="1"/>
    <xf numFmtId="2" fontId="0" fillId="0" borderId="0" xfId="0" applyNumberFormat="1"/>
    <xf numFmtId="0" fontId="0" fillId="0" borderId="0" xfId="0" applyAlignment="1">
      <alignment horizontal="left" indent="1"/>
    </xf>
    <xf numFmtId="0" fontId="0" fillId="0" borderId="0" xfId="0" applyAlignment="1">
      <alignment wrapText="1"/>
    </xf>
    <xf numFmtId="43" fontId="0" fillId="0" borderId="0" xfId="1" applyFont="1" applyFill="1" applyBorder="1"/>
    <xf numFmtId="43" fontId="0" fillId="0" borderId="0" xfId="0" applyNumberFormat="1"/>
    <xf numFmtId="0" fontId="3" fillId="0" borderId="7" xfId="0" applyFont="1" applyBorder="1"/>
    <xf numFmtId="166" fontId="0" fillId="0" borderId="0" xfId="1" applyNumberFormat="1" applyFont="1" applyFill="1" applyBorder="1"/>
    <xf numFmtId="0" fontId="0" fillId="0" borderId="0" xfId="0" quotePrefix="1"/>
    <xf numFmtId="0" fontId="3" fillId="0" borderId="0" xfId="0" applyFont="1" applyAlignment="1">
      <alignment horizontal="left" indent="1"/>
    </xf>
    <xf numFmtId="43" fontId="3" fillId="0" borderId="7" xfId="1" applyFont="1" applyFill="1" applyBorder="1"/>
    <xf numFmtId="43" fontId="3" fillId="0" borderId="0" xfId="1" applyFont="1" applyFill="1" applyBorder="1"/>
    <xf numFmtId="0" fontId="0" fillId="0" borderId="0" xfId="0" applyAlignment="1">
      <alignment horizontal="left" indent="2"/>
    </xf>
    <xf numFmtId="0" fontId="6" fillId="0" borderId="0" xfId="3" applyFont="1" applyAlignment="1">
      <alignment horizontal="left" vertical="center" indent="1"/>
    </xf>
    <xf numFmtId="0" fontId="16" fillId="4" borderId="1" xfId="0" applyFont="1" applyFill="1" applyBorder="1" applyAlignment="1">
      <alignment horizontal="center" vertical="center" wrapText="1"/>
    </xf>
    <xf numFmtId="0" fontId="17" fillId="0" borderId="1" xfId="0" applyFont="1" applyBorder="1" applyAlignment="1">
      <alignment horizontal="center" vertical="center"/>
    </xf>
    <xf numFmtId="0" fontId="16" fillId="0" borderId="1" xfId="0" applyFont="1" applyBorder="1"/>
    <xf numFmtId="0" fontId="16" fillId="0" borderId="1" xfId="0" applyFont="1" applyBorder="1" applyAlignment="1">
      <alignment vertical="center" wrapText="1"/>
    </xf>
    <xf numFmtId="0" fontId="17" fillId="0" borderId="5" xfId="0" applyFont="1" applyBorder="1" applyAlignment="1">
      <alignment horizontal="center" vertical="center"/>
    </xf>
    <xf numFmtId="0" fontId="16" fillId="0" borderId="5" xfId="0" applyFont="1" applyBorder="1"/>
    <xf numFmtId="0" fontId="16" fillId="5" borderId="8" xfId="0" applyFont="1" applyFill="1" applyBorder="1"/>
    <xf numFmtId="0" fontId="17" fillId="0" borderId="9" xfId="0" applyFont="1" applyBorder="1" applyAlignment="1">
      <alignment horizontal="center" vertical="center"/>
    </xf>
    <xf numFmtId="0" fontId="16" fillId="0" borderId="9" xfId="0" applyFont="1" applyBorder="1"/>
    <xf numFmtId="0" fontId="17" fillId="0" borderId="1" xfId="0" applyFont="1" applyBorder="1"/>
    <xf numFmtId="0" fontId="16" fillId="4" borderId="10" xfId="0" applyFont="1" applyFill="1" applyBorder="1" applyAlignment="1">
      <alignment horizontal="center" vertical="center" wrapText="1"/>
    </xf>
    <xf numFmtId="0" fontId="17" fillId="5" borderId="11" xfId="0" applyFont="1" applyFill="1" applyBorder="1"/>
    <xf numFmtId="0" fontId="17" fillId="5" borderId="12" xfId="0" applyFont="1" applyFill="1" applyBorder="1"/>
    <xf numFmtId="167" fontId="16" fillId="0" borderId="1" xfId="47" applyFont="1" applyBorder="1"/>
    <xf numFmtId="167" fontId="16" fillId="0" borderId="10" xfId="47" applyFont="1" applyBorder="1"/>
    <xf numFmtId="167" fontId="16" fillId="0" borderId="5" xfId="47" applyFont="1" applyBorder="1"/>
    <xf numFmtId="167" fontId="16" fillId="5" borderId="8" xfId="0" applyNumberFormat="1" applyFont="1" applyFill="1" applyBorder="1"/>
    <xf numFmtId="167" fontId="16" fillId="0" borderId="9" xfId="47" applyFont="1" applyBorder="1"/>
    <xf numFmtId="167" fontId="16" fillId="0" borderId="13" xfId="47" applyFont="1" applyBorder="1"/>
    <xf numFmtId="0" fontId="18" fillId="0" borderId="0" xfId="0" applyFont="1"/>
    <xf numFmtId="167" fontId="17" fillId="0" borderId="1" xfId="47" applyFont="1" applyFill="1" applyBorder="1"/>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9" fillId="0" borderId="0" xfId="0" applyFont="1"/>
    <xf numFmtId="0" fontId="3" fillId="0" borderId="1" xfId="0" applyFont="1" applyBorder="1" applyAlignment="1">
      <alignment horizontal="center" vertical="center"/>
    </xf>
    <xf numFmtId="2" fontId="0" fillId="0" borderId="1" xfId="0" applyNumberFormat="1" applyBorder="1"/>
    <xf numFmtId="0" fontId="0" fillId="0" borderId="1" xfId="0" applyBorder="1" applyAlignment="1">
      <alignment horizontal="center" vertical="center"/>
    </xf>
    <xf numFmtId="2" fontId="0" fillId="0" borderId="1" xfId="0" applyNumberFormat="1" applyBorder="1" applyAlignment="1">
      <alignment horizontal="center" vertical="center"/>
    </xf>
    <xf numFmtId="0" fontId="3" fillId="0" borderId="0" xfId="0" applyFont="1" applyAlignment="1">
      <alignment horizontal="center" vertical="center" wrapText="1"/>
    </xf>
    <xf numFmtId="0" fontId="21" fillId="0" borderId="1" xfId="0" applyFont="1" applyBorder="1"/>
    <xf numFmtId="0" fontId="3" fillId="0" borderId="1" xfId="0" applyFont="1" applyBorder="1" applyAlignment="1">
      <alignment horizontal="center" vertical="center" wrapText="1"/>
    </xf>
    <xf numFmtId="0" fontId="3" fillId="0" borderId="1" xfId="0" applyFont="1" applyBorder="1"/>
    <xf numFmtId="0" fontId="4" fillId="0" borderId="0" xfId="0" applyFont="1"/>
    <xf numFmtId="43" fontId="1" fillId="0" borderId="0" xfId="1" applyFont="1" applyFill="1" applyBorder="1"/>
    <xf numFmtId="0" fontId="3" fillId="0" borderId="0" xfId="0" applyFont="1" applyAlignment="1">
      <alignment horizontal="left"/>
    </xf>
    <xf numFmtId="43" fontId="0" fillId="0" borderId="0" xfId="1" applyFont="1"/>
    <xf numFmtId="0" fontId="7" fillId="0" borderId="0" xfId="3" applyFont="1" applyAlignment="1">
      <alignment vertical="center" wrapText="1"/>
    </xf>
    <xf numFmtId="0" fontId="6" fillId="0" borderId="0" xfId="3" applyFont="1" applyAlignment="1">
      <alignment horizontal="left" vertical="center" wrapText="1" indent="1"/>
    </xf>
    <xf numFmtId="0" fontId="29" fillId="0" borderId="0" xfId="0" applyFont="1"/>
    <xf numFmtId="0" fontId="23" fillId="8" borderId="0" xfId="0" applyFont="1" applyFill="1"/>
    <xf numFmtId="0" fontId="30" fillId="8" borderId="0" xfId="0" applyFont="1" applyFill="1"/>
    <xf numFmtId="0" fontId="31" fillId="0" borderId="0" xfId="0" applyFont="1"/>
    <xf numFmtId="0" fontId="32" fillId="9" borderId="0" xfId="0" applyFont="1" applyFill="1"/>
    <xf numFmtId="168" fontId="32" fillId="9" borderId="0" xfId="0" applyNumberFormat="1" applyFont="1" applyFill="1"/>
    <xf numFmtId="0" fontId="33" fillId="0" borderId="0" xfId="0" applyFont="1"/>
    <xf numFmtId="168" fontId="34" fillId="9" borderId="0" xfId="0" applyNumberFormat="1" applyFont="1" applyFill="1"/>
    <xf numFmtId="1" fontId="34" fillId="9" borderId="0" xfId="0" applyNumberFormat="1" applyFont="1" applyFill="1"/>
    <xf numFmtId="0" fontId="31" fillId="0" borderId="1" xfId="0" applyFont="1" applyBorder="1"/>
    <xf numFmtId="17" fontId="31" fillId="0" borderId="0" xfId="0" applyNumberFormat="1" applyFont="1"/>
    <xf numFmtId="0" fontId="30" fillId="8" borderId="15" xfId="0" applyFont="1" applyFill="1" applyBorder="1"/>
    <xf numFmtId="0" fontId="36" fillId="8" borderId="0" xfId="0" applyFont="1" applyFill="1"/>
    <xf numFmtId="0" fontId="23" fillId="0" borderId="0" xfId="0" applyFont="1"/>
    <xf numFmtId="0" fontId="30" fillId="0" borderId="0" xfId="0" applyFont="1"/>
    <xf numFmtId="0" fontId="36" fillId="0" borderId="0" xfId="0" applyFont="1"/>
    <xf numFmtId="0" fontId="37" fillId="0" borderId="0" xfId="49" applyFont="1" applyAlignment="1">
      <alignment horizontal="left"/>
    </xf>
    <xf numFmtId="10" fontId="31" fillId="0" borderId="0" xfId="2" applyNumberFormat="1" applyFont="1"/>
    <xf numFmtId="0" fontId="25" fillId="0" borderId="0" xfId="0" applyFont="1" applyAlignment="1">
      <alignment horizontal="left" indent="2"/>
    </xf>
    <xf numFmtId="0" fontId="25" fillId="0" borderId="0" xfId="0" applyFont="1"/>
    <xf numFmtId="2" fontId="31" fillId="0" borderId="0" xfId="0" applyNumberFormat="1" applyFont="1"/>
    <xf numFmtId="0" fontId="25" fillId="0" borderId="0" xfId="0" applyFont="1" applyAlignment="1">
      <alignment horizontal="left" wrapText="1"/>
    </xf>
    <xf numFmtId="0" fontId="25" fillId="0" borderId="0" xfId="0" applyFont="1" applyAlignment="1">
      <alignment horizontal="left"/>
    </xf>
    <xf numFmtId="0" fontId="38" fillId="0" borderId="0" xfId="0" applyFont="1"/>
    <xf numFmtId="43" fontId="25" fillId="0" borderId="0" xfId="1" applyFont="1"/>
    <xf numFmtId="0" fontId="38" fillId="0" borderId="0" xfId="0" applyFont="1" applyAlignment="1">
      <alignment horizontal="left"/>
    </xf>
    <xf numFmtId="43" fontId="24" fillId="0" borderId="0" xfId="1" applyFont="1"/>
    <xf numFmtId="43" fontId="31" fillId="0" borderId="0" xfId="1" applyFont="1"/>
    <xf numFmtId="0" fontId="31" fillId="0" borderId="0" xfId="0" applyFont="1" applyAlignment="1">
      <alignment horizontal="left"/>
    </xf>
    <xf numFmtId="0" fontId="39" fillId="0" borderId="0" xfId="0" applyFont="1"/>
    <xf numFmtId="10" fontId="31" fillId="0" borderId="0" xfId="0" applyNumberFormat="1" applyFont="1"/>
    <xf numFmtId="0" fontId="40" fillId="0" borderId="0" xfId="0" applyFont="1"/>
    <xf numFmtId="168" fontId="40" fillId="0" borderId="0" xfId="0" applyNumberFormat="1" applyFont="1"/>
    <xf numFmtId="168" fontId="25" fillId="0" borderId="0" xfId="49" applyNumberFormat="1" applyFont="1" applyAlignment="1">
      <alignment horizontal="left" vertical="center"/>
    </xf>
    <xf numFmtId="168" fontId="37" fillId="0" borderId="0" xfId="49" applyNumberFormat="1" applyFont="1" applyAlignment="1">
      <alignment horizontal="left" vertical="center"/>
    </xf>
    <xf numFmtId="10" fontId="24" fillId="0" borderId="0" xfId="49" applyNumberFormat="1" applyFont="1" applyAlignment="1">
      <alignment horizontal="right" vertical="center"/>
    </xf>
    <xf numFmtId="169" fontId="31" fillId="10" borderId="1" xfId="51" applyFont="1" applyFill="1" applyBorder="1"/>
    <xf numFmtId="0" fontId="31" fillId="10" borderId="1" xfId="0" applyFont="1" applyFill="1" applyBorder="1"/>
    <xf numFmtId="43" fontId="37" fillId="0" borderId="1" xfId="1" applyFont="1" applyBorder="1" applyAlignment="1">
      <alignment horizontal="left"/>
    </xf>
    <xf numFmtId="43" fontId="31" fillId="0" borderId="1" xfId="1" applyFont="1" applyBorder="1"/>
    <xf numFmtId="43" fontId="25" fillId="0" borderId="1" xfId="1" applyFont="1" applyBorder="1" applyAlignment="1">
      <alignment horizontal="left" indent="2"/>
    </xf>
    <xf numFmtId="169" fontId="39" fillId="11" borderId="5" xfId="52" applyFont="1" applyFill="1" applyBorder="1"/>
    <xf numFmtId="167" fontId="39" fillId="11" borderId="5" xfId="52" applyNumberFormat="1" applyFont="1" applyFill="1" applyBorder="1"/>
    <xf numFmtId="43" fontId="25" fillId="0" borderId="1" xfId="1" applyFont="1" applyBorder="1"/>
    <xf numFmtId="169" fontId="39" fillId="10" borderId="1" xfId="51" applyFont="1" applyFill="1" applyBorder="1"/>
    <xf numFmtId="0" fontId="39" fillId="0" borderId="1" xfId="0" applyFont="1" applyBorder="1"/>
    <xf numFmtId="43" fontId="38" fillId="0" borderId="1" xfId="1" applyFont="1" applyBorder="1" applyAlignment="1">
      <alignment horizontal="left"/>
    </xf>
    <xf numFmtId="43" fontId="39" fillId="0" borderId="1" xfId="1" applyFont="1" applyBorder="1"/>
    <xf numFmtId="43" fontId="39" fillId="10" borderId="1" xfId="1" applyFont="1" applyFill="1" applyBorder="1"/>
    <xf numFmtId="169" fontId="31" fillId="10" borderId="16" xfId="52" applyFont="1" applyFill="1" applyBorder="1"/>
    <xf numFmtId="167" fontId="31" fillId="10" borderId="1" xfId="47" applyFont="1" applyFill="1" applyBorder="1"/>
    <xf numFmtId="169" fontId="31" fillId="10" borderId="1" xfId="52" applyFont="1" applyFill="1" applyBorder="1"/>
    <xf numFmtId="169" fontId="39" fillId="0" borderId="1" xfId="52" applyFont="1" applyBorder="1"/>
    <xf numFmtId="167" fontId="39" fillId="0" borderId="1" xfId="52" applyNumberFormat="1" applyFont="1" applyBorder="1"/>
    <xf numFmtId="0" fontId="39" fillId="10" borderId="1" xfId="0" applyFont="1" applyFill="1" applyBorder="1"/>
    <xf numFmtId="43" fontId="38" fillId="0" borderId="1" xfId="1" applyFont="1" applyBorder="1" applyAlignment="1"/>
    <xf numFmtId="10" fontId="39" fillId="0" borderId="0" xfId="2" applyNumberFormat="1" applyFont="1"/>
    <xf numFmtId="43" fontId="31" fillId="10" borderId="1" xfId="1" applyFont="1" applyFill="1" applyBorder="1"/>
    <xf numFmtId="169" fontId="39" fillId="0" borderId="5" xfId="52" applyFont="1" applyBorder="1"/>
    <xf numFmtId="167" fontId="39" fillId="0" borderId="5" xfId="52" applyNumberFormat="1" applyFont="1" applyBorder="1"/>
    <xf numFmtId="169" fontId="31" fillId="0" borderId="5" xfId="52" applyFont="1" applyBorder="1"/>
    <xf numFmtId="0" fontId="22" fillId="0" borderId="1" xfId="0" applyFont="1" applyBorder="1"/>
    <xf numFmtId="43" fontId="22" fillId="0" borderId="1" xfId="1" applyFont="1" applyFill="1" applyBorder="1"/>
    <xf numFmtId="9" fontId="25" fillId="0" borderId="0" xfId="0" applyNumberFormat="1" applyFont="1"/>
    <xf numFmtId="10" fontId="0" fillId="0" borderId="1" xfId="2" applyNumberFormat="1" applyFont="1" applyBorder="1"/>
    <xf numFmtId="0" fontId="39" fillId="0" borderId="0" xfId="4" applyFont="1"/>
    <xf numFmtId="0" fontId="31" fillId="0" borderId="0" xfId="4" applyFont="1" applyAlignment="1">
      <alignment horizontal="left" indent="2"/>
    </xf>
    <xf numFmtId="43" fontId="31" fillId="0" borderId="0" xfId="4" applyNumberFormat="1" applyFont="1"/>
    <xf numFmtId="0" fontId="31" fillId="0" borderId="0" xfId="4" applyFont="1"/>
    <xf numFmtId="0" fontId="39" fillId="0" borderId="0" xfId="4" applyFont="1" applyAlignment="1">
      <alignment horizontal="left" indent="2"/>
    </xf>
    <xf numFmtId="0" fontId="42" fillId="0" borderId="0" xfId="49" applyFont="1" applyAlignment="1">
      <alignment horizontal="left"/>
    </xf>
    <xf numFmtId="43" fontId="39" fillId="0" borderId="0" xfId="4" applyNumberFormat="1" applyFont="1"/>
    <xf numFmtId="10" fontId="31" fillId="0" borderId="0" xfId="4" applyNumberFormat="1" applyFont="1"/>
    <xf numFmtId="0" fontId="43" fillId="0" borderId="0" xfId="4" applyFont="1"/>
    <xf numFmtId="1" fontId="31" fillId="0" borderId="0" xfId="4" applyNumberFormat="1" applyFont="1"/>
    <xf numFmtId="43" fontId="31" fillId="0" borderId="0" xfId="0" applyNumberFormat="1" applyFont="1"/>
    <xf numFmtId="10" fontId="25" fillId="0" borderId="0" xfId="2" applyNumberFormat="1" applyFont="1"/>
    <xf numFmtId="9" fontId="31" fillId="0" borderId="0" xfId="2" applyFont="1"/>
    <xf numFmtId="0" fontId="25" fillId="0" borderId="0" xfId="0" applyFont="1" applyAlignment="1">
      <alignment wrapText="1"/>
    </xf>
    <xf numFmtId="0" fontId="44" fillId="0" borderId="0" xfId="0" applyFont="1"/>
    <xf numFmtId="166" fontId="24" fillId="0" borderId="1" xfId="1" applyNumberFormat="1" applyFont="1" applyBorder="1"/>
    <xf numFmtId="2" fontId="24" fillId="0" borderId="1" xfId="0" applyNumberFormat="1" applyFont="1" applyBorder="1"/>
    <xf numFmtId="10" fontId="24" fillId="7" borderId="0" xfId="0" applyNumberFormat="1" applyFont="1" applyFill="1"/>
    <xf numFmtId="0" fontId="24" fillId="0" borderId="0" xfId="0" applyFont="1"/>
    <xf numFmtId="43" fontId="24" fillId="7" borderId="0" xfId="1" applyFont="1" applyFill="1"/>
    <xf numFmtId="0" fontId="38" fillId="0" borderId="0" xfId="0" applyFont="1" applyAlignment="1">
      <alignment horizontal="left" wrapText="1"/>
    </xf>
    <xf numFmtId="166" fontId="31" fillId="0" borderId="0" xfId="2" applyNumberFormat="1" applyFont="1"/>
    <xf numFmtId="166" fontId="24" fillId="7" borderId="0" xfId="1" applyNumberFormat="1" applyFont="1" applyFill="1"/>
    <xf numFmtId="43" fontId="39" fillId="0" borderId="0" xfId="1" applyFont="1"/>
    <xf numFmtId="43" fontId="38" fillId="0" borderId="0" xfId="1" applyFont="1" applyFill="1"/>
    <xf numFmtId="2" fontId="39" fillId="0" borderId="0" xfId="0" applyNumberFormat="1" applyFont="1"/>
    <xf numFmtId="0" fontId="38" fillId="0" borderId="0" xfId="0" applyFont="1" applyAlignment="1">
      <alignment horizontal="left" indent="2"/>
    </xf>
    <xf numFmtId="166" fontId="31" fillId="0" borderId="0" xfId="1" applyNumberFormat="1" applyFont="1" applyFill="1"/>
    <xf numFmtId="0" fontId="38" fillId="0" borderId="0" xfId="0" applyFont="1" applyAlignment="1">
      <alignment horizontal="left" wrapText="1" indent="2"/>
    </xf>
    <xf numFmtId="10" fontId="31" fillId="0" borderId="0" xfId="2" applyNumberFormat="1" applyFont="1" applyFill="1"/>
    <xf numFmtId="10" fontId="24" fillId="0" borderId="0" xfId="0" applyNumberFormat="1" applyFont="1"/>
    <xf numFmtId="10" fontId="24" fillId="0" borderId="0" xfId="2" applyNumberFormat="1" applyFont="1" applyFill="1"/>
    <xf numFmtId="43" fontId="38" fillId="0" borderId="0" xfId="1" applyFont="1"/>
    <xf numFmtId="43" fontId="45" fillId="0" borderId="0" xfId="1" applyFont="1"/>
    <xf numFmtId="9" fontId="0" fillId="0" borderId="0" xfId="2" applyFont="1"/>
    <xf numFmtId="10" fontId="0" fillId="0" borderId="0" xfId="2" applyNumberFormat="1" applyFont="1"/>
    <xf numFmtId="43" fontId="4" fillId="0" borderId="0" xfId="1" applyFont="1"/>
    <xf numFmtId="43" fontId="0" fillId="0" borderId="2" xfId="1" applyFont="1" applyBorder="1"/>
    <xf numFmtId="43" fontId="3" fillId="0" borderId="0" xfId="1" applyFont="1"/>
    <xf numFmtId="43" fontId="3" fillId="0" borderId="7" xfId="1" applyFont="1" applyBorder="1"/>
    <xf numFmtId="43" fontId="0" fillId="0" borderId="0" xfId="1" applyFont="1" applyFill="1" applyBorder="1" applyAlignment="1">
      <alignment wrapText="1"/>
    </xf>
    <xf numFmtId="0" fontId="39" fillId="7" borderId="0" xfId="0" applyFont="1" applyFill="1"/>
    <xf numFmtId="0" fontId="25" fillId="0" borderId="0" xfId="0" applyFont="1" applyAlignment="1">
      <alignment horizontal="left" indent="1"/>
    </xf>
    <xf numFmtId="166" fontId="0" fillId="0" borderId="0" xfId="1" applyNumberFormat="1" applyFont="1"/>
    <xf numFmtId="43" fontId="25" fillId="0" borderId="1" xfId="1" applyFont="1" applyBorder="1" applyAlignment="1">
      <alignment horizontal="left"/>
    </xf>
    <xf numFmtId="43" fontId="0" fillId="0" borderId="0" xfId="1" applyFont="1" applyFill="1"/>
    <xf numFmtId="0" fontId="32" fillId="0" borderId="0" xfId="0" applyFont="1"/>
    <xf numFmtId="1" fontId="34" fillId="0" borderId="0" xfId="0" applyNumberFormat="1" applyFont="1"/>
    <xf numFmtId="0" fontId="21" fillId="0" borderId="0" xfId="0" applyFont="1"/>
    <xf numFmtId="0" fontId="10" fillId="0" borderId="0" xfId="0" applyFont="1"/>
    <xf numFmtId="43" fontId="6" fillId="0" borderId="0" xfId="1" applyFont="1" applyAlignment="1">
      <alignment vertical="center" wrapText="1"/>
    </xf>
    <xf numFmtId="43" fontId="11" fillId="0" borderId="0" xfId="1" applyFont="1" applyAlignment="1">
      <alignment horizontal="right" vertical="center"/>
    </xf>
    <xf numFmtId="43" fontId="11" fillId="0" borderId="0" xfId="1" applyFont="1" applyAlignment="1">
      <alignment horizontal="center" vertical="center"/>
    </xf>
    <xf numFmtId="43" fontId="11" fillId="0" borderId="3" xfId="1" applyFont="1" applyBorder="1" applyAlignment="1">
      <alignment horizontal="right" vertical="center"/>
    </xf>
    <xf numFmtId="43" fontId="6" fillId="0" borderId="0" xfId="1" applyFont="1" applyAlignment="1">
      <alignment vertical="center"/>
    </xf>
    <xf numFmtId="43" fontId="0" fillId="0" borderId="0" xfId="1" applyFont="1" applyAlignment="1">
      <alignment horizontal="right"/>
    </xf>
    <xf numFmtId="43" fontId="10" fillId="0" borderId="0" xfId="1" applyFont="1" applyAlignment="1">
      <alignment vertical="center" wrapText="1"/>
    </xf>
    <xf numFmtId="43" fontId="8" fillId="0" borderId="0" xfId="1" applyFont="1" applyAlignment="1">
      <alignment horizontal="right" vertical="center"/>
    </xf>
    <xf numFmtId="43" fontId="6" fillId="0" borderId="0" xfId="1" applyFont="1" applyAlignment="1">
      <alignment horizontal="right" vertical="center"/>
    </xf>
    <xf numFmtId="43" fontId="0" fillId="0" borderId="0" xfId="1" applyFont="1" applyAlignment="1">
      <alignment wrapText="1"/>
    </xf>
    <xf numFmtId="43" fontId="26" fillId="0" borderId="0" xfId="1" applyFont="1" applyAlignment="1">
      <alignment horizontal="right" vertical="center"/>
    </xf>
    <xf numFmtId="43" fontId="27" fillId="0" borderId="0" xfId="1" applyFont="1" applyAlignment="1">
      <alignment horizontal="right" vertical="center"/>
    </xf>
    <xf numFmtId="0" fontId="3" fillId="0" borderId="3" xfId="0" applyFont="1" applyBorder="1"/>
    <xf numFmtId="43" fontId="3" fillId="0" borderId="3" xfId="1" applyFont="1" applyFill="1" applyBorder="1"/>
    <xf numFmtId="10" fontId="39" fillId="0" borderId="1" xfId="2" applyNumberFormat="1" applyFont="1" applyBorder="1"/>
    <xf numFmtId="10" fontId="31" fillId="0" borderId="1" xfId="0" applyNumberFormat="1" applyFont="1" applyBorder="1"/>
    <xf numFmtId="43" fontId="31" fillId="0" borderId="1" xfId="0" applyNumberFormat="1" applyFont="1" applyBorder="1"/>
    <xf numFmtId="0" fontId="37" fillId="0" borderId="1" xfId="49" applyFont="1" applyBorder="1" applyAlignment="1">
      <alignment horizontal="left"/>
    </xf>
    <xf numFmtId="17" fontId="22" fillId="12" borderId="0" xfId="0" applyNumberFormat="1" applyFont="1" applyFill="1" applyAlignment="1">
      <alignment horizontal="center" vertical="center"/>
    </xf>
    <xf numFmtId="0" fontId="35" fillId="11" borderId="1" xfId="0" applyFont="1" applyFill="1" applyBorder="1"/>
    <xf numFmtId="0" fontId="31" fillId="11" borderId="1" xfId="0" applyFont="1" applyFill="1" applyBorder="1"/>
    <xf numFmtId="43" fontId="0" fillId="0" borderId="1" xfId="1" applyFont="1" applyBorder="1"/>
    <xf numFmtId="166" fontId="31" fillId="7" borderId="0" xfId="1" applyNumberFormat="1" applyFont="1" applyFill="1"/>
    <xf numFmtId="168" fontId="49" fillId="9" borderId="0" xfId="0" applyNumberFormat="1" applyFont="1" applyFill="1"/>
    <xf numFmtId="43" fontId="3" fillId="0" borderId="0" xfId="1" applyFont="1" applyFill="1"/>
    <xf numFmtId="17" fontId="2" fillId="12" borderId="0" xfId="0" applyNumberFormat="1" applyFont="1" applyFill="1" applyAlignment="1">
      <alignment horizontal="center" vertical="center"/>
    </xf>
    <xf numFmtId="17" fontId="2" fillId="12" borderId="0" xfId="0" applyNumberFormat="1" applyFont="1" applyFill="1" applyAlignment="1">
      <alignment horizontal="left" vertical="center"/>
    </xf>
    <xf numFmtId="0" fontId="22" fillId="12" borderId="1" xfId="0" applyFont="1" applyFill="1" applyBorder="1"/>
    <xf numFmtId="43" fontId="0" fillId="0" borderId="2" xfId="1" applyFont="1" applyFill="1" applyBorder="1"/>
    <xf numFmtId="166" fontId="0" fillId="0" borderId="0" xfId="1" applyNumberFormat="1" applyFont="1" applyFill="1"/>
    <xf numFmtId="0" fontId="7" fillId="11" borderId="3" xfId="3" applyFont="1" applyFill="1" applyBorder="1" applyAlignment="1">
      <alignment vertical="center"/>
    </xf>
    <xf numFmtId="43" fontId="8" fillId="11" borderId="3" xfId="1" applyFont="1" applyFill="1" applyBorder="1" applyAlignment="1">
      <alignment horizontal="right" vertical="center"/>
    </xf>
    <xf numFmtId="0" fontId="7" fillId="11" borderId="4" xfId="3" applyFont="1" applyFill="1" applyBorder="1" applyAlignment="1">
      <alignment vertical="center"/>
    </xf>
    <xf numFmtId="43" fontId="8" fillId="11" borderId="4" xfId="1" applyFont="1" applyFill="1" applyBorder="1" applyAlignment="1">
      <alignment horizontal="center" vertical="center"/>
    </xf>
    <xf numFmtId="43" fontId="10" fillId="0" borderId="0" xfId="1" applyFont="1" applyFill="1" applyAlignment="1">
      <alignment vertical="center"/>
    </xf>
    <xf numFmtId="43" fontId="6" fillId="0" borderId="0" xfId="1" applyFont="1" applyFill="1" applyAlignment="1">
      <alignment vertical="center"/>
    </xf>
    <xf numFmtId="43" fontId="11" fillId="0" borderId="0" xfId="1" applyFont="1" applyFill="1" applyAlignment="1">
      <alignment horizontal="center" vertical="center"/>
    </xf>
    <xf numFmtId="43" fontId="6" fillId="0" borderId="0" xfId="1" applyFont="1" applyFill="1" applyAlignment="1">
      <alignment horizontal="left" vertical="center" indent="1"/>
    </xf>
    <xf numFmtId="43" fontId="11" fillId="0" borderId="0" xfId="1" applyFont="1" applyFill="1" applyAlignment="1">
      <alignment horizontal="right" vertical="center"/>
    </xf>
    <xf numFmtId="43" fontId="0" fillId="0" borderId="0" xfId="1" applyFont="1" applyFill="1" applyAlignment="1">
      <alignment horizontal="right"/>
    </xf>
    <xf numFmtId="43" fontId="6" fillId="0" borderId="0" xfId="1" applyFont="1" applyFill="1" applyAlignment="1">
      <alignment vertical="center" wrapText="1"/>
    </xf>
    <xf numFmtId="0" fontId="37" fillId="0" borderId="1" xfId="49" applyFont="1" applyBorder="1" applyAlignment="1">
      <alignment horizontal="center"/>
    </xf>
    <xf numFmtId="43" fontId="11" fillId="0" borderId="1" xfId="1" applyFont="1" applyBorder="1"/>
    <xf numFmtId="43" fontId="11" fillId="0" borderId="0" xfId="1" applyFont="1"/>
    <xf numFmtId="166" fontId="11" fillId="0" borderId="1" xfId="1" applyNumberFormat="1" applyFont="1" applyBorder="1"/>
    <xf numFmtId="166" fontId="48" fillId="3" borderId="1" xfId="1" applyNumberFormat="1" applyFont="1" applyFill="1" applyBorder="1"/>
    <xf numFmtId="166" fontId="0" fillId="0" borderId="1" xfId="1" applyNumberFormat="1" applyFont="1" applyBorder="1"/>
    <xf numFmtId="0" fontId="31" fillId="7" borderId="0" xfId="0" applyFont="1" applyFill="1"/>
    <xf numFmtId="43" fontId="39" fillId="0" borderId="0" xfId="2" applyNumberFormat="1" applyFont="1"/>
    <xf numFmtId="0" fontId="38" fillId="0" borderId="0" xfId="0" applyFont="1" applyAlignment="1">
      <alignment wrapText="1"/>
    </xf>
    <xf numFmtId="10" fontId="45" fillId="7" borderId="0" xfId="0" applyNumberFormat="1" applyFont="1" applyFill="1"/>
    <xf numFmtId="10" fontId="24" fillId="7" borderId="0" xfId="2" applyNumberFormat="1" applyFont="1" applyFill="1" applyAlignment="1">
      <alignment horizontal="left"/>
    </xf>
    <xf numFmtId="166" fontId="24" fillId="0" borderId="1" xfId="53" applyNumberFormat="1" applyFont="1" applyBorder="1"/>
    <xf numFmtId="166" fontId="31" fillId="0" borderId="1" xfId="53" applyNumberFormat="1" applyFont="1" applyBorder="1"/>
    <xf numFmtId="0" fontId="35" fillId="0" borderId="0" xfId="0" applyFont="1"/>
    <xf numFmtId="0" fontId="31" fillId="0" borderId="0" xfId="0" applyFont="1" applyAlignment="1">
      <alignment horizontal="left" indent="1"/>
    </xf>
    <xf numFmtId="0" fontId="0" fillId="0" borderId="0" xfId="0" applyAlignment="1">
      <alignment vertical="center"/>
    </xf>
    <xf numFmtId="0" fontId="3" fillId="0" borderId="1" xfId="0" applyFont="1" applyBorder="1" applyAlignment="1">
      <alignment vertical="center"/>
    </xf>
    <xf numFmtId="0" fontId="0" fillId="10" borderId="1" xfId="0" applyFill="1" applyBorder="1" applyAlignment="1">
      <alignment horizontal="center" vertical="center"/>
    </xf>
    <xf numFmtId="0" fontId="0" fillId="10" borderId="1" xfId="0" applyFill="1" applyBorder="1" applyAlignment="1">
      <alignment vertical="center"/>
    </xf>
    <xf numFmtId="0" fontId="0" fillId="0" borderId="1" xfId="0" applyBorder="1" applyAlignment="1">
      <alignment vertical="center"/>
    </xf>
    <xf numFmtId="170" fontId="0" fillId="0" borderId="1" xfId="47" applyNumberFormat="1" applyFont="1" applyBorder="1" applyAlignment="1">
      <alignment vertical="center"/>
    </xf>
    <xf numFmtId="0" fontId="31" fillId="0" borderId="1" xfId="0" applyFont="1" applyBorder="1" applyAlignment="1">
      <alignment horizontal="left" wrapText="1"/>
    </xf>
    <xf numFmtId="0" fontId="0" fillId="0" borderId="1" xfId="0" applyBorder="1" applyAlignment="1">
      <alignment vertical="center" wrapText="1"/>
    </xf>
    <xf numFmtId="0" fontId="0" fillId="0" borderId="1" xfId="0" applyBorder="1" applyAlignment="1">
      <alignment horizontal="center"/>
    </xf>
    <xf numFmtId="170" fontId="3" fillId="0" borderId="1" xfId="47" applyNumberFormat="1" applyFont="1" applyBorder="1" applyAlignment="1">
      <alignment vertical="center"/>
    </xf>
    <xf numFmtId="0" fontId="3" fillId="0" borderId="0" xfId="0" applyFont="1" applyAlignment="1">
      <alignment vertical="center"/>
    </xf>
    <xf numFmtId="0" fontId="0" fillId="0" borderId="1" xfId="0" applyBorder="1" applyAlignment="1">
      <alignment horizontal="right" vertical="center"/>
    </xf>
    <xf numFmtId="167" fontId="0" fillId="0" borderId="0" xfId="0" applyNumberFormat="1" applyAlignment="1">
      <alignment vertical="center"/>
    </xf>
    <xf numFmtId="0" fontId="0" fillId="0" borderId="0" xfId="0" applyAlignment="1">
      <alignment horizontal="center" vertical="center"/>
    </xf>
    <xf numFmtId="0" fontId="50" fillId="0" borderId="1" xfId="0" applyFont="1" applyBorder="1" applyAlignment="1">
      <alignment vertical="center"/>
    </xf>
    <xf numFmtId="0" fontId="53" fillId="0" borderId="0" xfId="0" applyFont="1" applyAlignment="1">
      <alignment horizontal="center" vertical="center"/>
    </xf>
    <xf numFmtId="0" fontId="54" fillId="0" borderId="0" xfId="0" applyFont="1" applyAlignment="1">
      <alignment horizontal="center" vertical="center"/>
    </xf>
    <xf numFmtId="170" fontId="0" fillId="0" borderId="0" xfId="47" applyNumberFormat="1" applyFont="1" applyBorder="1" applyAlignment="1">
      <alignment vertical="center"/>
    </xf>
    <xf numFmtId="170" fontId="3" fillId="0" borderId="0" xfId="47" applyNumberFormat="1" applyFont="1" applyBorder="1" applyAlignment="1">
      <alignment vertical="center"/>
    </xf>
    <xf numFmtId="43" fontId="38" fillId="0" borderId="0" xfId="0" applyNumberFormat="1" applyFont="1"/>
    <xf numFmtId="43" fontId="31" fillId="0" borderId="0" xfId="2" applyNumberFormat="1" applyFont="1"/>
    <xf numFmtId="2" fontId="31" fillId="0" borderId="0" xfId="2" applyNumberFormat="1" applyFont="1"/>
    <xf numFmtId="0" fontId="50" fillId="0" borderId="1" xfId="0" applyFont="1" applyBorder="1" applyAlignment="1">
      <alignment horizontal="center" vertical="center"/>
    </xf>
    <xf numFmtId="0" fontId="50" fillId="10" borderId="1" xfId="0" applyFont="1" applyFill="1" applyBorder="1" applyAlignment="1">
      <alignment vertical="center"/>
    </xf>
    <xf numFmtId="170" fontId="50" fillId="0" borderId="1" xfId="47" applyNumberFormat="1" applyFont="1" applyBorder="1" applyAlignment="1">
      <alignment vertical="center"/>
    </xf>
    <xf numFmtId="170" fontId="50" fillId="0" borderId="0" xfId="47" applyNumberFormat="1" applyFont="1" applyBorder="1" applyAlignment="1">
      <alignment vertical="center"/>
    </xf>
    <xf numFmtId="0" fontId="50" fillId="0" borderId="1" xfId="0" applyFont="1" applyBorder="1" applyAlignment="1">
      <alignment horizontal="center"/>
    </xf>
    <xf numFmtId="167" fontId="0" fillId="0" borderId="1" xfId="47" applyFont="1" applyBorder="1" applyAlignment="1">
      <alignment vertical="center"/>
    </xf>
    <xf numFmtId="0" fontId="3" fillId="10" borderId="1" xfId="0" applyFont="1" applyFill="1" applyBorder="1" applyAlignment="1">
      <alignment horizontal="center" vertical="center"/>
    </xf>
    <xf numFmtId="0" fontId="16" fillId="10" borderId="1" xfId="0" applyFont="1" applyFill="1" applyBorder="1" applyAlignment="1">
      <alignment horizontal="center" vertical="center"/>
    </xf>
    <xf numFmtId="0" fontId="16" fillId="0" borderId="1" xfId="0" applyFont="1" applyBorder="1" applyAlignment="1">
      <alignment vertical="center"/>
    </xf>
    <xf numFmtId="0" fontId="17" fillId="0" borderId="1" xfId="0" applyFont="1" applyBorder="1" applyAlignment="1">
      <alignment vertical="center"/>
    </xf>
    <xf numFmtId="170" fontId="55" fillId="0" borderId="1" xfId="47" applyNumberFormat="1" applyFont="1" applyBorder="1" applyAlignment="1">
      <alignment horizontal="center" vertical="center"/>
    </xf>
    <xf numFmtId="170" fontId="55" fillId="0" borderId="0" xfId="47" applyNumberFormat="1" applyFont="1" applyBorder="1" applyAlignment="1">
      <alignment horizontal="center" vertical="center"/>
    </xf>
    <xf numFmtId="0" fontId="17" fillId="0" borderId="0" xfId="0" applyFont="1" applyAlignment="1">
      <alignment vertical="center"/>
    </xf>
    <xf numFmtId="43" fontId="0" fillId="0" borderId="0" xfId="1" applyFont="1" applyAlignment="1">
      <alignment vertical="center"/>
    </xf>
    <xf numFmtId="43" fontId="3" fillId="0" borderId="0" xfId="1" applyFont="1" applyAlignment="1">
      <alignment vertical="center"/>
    </xf>
    <xf numFmtId="43" fontId="3" fillId="0" borderId="0" xfId="1" applyFont="1" applyAlignment="1">
      <alignment horizontal="left" vertical="center"/>
    </xf>
    <xf numFmtId="0" fontId="0" fillId="0" borderId="1" xfId="0" applyBorder="1" applyAlignment="1">
      <alignment horizontal="left" vertical="center"/>
    </xf>
    <xf numFmtId="0" fontId="24" fillId="0" borderId="0" xfId="4" applyFont="1"/>
    <xf numFmtId="0" fontId="31" fillId="0" borderId="0" xfId="4" applyFont="1" applyAlignment="1">
      <alignment horizontal="left" indent="4"/>
    </xf>
    <xf numFmtId="43" fontId="25" fillId="0" borderId="0" xfId="0" applyNumberFormat="1" applyFont="1"/>
    <xf numFmtId="0" fontId="56" fillId="0" borderId="0" xfId="0" applyFont="1" applyAlignment="1">
      <alignment horizontal="left"/>
    </xf>
    <xf numFmtId="0" fontId="57" fillId="0" borderId="0" xfId="0" applyFont="1" applyAlignment="1">
      <alignment horizontal="left"/>
    </xf>
    <xf numFmtId="10" fontId="24" fillId="0" borderId="0" xfId="2" applyNumberFormat="1" applyFont="1"/>
    <xf numFmtId="168" fontId="22" fillId="12" borderId="1" xfId="0" applyNumberFormat="1" applyFont="1" applyFill="1" applyBorder="1"/>
    <xf numFmtId="0" fontId="44" fillId="0" borderId="1" xfId="4" applyFont="1" applyBorder="1"/>
    <xf numFmtId="0" fontId="31" fillId="0" borderId="1" xfId="4" applyFont="1" applyBorder="1"/>
    <xf numFmtId="43" fontId="24" fillId="0" borderId="0" xfId="1" applyFont="1" applyAlignment="1"/>
    <xf numFmtId="43" fontId="38" fillId="0" borderId="0" xfId="4" applyNumberFormat="1" applyFont="1"/>
    <xf numFmtId="17" fontId="22" fillId="12" borderId="0" xfId="0" applyNumberFormat="1" applyFont="1" applyFill="1" applyAlignment="1">
      <alignment horizontal="left" vertical="center"/>
    </xf>
    <xf numFmtId="166" fontId="24" fillId="0" borderId="1" xfId="1" applyNumberFormat="1" applyFont="1" applyFill="1" applyBorder="1"/>
    <xf numFmtId="166" fontId="25" fillId="0" borderId="1" xfId="1" applyNumberFormat="1" applyFont="1" applyFill="1" applyBorder="1"/>
    <xf numFmtId="0" fontId="42" fillId="0" borderId="1" xfId="49" applyFont="1" applyBorder="1" applyAlignment="1">
      <alignment horizontal="left"/>
    </xf>
    <xf numFmtId="166" fontId="38" fillId="0" borderId="1" xfId="1" applyNumberFormat="1" applyFont="1" applyFill="1" applyBorder="1"/>
    <xf numFmtId="0" fontId="3" fillId="0" borderId="0" xfId="0" applyFont="1" applyAlignment="1">
      <alignment horizontal="center"/>
    </xf>
    <xf numFmtId="43" fontId="24" fillId="0" borderId="0" xfId="1" applyFont="1" applyAlignment="1">
      <alignment horizontal="left"/>
    </xf>
    <xf numFmtId="43" fontId="24" fillId="0" borderId="0" xfId="1" applyFont="1" applyAlignment="1">
      <alignment horizontal="right"/>
    </xf>
    <xf numFmtId="9" fontId="0" fillId="0" borderId="1" xfId="2" applyFont="1" applyBorder="1"/>
    <xf numFmtId="167" fontId="0" fillId="0" borderId="1" xfId="47" applyFont="1" applyFill="1" applyBorder="1"/>
    <xf numFmtId="167" fontId="0" fillId="0" borderId="0" xfId="47" applyFont="1" applyFill="1" applyBorder="1"/>
    <xf numFmtId="43" fontId="7" fillId="11" borderId="3" xfId="1" applyFont="1" applyFill="1" applyBorder="1" applyAlignment="1">
      <alignment vertical="center" wrapText="1"/>
    </xf>
    <xf numFmtId="0" fontId="2" fillId="13" borderId="1" xfId="0" applyFont="1" applyFill="1" applyBorder="1"/>
    <xf numFmtId="10" fontId="31" fillId="0" borderId="1" xfId="0" applyNumberFormat="1" applyFont="1" applyBorder="1" applyAlignment="1">
      <alignment horizontal="center"/>
    </xf>
    <xf numFmtId="0" fontId="31" fillId="0" borderId="1" xfId="0" applyFont="1" applyBorder="1" applyAlignment="1">
      <alignment horizontal="center"/>
    </xf>
    <xf numFmtId="2" fontId="31" fillId="0" borderId="1" xfId="0" applyNumberFormat="1" applyFont="1" applyBorder="1" applyAlignment="1">
      <alignment horizontal="center"/>
    </xf>
    <xf numFmtId="2" fontId="60" fillId="0" borderId="0" xfId="0" applyNumberFormat="1" applyFont="1"/>
    <xf numFmtId="0" fontId="0" fillId="0" borderId="0" xfId="0" applyAlignment="1">
      <alignment horizontal="center"/>
    </xf>
    <xf numFmtId="43" fontId="25" fillId="0" borderId="1" xfId="1" applyFont="1" applyFill="1" applyBorder="1"/>
    <xf numFmtId="0" fontId="9" fillId="0" borderId="0" xfId="48"/>
    <xf numFmtId="0" fontId="61" fillId="13" borderId="1" xfId="48" applyFont="1" applyFill="1" applyBorder="1"/>
    <xf numFmtId="0" fontId="61" fillId="13" borderId="1" xfId="48" applyFont="1" applyFill="1" applyBorder="1" applyAlignment="1">
      <alignment horizontal="center"/>
    </xf>
    <xf numFmtId="0" fontId="9" fillId="0" borderId="1" xfId="48" applyBorder="1"/>
    <xf numFmtId="9" fontId="9" fillId="0" borderId="1" xfId="48" applyNumberFormat="1" applyBorder="1"/>
    <xf numFmtId="0" fontId="62" fillId="0" borderId="1" xfId="48" applyFont="1" applyBorder="1"/>
    <xf numFmtId="0" fontId="9" fillId="15" borderId="1" xfId="48" applyFill="1" applyBorder="1"/>
    <xf numFmtId="9" fontId="0" fillId="0" borderId="1" xfId="7" applyFont="1" applyBorder="1"/>
    <xf numFmtId="10" fontId="0" fillId="0" borderId="1" xfId="7" applyNumberFormat="1" applyFont="1" applyBorder="1"/>
    <xf numFmtId="9" fontId="0" fillId="0" borderId="0" xfId="7" applyFont="1"/>
    <xf numFmtId="0" fontId="65" fillId="0" borderId="0" xfId="48" applyFont="1"/>
    <xf numFmtId="0" fontId="66" fillId="15" borderId="1" xfId="48" applyFont="1" applyFill="1" applyBorder="1"/>
    <xf numFmtId="0" fontId="65" fillId="0" borderId="1" xfId="48" applyFont="1" applyBorder="1"/>
    <xf numFmtId="167" fontId="65" fillId="0" borderId="1" xfId="55" applyFont="1" applyFill="1" applyBorder="1"/>
    <xf numFmtId="167" fontId="65" fillId="0" borderId="1" xfId="55" applyFont="1" applyFill="1" applyBorder="1" applyAlignment="1">
      <alignment horizontal="center"/>
    </xf>
    <xf numFmtId="0" fontId="66" fillId="0" borderId="1" xfId="48" applyFont="1" applyBorder="1"/>
    <xf numFmtId="167" fontId="66" fillId="0" borderId="1" xfId="55" applyFont="1" applyFill="1" applyBorder="1"/>
    <xf numFmtId="167" fontId="9" fillId="0" borderId="0" xfId="48" applyNumberFormat="1"/>
    <xf numFmtId="167" fontId="62" fillId="15" borderId="1" xfId="48" applyNumberFormat="1" applyFont="1" applyFill="1" applyBorder="1"/>
    <xf numFmtId="0" fontId="65" fillId="0" borderId="18" xfId="48" applyFont="1" applyBorder="1"/>
    <xf numFmtId="167" fontId="65" fillId="0" borderId="0" xfId="55" applyFont="1" applyFill="1" applyBorder="1"/>
    <xf numFmtId="167" fontId="65" fillId="0" borderId="0" xfId="55" applyFont="1" applyFill="1" applyBorder="1" applyAlignment="1">
      <alignment horizontal="center"/>
    </xf>
    <xf numFmtId="0" fontId="66" fillId="15" borderId="10" xfId="48" applyFont="1" applyFill="1" applyBorder="1" applyAlignment="1">
      <alignment horizontal="left"/>
    </xf>
    <xf numFmtId="0" fontId="65" fillId="15" borderId="3" xfId="48" applyFont="1" applyFill="1" applyBorder="1"/>
    <xf numFmtId="0" fontId="66" fillId="15" borderId="3" xfId="48" applyFont="1" applyFill="1" applyBorder="1"/>
    <xf numFmtId="172" fontId="66" fillId="15" borderId="3" xfId="48" applyNumberFormat="1" applyFont="1" applyFill="1" applyBorder="1" applyAlignment="1">
      <alignment horizontal="right"/>
    </xf>
    <xf numFmtId="0" fontId="65" fillId="15" borderId="6" xfId="48" applyFont="1" applyFill="1" applyBorder="1"/>
    <xf numFmtId="0" fontId="66" fillId="15" borderId="6" xfId="48" applyFont="1" applyFill="1" applyBorder="1"/>
    <xf numFmtId="172" fontId="66" fillId="15" borderId="6" xfId="48" applyNumberFormat="1" applyFont="1" applyFill="1" applyBorder="1" applyAlignment="1">
      <alignment horizontal="right"/>
    </xf>
    <xf numFmtId="43" fontId="9" fillId="0" borderId="0" xfId="48" applyNumberFormat="1"/>
    <xf numFmtId="0" fontId="6" fillId="0" borderId="0" xfId="48" applyFont="1"/>
    <xf numFmtId="0" fontId="6" fillId="0" borderId="1" xfId="48" applyFont="1" applyBorder="1"/>
    <xf numFmtId="0" fontId="70" fillId="16" borderId="0" xfId="48" applyFont="1" applyFill="1" applyAlignment="1">
      <alignment vertical="center"/>
    </xf>
    <xf numFmtId="0" fontId="70" fillId="16" borderId="0" xfId="48" applyFont="1" applyFill="1"/>
    <xf numFmtId="0" fontId="70" fillId="16" borderId="0" xfId="48" applyFont="1" applyFill="1" applyAlignment="1">
      <alignment horizontal="center" vertical="center"/>
    </xf>
    <xf numFmtId="0" fontId="6" fillId="0" borderId="0" xfId="48" applyFont="1" applyAlignment="1">
      <alignment horizontal="center" vertical="center"/>
    </xf>
    <xf numFmtId="0" fontId="2" fillId="13" borderId="1" xfId="48" applyFont="1" applyFill="1" applyBorder="1"/>
    <xf numFmtId="173" fontId="2" fillId="13" borderId="1" xfId="48" applyNumberFormat="1" applyFont="1" applyFill="1" applyBorder="1" applyAlignment="1">
      <alignment horizontal="center" vertical="center"/>
    </xf>
    <xf numFmtId="172" fontId="6" fillId="0" borderId="0" xfId="48" applyNumberFormat="1" applyFont="1"/>
    <xf numFmtId="0" fontId="6" fillId="0" borderId="1" xfId="48" applyFont="1" applyBorder="1" applyAlignment="1">
      <alignment horizontal="center" vertical="center"/>
    </xf>
    <xf numFmtId="2" fontId="6" fillId="0" borderId="1" xfId="48" applyNumberFormat="1" applyFont="1" applyBorder="1" applyAlignment="1">
      <alignment horizontal="center" vertical="center"/>
    </xf>
    <xf numFmtId="0" fontId="7" fillId="17" borderId="1" xfId="48" applyFont="1" applyFill="1" applyBorder="1" applyAlignment="1">
      <alignment vertical="center"/>
    </xf>
    <xf numFmtId="0" fontId="7" fillId="17" borderId="1" xfId="48" applyFont="1" applyFill="1" applyBorder="1"/>
    <xf numFmtId="10" fontId="7" fillId="17" borderId="1" xfId="7" applyNumberFormat="1" applyFont="1" applyFill="1" applyBorder="1" applyAlignment="1">
      <alignment horizontal="center" vertical="center"/>
    </xf>
    <xf numFmtId="0" fontId="7" fillId="0" borderId="1" xfId="48" applyFont="1" applyBorder="1"/>
    <xf numFmtId="10" fontId="7" fillId="17" borderId="1" xfId="7" applyNumberFormat="1" applyFont="1" applyFill="1" applyBorder="1" applyAlignment="1">
      <alignment vertical="center"/>
    </xf>
    <xf numFmtId="0" fontId="6" fillId="0" borderId="1" xfId="48" applyFont="1" applyBorder="1" applyAlignment="1">
      <alignment vertical="center"/>
    </xf>
    <xf numFmtId="0" fontId="7" fillId="0" borderId="19" xfId="48" applyFont="1" applyBorder="1"/>
    <xf numFmtId="0" fontId="6" fillId="0" borderId="20" xfId="48" applyFont="1" applyBorder="1"/>
    <xf numFmtId="0" fontId="6" fillId="0" borderId="20" xfId="48" applyFont="1" applyBorder="1" applyAlignment="1">
      <alignment horizontal="center" vertical="center"/>
    </xf>
    <xf numFmtId="10" fontId="71" fillId="0" borderId="21" xfId="7" applyNumberFormat="1" applyFont="1" applyBorder="1" applyAlignment="1">
      <alignment horizontal="center" vertical="center"/>
    </xf>
    <xf numFmtId="0" fontId="72" fillId="0" borderId="0" xfId="48" applyFont="1" applyAlignment="1">
      <alignment vertical="center" readingOrder="1"/>
    </xf>
    <xf numFmtId="0" fontId="7" fillId="0" borderId="22" xfId="48" applyFont="1" applyBorder="1"/>
    <xf numFmtId="10" fontId="71" fillId="0" borderId="23" xfId="7" applyNumberFormat="1" applyFont="1" applyBorder="1" applyAlignment="1">
      <alignment horizontal="center" vertical="center"/>
    </xf>
    <xf numFmtId="0" fontId="7" fillId="0" borderId="24" xfId="48" applyFont="1" applyBorder="1"/>
    <xf numFmtId="0" fontId="6" fillId="0" borderId="25" xfId="48" applyFont="1" applyBorder="1"/>
    <xf numFmtId="0" fontId="6" fillId="0" borderId="25" xfId="48" applyFont="1" applyBorder="1" applyAlignment="1">
      <alignment horizontal="center" vertical="center"/>
    </xf>
    <xf numFmtId="10" fontId="71" fillId="0" borderId="26" xfId="7" applyNumberFormat="1" applyFont="1" applyBorder="1" applyAlignment="1">
      <alignment horizontal="center" vertical="center"/>
    </xf>
    <xf numFmtId="0" fontId="7" fillId="0" borderId="0" xfId="48" applyFont="1"/>
    <xf numFmtId="0" fontId="6" fillId="0" borderId="1" xfId="48" applyFont="1" applyBorder="1" applyAlignment="1">
      <alignment horizontal="left" vertical="top" wrapText="1"/>
    </xf>
    <xf numFmtId="167" fontId="7" fillId="17" borderId="1" xfId="55" applyFont="1" applyFill="1" applyBorder="1" applyAlignment="1">
      <alignment horizontal="center" vertical="center"/>
    </xf>
    <xf numFmtId="167" fontId="6" fillId="0" borderId="0" xfId="48" applyNumberFormat="1" applyFont="1"/>
    <xf numFmtId="0" fontId="7" fillId="17" borderId="1" xfId="48" applyFont="1" applyFill="1" applyBorder="1" applyAlignment="1">
      <alignment horizontal="center" vertical="center"/>
    </xf>
    <xf numFmtId="2" fontId="7" fillId="17" borderId="1" xfId="48" applyNumberFormat="1" applyFont="1" applyFill="1" applyBorder="1" applyAlignment="1">
      <alignment horizontal="center" vertical="center"/>
    </xf>
    <xf numFmtId="167" fontId="2" fillId="13" borderId="1" xfId="55" applyFont="1" applyFill="1" applyBorder="1" applyAlignment="1">
      <alignment horizontal="center" vertical="center"/>
    </xf>
    <xf numFmtId="167" fontId="73" fillId="0" borderId="1" xfId="55" applyFont="1" applyBorder="1" applyAlignment="1">
      <alignment horizontal="center" vertical="center"/>
    </xf>
    <xf numFmtId="0" fontId="7" fillId="0" borderId="1" xfId="48" applyFont="1" applyBorder="1" applyAlignment="1">
      <alignment horizontal="center" vertical="center"/>
    </xf>
    <xf numFmtId="167" fontId="7" fillId="0" borderId="0" xfId="55" applyFont="1" applyAlignment="1">
      <alignment horizontal="center" vertical="center"/>
    </xf>
    <xf numFmtId="0" fontId="7" fillId="0" borderId="0" xfId="48" applyFont="1" applyAlignment="1">
      <alignment horizontal="center" vertical="center"/>
    </xf>
    <xf numFmtId="2" fontId="6" fillId="0" borderId="0" xfId="48" applyNumberFormat="1" applyFont="1" applyAlignment="1">
      <alignment horizontal="center" vertical="center"/>
    </xf>
    <xf numFmtId="17" fontId="2" fillId="13" borderId="0" xfId="0" applyNumberFormat="1" applyFont="1" applyFill="1" applyAlignment="1">
      <alignment horizontal="center" vertical="center"/>
    </xf>
    <xf numFmtId="17" fontId="61" fillId="13" borderId="1" xfId="48" applyNumberFormat="1" applyFont="1" applyFill="1" applyBorder="1" applyAlignment="1">
      <alignment horizontal="center"/>
    </xf>
    <xf numFmtId="43" fontId="9" fillId="0" borderId="1" xfId="48" applyNumberFormat="1" applyBorder="1"/>
    <xf numFmtId="10" fontId="9" fillId="0" borderId="1" xfId="48" applyNumberFormat="1" applyBorder="1"/>
    <xf numFmtId="0" fontId="7" fillId="0" borderId="2" xfId="0" applyFont="1" applyBorder="1"/>
    <xf numFmtId="0" fontId="6" fillId="0" borderId="10" xfId="0" applyFont="1" applyBorder="1" applyAlignment="1">
      <alignment horizontal="center"/>
    </xf>
    <xf numFmtId="0" fontId="2" fillId="13" borderId="10" xfId="0" applyFont="1" applyFill="1" applyBorder="1"/>
    <xf numFmtId="0" fontId="59" fillId="13" borderId="1" xfId="0" applyFont="1" applyFill="1" applyBorder="1" applyAlignment="1">
      <alignment horizontal="center"/>
    </xf>
    <xf numFmtId="0" fontId="6" fillId="0" borderId="18" xfId="0" applyFont="1" applyBorder="1" applyAlignment="1">
      <alignment horizontal="center"/>
    </xf>
    <xf numFmtId="0" fontId="6" fillId="0" borderId="18" xfId="0" applyFont="1" applyBorder="1"/>
    <xf numFmtId="0" fontId="6" fillId="0" borderId="27" xfId="0" applyFont="1" applyBorder="1"/>
    <xf numFmtId="0" fontId="6" fillId="0" borderId="1" xfId="0" applyFont="1" applyBorder="1" applyAlignment="1">
      <alignment horizontal="center"/>
    </xf>
    <xf numFmtId="0" fontId="6" fillId="0" borderId="1" xfId="0" applyFont="1" applyBorder="1"/>
    <xf numFmtId="2" fontId="6" fillId="0" borderId="1" xfId="0" applyNumberFormat="1" applyFont="1" applyBorder="1"/>
    <xf numFmtId="0" fontId="7" fillId="0" borderId="10" xfId="0" applyFont="1" applyBorder="1"/>
    <xf numFmtId="0" fontId="7" fillId="15" borderId="10" xfId="0" applyFont="1" applyFill="1" applyBorder="1"/>
    <xf numFmtId="2" fontId="7" fillId="15" borderId="1" xfId="0" applyNumberFormat="1" applyFont="1" applyFill="1" applyBorder="1"/>
    <xf numFmtId="0" fontId="69" fillId="13" borderId="0" xfId="0" applyFont="1" applyFill="1"/>
    <xf numFmtId="0" fontId="59" fillId="13" borderId="27" xfId="0" applyFont="1" applyFill="1" applyBorder="1" applyAlignment="1">
      <alignment horizontal="center"/>
    </xf>
    <xf numFmtId="1" fontId="6" fillId="0" borderId="0" xfId="0" applyNumberFormat="1" applyFont="1"/>
    <xf numFmtId="0" fontId="7" fillId="0" borderId="1" xfId="0" applyFont="1" applyBorder="1"/>
    <xf numFmtId="0" fontId="7" fillId="15" borderId="6" xfId="0" applyFont="1" applyFill="1" applyBorder="1"/>
    <xf numFmtId="2" fontId="7" fillId="0" borderId="0" xfId="0" applyNumberFormat="1" applyFont="1"/>
    <xf numFmtId="9" fontId="0" fillId="0" borderId="0" xfId="2" applyFont="1" applyFill="1" applyBorder="1"/>
    <xf numFmtId="9" fontId="0" fillId="0" borderId="0" xfId="0" applyNumberFormat="1"/>
    <xf numFmtId="43" fontId="31" fillId="7" borderId="0" xfId="1" applyFont="1" applyFill="1"/>
    <xf numFmtId="0" fontId="6" fillId="6" borderId="0" xfId="0" applyFont="1" applyFill="1" applyAlignment="1">
      <alignment horizontal="left"/>
    </xf>
    <xf numFmtId="2" fontId="9" fillId="0" borderId="1" xfId="48" applyNumberFormat="1" applyBorder="1"/>
    <xf numFmtId="43" fontId="0" fillId="0" borderId="1" xfId="0" applyNumberFormat="1" applyBorder="1"/>
    <xf numFmtId="0" fontId="2" fillId="13" borderId="18" xfId="0" applyFont="1" applyFill="1" applyBorder="1"/>
    <xf numFmtId="17" fontId="2" fillId="13" borderId="0" xfId="0" applyNumberFormat="1" applyFont="1" applyFill="1" applyAlignment="1">
      <alignment horizontal="left" vertical="center"/>
    </xf>
    <xf numFmtId="0" fontId="22" fillId="13" borderId="1" xfId="0" applyFont="1" applyFill="1" applyBorder="1"/>
    <xf numFmtId="15" fontId="22" fillId="13" borderId="1" xfId="50" applyNumberFormat="1" applyFont="1" applyFill="1" applyBorder="1" applyAlignment="1">
      <alignment horizontal="right"/>
    </xf>
    <xf numFmtId="17" fontId="22" fillId="13" borderId="0" xfId="0" applyNumberFormat="1" applyFont="1" applyFill="1" applyAlignment="1">
      <alignment horizontal="center" vertical="center"/>
    </xf>
    <xf numFmtId="0" fontId="22" fillId="13" borderId="0" xfId="0" applyFont="1" applyFill="1"/>
    <xf numFmtId="170" fontId="3" fillId="0" borderId="0" xfId="47" applyNumberFormat="1" applyFont="1" applyAlignment="1">
      <alignment vertical="center"/>
    </xf>
    <xf numFmtId="0" fontId="75" fillId="0" borderId="1" xfId="0" applyFont="1" applyBorder="1" applyAlignment="1">
      <alignment vertical="center"/>
    </xf>
    <xf numFmtId="170" fontId="76" fillId="0" borderId="1" xfId="47" applyNumberFormat="1" applyFont="1" applyBorder="1" applyAlignment="1">
      <alignment horizontal="center" vertical="center"/>
    </xf>
    <xf numFmtId="170" fontId="0" fillId="0" borderId="0" xfId="0" applyNumberFormat="1" applyAlignment="1">
      <alignment horizontal="center" vertical="center"/>
    </xf>
    <xf numFmtId="9" fontId="0" fillId="0" borderId="0" xfId="2" applyFont="1" applyAlignment="1">
      <alignment vertical="center"/>
    </xf>
    <xf numFmtId="9" fontId="6" fillId="0" borderId="0" xfId="2" applyFont="1"/>
    <xf numFmtId="0" fontId="0" fillId="0" borderId="0" xfId="0" applyAlignment="1">
      <alignment vertical="center" wrapText="1"/>
    </xf>
    <xf numFmtId="0" fontId="0" fillId="0" borderId="18" xfId="0" applyBorder="1" applyAlignment="1">
      <alignment horizontal="center" vertical="center" wrapText="1"/>
    </xf>
    <xf numFmtId="0" fontId="77" fillId="0" borderId="0" xfId="0" applyFont="1"/>
    <xf numFmtId="0" fontId="3" fillId="0" borderId="10" xfId="0" applyFont="1" applyBorder="1" applyAlignment="1">
      <alignment horizontal="center"/>
    </xf>
    <xf numFmtId="0" fontId="3" fillId="0" borderId="6" xfId="0" applyFont="1" applyBorder="1" applyAlignment="1">
      <alignment horizontal="center"/>
    </xf>
    <xf numFmtId="0" fontId="3" fillId="0" borderId="1" xfId="0" applyFont="1" applyBorder="1" applyAlignment="1">
      <alignment horizontal="center"/>
    </xf>
    <xf numFmtId="0" fontId="79" fillId="13" borderId="29" xfId="0" applyFont="1" applyFill="1" applyBorder="1" applyAlignment="1">
      <alignment horizontal="center" vertical="center"/>
    </xf>
    <xf numFmtId="0" fontId="80" fillId="0" borderId="30" xfId="0" applyFont="1" applyBorder="1" applyAlignment="1">
      <alignment vertical="center"/>
    </xf>
    <xf numFmtId="0" fontId="81" fillId="0" borderId="26" xfId="0" applyFont="1" applyBorder="1" applyAlignment="1">
      <alignment vertical="center"/>
    </xf>
    <xf numFmtId="0" fontId="80" fillId="0" borderId="26" xfId="0" applyFont="1" applyBorder="1" applyAlignment="1">
      <alignment horizontal="center" vertical="center"/>
    </xf>
    <xf numFmtId="0" fontId="80" fillId="0" borderId="30" xfId="0" applyFont="1" applyBorder="1" applyAlignment="1">
      <alignment horizontal="center" vertical="center"/>
    </xf>
    <xf numFmtId="0" fontId="80" fillId="0" borderId="26" xfId="0" applyFont="1" applyBorder="1" applyAlignment="1">
      <alignment vertical="center"/>
    </xf>
    <xf numFmtId="0" fontId="82" fillId="18" borderId="26" xfId="0" applyFont="1" applyFill="1" applyBorder="1" applyAlignment="1">
      <alignment horizontal="center" vertical="center"/>
    </xf>
    <xf numFmtId="0" fontId="82" fillId="18" borderId="30" xfId="0" applyFont="1" applyFill="1" applyBorder="1" applyAlignment="1">
      <alignment vertical="center"/>
    </xf>
    <xf numFmtId="0" fontId="83" fillId="13" borderId="30" xfId="0" applyFont="1" applyFill="1" applyBorder="1" applyAlignment="1">
      <alignment vertical="center"/>
    </xf>
    <xf numFmtId="0" fontId="83" fillId="13" borderId="26" xfId="0" applyFont="1" applyFill="1" applyBorder="1" applyAlignment="1">
      <alignment horizontal="center" vertical="center"/>
    </xf>
    <xf numFmtId="9" fontId="0" fillId="0" borderId="1" xfId="2" applyFont="1" applyFill="1" applyBorder="1"/>
    <xf numFmtId="10" fontId="0" fillId="0" borderId="0" xfId="0" applyNumberFormat="1"/>
    <xf numFmtId="9" fontId="65" fillId="0" borderId="1" xfId="2" applyFont="1" applyFill="1" applyBorder="1"/>
    <xf numFmtId="10" fontId="65" fillId="0" borderId="1" xfId="2" applyNumberFormat="1" applyFont="1" applyFill="1" applyBorder="1"/>
    <xf numFmtId="9" fontId="65" fillId="0" borderId="0" xfId="48" applyNumberFormat="1" applyFont="1"/>
    <xf numFmtId="0" fontId="84" fillId="0" borderId="18" xfId="0" applyFont="1" applyBorder="1" applyAlignment="1">
      <alignment horizontal="center"/>
    </xf>
    <xf numFmtId="0" fontId="84" fillId="0" borderId="0" xfId="0" applyFont="1" applyAlignment="1">
      <alignment horizontal="center"/>
    </xf>
    <xf numFmtId="0" fontId="65" fillId="0" borderId="0" xfId="0" applyFont="1"/>
    <xf numFmtId="0" fontId="65" fillId="0" borderId="15" xfId="0" applyFont="1" applyBorder="1"/>
    <xf numFmtId="172" fontId="65" fillId="0" borderId="18" xfId="0" applyNumberFormat="1" applyFont="1" applyBorder="1"/>
    <xf numFmtId="172" fontId="66" fillId="0" borderId="10" xfId="0" applyNumberFormat="1" applyFont="1" applyBorder="1" applyAlignment="1">
      <alignment horizontal="right"/>
    </xf>
    <xf numFmtId="0" fontId="66" fillId="0" borderId="6" xfId="0" applyFont="1" applyBorder="1" applyAlignment="1">
      <alignment horizontal="left"/>
    </xf>
    <xf numFmtId="0" fontId="66" fillId="0" borderId="6" xfId="0" applyFont="1" applyBorder="1"/>
    <xf numFmtId="172" fontId="66" fillId="0" borderId="6" xfId="0" applyNumberFormat="1" applyFont="1" applyBorder="1" applyAlignment="1">
      <alignment horizontal="right"/>
    </xf>
    <xf numFmtId="172" fontId="66" fillId="0" borderId="15" xfId="0" applyNumberFormat="1" applyFont="1" applyBorder="1" applyAlignment="1">
      <alignment horizontal="right"/>
    </xf>
    <xf numFmtId="172" fontId="66" fillId="0" borderId="18" xfId="0" applyNumberFormat="1" applyFont="1" applyBorder="1" applyAlignment="1">
      <alignment horizontal="right"/>
    </xf>
    <xf numFmtId="0" fontId="66" fillId="0" borderId="0" xfId="0" applyFont="1" applyAlignment="1">
      <alignment horizontal="left"/>
    </xf>
    <xf numFmtId="167" fontId="65" fillId="0" borderId="0" xfId="55" applyFont="1" applyFill="1" applyBorder="1" applyProtection="1"/>
    <xf numFmtId="0" fontId="65" fillId="0" borderId="0" xfId="0" applyFont="1" applyAlignment="1">
      <alignment horizontal="left"/>
    </xf>
    <xf numFmtId="0" fontId="66" fillId="0" borderId="15" xfId="0" applyFont="1" applyBorder="1"/>
    <xf numFmtId="0" fontId="65" fillId="0" borderId="18" xfId="0" applyFont="1" applyBorder="1"/>
    <xf numFmtId="167" fontId="65" fillId="0" borderId="0" xfId="55" applyFont="1" applyFill="1" applyBorder="1" applyAlignment="1" applyProtection="1">
      <alignment horizontal="right"/>
    </xf>
    <xf numFmtId="172" fontId="66" fillId="0" borderId="18" xfId="0" applyNumberFormat="1" applyFont="1" applyBorder="1"/>
    <xf numFmtId="0" fontId="66" fillId="0" borderId="0" xfId="0" applyFont="1"/>
    <xf numFmtId="10" fontId="66" fillId="0" borderId="0" xfId="7" applyNumberFormat="1" applyFont="1" applyFill="1" applyBorder="1"/>
    <xf numFmtId="10" fontId="66" fillId="0" borderId="15" xfId="7" applyNumberFormat="1" applyFont="1" applyFill="1" applyBorder="1"/>
    <xf numFmtId="10" fontId="66" fillId="0" borderId="0" xfId="7" applyNumberFormat="1" applyFont="1"/>
    <xf numFmtId="170" fontId="65" fillId="0" borderId="0" xfId="55" applyNumberFormat="1" applyFont="1" applyFill="1" applyBorder="1"/>
    <xf numFmtId="9" fontId="66" fillId="0" borderId="0" xfId="0" applyNumberFormat="1" applyFont="1"/>
    <xf numFmtId="10" fontId="59" fillId="0" borderId="0" xfId="2" applyNumberFormat="1" applyFont="1"/>
    <xf numFmtId="168" fontId="22" fillId="13" borderId="0" xfId="0" applyNumberFormat="1" applyFont="1" applyFill="1"/>
    <xf numFmtId="0" fontId="59" fillId="13" borderId="0" xfId="0" applyFont="1" applyFill="1"/>
    <xf numFmtId="0" fontId="2" fillId="13" borderId="0" xfId="0" applyFont="1" applyFill="1"/>
    <xf numFmtId="0" fontId="59" fillId="13" borderId="0" xfId="0" applyFont="1" applyFill="1" applyAlignment="1">
      <alignment vertical="center"/>
    </xf>
    <xf numFmtId="0" fontId="59" fillId="13" borderId="0" xfId="0" applyFont="1" applyFill="1" applyAlignment="1">
      <alignment horizontal="center" vertical="center"/>
    </xf>
    <xf numFmtId="0" fontId="2" fillId="13" borderId="0" xfId="0" applyFont="1" applyFill="1" applyAlignment="1">
      <alignment vertical="center"/>
    </xf>
    <xf numFmtId="0" fontId="2" fillId="0" borderId="0" xfId="0" applyFont="1"/>
    <xf numFmtId="17" fontId="2" fillId="13" borderId="1" xfId="0" applyNumberFormat="1" applyFont="1" applyFill="1" applyBorder="1" applyAlignment="1">
      <alignment horizontal="left" vertical="center"/>
    </xf>
    <xf numFmtId="17" fontId="2" fillId="13" borderId="1" xfId="0" applyNumberFormat="1" applyFont="1" applyFill="1" applyBorder="1" applyAlignment="1">
      <alignment horizontal="center" vertical="center"/>
    </xf>
    <xf numFmtId="43" fontId="0" fillId="0" borderId="1" xfId="1" applyFont="1" applyFill="1" applyBorder="1"/>
    <xf numFmtId="0" fontId="10" fillId="0" borderId="1" xfId="0" applyFont="1" applyBorder="1"/>
    <xf numFmtId="0" fontId="5" fillId="0" borderId="1" xfId="0" applyFont="1" applyBorder="1"/>
    <xf numFmtId="0" fontId="6" fillId="0" borderId="1" xfId="0" applyFont="1" applyBorder="1" applyAlignment="1">
      <alignment horizontal="left" indent="1"/>
    </xf>
    <xf numFmtId="0" fontId="6" fillId="0" borderId="1" xfId="0" applyFont="1" applyBorder="1" applyAlignment="1">
      <alignment horizontal="left" indent="2"/>
    </xf>
    <xf numFmtId="0" fontId="7" fillId="19" borderId="1" xfId="0" applyFont="1" applyFill="1" applyBorder="1"/>
    <xf numFmtId="43" fontId="3" fillId="19" borderId="1" xfId="1" applyFont="1" applyFill="1" applyBorder="1"/>
    <xf numFmtId="43" fontId="0" fillId="0" borderId="1" xfId="1" quotePrefix="1" applyFont="1" applyFill="1" applyBorder="1"/>
    <xf numFmtId="0" fontId="6" fillId="0" borderId="1" xfId="0" applyFont="1" applyBorder="1" applyAlignment="1">
      <alignment horizontal="left"/>
    </xf>
    <xf numFmtId="0" fontId="7" fillId="19" borderId="1" xfId="0" applyFont="1" applyFill="1" applyBorder="1" applyAlignment="1">
      <alignment wrapText="1"/>
    </xf>
    <xf numFmtId="0" fontId="6" fillId="0" borderId="1" xfId="0" applyFont="1" applyBorder="1" applyAlignment="1">
      <alignment wrapText="1"/>
    </xf>
    <xf numFmtId="0" fontId="8" fillId="0" borderId="1" xfId="0" applyFont="1" applyBorder="1"/>
    <xf numFmtId="165" fontId="0" fillId="0" borderId="1" xfId="2" applyNumberFormat="1" applyFont="1" applyFill="1" applyBorder="1"/>
    <xf numFmtId="10" fontId="0" fillId="0" borderId="1" xfId="2" applyNumberFormat="1" applyFont="1" applyFill="1" applyBorder="1"/>
    <xf numFmtId="165" fontId="0" fillId="0" borderId="1" xfId="0" applyNumberFormat="1" applyBorder="1"/>
    <xf numFmtId="0" fontId="28" fillId="13" borderId="0" xfId="0" applyFont="1" applyFill="1"/>
    <xf numFmtId="0" fontId="46" fillId="13" borderId="0" xfId="0" applyFont="1" applyFill="1"/>
    <xf numFmtId="0" fontId="47" fillId="13" borderId="0" xfId="0" applyFont="1" applyFill="1"/>
    <xf numFmtId="0" fontId="23" fillId="13" borderId="0" xfId="0" applyFont="1" applyFill="1"/>
    <xf numFmtId="0" fontId="30" fillId="13" borderId="0" xfId="0" applyFont="1" applyFill="1"/>
    <xf numFmtId="0" fontId="41" fillId="13" borderId="0" xfId="0" applyFont="1" applyFill="1"/>
    <xf numFmtId="168" fontId="22" fillId="13" borderId="1" xfId="0" applyNumberFormat="1" applyFont="1" applyFill="1" applyBorder="1"/>
    <xf numFmtId="2" fontId="9" fillId="0" borderId="0" xfId="48" applyNumberFormat="1"/>
    <xf numFmtId="9" fontId="9" fillId="0" borderId="0" xfId="48" applyNumberFormat="1"/>
    <xf numFmtId="0" fontId="7" fillId="0" borderId="1" xfId="0" applyFont="1" applyBorder="1" applyAlignment="1">
      <alignment horizontal="left"/>
    </xf>
    <xf numFmtId="0" fontId="0" fillId="0" borderId="1" xfId="0" applyBorder="1" applyAlignment="1">
      <alignment horizontal="left" indent="1"/>
    </xf>
    <xf numFmtId="43" fontId="0" fillId="2" borderId="1" xfId="1" applyFont="1" applyFill="1" applyBorder="1"/>
    <xf numFmtId="43" fontId="6" fillId="0" borderId="1" xfId="1" applyFont="1" applyBorder="1" applyAlignment="1">
      <alignment horizontal="right"/>
    </xf>
    <xf numFmtId="43" fontId="3" fillId="0" borderId="1" xfId="1" applyFont="1" applyBorder="1"/>
    <xf numFmtId="43" fontId="3" fillId="0" borderId="1" xfId="1" applyFont="1" applyFill="1" applyBorder="1"/>
    <xf numFmtId="0" fontId="0" fillId="0" borderId="1" xfId="0" applyBorder="1" applyAlignment="1">
      <alignment horizontal="left" indent="2"/>
    </xf>
    <xf numFmtId="166" fontId="31" fillId="7" borderId="1" xfId="1" applyNumberFormat="1" applyFont="1" applyFill="1" applyBorder="1"/>
    <xf numFmtId="43" fontId="31" fillId="7" borderId="1" xfId="1" applyFont="1" applyFill="1" applyBorder="1"/>
    <xf numFmtId="17" fontId="31" fillId="0" borderId="1" xfId="0" applyNumberFormat="1" applyFont="1" applyBorder="1"/>
    <xf numFmtId="17" fontId="22" fillId="12" borderId="1" xfId="0" applyNumberFormat="1" applyFont="1" applyFill="1" applyBorder="1" applyAlignment="1">
      <alignment horizontal="center" vertical="center"/>
    </xf>
    <xf numFmtId="0" fontId="44" fillId="0" borderId="1" xfId="0" applyFont="1" applyBorder="1"/>
    <xf numFmtId="166" fontId="31" fillId="0" borderId="1" xfId="1" applyNumberFormat="1" applyFont="1" applyBorder="1"/>
    <xf numFmtId="10" fontId="31" fillId="0" borderId="1" xfId="2" applyNumberFormat="1" applyFont="1" applyBorder="1"/>
    <xf numFmtId="9" fontId="31" fillId="0" borderId="1" xfId="2" applyFont="1" applyBorder="1"/>
    <xf numFmtId="2" fontId="31" fillId="0" borderId="1" xfId="0" applyNumberFormat="1" applyFont="1" applyBorder="1"/>
    <xf numFmtId="166" fontId="31" fillId="0" borderId="1" xfId="1" applyNumberFormat="1" applyFont="1" applyFill="1" applyBorder="1"/>
    <xf numFmtId="0" fontId="66" fillId="17" borderId="1" xfId="48" applyFont="1" applyFill="1" applyBorder="1" applyAlignment="1">
      <alignment horizontal="left"/>
    </xf>
    <xf numFmtId="0" fontId="65" fillId="17" borderId="1" xfId="48" applyFont="1" applyFill="1" applyBorder="1"/>
    <xf numFmtId="0" fontId="66" fillId="17" borderId="1" xfId="48" applyFont="1" applyFill="1" applyBorder="1"/>
    <xf numFmtId="172" fontId="66" fillId="17" borderId="1" xfId="48" applyNumberFormat="1" applyFont="1" applyFill="1" applyBorder="1" applyAlignment="1">
      <alignment horizontal="right"/>
    </xf>
    <xf numFmtId="0" fontId="62" fillId="17" borderId="1" xfId="48" applyFont="1" applyFill="1" applyBorder="1"/>
    <xf numFmtId="0" fontId="9" fillId="17" borderId="1" xfId="48" applyFill="1" applyBorder="1"/>
    <xf numFmtId="0" fontId="80" fillId="20" borderId="0" xfId="0" applyFont="1" applyFill="1" applyAlignment="1">
      <alignment vertical="center"/>
    </xf>
    <xf numFmtId="0" fontId="80" fillId="20" borderId="0" xfId="0" applyFont="1" applyFill="1" applyAlignment="1">
      <alignment horizontal="left" vertical="center"/>
    </xf>
    <xf numFmtId="0" fontId="80" fillId="20" borderId="0" xfId="0" applyFont="1" applyFill="1" applyAlignment="1">
      <alignment horizontal="center" vertical="center"/>
    </xf>
    <xf numFmtId="0" fontId="87" fillId="14" borderId="0" xfId="0" applyFont="1" applyFill="1" applyAlignment="1">
      <alignment horizontal="left" vertical="center"/>
    </xf>
    <xf numFmtId="0" fontId="88" fillId="14" borderId="0" xfId="0" applyFont="1" applyFill="1" applyAlignment="1">
      <alignment horizontal="center" vertical="center"/>
    </xf>
    <xf numFmtId="0" fontId="89" fillId="20" borderId="0" xfId="0" applyFont="1" applyFill="1" applyAlignment="1">
      <alignment horizontal="left" vertical="center"/>
    </xf>
    <xf numFmtId="0" fontId="90" fillId="20" borderId="0" xfId="0" applyFont="1" applyFill="1" applyAlignment="1">
      <alignment horizontal="center" vertical="center"/>
    </xf>
    <xf numFmtId="0" fontId="91" fillId="13" borderId="0" xfId="0" applyFont="1" applyFill="1" applyAlignment="1">
      <alignment horizontal="left" vertical="center"/>
    </xf>
    <xf numFmtId="0" fontId="91" fillId="13" borderId="0" xfId="0" applyFont="1" applyFill="1" applyAlignment="1">
      <alignment horizontal="center" vertical="center"/>
    </xf>
    <xf numFmtId="9" fontId="80" fillId="20" borderId="0" xfId="0" applyNumberFormat="1" applyFont="1" applyFill="1" applyAlignment="1">
      <alignment horizontal="left" vertical="center"/>
    </xf>
    <xf numFmtId="174" fontId="89" fillId="20" borderId="0" xfId="0" applyNumberFormat="1" applyFont="1" applyFill="1" applyAlignment="1">
      <alignment horizontal="center" vertical="center"/>
    </xf>
    <xf numFmtId="0" fontId="89" fillId="20" borderId="0" xfId="0" applyFont="1" applyFill="1" applyAlignment="1">
      <alignment horizontal="left" vertical="center" wrapText="1"/>
    </xf>
    <xf numFmtId="0" fontId="92" fillId="21" borderId="6" xfId="0" applyFont="1" applyFill="1" applyBorder="1" applyAlignment="1">
      <alignment horizontal="left" vertical="center" wrapText="1"/>
    </xf>
    <xf numFmtId="171" fontId="92" fillId="21" borderId="6" xfId="0" applyNumberFormat="1" applyFont="1" applyFill="1" applyBorder="1" applyAlignment="1">
      <alignment horizontal="center" vertical="center"/>
    </xf>
    <xf numFmtId="171" fontId="89" fillId="20" borderId="0" xfId="0" applyNumberFormat="1" applyFont="1" applyFill="1" applyAlignment="1">
      <alignment horizontal="center" vertical="center"/>
    </xf>
    <xf numFmtId="171" fontId="92" fillId="20" borderId="0" xfId="0" applyNumberFormat="1" applyFont="1" applyFill="1" applyAlignment="1">
      <alignment horizontal="center" vertical="center"/>
    </xf>
    <xf numFmtId="171" fontId="92" fillId="21" borderId="6" xfId="0" applyNumberFormat="1" applyFont="1" applyFill="1" applyBorder="1" applyAlignment="1">
      <alignment horizontal="left" vertical="center"/>
    </xf>
    <xf numFmtId="0" fontId="81" fillId="20" borderId="0" xfId="0" applyFont="1" applyFill="1" applyAlignment="1">
      <alignment vertical="center"/>
    </xf>
    <xf numFmtId="0" fontId="92" fillId="20" borderId="0" xfId="0" applyFont="1" applyFill="1" applyAlignment="1">
      <alignment horizontal="left" vertical="center"/>
    </xf>
    <xf numFmtId="9" fontId="92" fillId="20" borderId="0" xfId="0" applyNumberFormat="1" applyFont="1" applyFill="1" applyAlignment="1">
      <alignment horizontal="center" vertical="center"/>
    </xf>
    <xf numFmtId="0" fontId="92" fillId="20" borderId="0" xfId="0" applyFont="1" applyFill="1" applyAlignment="1">
      <alignment horizontal="center" vertical="center"/>
    </xf>
    <xf numFmtId="165" fontId="92" fillId="20" borderId="0" xfId="2" applyNumberFormat="1" applyFont="1" applyFill="1" applyBorder="1" applyAlignment="1">
      <alignment horizontal="center" vertical="center"/>
    </xf>
    <xf numFmtId="170" fontId="92" fillId="20" borderId="0" xfId="1" applyNumberFormat="1" applyFont="1" applyFill="1" applyBorder="1" applyAlignment="1">
      <alignment horizontal="center" vertical="center"/>
    </xf>
    <xf numFmtId="9" fontId="92" fillId="20" borderId="0" xfId="2" applyFont="1" applyFill="1" applyBorder="1" applyAlignment="1">
      <alignment horizontal="center" vertical="center"/>
    </xf>
    <xf numFmtId="8" fontId="80" fillId="20" borderId="0" xfId="0" applyNumberFormat="1" applyFont="1" applyFill="1" applyAlignment="1">
      <alignment horizontal="center" vertical="center"/>
    </xf>
    <xf numFmtId="10" fontId="80" fillId="20" borderId="0" xfId="2" applyNumberFormat="1" applyFont="1" applyFill="1" applyBorder="1" applyAlignment="1">
      <alignment vertical="center"/>
    </xf>
    <xf numFmtId="10" fontId="80" fillId="20" borderId="0" xfId="2" applyNumberFormat="1" applyFont="1" applyFill="1" applyAlignment="1">
      <alignment horizontal="center" vertical="center"/>
    </xf>
    <xf numFmtId="9" fontId="80" fillId="20" borderId="0" xfId="0" applyNumberFormat="1" applyFont="1" applyFill="1" applyAlignment="1">
      <alignment horizontal="center" vertical="center"/>
    </xf>
    <xf numFmtId="175" fontId="80" fillId="20" borderId="0" xfId="0" applyNumberFormat="1" applyFont="1" applyFill="1" applyAlignment="1">
      <alignment horizontal="center" vertical="center"/>
    </xf>
    <xf numFmtId="0" fontId="81" fillId="9" borderId="0" xfId="0" applyFont="1" applyFill="1" applyAlignment="1">
      <alignment horizontal="center" vertical="center"/>
    </xf>
    <xf numFmtId="9" fontId="89" fillId="20" borderId="0" xfId="2" applyFont="1" applyFill="1" applyBorder="1" applyAlignment="1">
      <alignment horizontal="center" vertical="center"/>
    </xf>
    <xf numFmtId="10" fontId="80" fillId="20" borderId="0" xfId="0" applyNumberFormat="1" applyFont="1" applyFill="1" applyAlignment="1">
      <alignment horizontal="center" vertical="center"/>
    </xf>
    <xf numFmtId="43" fontId="89" fillId="20" borderId="0" xfId="1" applyFont="1" applyFill="1" applyBorder="1" applyAlignment="1">
      <alignment horizontal="center" vertical="center"/>
    </xf>
    <xf numFmtId="167" fontId="80" fillId="20" borderId="0" xfId="0" applyNumberFormat="1" applyFont="1" applyFill="1" applyAlignment="1">
      <alignment horizontal="center" vertical="center"/>
    </xf>
    <xf numFmtId="10" fontId="89" fillId="0" borderId="0" xfId="0" applyNumberFormat="1" applyFont="1"/>
    <xf numFmtId="43" fontId="93" fillId="22" borderId="0" xfId="59" applyNumberFormat="1" applyFont="1" applyFill="1" applyAlignment="1">
      <alignment horizontal="center" vertical="center"/>
    </xf>
    <xf numFmtId="43" fontId="93" fillId="23" borderId="0" xfId="59" applyNumberFormat="1" applyFont="1" applyFill="1" applyAlignment="1">
      <alignment horizontal="center" vertical="center"/>
    </xf>
    <xf numFmtId="43" fontId="93" fillId="22" borderId="0" xfId="1" applyFont="1" applyFill="1" applyAlignment="1">
      <alignment horizontal="center" vertical="center"/>
    </xf>
    <xf numFmtId="0" fontId="94" fillId="0" borderId="0" xfId="59" applyFont="1" applyAlignment="1">
      <alignment horizontal="left" vertical="center"/>
    </xf>
    <xf numFmtId="0" fontId="94" fillId="0" borderId="0" xfId="60" applyFont="1" applyAlignment="1">
      <alignment horizontal="left" vertical="center"/>
    </xf>
    <xf numFmtId="0" fontId="94" fillId="0" borderId="0" xfId="59" applyFont="1" applyAlignment="1">
      <alignment vertical="center"/>
    </xf>
    <xf numFmtId="0" fontId="94" fillId="0" borderId="0" xfId="59" applyFont="1" applyAlignment="1">
      <alignment horizontal="center" vertical="center"/>
    </xf>
    <xf numFmtId="43" fontId="94" fillId="0" borderId="0" xfId="1" applyFont="1" applyAlignment="1">
      <alignment horizontal="right" vertical="center"/>
    </xf>
    <xf numFmtId="2" fontId="94" fillId="0" borderId="0" xfId="59" applyNumberFormat="1" applyFont="1" applyAlignment="1">
      <alignment horizontal="right" vertical="center"/>
    </xf>
    <xf numFmtId="10" fontId="94" fillId="10" borderId="0" xfId="56" applyNumberFormat="1" applyFont="1" applyFill="1" applyAlignment="1">
      <alignment horizontal="right" vertical="center"/>
    </xf>
    <xf numFmtId="0" fontId="94" fillId="0" borderId="0" xfId="59" applyFont="1" applyAlignment="1">
      <alignment vertical="center" wrapText="1"/>
    </xf>
    <xf numFmtId="10" fontId="94" fillId="0" borderId="0" xfId="59" applyNumberFormat="1" applyFont="1" applyAlignment="1">
      <alignment horizontal="right" vertical="center"/>
    </xf>
    <xf numFmtId="0" fontId="95" fillId="0" borderId="0" xfId="59" applyFont="1" applyAlignment="1">
      <alignment vertical="center"/>
    </xf>
    <xf numFmtId="176" fontId="96" fillId="0" borderId="0" xfId="59" applyNumberFormat="1" applyFont="1" applyAlignment="1">
      <alignment horizontal="left" vertical="center"/>
    </xf>
    <xf numFmtId="10" fontId="94" fillId="11" borderId="0" xfId="59" applyNumberFormat="1" applyFont="1" applyFill="1" applyAlignment="1">
      <alignment horizontal="right" vertical="center"/>
    </xf>
    <xf numFmtId="10" fontId="96" fillId="0" borderId="0" xfId="59" applyNumberFormat="1" applyFont="1" applyAlignment="1">
      <alignment horizontal="left" vertical="center"/>
    </xf>
    <xf numFmtId="43" fontId="94" fillId="0" borderId="0" xfId="59" applyNumberFormat="1" applyFont="1" applyAlignment="1">
      <alignment horizontal="right" vertical="center"/>
    </xf>
    <xf numFmtId="43" fontId="97" fillId="0" borderId="0" xfId="1" applyFont="1" applyAlignment="1">
      <alignment horizontal="right" vertical="center"/>
    </xf>
    <xf numFmtId="3" fontId="94" fillId="0" borderId="0" xfId="59" applyNumberFormat="1" applyFont="1" applyAlignment="1">
      <alignment horizontal="right" vertical="center"/>
    </xf>
    <xf numFmtId="10" fontId="94" fillId="24" borderId="0" xfId="59" applyNumberFormat="1" applyFont="1" applyFill="1" applyAlignment="1">
      <alignment horizontal="right" vertical="center"/>
    </xf>
    <xf numFmtId="39" fontId="98" fillId="25" borderId="0" xfId="59" applyNumberFormat="1" applyFont="1" applyFill="1"/>
    <xf numFmtId="10" fontId="98" fillId="25" borderId="0" xfId="59" applyNumberFormat="1" applyFont="1" applyFill="1"/>
    <xf numFmtId="9" fontId="97" fillId="0" borderId="0" xfId="56" applyFont="1" applyAlignment="1">
      <alignment horizontal="right" vertical="center"/>
    </xf>
    <xf numFmtId="0" fontId="98" fillId="0" borderId="0" xfId="59" applyFont="1" applyAlignment="1">
      <alignment horizontal="center" vertical="center"/>
    </xf>
    <xf numFmtId="10" fontId="98" fillId="0" borderId="0" xfId="59" applyNumberFormat="1" applyFont="1" applyAlignment="1">
      <alignment horizontal="right" vertical="center"/>
    </xf>
    <xf numFmtId="3" fontId="97" fillId="0" borderId="0" xfId="59" applyNumberFormat="1" applyFont="1" applyAlignment="1">
      <alignment horizontal="right" vertical="center"/>
    </xf>
    <xf numFmtId="9" fontId="96" fillId="0" borderId="0" xfId="56" applyFont="1" applyAlignment="1">
      <alignment horizontal="left" vertical="center"/>
    </xf>
    <xf numFmtId="4" fontId="94" fillId="0" borderId="0" xfId="59" applyNumberFormat="1" applyFont="1" applyAlignment="1">
      <alignment horizontal="right" vertical="center"/>
    </xf>
    <xf numFmtId="10" fontId="97" fillId="0" borderId="0" xfId="56" applyNumberFormat="1" applyFont="1" applyAlignment="1">
      <alignment horizontal="right" vertical="center"/>
    </xf>
    <xf numFmtId="177" fontId="89" fillId="20" borderId="0" xfId="0" applyNumberFormat="1" applyFont="1" applyFill="1" applyAlignment="1">
      <alignment horizontal="center" vertical="center"/>
    </xf>
    <xf numFmtId="0" fontId="92" fillId="20" borderId="0" xfId="0" applyFont="1" applyFill="1" applyAlignment="1">
      <alignment vertical="center"/>
    </xf>
    <xf numFmtId="177" fontId="80" fillId="20" borderId="0" xfId="0" applyNumberFormat="1" applyFont="1" applyFill="1" applyAlignment="1">
      <alignment horizontal="center" vertical="center"/>
    </xf>
    <xf numFmtId="0" fontId="91" fillId="13" borderId="0" xfId="0" applyFont="1" applyFill="1"/>
    <xf numFmtId="0" fontId="89" fillId="0" borderId="0" xfId="0" applyFont="1"/>
    <xf numFmtId="0" fontId="89" fillId="0" borderId="0" xfId="0" applyFont="1" applyAlignment="1">
      <alignment vertical="center"/>
    </xf>
    <xf numFmtId="2" fontId="89" fillId="0" borderId="0" xfId="0" applyNumberFormat="1" applyFont="1" applyAlignment="1">
      <alignment vertical="center"/>
    </xf>
    <xf numFmtId="43" fontId="80" fillId="0" borderId="0" xfId="1" applyFont="1" applyFill="1" applyBorder="1" applyAlignment="1">
      <alignment horizontal="center"/>
    </xf>
    <xf numFmtId="0" fontId="80" fillId="0" borderId="0" xfId="0" applyFont="1" applyAlignment="1">
      <alignment horizontal="left"/>
    </xf>
    <xf numFmtId="0" fontId="81" fillId="0" borderId="6" xfId="0" applyFont="1" applyBorder="1" applyAlignment="1">
      <alignment horizontal="left"/>
    </xf>
    <xf numFmtId="43" fontId="81" fillId="0" borderId="6" xfId="1" applyFont="1" applyFill="1" applyBorder="1" applyAlignment="1">
      <alignment horizontal="center"/>
    </xf>
    <xf numFmtId="43" fontId="81" fillId="0" borderId="6" xfId="1" applyFont="1" applyFill="1" applyBorder="1" applyAlignment="1"/>
    <xf numFmtId="2" fontId="80" fillId="20" borderId="0" xfId="0" applyNumberFormat="1" applyFont="1" applyFill="1" applyAlignment="1">
      <alignment horizontal="center" vertical="center"/>
    </xf>
    <xf numFmtId="2" fontId="80" fillId="20" borderId="0" xfId="1" applyNumberFormat="1" applyFont="1" applyFill="1" applyAlignment="1">
      <alignment horizontal="center" vertical="center"/>
    </xf>
    <xf numFmtId="2" fontId="80" fillId="20" borderId="0" xfId="0" applyNumberFormat="1" applyFont="1" applyFill="1" applyAlignment="1">
      <alignment vertical="center"/>
    </xf>
    <xf numFmtId="43" fontId="80" fillId="20" borderId="0" xfId="1" applyFont="1" applyFill="1" applyAlignment="1">
      <alignment horizontal="left" vertical="center"/>
    </xf>
    <xf numFmtId="43" fontId="80" fillId="20" borderId="0" xfId="1" applyFont="1" applyFill="1" applyAlignment="1">
      <alignment horizontal="center" vertical="center"/>
    </xf>
    <xf numFmtId="2" fontId="80" fillId="20" borderId="0" xfId="0" applyNumberFormat="1" applyFont="1" applyFill="1" applyAlignment="1">
      <alignment horizontal="left" vertical="center"/>
    </xf>
    <xf numFmtId="9" fontId="89" fillId="20" borderId="0" xfId="2" applyFont="1" applyFill="1" applyAlignment="1">
      <alignment horizontal="center" vertical="center"/>
    </xf>
    <xf numFmtId="43" fontId="89" fillId="20" borderId="0" xfId="1" applyFont="1" applyFill="1" applyAlignment="1">
      <alignment horizontal="left" vertical="center"/>
    </xf>
    <xf numFmtId="167" fontId="0" fillId="0" borderId="0" xfId="0" applyNumberFormat="1"/>
    <xf numFmtId="0" fontId="85" fillId="0" borderId="2" xfId="0" applyFont="1" applyBorder="1" applyAlignment="1">
      <alignment horizontal="center" vertical="center"/>
    </xf>
    <xf numFmtId="0" fontId="54" fillId="0" borderId="10" xfId="0" applyFont="1" applyBorder="1" applyAlignment="1">
      <alignment horizontal="center" vertical="center"/>
    </xf>
    <xf numFmtId="0" fontId="54" fillId="0" borderId="6" xfId="0" applyFont="1" applyBorder="1" applyAlignment="1">
      <alignment horizontal="center" vertical="center"/>
    </xf>
    <xf numFmtId="0" fontId="54" fillId="0" borderId="14" xfId="0" applyFont="1" applyBorder="1" applyAlignment="1">
      <alignment horizontal="center" vertical="center"/>
    </xf>
    <xf numFmtId="0" fontId="14" fillId="0" borderId="0" xfId="54" applyAlignment="1">
      <alignment horizontal="right"/>
    </xf>
    <xf numFmtId="0" fontId="0" fillId="0" borderId="18" xfId="0" applyBorder="1" applyAlignment="1">
      <alignment horizontal="center" vertical="center" wrapText="1"/>
    </xf>
    <xf numFmtId="0" fontId="3" fillId="0" borderId="1" xfId="0" applyFont="1" applyBorder="1" applyAlignment="1">
      <alignment horizontal="center"/>
    </xf>
    <xf numFmtId="0" fontId="3" fillId="0" borderId="10" xfId="0" applyFont="1" applyBorder="1" applyAlignment="1">
      <alignment horizontal="center"/>
    </xf>
    <xf numFmtId="0" fontId="3" fillId="0" borderId="14" xfId="0" applyFont="1" applyBorder="1" applyAlignment="1">
      <alignment horizontal="center"/>
    </xf>
    <xf numFmtId="0" fontId="3" fillId="0" borderId="6" xfId="0" applyFont="1" applyBorder="1" applyAlignment="1">
      <alignment horizontal="center"/>
    </xf>
    <xf numFmtId="0" fontId="2" fillId="13" borderId="0" xfId="48" applyFont="1" applyFill="1" applyAlignment="1">
      <alignment horizontal="left"/>
    </xf>
    <xf numFmtId="167" fontId="63" fillId="13" borderId="17" xfId="55" applyFont="1" applyFill="1" applyBorder="1" applyAlignment="1">
      <alignment horizontal="center" vertical="center"/>
    </xf>
    <xf numFmtId="167" fontId="63" fillId="13" borderId="2" xfId="55" applyFont="1" applyFill="1" applyBorder="1" applyAlignment="1">
      <alignment horizontal="center" vertical="center"/>
    </xf>
    <xf numFmtId="177" fontId="91" fillId="13" borderId="0" xfId="0" applyNumberFormat="1" applyFont="1" applyFill="1" applyAlignment="1">
      <alignment horizontal="center" vertical="center"/>
    </xf>
    <xf numFmtId="10" fontId="91" fillId="13" borderId="3" xfId="0" applyNumberFormat="1" applyFont="1" applyFill="1" applyBorder="1" applyAlignment="1">
      <alignment horizontal="center" vertical="center"/>
    </xf>
    <xf numFmtId="0" fontId="84" fillId="0" borderId="18" xfId="0" applyFont="1" applyBorder="1" applyAlignment="1">
      <alignment horizontal="center"/>
    </xf>
    <xf numFmtId="0" fontId="84" fillId="0" borderId="0" xfId="0" applyFont="1" applyAlignment="1">
      <alignment horizontal="center"/>
    </xf>
    <xf numFmtId="0" fontId="84" fillId="0" borderId="15" xfId="0" applyFont="1" applyBorder="1" applyAlignment="1">
      <alignment horizontal="center"/>
    </xf>
    <xf numFmtId="0" fontId="78" fillId="13" borderId="28" xfId="0" applyFont="1" applyFill="1" applyBorder="1" applyAlignment="1">
      <alignment vertical="center"/>
    </xf>
    <xf numFmtId="0" fontId="78" fillId="13" borderId="29" xfId="0" applyFont="1" applyFill="1" applyBorder="1" applyAlignment="1">
      <alignment vertical="center"/>
    </xf>
    <xf numFmtId="0" fontId="82" fillId="18" borderId="28" xfId="0" applyFont="1" applyFill="1" applyBorder="1" applyAlignment="1">
      <alignment vertical="center"/>
    </xf>
    <xf numFmtId="0" fontId="82" fillId="18" borderId="29" xfId="0" applyFont="1" applyFill="1" applyBorder="1" applyAlignment="1">
      <alignment vertical="center"/>
    </xf>
    <xf numFmtId="0" fontId="83" fillId="13" borderId="28" xfId="0" applyFont="1" applyFill="1" applyBorder="1" applyAlignment="1">
      <alignment horizontal="center" vertical="center"/>
    </xf>
    <xf numFmtId="0" fontId="83" fillId="13" borderId="29"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53" fillId="0" borderId="2" xfId="0" applyFont="1" applyBorder="1" applyAlignment="1">
      <alignment horizontal="center" vertical="center"/>
    </xf>
    <xf numFmtId="0" fontId="16" fillId="0" borderId="1" xfId="0" applyFont="1" applyBorder="1" applyAlignment="1">
      <alignment horizontal="center"/>
    </xf>
    <xf numFmtId="0" fontId="16" fillId="0" borderId="10" xfId="0" applyFont="1" applyBorder="1" applyAlignment="1">
      <alignment horizontal="center"/>
    </xf>
    <xf numFmtId="0" fontId="16" fillId="0" borderId="14" xfId="0" applyFont="1" applyBorder="1" applyAlignment="1">
      <alignment horizontal="center"/>
    </xf>
    <xf numFmtId="0" fontId="3" fillId="0" borderId="0" xfId="0"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3" fillId="0" borderId="1" xfId="0" applyFont="1" applyBorder="1" applyAlignment="1">
      <alignment horizontal="center" vertical="center"/>
    </xf>
  </cellXfs>
  <cellStyles count="61">
    <cellStyle name="Comma" xfId="1" builtinId="3"/>
    <cellStyle name="Comma 10" xfId="58" xr:uid="{416B46D2-7288-449A-BC15-B03ED4EF42B1}"/>
    <cellStyle name="Comma 2" xfId="23" xr:uid="{00000000-0005-0000-0000-000001000000}"/>
    <cellStyle name="Comma 2 2" xfId="29" xr:uid="{00000000-0005-0000-0000-000002000000}"/>
    <cellStyle name="Comma 2 3" xfId="41" xr:uid="{00000000-0005-0000-0000-000003000000}"/>
    <cellStyle name="Comma 2 5" xfId="12" xr:uid="{00000000-0005-0000-0000-000004000000}"/>
    <cellStyle name="Comma 2 5 2" xfId="15" xr:uid="{00000000-0005-0000-0000-000005000000}"/>
    <cellStyle name="Comma 2 5 2 2" xfId="34" xr:uid="{00000000-0005-0000-0000-000006000000}"/>
    <cellStyle name="Comma 3" xfId="26" xr:uid="{00000000-0005-0000-0000-000007000000}"/>
    <cellStyle name="Comma 4" xfId="45" xr:uid="{00000000-0005-0000-0000-000008000000}"/>
    <cellStyle name="Comma 5" xfId="18" xr:uid="{00000000-0005-0000-0000-000009000000}"/>
    <cellStyle name="Comma 5 2" xfId="37" xr:uid="{00000000-0005-0000-0000-00000A000000}"/>
    <cellStyle name="Comma 5 3" xfId="57" xr:uid="{BFBA88C1-B93E-4DB8-828D-89BC02C0DD9D}"/>
    <cellStyle name="Comma 6" xfId="10" xr:uid="{00000000-0005-0000-0000-00000B000000}"/>
    <cellStyle name="Comma 7" xfId="47" xr:uid="{00000000-0005-0000-0000-00000C000000}"/>
    <cellStyle name="Comma 8" xfId="53" xr:uid="{00000000-0005-0000-0000-00000D000000}"/>
    <cellStyle name="Comma 9" xfId="55" xr:uid="{00000000-0005-0000-0000-00000E000000}"/>
    <cellStyle name="Hyperlink" xfId="54" builtinId="8"/>
    <cellStyle name="Hyperlink 3" xfId="9" xr:uid="{00000000-0005-0000-0000-000010000000}"/>
    <cellStyle name="Normal" xfId="0" builtinId="0"/>
    <cellStyle name="Normal 10" xfId="59" xr:uid="{BD70DB58-5F71-4F48-8B11-A99B20BCF938}"/>
    <cellStyle name="Normal 10 10" xfId="48" xr:uid="{00000000-0005-0000-0000-000012000000}"/>
    <cellStyle name="Normal 11" xfId="52" xr:uid="{00000000-0005-0000-0000-000013000000}"/>
    <cellStyle name="Normal 16 2 5 3" xfId="50" xr:uid="{00000000-0005-0000-0000-000014000000}"/>
    <cellStyle name="Normal 17 3 3" xfId="51" xr:uid="{00000000-0005-0000-0000-000015000000}"/>
    <cellStyle name="Normal 2" xfId="8" xr:uid="{00000000-0005-0000-0000-000016000000}"/>
    <cellStyle name="Normal 2 2" xfId="40" xr:uid="{00000000-0005-0000-0000-000017000000}"/>
    <cellStyle name="Normal 2 2 3" xfId="20" xr:uid="{00000000-0005-0000-0000-000018000000}"/>
    <cellStyle name="Normal 2 2 9 9" xfId="60" xr:uid="{1B1FF8EE-0956-4156-B3A6-E6F543802CF4}"/>
    <cellStyle name="Normal 2 3" xfId="21" xr:uid="{00000000-0005-0000-0000-000019000000}"/>
    <cellStyle name="Normal 2 3 2" xfId="27" xr:uid="{00000000-0005-0000-0000-00001A000000}"/>
    <cellStyle name="Normal 2 3 3" xfId="39" xr:uid="{00000000-0005-0000-0000-00001B000000}"/>
    <cellStyle name="Normal 2 4" xfId="22" xr:uid="{00000000-0005-0000-0000-00001C000000}"/>
    <cellStyle name="Normal 3" xfId="3" xr:uid="{00000000-0005-0000-0000-00001D000000}"/>
    <cellStyle name="Normal 3 7" xfId="49" xr:uid="{00000000-0005-0000-0000-00001E000000}"/>
    <cellStyle name="Normal 4" xfId="25" xr:uid="{00000000-0005-0000-0000-00001F000000}"/>
    <cellStyle name="Normal 4 2" xfId="19" xr:uid="{00000000-0005-0000-0000-000020000000}"/>
    <cellStyle name="Normal 4 2 2" xfId="28" xr:uid="{00000000-0005-0000-0000-000021000000}"/>
    <cellStyle name="Normal 4 2 3" xfId="38" xr:uid="{00000000-0005-0000-0000-000022000000}"/>
    <cellStyle name="Normal 46" xfId="4" xr:uid="{00000000-0005-0000-0000-000023000000}"/>
    <cellStyle name="Normal 46 2" xfId="14" xr:uid="{00000000-0005-0000-0000-000024000000}"/>
    <cellStyle name="Normal 46 2 2" xfId="33" xr:uid="{00000000-0005-0000-0000-000025000000}"/>
    <cellStyle name="Normal 46 3" xfId="5" xr:uid="{00000000-0005-0000-0000-000026000000}"/>
    <cellStyle name="Normal 47" xfId="6" xr:uid="{00000000-0005-0000-0000-000027000000}"/>
    <cellStyle name="Normal 47 2" xfId="17" xr:uid="{00000000-0005-0000-0000-000028000000}"/>
    <cellStyle name="Normal 47 2 2" xfId="36" xr:uid="{00000000-0005-0000-0000-000029000000}"/>
    <cellStyle name="Normal 47 3" xfId="32" xr:uid="{00000000-0005-0000-0000-00002A000000}"/>
    <cellStyle name="Normal 5" xfId="43" xr:uid="{00000000-0005-0000-0000-00002B000000}"/>
    <cellStyle name="Normal 6" xfId="44" xr:uid="{00000000-0005-0000-0000-00002C000000}"/>
    <cellStyle name="Percent" xfId="2" builtinId="5"/>
    <cellStyle name="Percent 2" xfId="24" xr:uid="{00000000-0005-0000-0000-00002E000000}"/>
    <cellStyle name="Percent 2 2" xfId="30" xr:uid="{00000000-0005-0000-0000-00002F000000}"/>
    <cellStyle name="Percent 2 2 3" xfId="7" xr:uid="{00000000-0005-0000-0000-000030000000}"/>
    <cellStyle name="Percent 2 3" xfId="42" xr:uid="{00000000-0005-0000-0000-000031000000}"/>
    <cellStyle name="Percent 3" xfId="46" xr:uid="{00000000-0005-0000-0000-000032000000}"/>
    <cellStyle name="Percent 4" xfId="11" xr:uid="{00000000-0005-0000-0000-000033000000}"/>
    <cellStyle name="Percent 4 2" xfId="56" xr:uid="{4FD1F47D-9F79-4FC4-9041-92F2193FC683}"/>
    <cellStyle name="Percent 6" xfId="13" xr:uid="{00000000-0005-0000-0000-000034000000}"/>
    <cellStyle name="Percent 6 2" xfId="16" xr:uid="{00000000-0005-0000-0000-000035000000}"/>
    <cellStyle name="Percent 6 2 2" xfId="35" xr:uid="{00000000-0005-0000-0000-000036000000}"/>
    <cellStyle name="Percent 6 3" xfId="31" xr:uid="{00000000-0005-0000-0000-000037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47" Type="http://schemas.openxmlformats.org/officeDocument/2006/relationships/externalLink" Target="externalLinks/externalLink23.xml"/><Relationship Id="rId50" Type="http://schemas.openxmlformats.org/officeDocument/2006/relationships/externalLink" Target="externalLinks/externalLink26.xml"/><Relationship Id="rId55" Type="http://schemas.openxmlformats.org/officeDocument/2006/relationships/externalLink" Target="externalLinks/externalLink31.xml"/><Relationship Id="rId63" Type="http://schemas.openxmlformats.org/officeDocument/2006/relationships/externalLink" Target="externalLinks/externalLink39.xml"/><Relationship Id="rId68" Type="http://schemas.openxmlformats.org/officeDocument/2006/relationships/externalLink" Target="externalLinks/externalLink44.xml"/><Relationship Id="rId76" Type="http://schemas.openxmlformats.org/officeDocument/2006/relationships/externalLink" Target="externalLinks/externalLink52.xml"/><Relationship Id="rId7" Type="http://schemas.openxmlformats.org/officeDocument/2006/relationships/worksheet" Target="worksheets/sheet7.xml"/><Relationship Id="rId71" Type="http://schemas.openxmlformats.org/officeDocument/2006/relationships/externalLink" Target="externalLinks/externalLink4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5.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externalLink" Target="externalLinks/externalLink21.xml"/><Relationship Id="rId53" Type="http://schemas.openxmlformats.org/officeDocument/2006/relationships/externalLink" Target="externalLinks/externalLink29.xml"/><Relationship Id="rId58" Type="http://schemas.openxmlformats.org/officeDocument/2006/relationships/externalLink" Target="externalLinks/externalLink34.xml"/><Relationship Id="rId66" Type="http://schemas.openxmlformats.org/officeDocument/2006/relationships/externalLink" Target="externalLinks/externalLink42.xml"/><Relationship Id="rId74" Type="http://schemas.openxmlformats.org/officeDocument/2006/relationships/externalLink" Target="externalLinks/externalLink50.xml"/><Relationship Id="rId79" Type="http://schemas.openxmlformats.org/officeDocument/2006/relationships/externalLink" Target="externalLinks/externalLink55.xml"/><Relationship Id="rId5" Type="http://schemas.openxmlformats.org/officeDocument/2006/relationships/worksheet" Target="worksheets/sheet5.xml"/><Relationship Id="rId61" Type="http://schemas.openxmlformats.org/officeDocument/2006/relationships/externalLink" Target="externalLinks/externalLink37.xml"/><Relationship Id="rId82"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52" Type="http://schemas.openxmlformats.org/officeDocument/2006/relationships/externalLink" Target="externalLinks/externalLink28.xml"/><Relationship Id="rId60" Type="http://schemas.openxmlformats.org/officeDocument/2006/relationships/externalLink" Target="externalLinks/externalLink36.xml"/><Relationship Id="rId65" Type="http://schemas.openxmlformats.org/officeDocument/2006/relationships/externalLink" Target="externalLinks/externalLink41.xml"/><Relationship Id="rId73" Type="http://schemas.openxmlformats.org/officeDocument/2006/relationships/externalLink" Target="externalLinks/externalLink49.xml"/><Relationship Id="rId78" Type="http://schemas.openxmlformats.org/officeDocument/2006/relationships/externalLink" Target="externalLinks/externalLink54.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externalLink" Target="externalLinks/externalLink24.xml"/><Relationship Id="rId56" Type="http://schemas.openxmlformats.org/officeDocument/2006/relationships/externalLink" Target="externalLinks/externalLink32.xml"/><Relationship Id="rId64" Type="http://schemas.openxmlformats.org/officeDocument/2006/relationships/externalLink" Target="externalLinks/externalLink40.xml"/><Relationship Id="rId69" Type="http://schemas.openxmlformats.org/officeDocument/2006/relationships/externalLink" Target="externalLinks/externalLink45.xml"/><Relationship Id="rId77" Type="http://schemas.openxmlformats.org/officeDocument/2006/relationships/externalLink" Target="externalLinks/externalLink53.xml"/><Relationship Id="rId8" Type="http://schemas.openxmlformats.org/officeDocument/2006/relationships/worksheet" Target="worksheets/sheet8.xml"/><Relationship Id="rId51" Type="http://schemas.openxmlformats.org/officeDocument/2006/relationships/externalLink" Target="externalLinks/externalLink27.xml"/><Relationship Id="rId72" Type="http://schemas.openxmlformats.org/officeDocument/2006/relationships/externalLink" Target="externalLinks/externalLink48.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externalLink" Target="externalLinks/externalLink22.xml"/><Relationship Id="rId59" Type="http://schemas.openxmlformats.org/officeDocument/2006/relationships/externalLink" Target="externalLinks/externalLink35.xml"/><Relationship Id="rId67" Type="http://schemas.openxmlformats.org/officeDocument/2006/relationships/externalLink" Target="externalLinks/externalLink43.xml"/><Relationship Id="rId20" Type="http://schemas.openxmlformats.org/officeDocument/2006/relationships/worksheet" Target="worksheets/sheet20.xml"/><Relationship Id="rId41" Type="http://schemas.openxmlformats.org/officeDocument/2006/relationships/externalLink" Target="externalLinks/externalLink17.xml"/><Relationship Id="rId54" Type="http://schemas.openxmlformats.org/officeDocument/2006/relationships/externalLink" Target="externalLinks/externalLink30.xml"/><Relationship Id="rId62" Type="http://schemas.openxmlformats.org/officeDocument/2006/relationships/externalLink" Target="externalLinks/externalLink38.xml"/><Relationship Id="rId70" Type="http://schemas.openxmlformats.org/officeDocument/2006/relationships/externalLink" Target="externalLinks/externalLink46.xml"/><Relationship Id="rId75" Type="http://schemas.openxmlformats.org/officeDocument/2006/relationships/externalLink" Target="externalLinks/externalLink51.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49" Type="http://schemas.openxmlformats.org/officeDocument/2006/relationships/externalLink" Target="externalLinks/externalLink25.xml"/><Relationship Id="rId57" Type="http://schemas.openxmlformats.org/officeDocument/2006/relationships/externalLink" Target="externalLinks/externalLink3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838800149981253"/>
          <c:y val="2.6600626666528973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'Historical Ratio Analysis'!$B$8</c:f>
              <c:strCache>
                <c:ptCount val="1"/>
                <c:pt idx="0">
                  <c:v>EBITDA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ash"/>
              </a:ln>
              <a:effectLst/>
            </c:spPr>
            <c:trendlineType val="linear"/>
            <c:dispRSqr val="0"/>
            <c:dispEq val="0"/>
          </c:trendline>
          <c:cat>
            <c:numRef>
              <c:f>'Historical Ratio Analysis'!$E$4:$H$4</c:f>
              <c:numCache>
                <c:formatCode>mmm\-yy</c:formatCode>
                <c:ptCount val="4"/>
                <c:pt idx="0">
                  <c:v>44286</c:v>
                </c:pt>
                <c:pt idx="1">
                  <c:v>44651</c:v>
                </c:pt>
                <c:pt idx="2">
                  <c:v>45016</c:v>
                </c:pt>
                <c:pt idx="3">
                  <c:v>45382</c:v>
                </c:pt>
              </c:numCache>
            </c:numRef>
          </c:cat>
          <c:val>
            <c:numRef>
              <c:f>'Historical Ratio Analysis'!$E$8:$H$8</c:f>
              <c:numCache>
                <c:formatCode>0.00%</c:formatCode>
                <c:ptCount val="4"/>
                <c:pt idx="0">
                  <c:v>0.46463041355995782</c:v>
                </c:pt>
                <c:pt idx="1">
                  <c:v>0.52223053892215565</c:v>
                </c:pt>
                <c:pt idx="2">
                  <c:v>0.51769551520062651</c:v>
                </c:pt>
                <c:pt idx="3">
                  <c:v>0.43714932900436815</c:v>
                </c:pt>
              </c:numCache>
            </c:numRef>
          </c:val>
          <c:extLst>
            <c:ext xmlns:c16="http://schemas.microsoft.com/office/drawing/2014/chart" uri="{C3380CC4-5D6E-409C-BE32-E72D297353CC}">
              <c16:uniqueId val="{00000001-EEBA-4FA4-BA5F-50BF0D6197A7}"/>
            </c:ext>
          </c:extLst>
        </c:ser>
        <c:dLbls>
          <c:dLblPos val="outEnd"/>
          <c:showLegendKey val="0"/>
          <c:showVal val="1"/>
          <c:showCatName val="0"/>
          <c:showSerName val="0"/>
          <c:showPercent val="0"/>
          <c:showBubbleSize val="0"/>
        </c:dLbls>
        <c:gapWidth val="219"/>
        <c:overlap val="-27"/>
        <c:axId val="375029992"/>
        <c:axId val="124993088"/>
      </c:barChart>
      <c:dateAx>
        <c:axId val="375029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For</a:t>
                </a:r>
                <a:r>
                  <a:rPr lang="en-IN" b="1" i="1" baseline="0"/>
                  <a:t> the Financial Year</a:t>
                </a:r>
              </a:p>
            </c:rich>
          </c:tx>
          <c:layout>
            <c:manualLayout>
              <c:xMode val="edge"/>
              <c:yMode val="edge"/>
              <c:x val="0.44981566434630449"/>
              <c:y val="0.9040618683494079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124993088"/>
        <c:crosses val="autoZero"/>
        <c:auto val="1"/>
        <c:lblOffset val="100"/>
        <c:baseTimeUnit val="years"/>
      </c:dateAx>
      <c:valAx>
        <c:axId val="1249930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Margin</a:t>
                </a:r>
                <a:r>
                  <a:rPr lang="en-IN" b="1" i="1" baseline="0"/>
                  <a:t> %</a:t>
                </a:r>
                <a:endParaRPr lang="en-IN" b="1" i="1"/>
              </a:p>
            </c:rich>
          </c:tx>
          <c:layout>
            <c:manualLayout>
              <c:xMode val="edge"/>
              <c:yMode val="edge"/>
              <c:x val="1.3526570048309179E-2"/>
              <c:y val="0.39225141634598198"/>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5029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179343794364301"/>
          <c:y val="4.1025633662986082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'Forecasted Ratio Analysis'!$B$99</c:f>
              <c:strCache>
                <c:ptCount val="1"/>
                <c:pt idx="0">
                  <c:v>D.S.C.R.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ash"/>
              </a:ln>
              <a:effectLst/>
            </c:spPr>
            <c:trendlineType val="linear"/>
            <c:dispRSqr val="0"/>
            <c:dispEq val="0"/>
          </c:trendline>
          <c:cat>
            <c:numRef>
              <c:f>'Forecasted Ratio Analysis'!$E$90:$L$90</c:f>
              <c:numCache>
                <c:formatCode>mmm\-yy</c:formatCode>
                <c:ptCount val="8"/>
                <c:pt idx="0">
                  <c:v>45747</c:v>
                </c:pt>
                <c:pt idx="1">
                  <c:v>46112</c:v>
                </c:pt>
                <c:pt idx="2">
                  <c:v>46477</c:v>
                </c:pt>
                <c:pt idx="3">
                  <c:v>46843</c:v>
                </c:pt>
                <c:pt idx="4">
                  <c:v>47208</c:v>
                </c:pt>
                <c:pt idx="5">
                  <c:v>47573</c:v>
                </c:pt>
                <c:pt idx="6">
                  <c:v>47938</c:v>
                </c:pt>
              </c:numCache>
            </c:numRef>
          </c:cat>
          <c:val>
            <c:numRef>
              <c:f>'Forecasted Ratio Analysis'!$E$99:$L$99</c:f>
              <c:numCache>
                <c:formatCode>_(* #,##0.00_);_(* \(#,##0.00\);_(* "-"??_);_(@_)</c:formatCode>
                <c:ptCount val="8"/>
                <c:pt idx="0">
                  <c:v>28.310580732333488</c:v>
                </c:pt>
                <c:pt idx="1">
                  <c:v>8.5948522028564831</c:v>
                </c:pt>
                <c:pt idx="2">
                  <c:v>10.872935092951193</c:v>
                </c:pt>
                <c:pt idx="3">
                  <c:v>12.42884800040785</c:v>
                </c:pt>
                <c:pt idx="4">
                  <c:v>12.928979408817515</c:v>
                </c:pt>
                <c:pt idx="5">
                  <c:v>13.500843702843294</c:v>
                </c:pt>
                <c:pt idx="6">
                  <c:v>31.533888903961415</c:v>
                </c:pt>
              </c:numCache>
            </c:numRef>
          </c:val>
          <c:extLst>
            <c:ext xmlns:c16="http://schemas.microsoft.com/office/drawing/2014/chart" uri="{C3380CC4-5D6E-409C-BE32-E72D297353CC}">
              <c16:uniqueId val="{00000001-6C55-4E48-9FAF-85E5FAA9193B}"/>
            </c:ext>
          </c:extLst>
        </c:ser>
        <c:dLbls>
          <c:dLblPos val="outEnd"/>
          <c:showLegendKey val="0"/>
          <c:showVal val="1"/>
          <c:showCatName val="0"/>
          <c:showSerName val="0"/>
          <c:showPercent val="0"/>
          <c:showBubbleSize val="0"/>
        </c:dLbls>
        <c:gapWidth val="219"/>
        <c:overlap val="-27"/>
        <c:axId val="375530096"/>
        <c:axId val="375525392"/>
      </c:barChart>
      <c:dateAx>
        <c:axId val="375530096"/>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For the financial year</a:t>
                </a:r>
              </a:p>
            </c:rich>
          </c:tx>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5525392"/>
        <c:crosses val="autoZero"/>
        <c:auto val="1"/>
        <c:lblOffset val="100"/>
        <c:baseTimeUnit val="years"/>
      </c:dateAx>
      <c:valAx>
        <c:axId val="375525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Value</a:t>
                </a:r>
              </a:p>
            </c:rich>
          </c:tx>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5530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r>
              <a:rPr lang="en-US"/>
              <a:t>EBIT Margin %</a:t>
            </a:r>
          </a:p>
        </c:rich>
      </c:tx>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'Historical Ratio Analysis'!$B$8</c:f>
              <c:strCache>
                <c:ptCount val="1"/>
                <c:pt idx="0">
                  <c:v>EBITDA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ash"/>
              </a:ln>
              <a:effectLst/>
            </c:spPr>
            <c:trendlineType val="linear"/>
            <c:dispRSqr val="0"/>
            <c:dispEq val="0"/>
          </c:trendline>
          <c:cat>
            <c:numRef>
              <c:extLst>
                <c:ext xmlns:c15="http://schemas.microsoft.com/office/drawing/2012/chart" uri="{02D57815-91ED-43cb-92C2-25804820EDAC}">
                  <c15:fullRef>
                    <c15:sqref>'Historical Ratio Analysis'!$E$4:$L$4</c15:sqref>
                  </c15:fullRef>
                </c:ext>
              </c:extLst>
              <c:f>'Historical Ratio Analysis'!$E$4:$H$4</c:f>
              <c:numCache>
                <c:formatCode>mmm\-yy</c:formatCode>
                <c:ptCount val="4"/>
                <c:pt idx="0">
                  <c:v>44286</c:v>
                </c:pt>
                <c:pt idx="1">
                  <c:v>44651</c:v>
                </c:pt>
                <c:pt idx="2">
                  <c:v>45016</c:v>
                </c:pt>
                <c:pt idx="3">
                  <c:v>45382</c:v>
                </c:pt>
              </c:numCache>
            </c:numRef>
          </c:cat>
          <c:val>
            <c:numRef>
              <c:extLst>
                <c:ext xmlns:c15="http://schemas.microsoft.com/office/drawing/2012/chart" uri="{02D57815-91ED-43cb-92C2-25804820EDAC}">
                  <c15:fullRef>
                    <c15:sqref>'Historical Ratio Analysis'!$E$10:$L$10</c15:sqref>
                  </c15:fullRef>
                </c:ext>
              </c:extLst>
              <c:f>'Historical Ratio Analysis'!$E$10:$H$10</c:f>
              <c:numCache>
                <c:formatCode>0.00%</c:formatCode>
                <c:ptCount val="4"/>
                <c:pt idx="0">
                  <c:v>0.44616601228615388</c:v>
                </c:pt>
                <c:pt idx="1">
                  <c:v>0.5034506829038552</c:v>
                </c:pt>
                <c:pt idx="2">
                  <c:v>0.50107776349075361</c:v>
                </c:pt>
                <c:pt idx="3">
                  <c:v>0.41504764454783277</c:v>
                </c:pt>
              </c:numCache>
            </c:numRef>
          </c:val>
          <c:extLst>
            <c:ext xmlns:c16="http://schemas.microsoft.com/office/drawing/2014/chart" uri="{C3380CC4-5D6E-409C-BE32-E72D297353CC}">
              <c16:uniqueId val="{00000001-BC60-4740-80B0-E38E5917D88E}"/>
            </c:ext>
          </c:extLst>
        </c:ser>
        <c:dLbls>
          <c:dLblPos val="outEnd"/>
          <c:showLegendKey val="0"/>
          <c:showVal val="1"/>
          <c:showCatName val="0"/>
          <c:showSerName val="0"/>
          <c:showPercent val="0"/>
          <c:showBubbleSize val="0"/>
        </c:dLbls>
        <c:gapWidth val="219"/>
        <c:overlap val="-27"/>
        <c:axId val="374256616"/>
        <c:axId val="375256736"/>
      </c:barChart>
      <c:dateAx>
        <c:axId val="374256616"/>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For the financial year</a:t>
                </a:r>
              </a:p>
            </c:rich>
          </c:tx>
          <c:layout>
            <c:manualLayout>
              <c:xMode val="edge"/>
              <c:yMode val="edge"/>
              <c:x val="0.45592305961754781"/>
              <c:y val="0.90130766407420004"/>
            </c:manualLayout>
          </c:layout>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5256736"/>
        <c:crosses val="autoZero"/>
        <c:auto val="1"/>
        <c:lblOffset val="100"/>
        <c:baseTimeUnit val="years"/>
      </c:dateAx>
      <c:valAx>
        <c:axId val="3752567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Margin %</a:t>
                </a:r>
              </a:p>
            </c:rich>
          </c:tx>
          <c:layout>
            <c:manualLayout>
              <c:xMode val="edge"/>
              <c:yMode val="edge"/>
              <c:x val="1.5238095238095238E-2"/>
              <c:y val="0.38665973675256726"/>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4256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r>
              <a:rPr lang="en-US"/>
              <a:t>Net Profit Margin %</a:t>
            </a:r>
          </a:p>
        </c:rich>
      </c:tx>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'Historical Ratio Analysis'!$E$12:$L$12</c:f>
              <c:strCache>
                <c:ptCount val="8"/>
                <c:pt idx="0">
                  <c:v>32.16%</c:v>
                </c:pt>
                <c:pt idx="1">
                  <c:v>36.69%</c:v>
                </c:pt>
                <c:pt idx="2">
                  <c:v>37.40%</c:v>
                </c:pt>
                <c:pt idx="3">
                  <c:v>29.87%</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ash"/>
              </a:ln>
              <a:effectLst/>
            </c:spPr>
            <c:trendlineType val="linear"/>
            <c:dispRSqr val="0"/>
            <c:dispEq val="0"/>
          </c:trendline>
          <c:cat>
            <c:numRef>
              <c:extLst>
                <c:ext xmlns:c15="http://schemas.microsoft.com/office/drawing/2012/chart" uri="{02D57815-91ED-43cb-92C2-25804820EDAC}">
                  <c15:fullRef>
                    <c15:sqref>'Historical Ratio Analysis'!$E$4:$L$4</c15:sqref>
                  </c15:fullRef>
                </c:ext>
              </c:extLst>
              <c:f>'Historical Ratio Analysis'!$E$4:$H$4</c:f>
              <c:numCache>
                <c:formatCode>mmm\-yy</c:formatCode>
                <c:ptCount val="4"/>
                <c:pt idx="0">
                  <c:v>44286</c:v>
                </c:pt>
                <c:pt idx="1">
                  <c:v>44651</c:v>
                </c:pt>
                <c:pt idx="2">
                  <c:v>45016</c:v>
                </c:pt>
                <c:pt idx="3">
                  <c:v>45382</c:v>
                </c:pt>
              </c:numCache>
            </c:numRef>
          </c:cat>
          <c:val>
            <c:numRef>
              <c:extLst>
                <c:ext xmlns:c15="http://schemas.microsoft.com/office/drawing/2012/chart" uri="{02D57815-91ED-43cb-92C2-25804820EDAC}">
                  <c15:fullRef>
                    <c15:sqref>'Historical Ratio Analysis'!$E$12:$L$12</c15:sqref>
                  </c15:fullRef>
                </c:ext>
              </c:extLst>
              <c:f>'Historical Ratio Analysis'!$E$12:$H$12</c:f>
              <c:numCache>
                <c:formatCode>0.00%</c:formatCode>
                <c:ptCount val="4"/>
                <c:pt idx="0">
                  <c:v>0.3216450742412808</c:v>
                </c:pt>
                <c:pt idx="1">
                  <c:v>0.36688589113907016</c:v>
                </c:pt>
                <c:pt idx="2">
                  <c:v>0.37399973805927722</c:v>
                </c:pt>
                <c:pt idx="3">
                  <c:v>0.2986844896542053</c:v>
                </c:pt>
              </c:numCache>
            </c:numRef>
          </c:val>
          <c:extLst>
            <c:ext xmlns:c16="http://schemas.microsoft.com/office/drawing/2014/chart" uri="{C3380CC4-5D6E-409C-BE32-E72D297353CC}">
              <c16:uniqueId val="{00000001-004D-4AF1-80A4-0E937FB017DE}"/>
            </c:ext>
          </c:extLst>
        </c:ser>
        <c:dLbls>
          <c:dLblPos val="outEnd"/>
          <c:showLegendKey val="0"/>
          <c:showVal val="1"/>
          <c:showCatName val="0"/>
          <c:showSerName val="0"/>
          <c:showPercent val="0"/>
          <c:showBubbleSize val="0"/>
        </c:dLbls>
        <c:gapWidth val="219"/>
        <c:overlap val="-27"/>
        <c:axId val="375204936"/>
        <c:axId val="376434128"/>
      </c:barChart>
      <c:dateAx>
        <c:axId val="375204936"/>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For the financial year</a:t>
                </a:r>
              </a:p>
            </c:rich>
          </c:tx>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6434128"/>
        <c:crosses val="autoZero"/>
        <c:auto val="1"/>
        <c:lblOffset val="100"/>
        <c:baseTimeUnit val="years"/>
      </c:dateAx>
      <c:valAx>
        <c:axId val="376434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Margin%</a:t>
                </a:r>
              </a:p>
            </c:rich>
          </c:tx>
          <c:layout>
            <c:manualLayout>
              <c:xMode val="edge"/>
              <c:yMode val="edge"/>
              <c:x val="1.532567049808429E-2"/>
              <c:y val="0.37934419655876345"/>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52049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179343794364301"/>
          <c:y val="4.1025633662986082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'Historical Ratio Analysis'!$B$14</c:f>
              <c:strCache>
                <c:ptCount val="1"/>
                <c:pt idx="0">
                  <c:v>Revenue Growth Rate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ash"/>
              </a:ln>
              <a:effectLst/>
            </c:spPr>
            <c:trendlineType val="linear"/>
            <c:dispRSqr val="0"/>
            <c:dispEq val="0"/>
          </c:trendline>
          <c:cat>
            <c:numRef>
              <c:f>'Historical Ratio Analysis'!$F$4:$L$4</c:f>
              <c:numCache>
                <c:formatCode>mmm\-yy</c:formatCode>
                <c:ptCount val="7"/>
                <c:pt idx="0">
                  <c:v>44651</c:v>
                </c:pt>
                <c:pt idx="1">
                  <c:v>45016</c:v>
                </c:pt>
                <c:pt idx="2">
                  <c:v>45382</c:v>
                </c:pt>
              </c:numCache>
            </c:numRef>
          </c:cat>
          <c:val>
            <c:numRef>
              <c:f>'Historical Ratio Analysis'!$F$14:$L$14</c:f>
              <c:numCache>
                <c:formatCode>0.00%</c:formatCode>
                <c:ptCount val="7"/>
                <c:pt idx="0">
                  <c:v>0.26723877002042018</c:v>
                </c:pt>
                <c:pt idx="1">
                  <c:v>0.30354655856825663</c:v>
                </c:pt>
                <c:pt idx="2">
                  <c:v>7.0281405628112692E-2</c:v>
                </c:pt>
              </c:numCache>
            </c:numRef>
          </c:val>
          <c:extLst>
            <c:ext xmlns:c16="http://schemas.microsoft.com/office/drawing/2014/chart" uri="{C3380CC4-5D6E-409C-BE32-E72D297353CC}">
              <c16:uniqueId val="{00000001-28F2-40BF-BC78-8ACD52CD4F1B}"/>
            </c:ext>
          </c:extLst>
        </c:ser>
        <c:dLbls>
          <c:dLblPos val="outEnd"/>
          <c:showLegendKey val="0"/>
          <c:showVal val="1"/>
          <c:showCatName val="0"/>
          <c:showSerName val="0"/>
          <c:showPercent val="0"/>
          <c:showBubbleSize val="0"/>
        </c:dLbls>
        <c:gapWidth val="219"/>
        <c:overlap val="-27"/>
        <c:axId val="373995176"/>
        <c:axId val="374001056"/>
      </c:barChart>
      <c:dateAx>
        <c:axId val="373995176"/>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For the financial year</a:t>
                </a:r>
              </a:p>
            </c:rich>
          </c:tx>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4001056"/>
        <c:crosses val="autoZero"/>
        <c:auto val="1"/>
        <c:lblOffset val="100"/>
        <c:baseTimeUnit val="years"/>
      </c:dateAx>
      <c:valAx>
        <c:axId val="374001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Growth Rate % Y-o-Y</a:t>
                </a:r>
              </a:p>
            </c:rich>
          </c:tx>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39951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179343794364301"/>
          <c:y val="4.1025633662986082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'Historical Ratio Analysis'!$B$99</c:f>
              <c:strCache>
                <c:ptCount val="1"/>
                <c:pt idx="0">
                  <c:v>D.S.C.R.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ash"/>
              </a:ln>
              <a:effectLst/>
            </c:spPr>
            <c:trendlineType val="linear"/>
            <c:dispRSqr val="0"/>
            <c:dispEq val="0"/>
          </c:trendline>
          <c:val>
            <c:numRef>
              <c:f>'Historical Ratio Analysis'!$E$99:$L$99</c:f>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'Historical Ratio Analysis'!$E$90:$L$90</c15:sqref>
                        </c15:formulaRef>
                      </c:ext>
                    </c:extLst>
                  </c:multiLvlStrRef>
                </c15:cat>
              </c15:filteredCategoryTitle>
            </c:ext>
            <c:ext xmlns:c16="http://schemas.microsoft.com/office/drawing/2014/chart" uri="{C3380CC4-5D6E-409C-BE32-E72D297353CC}">
              <c16:uniqueId val="{00000001-8D59-4E9C-8C33-D20BC0176F46}"/>
            </c:ext>
          </c:extLst>
        </c:ser>
        <c:dLbls>
          <c:dLblPos val="outEnd"/>
          <c:showLegendKey val="0"/>
          <c:showVal val="1"/>
          <c:showCatName val="0"/>
          <c:showSerName val="0"/>
          <c:showPercent val="0"/>
          <c:showBubbleSize val="0"/>
        </c:dLbls>
        <c:gapWidth val="219"/>
        <c:overlap val="-27"/>
        <c:axId val="373997528"/>
        <c:axId val="373994784"/>
      </c:barChart>
      <c:catAx>
        <c:axId val="373997528"/>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For the financial year</a:t>
                </a:r>
              </a:p>
            </c:rich>
          </c:tx>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3994784"/>
        <c:crosses val="autoZero"/>
        <c:auto val="1"/>
        <c:lblAlgn val="ctr"/>
        <c:lblOffset val="100"/>
        <c:noMultiLvlLbl val="0"/>
      </c:catAx>
      <c:valAx>
        <c:axId val="37399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Value</a:t>
                </a:r>
              </a:p>
            </c:rich>
          </c:tx>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3997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838800149981253"/>
          <c:y val="2.6600626666528973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'Forecasted Ratio Analysis'!$B$8</c:f>
              <c:strCache>
                <c:ptCount val="1"/>
                <c:pt idx="0">
                  <c:v>EBITDA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ash"/>
              </a:ln>
              <a:effectLst/>
            </c:spPr>
            <c:trendlineType val="linear"/>
            <c:dispRSqr val="0"/>
            <c:dispEq val="0"/>
          </c:trendline>
          <c:cat>
            <c:numRef>
              <c:f>'Forecasted Ratio Analysis'!$E$4:$L$4</c:f>
              <c:numCache>
                <c:formatCode>mmm\-yy</c:formatCode>
                <c:ptCount val="8"/>
                <c:pt idx="0">
                  <c:v>45747</c:v>
                </c:pt>
                <c:pt idx="1">
                  <c:v>46112</c:v>
                </c:pt>
                <c:pt idx="2">
                  <c:v>46477</c:v>
                </c:pt>
                <c:pt idx="3">
                  <c:v>46843</c:v>
                </c:pt>
                <c:pt idx="4">
                  <c:v>47208</c:v>
                </c:pt>
                <c:pt idx="5">
                  <c:v>47573</c:v>
                </c:pt>
                <c:pt idx="6">
                  <c:v>47938</c:v>
                </c:pt>
              </c:numCache>
            </c:numRef>
          </c:cat>
          <c:val>
            <c:numRef>
              <c:f>'Forecasted Ratio Analysis'!$E$8:$L$8</c:f>
              <c:numCache>
                <c:formatCode>0.00%</c:formatCode>
                <c:ptCount val="8"/>
                <c:pt idx="0">
                  <c:v>0.45447780209709837</c:v>
                </c:pt>
                <c:pt idx="1">
                  <c:v>0.45915364444989565</c:v>
                </c:pt>
                <c:pt idx="2">
                  <c:v>0.4651502271106896</c:v>
                </c:pt>
                <c:pt idx="3">
                  <c:v>0.49537668194809648</c:v>
                </c:pt>
                <c:pt idx="4">
                  <c:v>0.49912887474515727</c:v>
                </c:pt>
                <c:pt idx="5">
                  <c:v>0.49911157285272267</c:v>
                </c:pt>
                <c:pt idx="6">
                  <c:v>0.4990949669165845</c:v>
                </c:pt>
              </c:numCache>
            </c:numRef>
          </c:val>
          <c:extLst>
            <c:ext xmlns:c16="http://schemas.microsoft.com/office/drawing/2014/chart" uri="{C3380CC4-5D6E-409C-BE32-E72D297353CC}">
              <c16:uniqueId val="{00000001-0E83-44B5-A461-8AD2BA827819}"/>
            </c:ext>
          </c:extLst>
        </c:ser>
        <c:dLbls>
          <c:dLblPos val="outEnd"/>
          <c:showLegendKey val="0"/>
          <c:showVal val="1"/>
          <c:showCatName val="0"/>
          <c:showSerName val="0"/>
          <c:showPercent val="0"/>
          <c:showBubbleSize val="0"/>
        </c:dLbls>
        <c:gapWidth val="219"/>
        <c:overlap val="-27"/>
        <c:axId val="373995960"/>
        <c:axId val="373998704"/>
      </c:barChart>
      <c:dateAx>
        <c:axId val="373995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For</a:t>
                </a:r>
                <a:r>
                  <a:rPr lang="en-IN" b="1" i="1" baseline="0"/>
                  <a:t> the Financial Year</a:t>
                </a:r>
              </a:p>
            </c:rich>
          </c:tx>
          <c:layout>
            <c:manualLayout>
              <c:xMode val="edge"/>
              <c:yMode val="edge"/>
              <c:x val="0.44981566434630449"/>
              <c:y val="0.9040618683494079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3998704"/>
        <c:crosses val="autoZero"/>
        <c:auto val="1"/>
        <c:lblOffset val="100"/>
        <c:baseTimeUnit val="years"/>
      </c:dateAx>
      <c:valAx>
        <c:axId val="373998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Margin</a:t>
                </a:r>
                <a:r>
                  <a:rPr lang="en-IN" b="1" i="1" baseline="0"/>
                  <a:t> %</a:t>
                </a:r>
                <a:endParaRPr lang="en-IN" b="1" i="1"/>
              </a:p>
            </c:rich>
          </c:tx>
          <c:layout>
            <c:manualLayout>
              <c:xMode val="edge"/>
              <c:yMode val="edge"/>
              <c:x val="1.3526570048309179E-2"/>
              <c:y val="0.39225141634598198"/>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3995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r>
              <a:rPr lang="en-US"/>
              <a:t>EBIT Margin %</a:t>
            </a:r>
          </a:p>
        </c:rich>
      </c:tx>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'Forecasted Ratio Analysis'!$B$8</c:f>
              <c:strCache>
                <c:ptCount val="1"/>
                <c:pt idx="0">
                  <c:v>EBITDA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ash"/>
              </a:ln>
              <a:effectLst/>
            </c:spPr>
            <c:trendlineType val="linear"/>
            <c:dispRSqr val="0"/>
            <c:dispEq val="0"/>
          </c:trendline>
          <c:cat>
            <c:numRef>
              <c:f>'Forecasted Ratio Analysis'!$E$4:$L$4</c:f>
              <c:numCache>
                <c:formatCode>mmm\-yy</c:formatCode>
                <c:ptCount val="8"/>
                <c:pt idx="0">
                  <c:v>45747</c:v>
                </c:pt>
                <c:pt idx="1">
                  <c:v>46112</c:v>
                </c:pt>
                <c:pt idx="2">
                  <c:v>46477</c:v>
                </c:pt>
                <c:pt idx="3">
                  <c:v>46843</c:v>
                </c:pt>
                <c:pt idx="4">
                  <c:v>47208</c:v>
                </c:pt>
                <c:pt idx="5">
                  <c:v>47573</c:v>
                </c:pt>
                <c:pt idx="6">
                  <c:v>47938</c:v>
                </c:pt>
              </c:numCache>
            </c:numRef>
          </c:cat>
          <c:val>
            <c:numRef>
              <c:f>'Forecasted Ratio Analysis'!$E$10:$L$10</c:f>
              <c:numCache>
                <c:formatCode>0.00%</c:formatCode>
                <c:ptCount val="8"/>
                <c:pt idx="0">
                  <c:v>0.43650874953333979</c:v>
                </c:pt>
                <c:pt idx="1">
                  <c:v>0.43441363235269692</c:v>
                </c:pt>
                <c:pt idx="2">
                  <c:v>0.44452038124887439</c:v>
                </c:pt>
                <c:pt idx="3">
                  <c:v>0.47689410306262675</c:v>
                </c:pt>
                <c:pt idx="4">
                  <c:v>0.48164788535321862</c:v>
                </c:pt>
                <c:pt idx="5">
                  <c:v>0.48256069085343434</c:v>
                </c:pt>
                <c:pt idx="6">
                  <c:v>0.48342518207715479</c:v>
                </c:pt>
              </c:numCache>
            </c:numRef>
          </c:val>
          <c:extLst>
            <c:ext xmlns:c16="http://schemas.microsoft.com/office/drawing/2014/chart" uri="{C3380CC4-5D6E-409C-BE32-E72D297353CC}">
              <c16:uniqueId val="{00000001-3DD4-40A7-B10B-16B46381982A}"/>
            </c:ext>
          </c:extLst>
        </c:ser>
        <c:dLbls>
          <c:dLblPos val="outEnd"/>
          <c:showLegendKey val="0"/>
          <c:showVal val="1"/>
          <c:showCatName val="0"/>
          <c:showSerName val="0"/>
          <c:showPercent val="0"/>
          <c:showBubbleSize val="0"/>
        </c:dLbls>
        <c:gapWidth val="219"/>
        <c:overlap val="-27"/>
        <c:axId val="373996744"/>
        <c:axId val="373999096"/>
      </c:barChart>
      <c:dateAx>
        <c:axId val="373996744"/>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For the financial year</a:t>
                </a:r>
              </a:p>
            </c:rich>
          </c:tx>
          <c:layout>
            <c:manualLayout>
              <c:xMode val="edge"/>
              <c:yMode val="edge"/>
              <c:x val="0.45592305961754781"/>
              <c:y val="0.90130766407420004"/>
            </c:manualLayout>
          </c:layout>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3999096"/>
        <c:crosses val="autoZero"/>
        <c:auto val="1"/>
        <c:lblOffset val="100"/>
        <c:baseTimeUnit val="years"/>
      </c:dateAx>
      <c:valAx>
        <c:axId val="373999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Margin %</a:t>
                </a:r>
              </a:p>
            </c:rich>
          </c:tx>
          <c:layout>
            <c:manualLayout>
              <c:xMode val="edge"/>
              <c:yMode val="edge"/>
              <c:x val="1.5238095238095238E-2"/>
              <c:y val="0.38665973675256726"/>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3996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r>
              <a:rPr lang="en-US"/>
              <a:t>Net Profit Margin %</a:t>
            </a:r>
          </a:p>
        </c:rich>
      </c:tx>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'Forecasted Ratio Analysis'!$E$12:$L$12</c:f>
              <c:strCache>
                <c:ptCount val="8"/>
                <c:pt idx="0">
                  <c:v>30.11%</c:v>
                </c:pt>
                <c:pt idx="1">
                  <c:v>29.23%</c:v>
                </c:pt>
                <c:pt idx="2">
                  <c:v>28.21%</c:v>
                </c:pt>
                <c:pt idx="3">
                  <c:v>30.51%</c:v>
                </c:pt>
                <c:pt idx="4">
                  <c:v>30.98%</c:v>
                </c:pt>
                <c:pt idx="5">
                  <c:v>31.20%</c:v>
                </c:pt>
                <c:pt idx="6">
                  <c:v>31.43%</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ash"/>
              </a:ln>
              <a:effectLst/>
            </c:spPr>
            <c:trendlineType val="linear"/>
            <c:dispRSqr val="0"/>
            <c:dispEq val="0"/>
          </c:trendline>
          <c:cat>
            <c:numRef>
              <c:f>'Forecasted Ratio Analysis'!$E$4:$L$4</c:f>
              <c:numCache>
                <c:formatCode>mmm\-yy</c:formatCode>
                <c:ptCount val="8"/>
                <c:pt idx="0">
                  <c:v>45747</c:v>
                </c:pt>
                <c:pt idx="1">
                  <c:v>46112</c:v>
                </c:pt>
                <c:pt idx="2">
                  <c:v>46477</c:v>
                </c:pt>
                <c:pt idx="3">
                  <c:v>46843</c:v>
                </c:pt>
                <c:pt idx="4">
                  <c:v>47208</c:v>
                </c:pt>
                <c:pt idx="5">
                  <c:v>47573</c:v>
                </c:pt>
                <c:pt idx="6">
                  <c:v>47938</c:v>
                </c:pt>
              </c:numCache>
            </c:numRef>
          </c:cat>
          <c:val>
            <c:numRef>
              <c:f>'Forecasted Ratio Analysis'!$E$12:$L$12</c:f>
              <c:numCache>
                <c:formatCode>0.00%</c:formatCode>
                <c:ptCount val="8"/>
                <c:pt idx="0">
                  <c:v>0.3011160857837385</c:v>
                </c:pt>
                <c:pt idx="1">
                  <c:v>0.29233354758173757</c:v>
                </c:pt>
                <c:pt idx="2">
                  <c:v>0.28208786772731692</c:v>
                </c:pt>
                <c:pt idx="3">
                  <c:v>0.30510471576287063</c:v>
                </c:pt>
                <c:pt idx="4">
                  <c:v>0.30980892183966313</c:v>
                </c:pt>
                <c:pt idx="5">
                  <c:v>0.31203075752814291</c:v>
                </c:pt>
                <c:pt idx="6">
                  <c:v>0.31434453299452697</c:v>
                </c:pt>
              </c:numCache>
            </c:numRef>
          </c:val>
          <c:extLst>
            <c:ext xmlns:c16="http://schemas.microsoft.com/office/drawing/2014/chart" uri="{C3380CC4-5D6E-409C-BE32-E72D297353CC}">
              <c16:uniqueId val="{00000001-0B82-4857-9F96-0FCB7F7EFF9C}"/>
            </c:ext>
          </c:extLst>
        </c:ser>
        <c:dLbls>
          <c:dLblPos val="outEnd"/>
          <c:showLegendKey val="0"/>
          <c:showVal val="1"/>
          <c:showCatName val="0"/>
          <c:showSerName val="0"/>
          <c:showPercent val="0"/>
          <c:showBubbleSize val="0"/>
        </c:dLbls>
        <c:gapWidth val="219"/>
        <c:overlap val="-27"/>
        <c:axId val="374000664"/>
        <c:axId val="374001448"/>
      </c:barChart>
      <c:dateAx>
        <c:axId val="374000664"/>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For the financial year</a:t>
                </a:r>
              </a:p>
            </c:rich>
          </c:tx>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4001448"/>
        <c:crosses val="autoZero"/>
        <c:auto val="1"/>
        <c:lblOffset val="100"/>
        <c:baseTimeUnit val="years"/>
      </c:dateAx>
      <c:valAx>
        <c:axId val="374001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Margin%</a:t>
                </a:r>
              </a:p>
            </c:rich>
          </c:tx>
          <c:layout>
            <c:manualLayout>
              <c:xMode val="edge"/>
              <c:yMode val="edge"/>
              <c:x val="1.532567049808429E-2"/>
              <c:y val="0.37934419655876345"/>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4000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179343794364301"/>
          <c:y val="4.1025633662986082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'Forecasted Ratio Analysis'!$B$14</c:f>
              <c:strCache>
                <c:ptCount val="1"/>
                <c:pt idx="0">
                  <c:v>Revenue Growth Rate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ash"/>
              </a:ln>
              <a:effectLst/>
            </c:spPr>
            <c:trendlineType val="linear"/>
            <c:dispRSqr val="0"/>
            <c:dispEq val="0"/>
          </c:trendline>
          <c:cat>
            <c:numRef>
              <c:f>'Forecasted Ratio Analysis'!$F$4:$L$4</c:f>
              <c:numCache>
                <c:formatCode>mmm\-yy</c:formatCode>
                <c:ptCount val="7"/>
                <c:pt idx="0">
                  <c:v>46112</c:v>
                </c:pt>
                <c:pt idx="1">
                  <c:v>46477</c:v>
                </c:pt>
                <c:pt idx="2">
                  <c:v>46843</c:v>
                </c:pt>
                <c:pt idx="3">
                  <c:v>47208</c:v>
                </c:pt>
                <c:pt idx="4">
                  <c:v>47573</c:v>
                </c:pt>
                <c:pt idx="5">
                  <c:v>47938</c:v>
                </c:pt>
              </c:numCache>
            </c:numRef>
          </c:cat>
          <c:val>
            <c:numRef>
              <c:f>'Forecasted Ratio Analysis'!$F$14:$L$14</c:f>
              <c:numCache>
                <c:formatCode>0.00%</c:formatCode>
                <c:ptCount val="7"/>
                <c:pt idx="0">
                  <c:v>0.42655106535351583</c:v>
                </c:pt>
                <c:pt idx="1">
                  <c:v>0.94833365304691686</c:v>
                </c:pt>
                <c:pt idx="2">
                  <c:v>0.11490263210291407</c:v>
                </c:pt>
                <c:pt idx="3">
                  <c:v>5.6164450151122258E-2</c:v>
                </c:pt>
                <c:pt idx="4">
                  <c:v>5.6196847557144824E-2</c:v>
                </c:pt>
                <c:pt idx="5">
                  <c:v>5.6229052848353112E-2</c:v>
                </c:pt>
              </c:numCache>
            </c:numRef>
          </c:val>
          <c:extLst>
            <c:ext xmlns:c16="http://schemas.microsoft.com/office/drawing/2014/chart" uri="{C3380CC4-5D6E-409C-BE32-E72D297353CC}">
              <c16:uniqueId val="{00000001-0339-4BA7-A3AE-4989325AB190}"/>
            </c:ext>
          </c:extLst>
        </c:ser>
        <c:dLbls>
          <c:dLblPos val="outEnd"/>
          <c:showLegendKey val="0"/>
          <c:showVal val="1"/>
          <c:showCatName val="0"/>
          <c:showSerName val="0"/>
          <c:showPercent val="0"/>
          <c:showBubbleSize val="0"/>
        </c:dLbls>
        <c:gapWidth val="219"/>
        <c:overlap val="-27"/>
        <c:axId val="373994392"/>
        <c:axId val="375532840"/>
      </c:barChart>
      <c:dateAx>
        <c:axId val="373994392"/>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For the financial year</a:t>
                </a:r>
              </a:p>
            </c:rich>
          </c:tx>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5532840"/>
        <c:crosses val="autoZero"/>
        <c:auto val="1"/>
        <c:lblOffset val="100"/>
        <c:baseTimeUnit val="years"/>
      </c:dateAx>
      <c:valAx>
        <c:axId val="375532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Growth Rate % Y-o-Y</a:t>
                </a:r>
              </a:p>
            </c:rich>
          </c:tx>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1" u="none" strike="noStrike" kern="1200" baseline="0">
                <a:solidFill>
                  <a:schemeClr val="tx1">
                    <a:lumMod val="65000"/>
                    <a:lumOff val="35000"/>
                  </a:schemeClr>
                </a:solidFill>
                <a:latin typeface="+mn-lt"/>
                <a:ea typeface="+mn-ea"/>
                <a:cs typeface="+mn-cs"/>
              </a:defRPr>
            </a:pPr>
            <a:endParaRPr lang="en-US"/>
          </a:p>
        </c:txPr>
        <c:crossAx val="373994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19050</xdr:colOff>
      <xdr:row>20</xdr:row>
      <xdr:rowOff>52386</xdr:rowOff>
    </xdr:from>
    <xdr:to>
      <xdr:col>8</xdr:col>
      <xdr:colOff>123825</xdr:colOff>
      <xdr:row>37</xdr:row>
      <xdr:rowOff>9525</xdr:rowOff>
    </xdr:to>
    <xdr:graphicFrame macro="">
      <xdr:nvGraphicFramePr>
        <xdr:cNvPr id="2" name="Chart 1">
          <a:extLst>
            <a:ext uri="{FF2B5EF4-FFF2-40B4-BE49-F238E27FC236}">
              <a16:creationId xmlns:a16="http://schemas.microsoft.com/office/drawing/2014/main" id="{EACA7BB6-A2D2-4CCE-979C-C8777E5AB8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38</xdr:row>
      <xdr:rowOff>14287</xdr:rowOff>
    </xdr:from>
    <xdr:to>
      <xdr:col>8</xdr:col>
      <xdr:colOff>142875</xdr:colOff>
      <xdr:row>53</xdr:row>
      <xdr:rowOff>142875</xdr:rowOff>
    </xdr:to>
    <xdr:graphicFrame macro="">
      <xdr:nvGraphicFramePr>
        <xdr:cNvPr id="3" name="Chart 2">
          <a:extLst>
            <a:ext uri="{FF2B5EF4-FFF2-40B4-BE49-F238E27FC236}">
              <a16:creationId xmlns:a16="http://schemas.microsoft.com/office/drawing/2014/main" id="{2A6699CF-94EF-4F64-8B5D-75CA8FFC3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55</xdr:row>
      <xdr:rowOff>14287</xdr:rowOff>
    </xdr:from>
    <xdr:to>
      <xdr:col>8</xdr:col>
      <xdr:colOff>95250</xdr:colOff>
      <xdr:row>69</xdr:row>
      <xdr:rowOff>90487</xdr:rowOff>
    </xdr:to>
    <xdr:graphicFrame macro="">
      <xdr:nvGraphicFramePr>
        <xdr:cNvPr id="4" name="Chart 3">
          <a:extLst>
            <a:ext uri="{FF2B5EF4-FFF2-40B4-BE49-F238E27FC236}">
              <a16:creationId xmlns:a16="http://schemas.microsoft.com/office/drawing/2014/main" id="{DE638CDC-79F7-43E4-9CA4-A13095C3BD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47624</xdr:colOff>
      <xdr:row>70</xdr:row>
      <xdr:rowOff>157161</xdr:rowOff>
    </xdr:from>
    <xdr:to>
      <xdr:col>8</xdr:col>
      <xdr:colOff>123824</xdr:colOff>
      <xdr:row>85</xdr:row>
      <xdr:rowOff>85724</xdr:rowOff>
    </xdr:to>
    <xdr:graphicFrame macro="">
      <xdr:nvGraphicFramePr>
        <xdr:cNvPr id="5" name="Chart 4">
          <a:extLst>
            <a:ext uri="{FF2B5EF4-FFF2-40B4-BE49-F238E27FC236}">
              <a16:creationId xmlns:a16="http://schemas.microsoft.com/office/drawing/2014/main" id="{F0043B65-939C-41AA-9C13-6188F6227C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104</xdr:row>
      <xdr:rowOff>0</xdr:rowOff>
    </xdr:from>
    <xdr:to>
      <xdr:col>8</xdr:col>
      <xdr:colOff>76200</xdr:colOff>
      <xdr:row>118</xdr:row>
      <xdr:rowOff>119063</xdr:rowOff>
    </xdr:to>
    <xdr:graphicFrame macro="">
      <xdr:nvGraphicFramePr>
        <xdr:cNvPr id="6" name="Chart 5">
          <a:extLst>
            <a:ext uri="{FF2B5EF4-FFF2-40B4-BE49-F238E27FC236}">
              <a16:creationId xmlns:a16="http://schemas.microsoft.com/office/drawing/2014/main" id="{B40A13B2-B2CE-441E-B25B-CB7F7C06B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20</xdr:row>
      <xdr:rowOff>52386</xdr:rowOff>
    </xdr:from>
    <xdr:to>
      <xdr:col>8</xdr:col>
      <xdr:colOff>123825</xdr:colOff>
      <xdr:row>37</xdr:row>
      <xdr:rowOff>9525</xdr:rowOff>
    </xdr:to>
    <xdr:graphicFrame macro="">
      <xdr:nvGraphicFramePr>
        <xdr:cNvPr id="2" name="Chart 1">
          <a:extLst>
            <a:ext uri="{FF2B5EF4-FFF2-40B4-BE49-F238E27FC236}">
              <a16:creationId xmlns:a16="http://schemas.microsoft.com/office/drawing/2014/main" id="{658CE99E-B141-4431-9568-A6B029BC7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38</xdr:row>
      <xdr:rowOff>14287</xdr:rowOff>
    </xdr:from>
    <xdr:to>
      <xdr:col>8</xdr:col>
      <xdr:colOff>142875</xdr:colOff>
      <xdr:row>53</xdr:row>
      <xdr:rowOff>142875</xdr:rowOff>
    </xdr:to>
    <xdr:graphicFrame macro="">
      <xdr:nvGraphicFramePr>
        <xdr:cNvPr id="3" name="Chart 2">
          <a:extLst>
            <a:ext uri="{FF2B5EF4-FFF2-40B4-BE49-F238E27FC236}">
              <a16:creationId xmlns:a16="http://schemas.microsoft.com/office/drawing/2014/main" id="{C72B50E8-7518-4493-BBD4-C7CCEBAFF1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55</xdr:row>
      <xdr:rowOff>14287</xdr:rowOff>
    </xdr:from>
    <xdr:to>
      <xdr:col>8</xdr:col>
      <xdr:colOff>95250</xdr:colOff>
      <xdr:row>69</xdr:row>
      <xdr:rowOff>90487</xdr:rowOff>
    </xdr:to>
    <xdr:graphicFrame macro="">
      <xdr:nvGraphicFramePr>
        <xdr:cNvPr id="4" name="Chart 3">
          <a:extLst>
            <a:ext uri="{FF2B5EF4-FFF2-40B4-BE49-F238E27FC236}">
              <a16:creationId xmlns:a16="http://schemas.microsoft.com/office/drawing/2014/main" id="{CF2F61DF-B7F7-41EC-9DD5-D0D43C7387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47624</xdr:colOff>
      <xdr:row>70</xdr:row>
      <xdr:rowOff>157161</xdr:rowOff>
    </xdr:from>
    <xdr:to>
      <xdr:col>8</xdr:col>
      <xdr:colOff>123824</xdr:colOff>
      <xdr:row>85</xdr:row>
      <xdr:rowOff>85724</xdr:rowOff>
    </xdr:to>
    <xdr:graphicFrame macro="">
      <xdr:nvGraphicFramePr>
        <xdr:cNvPr id="5" name="Chart 4">
          <a:extLst>
            <a:ext uri="{FF2B5EF4-FFF2-40B4-BE49-F238E27FC236}">
              <a16:creationId xmlns:a16="http://schemas.microsoft.com/office/drawing/2014/main" id="{36FFA27C-4934-4335-93B7-E7D53EB14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104</xdr:row>
      <xdr:rowOff>0</xdr:rowOff>
    </xdr:from>
    <xdr:to>
      <xdr:col>8</xdr:col>
      <xdr:colOff>76200</xdr:colOff>
      <xdr:row>118</xdr:row>
      <xdr:rowOff>119063</xdr:rowOff>
    </xdr:to>
    <xdr:graphicFrame macro="">
      <xdr:nvGraphicFramePr>
        <xdr:cNvPr id="6" name="Chart 5">
          <a:extLst>
            <a:ext uri="{FF2B5EF4-FFF2-40B4-BE49-F238E27FC236}">
              <a16:creationId xmlns:a16="http://schemas.microsoft.com/office/drawing/2014/main" id="{A73B5AD2-616A-44A8-B6EE-0C91062F16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6\Investment%20Banking\CREDIT-1\indore%20mcb\WINDOWS\Desktop\final\final%20numbers\Integrated%2025-11-04.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file:///\\192.168.1.6\192.168.1.11\Project%20Data\Documents%20and%20Settings\SINGHAR\Local%20Settings\Temporary%20Internet%20Files\Content.Outlook\ST2J7Q7C\Naman\NMN\SWAAA%20CORPORATION\With%20New%20machinery\PHMPL-FINAL-UBI-04-11-2011--final.xls?C5A00E42" TargetMode="External"/><Relationship Id="rId1" Type="http://schemas.openxmlformats.org/officeDocument/2006/relationships/externalLinkPath" Target="file:///\\C5A00E42\PHMPL-FINAL-UBI-04-11-2011--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6\Investment%20Banking\Server\d\Documents%20and%20Settings\s\Desktop\Amin-Syndicate\Copy%20of%20Amin-CMA_Revised-dipen-13%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6\Investment%20Banking\192.168.1.11\Project%20Data\Users\apple\Downloads\datadrive\laptop\PROJECTS\M&amp;S\Marvel\Marvel%20Edge\Edge%20Enhancement%20projections%20-%20V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6\Investment%20Banking\Lbo-fs1\ACCOUNT\Planning\Bonus%20Matrices\2002\Q2-2002\Bonus%20Tracking\Bonus%20Tracking%20Q2%202002%20v2.0.xls"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file:///\\192.168.1.6\hpserver\DATA\Project%20data\Indus\Hallmark%20Citii\BOB\Documents%20and%20Settings\vishnu%20gupta\Local%20Settings\Temporary%20Internet%20Files\Content.IE5\SXIV05YR\EWDPL\JP%20Morgan\EWDPL_JPM_Model_v15%2023.06.07.xls?C536C681" TargetMode="External"/><Relationship Id="rId1" Type="http://schemas.openxmlformats.org/officeDocument/2006/relationships/externalLinkPath" Target="file:///\\C536C681\EWDPL_JPM_Model_v15%2023.06.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1.6\Investment%20Banking\pc2\g\Development\ara_1412_XlMacrosInstructions\docs\ServiceTax.xlt"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92.168.1.6\Investment%20Banking\192.168.1.11\Project%20Data\Documents%20and%20Settings\SINGHAR\Local%20Settings\Temporary%20Internet%20Files\Content.Outlook\ST2J7Q7C\Bioviz-FM-2101201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6\Investment%20Banking\192.168.1.11\Project%20Data\I\trybf\SEA%20TEAM\monthly%20reports\jul\global\MMR_Treasury_v420_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6\Investment%20Banking\192.168.1.11\Project%20Data\Working\Rajesh%20Sir\Wellberth\Financial%20model%20with%20CMA.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Working\Ambica\Funding%20Banks\UBI\CMA_April%2011%202010_R_New%20Hotel_V%205_Final_Audi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6\Investment%20Banking\GAURANGBHAI\new%20(E)\SORABH\Amin-Syndicate\Copy%20of%20Amin-CMA_Revised-dipen-13%2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92.168.1.6\Investment%20Banking\SERVER\project\project\project\Kalani%20Group\Malls\Mall%2019.06.06\Kalani%20Bplan9%20-%20ICICIrev%20%2031.05.06%20(MK).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92.168.1.6\Investment%20Banking\Pankaj\RAM%20RUPAI\Documents%20and%20Settings\Rakesh%20.MICROSEC-RE9CBK\Local%20Settings\Temporary%20Internet%20Files\Content.IE5\SXFF2B5Z\Excel%20Sheet\balance%20sheet%20of%20JBS%2003-04%20%2015.06.20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My%20Documents\ALFA(04-0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92.168.1.6\Investment%20Banking\Lbo-fs1\ACCOUNT\Planning\Bonus%20Matrices\2002\Q1%202002\Bonus%20Tracking%20Q1%202002%20v5.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92.168.1.6\Investment%20Banking\192.168.1.11\Project%20Data\Users\apple\Downloads\Bishwanath-rath\mis\bs%20working\Samiullah\Depreciation\New%20Folder\Furniture___Fixture_DEP_CHART_CO_AC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6\Investment%20Banking\CREDIT-1\sbms\Documents%20and%20Settings\Admin\My%20Documents\stuti\bi&amp;il\aduit%2007-08\march%20bal08.xls" TargetMode="External"/></Relationships>
</file>

<file path=xl/externalLinks/_rels/externalLink26.xml.rels><?xml version="1.0" encoding="UTF-8" standalone="yes"?>
<Relationships xmlns="http://schemas.openxmlformats.org/package/2006/relationships"><Relationship Id="rId2" Type="http://schemas.microsoft.com/office/2019/04/relationships/externalLinkLongPath" Target="file:///\\192.168.1.6\192.168.1.11\Users\apple\Downloads\Bishwanath-rath\mis\bs%20working\Samiullah\Depreciation\New%20Folder\Pawan_jha\e\Finance\Fixed%20Assets%20Reg%20Co%20Act\dep07\Intex-Dep-2007%20Final\ALL%20FIXED%20ASSETS_DEP_CHART_CO_ACT.xls?3A97C5A4" TargetMode="External"/><Relationship Id="rId1" Type="http://schemas.openxmlformats.org/officeDocument/2006/relationships/externalLinkPath" Target="file:///\\3A97C5A4\ALL%20FIXED%20ASSETS_DEP_CHART_CO_AC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92.168.1.6\Investment%20Banking\mcsca-server\Working\working\1.%20WIP\Varun%20Fertilizers\Finance\SBIn\Financial%20120707\Financial%20Varun%201207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6\Investment%20Banking\CREDIT-1\udaytillo\31.07.2009\BS%20Trading%2031.07.200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92.168.1.6\Investment%20Banking\192.168.1.11\Project%20Data\Users\apple\Downloads\Mohit\g\MUKUL\Audit\COMPANIES\Pugmarks\Audit%202005-2006\New%20Folder\Pugmarks%20BS2006.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welcome\Downloads\VIS%20(2023-24)-PL802-698-1088%20Financial%20Model%20-%20NGIPL%20(1).xlsx" TargetMode="External"/><Relationship Id="rId1" Type="http://schemas.openxmlformats.org/officeDocument/2006/relationships/externalLinkPath" Target="/Users/welcome/Downloads/VIS%20(2023-24)-PL802-698-1088%20Financial%20Model%20-%20NGIPL%20(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92.168.1.6\Investment%20Banking\LBO-fs1\ACCOUNT\ACCTG\AUDITSCHEDULES\00Q2%20SCHEDULES%20GT\1011-01%20Unbilled%20@%2006-00v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92.168.1.6\Investment%20Banking\192.168.1.11\Project%20Data\Office\20%20crores\For%20Bank%20CC%20LC\Proposals\Origin%20Various\Origin%20BOM\400%20Lacs%20with%20Term%20Loan%2037%20lacs\Amin-Syndicate\Copy%20of%20Amin-CMA_Revised-dipen-13%2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1.6\Investment%20Banking\192.168.1.11\Project%20Data\Users\apple\Downloads\Mohit\g\MUKUL\Audit\COMPANIES\ASTRA\Astra-1\Balance%20Sheet\astra%2006\BS0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92.168.1.6\Investment%20Banking\C2\d\Samkit\Socrus\TL_PPUR_10_BADDI_5Cr\changed%20cop%2025.50\steel%20auto%20cast.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92.168.1.6\Investment%20Banking\192.168.1.11\Project%20Data\Ajay's%20Data\2012-13\03.%20Green%20field%20Project%20Report\Sunshine%20Paptech\AML-3007_dividendFinal02082005exp.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H:\Regular\Ambica\Aroma\Banks\Andhra%20Bank\VENKAT%20CMA%20250%20lates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92.168.1.6\Investment%20Banking\192.168.1.11\Project%20Data\I\98\a98-rpt\YTD-sep.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92.168.1.6\Investment%20Banking\192.168.1.11\Project%20Data\R&amp;D\financial%20mode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92.168.1.6\Investment%20Banking\192.168.1.11\Project%20Data\Users\apple\Downloads\datadrive\laptop\Documents%20and%20Settings\Neha\Desktop\Sobha%20and%20goel%20ganga%20drafts\Cashflow%20-%20Sobha.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92.168.1.6\Investment%20Banking\192.168.1.11\Project%20Data\Users\apple\Downloads\datadrive\laptop\Praposals\Goel%20Ganga\Copy%20of%20Projections%20-%20Ganga%20Bhagyoday%20v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6\Investment%20Banking\GAURANGBHAI\new%20(E)\Gaurang\Jay%20Ambe\DENA-VIMAL\Amin-Syndicate\Copy%20of%20Amin-CMA_Revised-dipen-13%2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92.168.1.6\Investment%20Banking\mcsca-server\Working\1.%20WIP\NAMCO%20Steels\Finance\Project%20Report\Namco%2030080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92.168.1.6\Investment%20Banking\192.168.1.11\Project%20Data\Users\apple\Downloads\Mehta\e\DATA\WINDOWS\Temporary%20Internet%20Files\Content.IE5\AF2XI3QT\PP_Master%20Template.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92.168.1.6\Investment%20Banking\192.168.1.11\Project%20Data\Users\apple\Downloads\Sanjeeva\g\MUKUL\Audit\COMPANIES\SURYA\nectar\balance%20sheet\2005\Nll-2005-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192.168.1.6\Investment%20Banking\Hrm\BKR%20statutory%20Audit\Workpapers\0405%20Period%20end%20workpaper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92.168.1.6\Investment%20Banking\Ltfcgb046\for%20US\Workpapers\0503%20Period%20end%20workpaper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92.168.1.6\Investment%20Banking\Pant01\finance\GATHMAN\94ACTUAL\APR\APRIL9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192.168.1.6\Investment%20Banking\Akp\d\Data%20on%20DK\Mittal%20Udyog%20Indore%20P.%20Ltd\Bank%20of%20Baroda\MUIPL_Project%2017.03.2010%20BOB.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192.168.1.6\Investment%20Banking\10.10.1.2\working\WIP\Varun%20Fertilizers\MPFC\Excel-Varun\Financial%20with%2028%20Installment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92.168.1.6\Investment%20Banking\mcsca-server\Working\1.%20WIP\NAMCO%20Steels\Finance\Project%20Report\Financial-with%203%20to%20furnace.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92.168.1.6\Investment%20Banking\pc2\g\Development\ara_1412_XlMacrosInstructions\docs\error%20corServiceTax.xl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6\Investment%20Banking\192.168.1.11\IBD%20Group%20Bhopal\NIIL%20Agra\Review%202013\BOI\Expenses%2019.01.2013.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192.168.1.6\Investment%20Banking\pc2\g\Development\ara_1412_XlMacrosInstructions\docs\RTYU_Depreciation%20as%20per%20IT%20Act.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92.168.1.6\Investment%20Banking\192.168.1.11\Project%20Data\Projects\Ahir%20Salt%20&amp;%20Allied%20Prod%20P%20Ltd\Docs%20received%20from%20Client\Docs%20Rcvd%20on%2028.09.15\ASAAPPL%20CMA%2028092015.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192.168.1.6\Investment%20Banking\192.168.1.11\Project%20Data\I\Documents%20and%20Settings\IN_RSRINIV5\Local%20Settings\Temp\CCPL\PL_PPRs_ver%2010_with%20top%20up.xls" TargetMode="External"/></Relationships>
</file>

<file path=xl/externalLinks/_rels/externalLink53.xml.rels><?xml version="1.0" encoding="UTF-8" standalone="yes"?>
<Relationships xmlns="http://schemas.openxmlformats.org/package/2006/relationships"><Relationship Id="rId2" Type="http://schemas.openxmlformats.org/officeDocument/2006/relationships/externalLinkPath" Target="file:///\\192.168.1.6\Investment%20Banking\Yeshpal-(IB)\Restructuring\LEADS\LEADS%20(2023-24)\Gujarat%20Themis%20Biosyn%20Limited\Financials_GTBL%20-%20in%20crores.xlsx" TargetMode="External"/><Relationship Id="rId1" Type="http://schemas.openxmlformats.org/officeDocument/2006/relationships/externalLinkPath" Target="file:///\\192.168.1.6\Investment%20Banking\Yeshpal-(IB)\Restructuring\LEADS\LEADS%20(2023-24)\Gujarat%20Themis%20Biosyn%20Limited\Financials_GTBL%20-%20in%20crores.xlsx" TargetMode="External"/></Relationships>
</file>

<file path=xl/externalLinks/_rels/externalLink54.xml.rels><?xml version="1.0" encoding="UTF-8" standalone="yes"?>
<Relationships xmlns="http://schemas.openxmlformats.org/package/2006/relationships"><Relationship Id="rId2" Type="http://schemas.openxmlformats.org/officeDocument/2006/relationships/externalLinkPath" Target="file:///\\192.168.1.6\Investment%20Banking\Yeshpal-(IB)\Restructuring\LEADS\Gujarat%20Themis%20Biosyn%20Limited\Financial%20Model\GTBL_Draft%20FM%20(SB).xlsx" TargetMode="External"/><Relationship Id="rId1" Type="http://schemas.openxmlformats.org/officeDocument/2006/relationships/externalLinkPath" Target="/Users/niket/Desktop/Gujarat%20Themis%20Biosyn%20Limited/Financial%20Model/GTBL_Draft%20FM%20(SB).xlsx" TargetMode="External"/></Relationships>
</file>

<file path=xl/externalLinks/_rels/externalLink55.xml.rels><?xml version="1.0" encoding="UTF-8" standalone="yes"?>
<Relationships xmlns="http://schemas.openxmlformats.org/package/2006/relationships"><Relationship Id="rId2" Type="http://schemas.openxmlformats.org/officeDocument/2006/relationships/externalLinkPath" Target="file:///C:\Users\welcome\Desktop\Chhavi%20desktop\TEV\Aramco%20Papers%20Pvt%20Ltd\RK%20working\Final%20report\R%20K%20%20MODEL%20ARAMCO%20PAPER%20%2005-12-2022-.xlsx" TargetMode="External"/><Relationship Id="rId1" Type="http://schemas.openxmlformats.org/officeDocument/2006/relationships/externalLinkPath" Target="/Users/welcome/Desktop/Chhavi%20desktop/TEV/Aramco%20Papers%20Pvt%20Ltd/RK%20working/Final%20report/R%20K%20%20MODEL%20ARAMCO%20PAPER%20%2005-12-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6\Investment%20Banking\SERVER\project\project\project\Kalani%20Group\Malls\Mall%2019.06.06\Kalani%20Bplan9%20-%20ICICIrev%20%2024.05.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1.6\Investment%20Banking\Ltfcgb046\for%20US\VOL1\ACCOUNT\ACCTG\LANCE\1998%20BUDGET\9th%20Drafts\CMS%20Budget%201998%20V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6\Investment%20Banking\KITEPROD\FCG%20Offices\VOL1\ACCOUNT\ACCTG\LANCE\1998%20BUDGET\2nd%20drafts\NIS%20Budget%201998%20V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6\Investment%20Banking\192.168.1.11\Project%20Data\Audit\2003\KPR\Tax%20Audit%20AY%202001-02%20S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wer &amp; Fuel (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adata"/>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 Proj."/>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 val="PA Bonus Metrics Mgr, SMgr, Dir"/>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se rent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m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stions"/>
      <sheetName val="FY11Performance"/>
      <sheetName val="Graphs"/>
      <sheetName val="Valuation"/>
      <sheetName val="Process Form"/>
      <sheetName val="Hotel Bus"/>
      <sheetName val="Segment Revenue"/>
      <sheetName val="P&amp;L"/>
      <sheetName val="BS"/>
      <sheetName val="CF"/>
      <sheetName val="Schedule"/>
      <sheetName val="Assumptions"/>
      <sheetName val="FA"/>
      <sheetName val="Ratios"/>
      <sheetName val="CMA"/>
      <sheetName val="Debt Schld"/>
      <sheetName val="MPBF-N"/>
      <sheetName val="Debt Summary (2)"/>
      <sheetName val="Property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 Proj."/>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NT"/>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FLOW AND BALANCE SHEET"/>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_S"/>
      <sheetName val="EXCISE"/>
      <sheetName val="dep(Co.)"/>
      <sheetName val="Pr. Working"/>
      <sheetName val="B-S"/>
      <sheetName val="Sheet3"/>
    </sheetNames>
    <sheetDataSet>
      <sheetData sheetId="0"/>
      <sheetData sheetId="1" refreshError="1"/>
      <sheetData sheetId="2" refreshError="1"/>
      <sheetData sheetId="3" refreshError="1"/>
      <sheetData sheetId="4">
        <row r="174">
          <cell r="C174" t="str">
            <v>SCHEDULE-4</v>
          </cell>
          <cell r="D174" t="str">
            <v/>
          </cell>
        </row>
        <row r="175">
          <cell r="C175" t="str">
            <v>FIXED ASSETS</v>
          </cell>
        </row>
        <row r="177">
          <cell r="C177" t="str">
            <v xml:space="preserve">  PARTICUALRS</v>
          </cell>
          <cell r="D177" t="str">
            <v/>
          </cell>
          <cell r="F177" t="str">
            <v>GROSS BLOCK</v>
          </cell>
          <cell r="I177" t="str">
            <v xml:space="preserve">      DEPRECIATION</v>
          </cell>
        </row>
        <row r="178">
          <cell r="D178" t="str">
            <v>As on</v>
          </cell>
          <cell r="F178" t="str">
            <v>Additions/Trf.</v>
          </cell>
          <cell r="G178" t="str">
            <v>Pre-op.</v>
          </cell>
          <cell r="H178" t="str">
            <v>Total</v>
          </cell>
          <cell r="I178" t="str">
            <v>Provided</v>
          </cell>
          <cell r="J178" t="str">
            <v>For the</v>
          </cell>
        </row>
        <row r="179">
          <cell r="D179" t="str">
            <v xml:space="preserve"> 01.04.01</v>
          </cell>
          <cell r="F179" t="str">
            <v xml:space="preserve">during the </v>
          </cell>
          <cell r="G179" t="str">
            <v>Exps.</v>
          </cell>
          <cell r="I179" t="str">
            <v>upto</v>
          </cell>
          <cell r="J179" t="str">
            <v>Year</v>
          </cell>
        </row>
        <row r="180">
          <cell r="F180" t="str">
            <v>Year</v>
          </cell>
          <cell r="G180" t="str">
            <v>Capitalised</v>
          </cell>
          <cell r="I180" t="str">
            <v xml:space="preserve"> 01.04.01</v>
          </cell>
        </row>
        <row r="181">
          <cell r="H181" t="str">
            <v>.</v>
          </cell>
        </row>
        <row r="182">
          <cell r="B182">
            <v>1</v>
          </cell>
          <cell r="C182" t="str">
            <v>Land</v>
          </cell>
          <cell r="D182">
            <v>2495150</v>
          </cell>
          <cell r="F182" t="str">
            <v>--</v>
          </cell>
          <cell r="G182" t="str">
            <v>--</v>
          </cell>
          <cell r="H182">
            <v>2495150</v>
          </cell>
          <cell r="I182" t="str">
            <v>--</v>
          </cell>
          <cell r="J182" t="str">
            <v>--</v>
          </cell>
        </row>
        <row r="183">
          <cell r="B183">
            <v>2</v>
          </cell>
          <cell r="C183" t="str">
            <v>Building</v>
          </cell>
          <cell r="D183">
            <v>16621950</v>
          </cell>
          <cell r="E183">
            <v>3.3399999999999999E-2</v>
          </cell>
          <cell r="F183">
            <v>32495</v>
          </cell>
          <cell r="G183" t="str">
            <v>--</v>
          </cell>
          <cell r="H183">
            <v>16654445</v>
          </cell>
          <cell r="I183">
            <v>3095747</v>
          </cell>
          <cell r="J183">
            <v>452861</v>
          </cell>
        </row>
        <row r="184">
          <cell r="B184">
            <v>3</v>
          </cell>
          <cell r="C184" t="str">
            <v>Office Premises</v>
          </cell>
          <cell r="D184">
            <v>350000</v>
          </cell>
          <cell r="E184">
            <v>1.6299999999999999E-2</v>
          </cell>
          <cell r="F184" t="str">
            <v>--</v>
          </cell>
          <cell r="G184" t="str">
            <v>--</v>
          </cell>
          <cell r="H184">
            <v>350000</v>
          </cell>
          <cell r="I184">
            <v>33792</v>
          </cell>
          <cell r="J184">
            <v>5154.1903999999995</v>
          </cell>
        </row>
        <row r="185">
          <cell r="B185">
            <v>4</v>
          </cell>
          <cell r="C185" t="str">
            <v>Machinery</v>
          </cell>
          <cell r="D185">
            <v>57124083</v>
          </cell>
          <cell r="E185">
            <v>4.7500000000000001E-2</v>
          </cell>
          <cell r="F185">
            <v>2816683</v>
          </cell>
          <cell r="G185" t="str">
            <v>--</v>
          </cell>
          <cell r="H185">
            <v>59940766</v>
          </cell>
          <cell r="I185">
            <v>11793506</v>
          </cell>
          <cell r="J185">
            <v>2278335</v>
          </cell>
        </row>
        <row r="186">
          <cell r="B186">
            <v>5</v>
          </cell>
          <cell r="C186" t="str">
            <v>S. S. Plates</v>
          </cell>
          <cell r="D186">
            <v>22605380</v>
          </cell>
          <cell r="E186">
            <v>0.11310000000000001</v>
          </cell>
          <cell r="F186">
            <v>184913</v>
          </cell>
          <cell r="G186" t="str">
            <v>--</v>
          </cell>
          <cell r="H186">
            <v>22790293</v>
          </cell>
          <cell r="I186">
            <v>9137952</v>
          </cell>
          <cell r="J186">
            <v>1519846</v>
          </cell>
        </row>
        <row r="187">
          <cell r="B187">
            <v>6</v>
          </cell>
          <cell r="C187" t="str">
            <v>Printing Roll</v>
          </cell>
          <cell r="D187">
            <v>2842105</v>
          </cell>
          <cell r="E187">
            <v>0.11310000000000001</v>
          </cell>
          <cell r="F187">
            <v>-35381</v>
          </cell>
          <cell r="G187" t="str">
            <v>--</v>
          </cell>
          <cell r="H187">
            <v>2806724</v>
          </cell>
          <cell r="I187">
            <v>1407539</v>
          </cell>
          <cell r="J187">
            <v>158248</v>
          </cell>
        </row>
        <row r="188">
          <cell r="B188">
            <v>7</v>
          </cell>
          <cell r="C188" t="str">
            <v>Computer</v>
          </cell>
          <cell r="D188">
            <v>244225</v>
          </cell>
          <cell r="E188">
            <v>0.16209999999999999</v>
          </cell>
          <cell r="F188">
            <v>93900</v>
          </cell>
          <cell r="G188" t="str">
            <v>--</v>
          </cell>
          <cell r="H188">
            <v>338125</v>
          </cell>
          <cell r="I188">
            <v>135952</v>
          </cell>
          <cell r="J188">
            <v>25162</v>
          </cell>
        </row>
        <row r="189">
          <cell r="B189">
            <v>8</v>
          </cell>
          <cell r="C189" t="str">
            <v>Vehicles</v>
          </cell>
          <cell r="D189">
            <v>100285</v>
          </cell>
          <cell r="E189">
            <v>0.11310000000000001</v>
          </cell>
          <cell r="F189" t="str">
            <v>--</v>
          </cell>
          <cell r="G189" t="str">
            <v>--</v>
          </cell>
          <cell r="H189">
            <v>100285</v>
          </cell>
          <cell r="I189">
            <v>100285</v>
          </cell>
          <cell r="J189" t="str">
            <v>--</v>
          </cell>
        </row>
        <row r="190">
          <cell r="B190">
            <v>9</v>
          </cell>
          <cell r="C190" t="str">
            <v>Fax Machine</v>
          </cell>
          <cell r="D190">
            <v>21219</v>
          </cell>
          <cell r="E190">
            <v>4.7500000000000001E-2</v>
          </cell>
          <cell r="F190" t="str">
            <v>--</v>
          </cell>
          <cell r="G190" t="str">
            <v>--</v>
          </cell>
          <cell r="H190">
            <v>21219</v>
          </cell>
          <cell r="I190">
            <v>7422</v>
          </cell>
          <cell r="J190">
            <v>655.35749999999996</v>
          </cell>
        </row>
        <row r="191">
          <cell r="B191">
            <v>10</v>
          </cell>
          <cell r="C191" t="str">
            <v>Typewriter</v>
          </cell>
          <cell r="D191">
            <v>39635</v>
          </cell>
          <cell r="E191">
            <v>4.7500000000000001E-2</v>
          </cell>
          <cell r="F191" t="str">
            <v>--</v>
          </cell>
          <cell r="G191" t="str">
            <v>--</v>
          </cell>
          <cell r="H191">
            <v>39635</v>
          </cell>
          <cell r="I191">
            <v>12145</v>
          </cell>
          <cell r="J191">
            <v>1305.7750000000001</v>
          </cell>
        </row>
        <row r="192">
          <cell r="B192">
            <v>11</v>
          </cell>
          <cell r="C192" t="str">
            <v>Telephone System</v>
          </cell>
          <cell r="D192">
            <v>54622</v>
          </cell>
          <cell r="E192">
            <v>4.7500000000000001E-2</v>
          </cell>
          <cell r="F192" t="str">
            <v>--</v>
          </cell>
          <cell r="G192" t="str">
            <v>--</v>
          </cell>
          <cell r="H192">
            <v>54622</v>
          </cell>
          <cell r="I192">
            <v>9602</v>
          </cell>
          <cell r="J192">
            <v>2138.4499999999998</v>
          </cell>
        </row>
        <row r="193">
          <cell r="B193">
            <v>11</v>
          </cell>
          <cell r="C193" t="str">
            <v>Air Conditioner</v>
          </cell>
          <cell r="D193">
            <v>225200</v>
          </cell>
          <cell r="E193">
            <v>4.7500000000000001E-2</v>
          </cell>
          <cell r="F193">
            <v>40800</v>
          </cell>
          <cell r="G193" t="str">
            <v>--</v>
          </cell>
          <cell r="H193">
            <v>266000</v>
          </cell>
          <cell r="I193">
            <v>66147</v>
          </cell>
          <cell r="J193">
            <v>8999</v>
          </cell>
        </row>
        <row r="194">
          <cell r="B194">
            <v>12</v>
          </cell>
          <cell r="C194" t="str">
            <v>Electric Fittings</v>
          </cell>
          <cell r="D194">
            <v>951994</v>
          </cell>
          <cell r="E194">
            <v>4.7500000000000001E-2</v>
          </cell>
          <cell r="F194" t="str">
            <v>--</v>
          </cell>
          <cell r="G194" t="str">
            <v>--</v>
          </cell>
          <cell r="H194">
            <v>951994</v>
          </cell>
          <cell r="I194">
            <v>270091</v>
          </cell>
          <cell r="J194">
            <v>32390.392500000002</v>
          </cell>
        </row>
        <row r="195">
          <cell r="B195">
            <v>13</v>
          </cell>
          <cell r="C195" t="str">
            <v xml:space="preserve">Furniture </v>
          </cell>
          <cell r="D195">
            <v>277188</v>
          </cell>
          <cell r="E195">
            <v>6.3299999999999995E-2</v>
          </cell>
          <cell r="F195">
            <v>46976</v>
          </cell>
          <cell r="G195" t="str">
            <v>--</v>
          </cell>
          <cell r="H195">
            <v>324164</v>
          </cell>
          <cell r="I195">
            <v>104891</v>
          </cell>
          <cell r="J195">
            <v>13880</v>
          </cell>
        </row>
        <row r="196">
          <cell r="B196">
            <v>14</v>
          </cell>
          <cell r="C196" t="str">
            <v>Laboratory Eqpmnt</v>
          </cell>
          <cell r="D196">
            <v>11336</v>
          </cell>
          <cell r="E196">
            <v>4.7500000000000001E-2</v>
          </cell>
          <cell r="F196" t="str">
            <v>--</v>
          </cell>
          <cell r="H196">
            <v>11336</v>
          </cell>
          <cell r="I196">
            <v>3176</v>
          </cell>
          <cell r="J196">
            <v>387.6</v>
          </cell>
        </row>
        <row r="197">
          <cell r="B197">
            <v>15</v>
          </cell>
          <cell r="C197" t="str">
            <v>Car</v>
          </cell>
          <cell r="D197">
            <v>2015017</v>
          </cell>
          <cell r="E197">
            <v>9.5000000000000001E-2</v>
          </cell>
          <cell r="F197">
            <v>804438</v>
          </cell>
          <cell r="H197">
            <v>2186719</v>
          </cell>
          <cell r="I197">
            <v>545026</v>
          </cell>
          <cell r="J197">
            <v>117749</v>
          </cell>
        </row>
        <row r="198">
          <cell r="F198">
            <v>-632736</v>
          </cell>
        </row>
        <row r="199">
          <cell r="D199">
            <v>105979389</v>
          </cell>
          <cell r="F199">
            <v>3352088</v>
          </cell>
          <cell r="G199">
            <v>0</v>
          </cell>
          <cell r="H199">
            <v>109331477</v>
          </cell>
          <cell r="I199">
            <v>26723273</v>
          </cell>
          <cell r="J199">
            <v>4617112</v>
          </cell>
        </row>
        <row r="200">
          <cell r="C200" t="str">
            <v>Previous Year</v>
          </cell>
          <cell r="D200">
            <v>100263378</v>
          </cell>
          <cell r="F200">
            <v>5716011</v>
          </cell>
          <cell r="G200">
            <v>10196851</v>
          </cell>
          <cell r="H200">
            <v>105979389</v>
          </cell>
          <cell r="I200">
            <v>22065302</v>
          </cell>
          <cell r="J200">
            <v>4657974</v>
          </cell>
        </row>
      </sheetData>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rm &amp; SBUG Metrics M, SM, Dir"/>
      <sheetName val="Tables"/>
    </sheetNames>
    <sheetDataSet>
      <sheetData sheetId="0" refreshError="1"/>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UTER 04_05"/>
      <sheetName val="COMPUTER 03_04"/>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UTER 04_05"/>
      <sheetName val="COMPUTER 03_04"/>
    </sheetNames>
    <sheetDataSet>
      <sheetData sheetId="0" refreshError="1"/>
      <sheetData sheetId="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12,13,14,15,16"/>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P-MoF"/>
      <sheetName val="Sheet3"/>
      <sheetName val="Det Assump"/>
      <sheetName val="Det CoP_MOF"/>
      <sheetName val="Assump"/>
      <sheetName val="Sheet2"/>
      <sheetName val="P &amp; L"/>
      <sheetName val="BS"/>
      <sheetName val="Cash Flow"/>
      <sheetName val="BEP"/>
      <sheetName val="IRR"/>
      <sheetName val="DSCR"/>
      <sheetName val="Loan Assumptions"/>
      <sheetName val="TL Schd"/>
      <sheetName val="Ratio"/>
      <sheetName val="WC"/>
      <sheetName val="PBP-IRR"/>
      <sheetName val="NPV"/>
      <sheetName val="P E"/>
      <sheetName val="PE"/>
      <sheetName val="Tax"/>
      <sheetName val="Depr"/>
      <sheetName val="sal &amp; wages"/>
      <sheetName val="Sheet1"/>
    </sheetNames>
    <sheetDataSet>
      <sheetData sheetId="0"/>
      <sheetData sheetId="1"/>
      <sheetData sheetId="2"/>
      <sheetData sheetId="3"/>
      <sheetData sheetId="4"/>
      <sheetData sheetId="5"/>
      <sheetData sheetId="6">
        <row r="1">
          <cell r="B1">
            <v>100000</v>
          </cell>
        </row>
      </sheetData>
      <sheetData sheetId="7">
        <row r="18">
          <cell r="D18">
            <v>705.00374999999997</v>
          </cell>
          <cell r="E18">
            <v>705.00374999999997</v>
          </cell>
          <cell r="F18">
            <v>705.00374999999997</v>
          </cell>
          <cell r="G18">
            <v>705.00374999999997</v>
          </cell>
          <cell r="H18">
            <v>705.00374999999997</v>
          </cell>
          <cell r="I18">
            <v>705.00374999999997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76101 JE"/>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 Proj."/>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ssets"/>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ugh"/>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MA NEW"/>
      <sheetName val="ratios"/>
    </sheetNames>
    <sheetDataSet>
      <sheetData sheetId="0" refreshError="1"/>
      <sheetData sheetId="1" refreshError="1"/>
      <sheetData sheetId="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2"/>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 Proj."/>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s"/>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s"/>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03.05"/>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Index"/>
    </sheetNames>
    <sheetDataSet>
      <sheetData sheetId="0" refreshError="1"/>
      <sheetData sheetId="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GET94"/>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ta"/>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s"/>
      <sheetName val="P&amp;M"/>
    </sheetNames>
    <sheetDataSet>
      <sheetData sheetId="0" refreshError="1"/>
      <sheetData sheetId="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
      <sheetName val="CF"/>
      <sheetName val="BEP"/>
      <sheetName val="ROI"/>
      <sheetName val="IRR"/>
    </sheetNames>
    <sheetDataSet>
      <sheetData sheetId="0" refreshError="1"/>
      <sheetData sheetId="1" refreshError="1"/>
      <sheetData sheetId="2" refreshError="1"/>
      <sheetData sheetId="3" refreshError="1"/>
      <sheetData sheetId="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s 19.01.2013"/>
    </sheetNames>
    <definedNames>
      <definedName name="Data.Top.Left"/>
      <definedName name="Macro1"/>
      <definedName name="Macro2"/>
    </defined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L WCTL REPMT &amp; INT"/>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PER ACCOUNT VINTAGE DATA"/>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Detailed"/>
      <sheetName val="WC"/>
      <sheetName val="RPT"/>
      <sheetName val="Promoters Sh"/>
      <sheetName val="WC Ageing"/>
      <sheetName val="Contingent Liabilities"/>
      <sheetName val="Peer Analysis"/>
      <sheetName val="misc"/>
      <sheetName val="Sheet4"/>
      <sheetName val="Sheet1"/>
      <sheetName val="Ratio Analysis"/>
    </sheetNames>
    <sheetDataSet>
      <sheetData sheetId="0" refreshError="1"/>
      <sheetData sheetId="1" refreshError="1">
        <row r="59">
          <cell r="E59">
            <v>3.2665000000000006</v>
          </cell>
        </row>
        <row r="84">
          <cell r="E84">
            <v>10.702300000000001</v>
          </cell>
          <cell r="F84">
            <v>15.410299999999999</v>
          </cell>
          <cell r="G84">
            <v>19.496000000000002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Assumptions"/>
      <sheetName val="Debt Sch"/>
      <sheetName val="Capex Assumption"/>
      <sheetName val="NEW FERMENTOR (50KL) (2)"/>
      <sheetName val="Ratios"/>
      <sheetName val="P&amp;L"/>
      <sheetName val="BS"/>
      <sheetName val="CFS"/>
      <sheetName val="Historical Ratio Analysis"/>
      <sheetName val="WC"/>
      <sheetName val="Est Prod, Sales"/>
      <sheetName val="Forecasted Ratio Analysis"/>
      <sheetName val="BEP, Sensitivity "/>
      <sheetName val="IRR"/>
      <sheetName val="NEW FERMENTOR (50KL)"/>
      <sheetName val="Project Cost"/>
      <sheetName val="New Capacity"/>
      <sheetName val="Impact from add cap"/>
      <sheetName val="Current &amp; Proj.sales"/>
      <sheetName val="Last 3y prod,sales"/>
      <sheetName val="Fermentation Block work status"/>
    </sheetNames>
    <sheetDataSet>
      <sheetData sheetId="0" refreshError="1"/>
      <sheetData sheetId="1">
        <row r="108">
          <cell r="C108">
            <v>0.11</v>
          </cell>
        </row>
      </sheetData>
      <sheetData sheetId="2"/>
      <sheetData sheetId="3" refreshError="1"/>
      <sheetData sheetId="4" refreshError="1"/>
      <sheetData sheetId="5"/>
      <sheetData sheetId="6"/>
      <sheetData sheetId="7"/>
      <sheetData sheetId="8"/>
      <sheetData sheetId="9" refreshError="1"/>
      <sheetData sheetId="10"/>
      <sheetData sheetId="11"/>
      <sheetData sheetId="12" refreshError="1"/>
      <sheetData sheetId="13" refreshError="1"/>
      <sheetData sheetId="14" refreshError="1"/>
      <sheetData sheetId="15" refreshError="1"/>
      <sheetData sheetId="16"/>
      <sheetData sheetId="17"/>
      <sheetData sheetId="18"/>
      <sheetData sheetId="19"/>
      <sheetData sheetId="20"/>
      <sheetData sheetId="2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ICS"/>
      <sheetName val="PROJECT RK"/>
      <sheetName val="Building"/>
      <sheetName val="Sheet3"/>
      <sheetName val="CMA"/>
      <sheetName val="Ratio Analysis"/>
      <sheetName val="NPV&amp;IRR"/>
      <sheetName val="SISTER-CONCERNS"/>
    </sheetNames>
    <sheetDataSet>
      <sheetData sheetId="0"/>
      <sheetData sheetId="1">
        <row r="700">
          <cell r="B700" t="str">
            <v>Total "A"</v>
          </cell>
        </row>
        <row r="706">
          <cell r="B706" t="str">
            <v>Total "B"</v>
          </cell>
        </row>
        <row r="708">
          <cell r="B708" t="str">
            <v xml:space="preserve">D.S.C.R. </v>
          </cell>
        </row>
        <row r="710">
          <cell r="B710" t="str">
            <v>Average D.S.C.R.</v>
          </cell>
        </row>
      </sheetData>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NT"/>
      <sheetName val="Combi"/>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ing Sheet"/>
      <sheetName val="CMS Budget 1998 V8"/>
    </sheetNames>
    <definedNames>
      <definedName name="BTT_DAStaff"/>
      <definedName name="Show_FTE"/>
      <definedName name="Show_InstDialog"/>
      <definedName name="Tog_DEOther"/>
      <definedName name="Tog_IncomeDet"/>
      <definedName name="Tog_IncomeSum"/>
      <definedName name="Tog_StaffDet"/>
      <definedName name="Tog_StaffSum"/>
    </defined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Elements-Exp Driv &amp; Assump"/>
      <sheetName val="Data Elements-Staffing"/>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Comput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6"/>
  <sheetViews>
    <sheetView zoomScaleNormal="100" zoomScaleSheetLayoutView="100" workbookViewId="0">
      <pane xSplit="1" ySplit="6" topLeftCell="B7" activePane="bottomRight" state="frozen"/>
      <selection pane="topRight" activeCell="B1" sqref="B1"/>
      <selection pane="bottomLeft" activeCell="A7" sqref="A7"/>
      <selection pane="bottomRight" activeCell="S24" sqref="S24"/>
    </sheetView>
  </sheetViews>
  <sheetFormatPr defaultColWidth="8.88671875" defaultRowHeight="13.8" x14ac:dyDescent="0.3"/>
  <cols>
    <col min="1" max="1" width="30.33203125" style="74" customWidth="1"/>
    <col min="2" max="2" width="14.44140625" style="74" customWidth="1"/>
    <col min="3" max="3" width="10" style="74" customWidth="1"/>
    <col min="4" max="7" width="9.33203125" style="74" customWidth="1"/>
    <col min="8" max="14" width="9.6640625" style="74" bestFit="1" customWidth="1"/>
    <col min="15" max="16" width="0" style="74" hidden="1" customWidth="1"/>
    <col min="17" max="16384" width="8.88671875" style="74"/>
  </cols>
  <sheetData>
    <row r="1" spans="1:23" s="71" customFormat="1" ht="21" x14ac:dyDescent="0.4">
      <c r="A1" s="492" t="s">
        <v>415</v>
      </c>
      <c r="B1" s="492"/>
      <c r="C1" s="492"/>
      <c r="D1" s="492"/>
      <c r="E1" s="492"/>
      <c r="F1" s="492"/>
      <c r="G1" s="492"/>
      <c r="H1" s="492"/>
      <c r="I1" s="492"/>
      <c r="J1" s="492"/>
      <c r="K1" s="492"/>
      <c r="L1" s="492"/>
      <c r="M1" s="492"/>
      <c r="N1" s="492"/>
      <c r="O1" s="74"/>
      <c r="P1" s="74"/>
      <c r="Q1" s="74"/>
      <c r="R1" s="74"/>
      <c r="S1" s="74"/>
      <c r="T1" s="74"/>
      <c r="U1" s="74"/>
      <c r="V1" s="74"/>
      <c r="W1" s="74"/>
    </row>
    <row r="2" spans="1:23" s="184" customFormat="1" ht="15.6" x14ac:dyDescent="0.3">
      <c r="A2" s="493" t="s">
        <v>416</v>
      </c>
      <c r="B2" s="493"/>
      <c r="C2" s="493"/>
      <c r="D2" s="493"/>
      <c r="E2" s="493"/>
      <c r="F2" s="494"/>
      <c r="G2" s="494"/>
      <c r="H2" s="494"/>
      <c r="I2" s="494"/>
      <c r="J2" s="494"/>
      <c r="K2" s="494"/>
      <c r="L2" s="494"/>
      <c r="M2" s="494"/>
      <c r="N2" s="494"/>
    </row>
    <row r="3" spans="1:23" x14ac:dyDescent="0.3">
      <c r="A3" s="495" t="s">
        <v>417</v>
      </c>
      <c r="B3" s="495"/>
      <c r="C3" s="495"/>
      <c r="D3" s="495"/>
      <c r="E3" s="495"/>
      <c r="F3" s="496"/>
      <c r="G3" s="496"/>
      <c r="H3" s="496"/>
      <c r="I3" s="496"/>
      <c r="J3" s="496"/>
      <c r="K3" s="496"/>
      <c r="L3" s="496"/>
      <c r="M3" s="496"/>
      <c r="N3" s="496"/>
    </row>
    <row r="4" spans="1:23" s="77" customFormat="1" x14ac:dyDescent="0.3">
      <c r="A4" s="75" t="s">
        <v>525</v>
      </c>
      <c r="B4" s="75"/>
      <c r="C4" s="75"/>
      <c r="D4" s="76">
        <f>DATE(2020,4,1)</f>
        <v>43922</v>
      </c>
      <c r="E4" s="76">
        <f>D5+1</f>
        <v>44287</v>
      </c>
      <c r="F4" s="76">
        <f t="shared" ref="F4:N4" si="0">E5+1</f>
        <v>44652</v>
      </c>
      <c r="G4" s="76">
        <f t="shared" si="0"/>
        <v>45017</v>
      </c>
      <c r="H4" s="76">
        <f t="shared" si="0"/>
        <v>45383</v>
      </c>
      <c r="I4" s="76">
        <f t="shared" si="0"/>
        <v>45748</v>
      </c>
      <c r="J4" s="76">
        <f t="shared" si="0"/>
        <v>46113</v>
      </c>
      <c r="K4" s="76">
        <f t="shared" si="0"/>
        <v>46478</v>
      </c>
      <c r="L4" s="76">
        <f t="shared" si="0"/>
        <v>46844</v>
      </c>
      <c r="M4" s="76">
        <f t="shared" si="0"/>
        <v>47209</v>
      </c>
      <c r="N4" s="76">
        <f t="shared" si="0"/>
        <v>47574</v>
      </c>
      <c r="O4" s="74"/>
      <c r="P4" s="74"/>
      <c r="Q4" s="74"/>
      <c r="R4" s="74"/>
      <c r="S4" s="74"/>
      <c r="T4" s="74"/>
      <c r="U4" s="74"/>
      <c r="V4" s="74"/>
      <c r="W4" s="74"/>
    </row>
    <row r="5" spans="1:23" s="77" customFormat="1" x14ac:dyDescent="0.3">
      <c r="A5" s="75" t="s">
        <v>418</v>
      </c>
      <c r="B5" s="75"/>
      <c r="C5" s="75"/>
      <c r="D5" s="78">
        <f>DATE((IF(MONTH(D4)&gt;3,YEAR(D4)+1,YEAR(D4))),3,31)</f>
        <v>44286</v>
      </c>
      <c r="E5" s="78">
        <f>DATE((IF(MONTH(E4)&gt;3,YEAR(E4)+1,YEAR(E4))),3,31)</f>
        <v>44651</v>
      </c>
      <c r="F5" s="78">
        <f t="shared" ref="F5:M5" si="1">DATE((IF(MONTH(F4)&gt;3,YEAR(F4)+1,YEAR(F4))),3,31)</f>
        <v>45016</v>
      </c>
      <c r="G5" s="78">
        <f t="shared" si="1"/>
        <v>45382</v>
      </c>
      <c r="H5" s="78">
        <f t="shared" si="1"/>
        <v>45747</v>
      </c>
      <c r="I5" s="78">
        <f t="shared" si="1"/>
        <v>46112</v>
      </c>
      <c r="J5" s="78">
        <f t="shared" si="1"/>
        <v>46477</v>
      </c>
      <c r="K5" s="78">
        <f t="shared" si="1"/>
        <v>46843</v>
      </c>
      <c r="L5" s="78">
        <f t="shared" si="1"/>
        <v>47208</v>
      </c>
      <c r="M5" s="78">
        <f t="shared" si="1"/>
        <v>47573</v>
      </c>
      <c r="N5" s="78">
        <f t="shared" ref="N5" si="2">DATE((IF(MONTH(N4)&gt;3,YEAR(N4)+1,YEAR(N4))),3,31)</f>
        <v>47938</v>
      </c>
      <c r="O5" s="74"/>
      <c r="P5" s="74"/>
      <c r="Q5" s="74"/>
      <c r="R5" s="74"/>
      <c r="S5" s="74"/>
      <c r="T5" s="74"/>
      <c r="U5" s="74"/>
      <c r="V5" s="74"/>
      <c r="W5" s="74"/>
    </row>
    <row r="6" spans="1:23" s="77" customFormat="1" x14ac:dyDescent="0.3">
      <c r="A6" s="75" t="s">
        <v>420</v>
      </c>
      <c r="B6" s="75"/>
      <c r="C6" s="75"/>
      <c r="D6" s="79">
        <f>D5-D4+1</f>
        <v>365</v>
      </c>
      <c r="E6" s="79">
        <f t="shared" ref="E6:M6" si="3">E5-E4+1</f>
        <v>365</v>
      </c>
      <c r="F6" s="79">
        <f t="shared" si="3"/>
        <v>365</v>
      </c>
      <c r="G6" s="79">
        <f t="shared" si="3"/>
        <v>366</v>
      </c>
      <c r="H6" s="79">
        <f t="shared" si="3"/>
        <v>365</v>
      </c>
      <c r="I6" s="79">
        <f t="shared" si="3"/>
        <v>365</v>
      </c>
      <c r="J6" s="79">
        <f t="shared" si="3"/>
        <v>365</v>
      </c>
      <c r="K6" s="79">
        <f t="shared" si="3"/>
        <v>366</v>
      </c>
      <c r="L6" s="79">
        <f t="shared" si="3"/>
        <v>365</v>
      </c>
      <c r="M6" s="79">
        <f t="shared" si="3"/>
        <v>365</v>
      </c>
      <c r="N6" s="79">
        <f t="shared" ref="N6" si="4">N5-N4+1</f>
        <v>365</v>
      </c>
      <c r="O6" s="74"/>
      <c r="P6" s="74"/>
      <c r="Q6" s="74"/>
      <c r="R6" s="74"/>
      <c r="S6" s="74"/>
      <c r="T6" s="74"/>
      <c r="U6" s="74"/>
      <c r="V6" s="74"/>
      <c r="W6" s="74"/>
    </row>
    <row r="8" spans="1:23" hidden="1" x14ac:dyDescent="0.3">
      <c r="A8" s="177" t="s">
        <v>144</v>
      </c>
      <c r="B8" s="233"/>
      <c r="C8" s="233"/>
      <c r="D8" s="233"/>
      <c r="E8" s="233"/>
      <c r="F8" s="233"/>
      <c r="G8" s="233"/>
      <c r="H8" s="233"/>
      <c r="I8" s="233"/>
      <c r="J8" s="233"/>
      <c r="K8" s="233"/>
      <c r="L8" s="233"/>
      <c r="M8" s="233"/>
      <c r="N8" s="233"/>
    </row>
    <row r="9" spans="1:23" hidden="1" x14ac:dyDescent="0.3">
      <c r="A9" s="233" t="s">
        <v>667</v>
      </c>
      <c r="B9" s="233"/>
      <c r="C9" s="233"/>
      <c r="D9" s="233"/>
      <c r="E9" s="233"/>
      <c r="F9" s="233"/>
      <c r="G9" s="233"/>
      <c r="H9" s="233"/>
      <c r="I9" s="233"/>
      <c r="J9" s="233"/>
      <c r="K9" s="233"/>
      <c r="L9" s="233"/>
      <c r="M9" s="233"/>
      <c r="N9" s="233"/>
    </row>
    <row r="10" spans="1:23" hidden="1" x14ac:dyDescent="0.3">
      <c r="A10" s="233" t="s">
        <v>179</v>
      </c>
      <c r="B10" s="233"/>
      <c r="C10" s="233"/>
      <c r="D10" s="233"/>
      <c r="E10" s="233"/>
      <c r="F10" s="233"/>
      <c r="G10" s="233"/>
      <c r="H10" s="233"/>
      <c r="I10" s="233"/>
      <c r="J10" s="233"/>
      <c r="K10" s="233"/>
      <c r="L10" s="233"/>
      <c r="M10" s="233"/>
      <c r="N10" s="233"/>
    </row>
    <row r="11" spans="1:23" hidden="1" x14ac:dyDescent="0.3"/>
    <row r="12" spans="1:23" hidden="1" x14ac:dyDescent="0.3">
      <c r="A12" s="292" t="s">
        <v>499</v>
      </c>
      <c r="B12" s="204"/>
      <c r="C12" s="204"/>
      <c r="D12" s="204">
        <v>44286</v>
      </c>
      <c r="E12" s="204">
        <f>EDATE(D12,12)</f>
        <v>44651</v>
      </c>
      <c r="F12" s="204">
        <f t="shared" ref="F12" si="5">EDATE(E12,12)</f>
        <v>45016</v>
      </c>
      <c r="G12" s="204">
        <f t="shared" ref="G12" si="6">EDATE(F12,12)</f>
        <v>45382</v>
      </c>
      <c r="H12" s="204">
        <f t="shared" ref="H12" si="7">EDATE(G12,12)</f>
        <v>45747</v>
      </c>
      <c r="I12" s="204">
        <f t="shared" ref="I12" si="8">EDATE(H12,12)</f>
        <v>46112</v>
      </c>
      <c r="J12" s="204">
        <f t="shared" ref="J12" si="9">EDATE(I12,12)</f>
        <v>46477</v>
      </c>
      <c r="K12" s="204">
        <f t="shared" ref="K12" si="10">EDATE(J12,12)</f>
        <v>46843</v>
      </c>
      <c r="L12" s="204">
        <f t="shared" ref="L12" si="11">EDATE(K12,12)</f>
        <v>47208</v>
      </c>
      <c r="M12" s="204">
        <f t="shared" ref="M12:N12" si="12">EDATE(L12,12)</f>
        <v>47573</v>
      </c>
      <c r="N12" s="204">
        <f t="shared" si="12"/>
        <v>47938</v>
      </c>
    </row>
    <row r="13" spans="1:23" hidden="1" x14ac:dyDescent="0.3">
      <c r="A13" s="200" t="s">
        <v>20</v>
      </c>
      <c r="B13" s="203" t="s">
        <v>331</v>
      </c>
      <c r="C13" s="80"/>
      <c r="D13" s="80"/>
      <c r="E13" s="80"/>
      <c r="F13" s="80"/>
      <c r="G13" s="201">
        <f>'P&amp;L'!I39</f>
        <v>0.4482457949495921</v>
      </c>
      <c r="H13" s="201">
        <f>'P&amp;L'!J39</f>
        <v>0.46282124358562338</v>
      </c>
      <c r="I13" s="201">
        <f>'P&amp;L'!K39</f>
        <v>0.46536914487177627</v>
      </c>
      <c r="J13" s="201">
        <f>'P&amp;L'!L39</f>
        <v>0.46854491861359521</v>
      </c>
      <c r="K13" s="201">
        <f>'P&amp;L'!M39</f>
        <v>0.4988025823372671</v>
      </c>
      <c r="L13" s="201">
        <f>'P&amp;L'!N39</f>
        <v>0.50258314498064649</v>
      </c>
      <c r="M13" s="201">
        <f>'P&amp;L'!O39</f>
        <v>0.50256803883981083</v>
      </c>
      <c r="N13" s="201">
        <f>'P&amp;L'!P39</f>
        <v>0.50255352869203607</v>
      </c>
    </row>
    <row r="14" spans="1:23" hidden="1" x14ac:dyDescent="0.3">
      <c r="A14" s="116" t="s">
        <v>532</v>
      </c>
      <c r="B14" s="203" t="s">
        <v>445</v>
      </c>
      <c r="C14" s="80"/>
      <c r="D14" s="80"/>
      <c r="E14" s="80"/>
      <c r="F14" s="80"/>
      <c r="G14" s="202">
        <f>'Other Ratios'!C16</f>
        <v>0</v>
      </c>
      <c r="H14" s="202">
        <f>'Forecasted Ratio Analysis'!E99</f>
        <v>28.310580732333488</v>
      </c>
      <c r="I14" s="202">
        <f>'Forecasted Ratio Analysis'!F99</f>
        <v>8.5948522028564831</v>
      </c>
      <c r="J14" s="202">
        <f>'Forecasted Ratio Analysis'!G99</f>
        <v>10.872935092951193</v>
      </c>
      <c r="K14" s="202">
        <f>'Forecasted Ratio Analysis'!H99</f>
        <v>12.42884800040785</v>
      </c>
      <c r="L14" s="202">
        <f>'Forecasted Ratio Analysis'!I99</f>
        <v>12.928979408817515</v>
      </c>
      <c r="M14" s="202">
        <f>'Forecasted Ratio Analysis'!J99</f>
        <v>13.500843702843294</v>
      </c>
      <c r="N14" s="202">
        <f>'Forecasted Ratio Analysis'!K99</f>
        <v>31.533888903961415</v>
      </c>
    </row>
    <row r="15" spans="1:23" hidden="1" x14ac:dyDescent="0.3">
      <c r="A15" s="116" t="s">
        <v>533</v>
      </c>
      <c r="B15" s="203" t="s">
        <v>428</v>
      </c>
      <c r="C15" s="80"/>
      <c r="D15" s="80"/>
      <c r="E15" s="80"/>
      <c r="F15" s="80"/>
      <c r="G15" s="202">
        <f>CFS!H60</f>
        <v>4.9899921266311189</v>
      </c>
      <c r="H15" s="202">
        <f>CFS!I60</f>
        <v>16.012377085873847</v>
      </c>
      <c r="I15" s="202">
        <f>CFS!J60</f>
        <v>77.973864974270839</v>
      </c>
      <c r="J15" s="202">
        <f>CFS!K60</f>
        <v>213.10356788402089</v>
      </c>
      <c r="K15" s="202">
        <f>CFS!L60</f>
        <v>420.13020372209712</v>
      </c>
      <c r="L15" s="202">
        <f>CFS!M60</f>
        <v>653.39343315051622</v>
      </c>
      <c r="M15" s="202">
        <f>CFS!N60</f>
        <v>909.69364847777081</v>
      </c>
      <c r="N15" s="202">
        <f>CFS!O60</f>
        <v>1173.1661965778167</v>
      </c>
    </row>
    <row r="16" spans="1:23" hidden="1" x14ac:dyDescent="0.3">
      <c r="A16" s="116" t="s">
        <v>534</v>
      </c>
      <c r="B16" s="203" t="s">
        <v>445</v>
      </c>
      <c r="C16" s="80"/>
      <c r="D16" s="80"/>
      <c r="E16" s="80"/>
      <c r="F16" s="80"/>
      <c r="G16" s="202">
        <f>'Other Ratios'!C98</f>
        <v>23.424368987000001</v>
      </c>
      <c r="H16" s="202">
        <f>'Other Ratios'!D98</f>
        <v>3.8690099153636361</v>
      </c>
      <c r="I16" s="202">
        <f>'Other Ratios'!E98</f>
        <v>3.5691168919202894</v>
      </c>
      <c r="J16" s="202">
        <f>'Other Ratios'!F98</f>
        <v>4.078316025921052</v>
      </c>
      <c r="K16" s="202">
        <f>'Other Ratios'!G98</f>
        <v>5.0854589293604642</v>
      </c>
      <c r="L16" s="202">
        <f>'Other Ratios'!H98</f>
        <v>7.588896711018517</v>
      </c>
      <c r="M16" s="202">
        <f>'Other Ratios'!I98</f>
        <v>21.236187603611107</v>
      </c>
      <c r="N16" s="202">
        <f>'Other Ratios'!J98</f>
        <v>0</v>
      </c>
    </row>
    <row r="17" spans="1:14" hidden="1" x14ac:dyDescent="0.3">
      <c r="A17" s="116" t="s">
        <v>470</v>
      </c>
      <c r="B17" s="203" t="s">
        <v>445</v>
      </c>
      <c r="C17" s="80"/>
      <c r="D17" s="80"/>
      <c r="E17" s="80"/>
      <c r="F17" s="80"/>
      <c r="G17" s="202">
        <f>'Other Ratios'!C87</f>
        <v>3.1255121709093405</v>
      </c>
      <c r="H17" s="202">
        <f>'Other Ratios'!D87</f>
        <v>3.103605601209642</v>
      </c>
      <c r="I17" s="202">
        <f>'Other Ratios'!E87</f>
        <v>4.2797355677025388</v>
      </c>
      <c r="J17" s="202">
        <f>'Other Ratios'!F87</f>
        <v>5.7502690768593983</v>
      </c>
      <c r="K17" s="202">
        <f>'Other Ratios'!G87</f>
        <v>8.9832316401118053</v>
      </c>
      <c r="L17" s="202">
        <f>'Other Ratios'!H87</f>
        <v>11.888623991540841</v>
      </c>
      <c r="M17" s="202">
        <f>'Other Ratios'!I87</f>
        <v>17.053296522676618</v>
      </c>
      <c r="N17" s="202">
        <f>'Other Ratios'!J87</f>
        <v>23.379332919301959</v>
      </c>
    </row>
    <row r="18" spans="1:14" hidden="1" x14ac:dyDescent="0.3">
      <c r="A18" s="200" t="s">
        <v>460</v>
      </c>
      <c r="B18" s="203" t="s">
        <v>445</v>
      </c>
      <c r="C18" s="80"/>
      <c r="D18" s="80"/>
      <c r="E18" s="80"/>
      <c r="F18" s="80"/>
      <c r="G18" s="202">
        <f>'Other Ratios'!C62</f>
        <v>0.10118229457235919</v>
      </c>
      <c r="H18" s="202">
        <f>'Other Ratios'!D62</f>
        <v>0.54169466324342352</v>
      </c>
      <c r="I18" s="202">
        <f>'Other Ratios'!E62</f>
        <v>0.46319636920715179</v>
      </c>
      <c r="J18" s="202">
        <f>'Other Ratios'!F62</f>
        <v>0.19229177974823378</v>
      </c>
      <c r="K18" s="202">
        <f>'Other Ratios'!G62</f>
        <v>0.12325625800307775</v>
      </c>
      <c r="L18" s="202">
        <f>'Other Ratios'!H62</f>
        <v>7.4563861697672637E-2</v>
      </c>
      <c r="M18" s="202">
        <f>'Other Ratios'!I62</f>
        <v>4.8630431114054504E-2</v>
      </c>
      <c r="N18" s="202">
        <f>'Other Ratios'!J62</f>
        <v>4.4423152981290454E-3</v>
      </c>
    </row>
    <row r="19" spans="1:14" hidden="1" x14ac:dyDescent="0.3">
      <c r="A19" s="116" t="s">
        <v>453</v>
      </c>
      <c r="B19" s="203" t="s">
        <v>445</v>
      </c>
      <c r="C19" s="80"/>
      <c r="D19" s="80"/>
      <c r="E19" s="80"/>
      <c r="F19" s="80"/>
      <c r="G19" s="202">
        <f>'Other Ratios'!C38</f>
        <v>2.54616762579205E-2</v>
      </c>
      <c r="H19" s="202">
        <f>'Other Ratios'!D38</f>
        <v>0.20455872148896748</v>
      </c>
      <c r="I19" s="202">
        <f>'Other Ratios'!E38</f>
        <v>0.18685164322359896</v>
      </c>
      <c r="J19" s="202">
        <f>'Other Ratios'!F38</f>
        <v>0.10214246552594607</v>
      </c>
      <c r="K19" s="202">
        <f>'Other Ratios'!G38</f>
        <v>5.4730129470869457E-2</v>
      </c>
      <c r="L19" s="202">
        <f>'Other Ratios'!H38</f>
        <v>2.6218838588878236E-2</v>
      </c>
      <c r="M19" s="202">
        <f>'Other Ratios'!I38</f>
        <v>6.9795443254500773E-3</v>
      </c>
      <c r="N19" s="202">
        <f>'Other Ratios'!J38</f>
        <v>0</v>
      </c>
    </row>
    <row r="21" spans="1:14" x14ac:dyDescent="0.3">
      <c r="A21" s="414" t="s">
        <v>10</v>
      </c>
      <c r="B21" s="414"/>
      <c r="C21" s="414"/>
      <c r="D21" s="414">
        <v>44286</v>
      </c>
      <c r="E21" s="414">
        <f>EDATE(D21,12)</f>
        <v>44651</v>
      </c>
      <c r="F21" s="414">
        <f t="shared" ref="F21:N21" si="13">EDATE(E21,12)</f>
        <v>45016</v>
      </c>
      <c r="G21" s="414">
        <f t="shared" si="13"/>
        <v>45382</v>
      </c>
      <c r="H21" s="414">
        <f t="shared" si="13"/>
        <v>45747</v>
      </c>
      <c r="I21" s="414">
        <f t="shared" si="13"/>
        <v>46112</v>
      </c>
      <c r="J21" s="414">
        <f t="shared" si="13"/>
        <v>46477</v>
      </c>
      <c r="K21" s="414">
        <f t="shared" si="13"/>
        <v>46843</v>
      </c>
      <c r="L21" s="414">
        <f t="shared" si="13"/>
        <v>47208</v>
      </c>
      <c r="M21" s="414">
        <f t="shared" si="13"/>
        <v>47573</v>
      </c>
      <c r="N21" s="414">
        <f t="shared" si="13"/>
        <v>47938</v>
      </c>
    </row>
    <row r="22" spans="1:14" x14ac:dyDescent="0.3">
      <c r="A22" s="80" t="s">
        <v>507</v>
      </c>
      <c r="B22" s="203" t="s">
        <v>535</v>
      </c>
      <c r="C22" s="80"/>
      <c r="D22" s="293">
        <f>18000*12</f>
        <v>216000</v>
      </c>
      <c r="E22" s="294">
        <f>D22</f>
        <v>216000</v>
      </c>
      <c r="F22" s="294">
        <f t="shared" ref="F22:N22" si="14">E22</f>
        <v>216000</v>
      </c>
      <c r="G22" s="294">
        <f t="shared" si="14"/>
        <v>216000</v>
      </c>
      <c r="H22" s="294">
        <f t="shared" si="14"/>
        <v>216000</v>
      </c>
      <c r="I22" s="294">
        <f t="shared" si="14"/>
        <v>216000</v>
      </c>
      <c r="J22" s="294">
        <f t="shared" si="14"/>
        <v>216000</v>
      </c>
      <c r="K22" s="294">
        <f t="shared" si="14"/>
        <v>216000</v>
      </c>
      <c r="L22" s="294">
        <f t="shared" si="14"/>
        <v>216000</v>
      </c>
      <c r="M22" s="294">
        <f t="shared" si="14"/>
        <v>216000</v>
      </c>
      <c r="N22" s="294">
        <f t="shared" si="14"/>
        <v>216000</v>
      </c>
    </row>
    <row r="23" spans="1:14" x14ac:dyDescent="0.3">
      <c r="A23" s="80" t="s">
        <v>508</v>
      </c>
      <c r="B23" s="203" t="s">
        <v>535</v>
      </c>
      <c r="C23" s="80"/>
      <c r="D23" s="294">
        <v>0</v>
      </c>
      <c r="E23" s="294">
        <v>0</v>
      </c>
      <c r="F23" s="294">
        <v>0</v>
      </c>
      <c r="G23" s="294">
        <v>0</v>
      </c>
      <c r="H23" s="293">
        <v>0</v>
      </c>
      <c r="I23" s="293">
        <f>18000*12</f>
        <v>216000</v>
      </c>
      <c r="J23" s="294">
        <f>I23</f>
        <v>216000</v>
      </c>
      <c r="K23" s="294">
        <f>J23</f>
        <v>216000</v>
      </c>
      <c r="L23" s="294">
        <f>K23</f>
        <v>216000</v>
      </c>
      <c r="M23" s="294">
        <f>L23</f>
        <v>216000</v>
      </c>
      <c r="N23" s="294">
        <f>M23</f>
        <v>216000</v>
      </c>
    </row>
    <row r="24" spans="1:14" s="100" customFormat="1" x14ac:dyDescent="0.3">
      <c r="A24" s="116" t="s">
        <v>498</v>
      </c>
      <c r="B24" s="295" t="s">
        <v>535</v>
      </c>
      <c r="C24" s="116"/>
      <c r="D24" s="296">
        <f>SUM(D22:D23)</f>
        <v>216000</v>
      </c>
      <c r="E24" s="296">
        <f t="shared" ref="E24:L24" si="15">SUM(E22:E23)</f>
        <v>216000</v>
      </c>
      <c r="F24" s="296">
        <f t="shared" si="15"/>
        <v>216000</v>
      </c>
      <c r="G24" s="296">
        <f t="shared" si="15"/>
        <v>216000</v>
      </c>
      <c r="H24" s="296">
        <f t="shared" si="15"/>
        <v>216000</v>
      </c>
      <c r="I24" s="296">
        <f t="shared" si="15"/>
        <v>432000</v>
      </c>
      <c r="J24" s="296">
        <f t="shared" si="15"/>
        <v>432000</v>
      </c>
      <c r="K24" s="296">
        <f t="shared" si="15"/>
        <v>432000</v>
      </c>
      <c r="L24" s="296">
        <f t="shared" si="15"/>
        <v>432000</v>
      </c>
      <c r="M24" s="296">
        <f t="shared" ref="M24:N24" si="16">SUM(M22:M23)</f>
        <v>432000</v>
      </c>
      <c r="N24" s="296">
        <f t="shared" si="16"/>
        <v>432000</v>
      </c>
    </row>
    <row r="25" spans="1:14" x14ac:dyDescent="0.3">
      <c r="A25" s="205" t="s">
        <v>7</v>
      </c>
      <c r="B25" s="205"/>
      <c r="C25" s="205"/>
      <c r="D25" s="206"/>
      <c r="E25" s="206"/>
      <c r="F25" s="206"/>
      <c r="G25" s="206"/>
      <c r="H25" s="206"/>
      <c r="I25" s="206"/>
      <c r="J25" s="206"/>
      <c r="K25" s="206"/>
      <c r="L25" s="206"/>
      <c r="M25" s="206"/>
      <c r="N25" s="206"/>
    </row>
    <row r="26" spans="1:14" x14ac:dyDescent="0.3">
      <c r="A26" s="80" t="s">
        <v>494</v>
      </c>
      <c r="B26" s="203" t="s">
        <v>535</v>
      </c>
      <c r="C26" s="80"/>
      <c r="D26" s="151">
        <v>101867</v>
      </c>
      <c r="E26" s="151">
        <v>81012</v>
      </c>
      <c r="F26" s="151">
        <v>95882</v>
      </c>
      <c r="G26" s="151">
        <f>'Est Prod, Sales'!B12*1000</f>
        <v>137270</v>
      </c>
      <c r="H26" s="151">
        <f>'Est Prod, Sales'!B13*1000</f>
        <v>70000</v>
      </c>
      <c r="I26" s="151">
        <f>'Est Prod, Sales'!B14*1000</f>
        <v>70000</v>
      </c>
      <c r="J26" s="151">
        <f>'Est Prod, Sales'!B15*1000</f>
        <v>70000</v>
      </c>
      <c r="K26" s="151">
        <f>'Est Prod, Sales'!B16*1000</f>
        <v>74748.219612641144</v>
      </c>
      <c r="L26" s="151">
        <f>'Est Prod, Sales'!B17*1000</f>
        <v>79818.519075137563</v>
      </c>
      <c r="M26" s="151">
        <f>'Est Prod, Sales'!B18*1000</f>
        <v>85232.745614059546</v>
      </c>
      <c r="N26" s="151">
        <f>'Est Prod, Sales'!B19*1000</f>
        <v>91014.228390687102</v>
      </c>
    </row>
    <row r="27" spans="1:14" x14ac:dyDescent="0.3">
      <c r="A27" s="80" t="s">
        <v>539</v>
      </c>
      <c r="B27" s="203" t="s">
        <v>428</v>
      </c>
      <c r="C27" s="80"/>
      <c r="D27" s="152">
        <v>62.854599999999998</v>
      </c>
      <c r="E27" s="152">
        <v>51.37</v>
      </c>
      <c r="F27" s="152">
        <v>65.424899999999994</v>
      </c>
      <c r="G27" s="152">
        <f>'Est Prod, Sales'!C12/100</f>
        <v>103.0077</v>
      </c>
      <c r="H27" s="152">
        <f>'Est Prod, Sales'!C13/100</f>
        <v>52.5</v>
      </c>
      <c r="I27" s="152">
        <f>'Est Prod, Sales'!C14/100</f>
        <v>52.5</v>
      </c>
      <c r="J27" s="152">
        <f>'Est Prod, Sales'!C15/100</f>
        <v>52.5</v>
      </c>
      <c r="K27" s="152">
        <f>'Est Prod, Sales'!C16/100</f>
        <v>59.863889306353165</v>
      </c>
      <c r="L27" s="152">
        <f>'Est Prod, Sales'!C17/100</f>
        <v>63.924559210544651</v>
      </c>
      <c r="M27" s="152">
        <f>'Est Prod, Sales'!C18/100</f>
        <v>68.260671293015335</v>
      </c>
      <c r="N27" s="152">
        <f>'Est Prod, Sales'!C19/100</f>
        <v>72.890909267380252</v>
      </c>
    </row>
    <row r="28" spans="1:14" ht="14.4" x14ac:dyDescent="0.3">
      <c r="A28" s="80" t="s">
        <v>0</v>
      </c>
      <c r="B28" s="203" t="s">
        <v>540</v>
      </c>
      <c r="C28" s="80"/>
      <c r="D28" s="207">
        <f t="shared" ref="D28:N28" si="17">D27*10^7/D26</f>
        <v>6170.2612229672022</v>
      </c>
      <c r="E28" s="207">
        <f t="shared" si="17"/>
        <v>6341.0358959166542</v>
      </c>
      <c r="F28" s="207">
        <f t="shared" si="17"/>
        <v>6823.4809453286316</v>
      </c>
      <c r="G28" s="110">
        <f t="shared" si="17"/>
        <v>7504.0212719458004</v>
      </c>
      <c r="H28" s="110">
        <f t="shared" si="17"/>
        <v>7500</v>
      </c>
      <c r="I28" s="110">
        <f t="shared" si="17"/>
        <v>7500</v>
      </c>
      <c r="J28" s="110">
        <f t="shared" si="17"/>
        <v>7500</v>
      </c>
      <c r="K28" s="110">
        <f t="shared" si="17"/>
        <v>8008.7378156401201</v>
      </c>
      <c r="L28" s="110">
        <f t="shared" si="17"/>
        <v>8008.7378156401201</v>
      </c>
      <c r="M28" s="110">
        <f t="shared" si="17"/>
        <v>8008.737815640121</v>
      </c>
      <c r="N28" s="110">
        <f t="shared" si="17"/>
        <v>8008.737815640121</v>
      </c>
    </row>
    <row r="29" spans="1:14" x14ac:dyDescent="0.3">
      <c r="A29" s="205" t="s">
        <v>8</v>
      </c>
      <c r="B29" s="205"/>
      <c r="C29" s="205"/>
      <c r="D29" s="206"/>
      <c r="E29" s="206"/>
      <c r="F29" s="206"/>
      <c r="G29" s="206"/>
      <c r="H29" s="206"/>
      <c r="I29" s="206"/>
      <c r="J29" s="206"/>
      <c r="K29" s="206"/>
      <c r="L29" s="206"/>
      <c r="M29" s="206"/>
      <c r="N29" s="206"/>
    </row>
    <row r="30" spans="1:14" x14ac:dyDescent="0.3">
      <c r="A30" s="80" t="s">
        <v>494</v>
      </c>
      <c r="B30" s="203" t="s">
        <v>535</v>
      </c>
      <c r="C30" s="80"/>
      <c r="D30" s="151">
        <v>37268</v>
      </c>
      <c r="E30" s="151">
        <v>110521</v>
      </c>
      <c r="F30" s="151">
        <v>108301</v>
      </c>
      <c r="G30" s="151">
        <f>'Est Prod, Sales'!F12*1000</f>
        <v>79320</v>
      </c>
      <c r="H30" s="151">
        <f>'Est Prod, Sales'!F13*1000</f>
        <v>81000</v>
      </c>
      <c r="I30" s="151">
        <f>'Est Prod, Sales'!F14*1000</f>
        <v>90000</v>
      </c>
      <c r="J30" s="151">
        <f>'Est Prod, Sales'!F15*1000</f>
        <v>90000</v>
      </c>
      <c r="K30" s="508">
        <f>'Est Prod, Sales'!F16*1000</f>
        <v>93716.377730988504</v>
      </c>
      <c r="L30" s="508">
        <f>'Est Prod, Sales'!F17*1000</f>
        <v>97586.216166859071</v>
      </c>
      <c r="M30" s="508">
        <f>'Est Prod, Sales'!F18*1000</f>
        <v>101615.85217368067</v>
      </c>
      <c r="N30" s="508">
        <f>'Est Prod, Sales'!F19*1000</f>
        <v>105811.88428627717</v>
      </c>
    </row>
    <row r="31" spans="1:14" x14ac:dyDescent="0.3">
      <c r="A31" s="80" t="s">
        <v>539</v>
      </c>
      <c r="B31" s="203" t="s">
        <v>428</v>
      </c>
      <c r="C31" s="80"/>
      <c r="D31" s="152">
        <v>25.9404</v>
      </c>
      <c r="E31" s="152">
        <v>62.820600000000006</v>
      </c>
      <c r="F31" s="152">
        <v>82.704799999999992</v>
      </c>
      <c r="G31" s="152">
        <f>'Est Prod, Sales'!G12/100</f>
        <v>58.377800000000001</v>
      </c>
      <c r="H31" s="152">
        <f>'Est Prod, Sales'!G13/100</f>
        <v>60.696000000000005</v>
      </c>
      <c r="I31" s="152">
        <f>'Est Prod, Sales'!G14/100</f>
        <v>69.3</v>
      </c>
      <c r="J31" s="152">
        <f>'Est Prod, Sales'!G15/100</f>
        <v>71.099999999999994</v>
      </c>
      <c r="K31" s="509">
        <f>'Est Prod, Sales'!G16/100</f>
        <v>77.093110771818658</v>
      </c>
      <c r="L31" s="509">
        <f>'Est Prod, Sales'!G17/100</f>
        <v>80.276523217207739</v>
      </c>
      <c r="M31" s="509">
        <f>'Est Prod, Sales'!G18/100</f>
        <v>83.59138858615897</v>
      </c>
      <c r="N31" s="509">
        <f>'Est Prod, Sales'!G19/100</f>
        <v>87.04313497553683</v>
      </c>
    </row>
    <row r="32" spans="1:14" ht="14.4" x14ac:dyDescent="0.3">
      <c r="A32" s="80" t="s">
        <v>0</v>
      </c>
      <c r="B32" s="203" t="s">
        <v>540</v>
      </c>
      <c r="C32" s="80"/>
      <c r="D32" s="207">
        <f t="shared" ref="D32:N32" si="18">D31*10^7/D30</f>
        <v>6960.5023076097459</v>
      </c>
      <c r="E32" s="207">
        <f t="shared" si="18"/>
        <v>5684.0419467793463</v>
      </c>
      <c r="F32" s="207">
        <f t="shared" si="18"/>
        <v>7636.5684527382009</v>
      </c>
      <c r="G32" s="110">
        <f t="shared" si="18"/>
        <v>7359.7831568330812</v>
      </c>
      <c r="H32" s="110">
        <f t="shared" si="18"/>
        <v>7493.333333333333</v>
      </c>
      <c r="I32" s="110">
        <f t="shared" si="18"/>
        <v>7700</v>
      </c>
      <c r="J32" s="110">
        <f t="shared" si="18"/>
        <v>7900</v>
      </c>
      <c r="K32" s="110">
        <f t="shared" si="18"/>
        <v>8226.2153786089893</v>
      </c>
      <c r="L32" s="110">
        <f t="shared" si="18"/>
        <v>8226.2153786089912</v>
      </c>
      <c r="M32" s="110">
        <f t="shared" si="18"/>
        <v>8226.2153786089893</v>
      </c>
      <c r="N32" s="110">
        <f t="shared" si="18"/>
        <v>8226.2153786089912</v>
      </c>
    </row>
    <row r="33" spans="1:14" x14ac:dyDescent="0.3">
      <c r="A33" s="205" t="s">
        <v>873</v>
      </c>
      <c r="B33" s="205"/>
      <c r="C33" s="205"/>
      <c r="D33" s="206"/>
      <c r="E33" s="206"/>
      <c r="F33" s="206"/>
      <c r="G33" s="206"/>
      <c r="H33" s="206"/>
      <c r="I33" s="206"/>
      <c r="J33" s="206"/>
      <c r="K33" s="206"/>
      <c r="L33" s="206"/>
      <c r="M33" s="206"/>
      <c r="N33" s="206"/>
    </row>
    <row r="34" spans="1:14" x14ac:dyDescent="0.3">
      <c r="A34" s="80" t="s">
        <v>494</v>
      </c>
      <c r="B34" s="203" t="s">
        <v>535</v>
      </c>
      <c r="C34" s="80"/>
      <c r="D34" s="151"/>
      <c r="E34" s="151"/>
      <c r="F34" s="151"/>
      <c r="G34" s="151"/>
      <c r="H34" s="151">
        <f>'Est Prod, Sales'!J13*1000</f>
        <v>32880</v>
      </c>
      <c r="I34" s="151">
        <f>'Est Prod, Sales'!J14*1000</f>
        <v>58000</v>
      </c>
      <c r="J34" s="151">
        <f>'Est Prod, Sales'!J15*1000</f>
        <v>144648</v>
      </c>
      <c r="K34" s="208">
        <f>'Est Prod, Sales'!J16*1000</f>
        <v>152878.47119999997</v>
      </c>
      <c r="L34" s="208">
        <f>'Est Prod, Sales'!J17*1000</f>
        <v>161577.25621127998</v>
      </c>
      <c r="M34" s="208">
        <f>'Est Prod, Sales'!J18*1000</f>
        <v>170771.0020897018</v>
      </c>
      <c r="N34" s="208">
        <f>'Est Prod, Sales'!J19*1000</f>
        <v>180487.87210860581</v>
      </c>
    </row>
    <row r="35" spans="1:14" x14ac:dyDescent="0.3">
      <c r="A35" s="80" t="s">
        <v>539</v>
      </c>
      <c r="B35" s="203" t="s">
        <v>428</v>
      </c>
      <c r="C35" s="80"/>
      <c r="D35" s="152"/>
      <c r="E35" s="152"/>
      <c r="F35" s="152"/>
      <c r="G35" s="152"/>
      <c r="H35" s="152">
        <f>'Est Prod, Sales'!K13/100</f>
        <v>122.80680000000001</v>
      </c>
      <c r="I35" s="152">
        <f>'Est Prod, Sales'!K14/100</f>
        <v>216.63</v>
      </c>
      <c r="J35" s="152">
        <f>'Est Prod, Sales'!K15/100</f>
        <v>540.26027999999997</v>
      </c>
      <c r="K35" s="406">
        <f>'Est Prod, Sales'!K16/100</f>
        <v>603.49105194913068</v>
      </c>
      <c r="L35" s="406">
        <f>'Est Prod, Sales'!K17/100</f>
        <v>637.8296928050363</v>
      </c>
      <c r="M35" s="406">
        <f>'Est Prod, Sales'!K18/100</f>
        <v>674.12220232564277</v>
      </c>
      <c r="N35" s="406">
        <f>'Est Prod, Sales'!K19/100</f>
        <v>712.47975563797183</v>
      </c>
    </row>
    <row r="36" spans="1:14" ht="14.4" x14ac:dyDescent="0.3">
      <c r="A36" s="80" t="s">
        <v>0</v>
      </c>
      <c r="B36" s="203" t="s">
        <v>540</v>
      </c>
      <c r="C36" s="80"/>
      <c r="D36" s="207"/>
      <c r="E36" s="207"/>
      <c r="F36" s="207"/>
      <c r="G36" s="110"/>
      <c r="H36" s="110">
        <f t="shared" ref="H36:N36" si="19">H35*10^7/H34</f>
        <v>37350</v>
      </c>
      <c r="I36" s="110">
        <f t="shared" si="19"/>
        <v>37350</v>
      </c>
      <c r="J36" s="110">
        <f t="shared" si="19"/>
        <v>37350</v>
      </c>
      <c r="K36" s="110">
        <f t="shared" si="19"/>
        <v>39475.215000000004</v>
      </c>
      <c r="L36" s="110">
        <f t="shared" si="19"/>
        <v>39475.214999999997</v>
      </c>
      <c r="M36" s="110">
        <f t="shared" si="19"/>
        <v>39475.215000000004</v>
      </c>
      <c r="N36" s="110">
        <f t="shared" si="19"/>
        <v>39475.215000000004</v>
      </c>
    </row>
    <row r="37" spans="1:14" ht="14.4" hidden="1" x14ac:dyDescent="0.3">
      <c r="A37" s="213" t="s">
        <v>550</v>
      </c>
      <c r="B37" s="1"/>
      <c r="C37" s="1"/>
      <c r="D37" s="1"/>
      <c r="E37" s="1"/>
      <c r="F37" s="1"/>
      <c r="G37" s="1"/>
      <c r="H37" s="1"/>
      <c r="I37" s="1"/>
      <c r="J37" s="1"/>
      <c r="K37" s="1"/>
      <c r="L37" s="1"/>
      <c r="M37" s="1"/>
      <c r="N37" s="1"/>
    </row>
    <row r="38" spans="1:14" hidden="1" x14ac:dyDescent="0.3">
      <c r="A38" s="80"/>
      <c r="B38" s="80"/>
      <c r="C38" s="80"/>
      <c r="D38" s="80"/>
      <c r="E38" s="80"/>
      <c r="F38" s="80"/>
      <c r="G38" s="510"/>
      <c r="H38" s="510"/>
      <c r="I38" s="510"/>
      <c r="J38" s="510"/>
      <c r="K38" s="510"/>
      <c r="L38" s="510"/>
      <c r="M38" s="80"/>
      <c r="N38" s="80"/>
    </row>
    <row r="39" spans="1:14" hidden="1" x14ac:dyDescent="0.3">
      <c r="A39" s="511" t="s">
        <v>10</v>
      </c>
      <c r="B39" s="511"/>
      <c r="C39" s="511"/>
      <c r="D39" s="511">
        <v>44286</v>
      </c>
      <c r="E39" s="511">
        <v>44651</v>
      </c>
      <c r="F39" s="511">
        <v>45016</v>
      </c>
      <c r="G39" s="511">
        <v>45382</v>
      </c>
      <c r="H39" s="511">
        <v>45747</v>
      </c>
      <c r="I39" s="511">
        <v>46112</v>
      </c>
      <c r="J39" s="511">
        <v>46477</v>
      </c>
      <c r="K39" s="511">
        <v>46843</v>
      </c>
      <c r="L39" s="511">
        <v>47208</v>
      </c>
      <c r="M39" s="511">
        <v>47573</v>
      </c>
      <c r="N39" s="511">
        <v>47573</v>
      </c>
    </row>
    <row r="40" spans="1:14" hidden="1" x14ac:dyDescent="0.3">
      <c r="A40" s="80" t="s">
        <v>495</v>
      </c>
      <c r="B40" s="80"/>
      <c r="C40" s="80"/>
      <c r="D40" s="80"/>
      <c r="E40" s="80"/>
      <c r="F40" s="80"/>
      <c r="G40" s="80"/>
      <c r="H40" s="80"/>
      <c r="I40" s="80"/>
      <c r="J40" s="80"/>
      <c r="K40" s="80"/>
      <c r="L40" s="80"/>
      <c r="M40" s="80"/>
      <c r="N40" s="80"/>
    </row>
    <row r="41" spans="1:14" ht="14.4" hidden="1" x14ac:dyDescent="0.3">
      <c r="A41" s="80" t="s">
        <v>3</v>
      </c>
      <c r="B41" s="80"/>
      <c r="C41" s="80"/>
      <c r="D41" s="135"/>
      <c r="E41" s="135"/>
      <c r="F41" s="135"/>
      <c r="G41" s="80"/>
      <c r="H41" s="80"/>
      <c r="I41" s="80"/>
      <c r="J41" s="80"/>
      <c r="K41" s="80"/>
      <c r="L41" s="80"/>
      <c r="M41" s="80"/>
      <c r="N41" s="80"/>
    </row>
    <row r="42" spans="1:14" hidden="1" x14ac:dyDescent="0.3">
      <c r="A42" s="205" t="s">
        <v>494</v>
      </c>
      <c r="B42" s="205"/>
      <c r="C42" s="205"/>
      <c r="D42" s="206"/>
      <c r="E42" s="206"/>
      <c r="F42" s="206"/>
      <c r="G42" s="206"/>
      <c r="H42" s="206"/>
      <c r="I42" s="206"/>
      <c r="J42" s="206"/>
      <c r="K42" s="206"/>
      <c r="L42" s="206"/>
      <c r="M42" s="206"/>
      <c r="N42" s="206"/>
    </row>
    <row r="43" spans="1:14" hidden="1" x14ac:dyDescent="0.3">
      <c r="A43" s="80" t="s">
        <v>1</v>
      </c>
      <c r="B43" s="203" t="s">
        <v>535</v>
      </c>
      <c r="C43" s="80"/>
      <c r="D43" s="80"/>
      <c r="E43" s="80"/>
      <c r="F43" s="80"/>
      <c r="G43" s="80"/>
      <c r="H43" s="80"/>
      <c r="I43" s="80"/>
      <c r="J43" s="80"/>
      <c r="K43" s="80"/>
      <c r="L43" s="80"/>
      <c r="M43" s="80"/>
      <c r="N43" s="80"/>
    </row>
    <row r="44" spans="1:14" hidden="1" x14ac:dyDescent="0.3">
      <c r="A44" s="80" t="s">
        <v>2</v>
      </c>
      <c r="B44" s="203" t="s">
        <v>535</v>
      </c>
      <c r="C44" s="80"/>
      <c r="D44" s="80"/>
      <c r="E44" s="80"/>
      <c r="F44" s="80"/>
      <c r="G44" s="80"/>
      <c r="H44" s="80"/>
      <c r="I44" s="80"/>
      <c r="J44" s="80"/>
      <c r="K44" s="80"/>
      <c r="L44" s="80"/>
      <c r="M44" s="80"/>
      <c r="N44" s="80"/>
    </row>
    <row r="45" spans="1:14" hidden="1" x14ac:dyDescent="0.3">
      <c r="A45" s="80" t="s">
        <v>9</v>
      </c>
      <c r="B45" s="203" t="s">
        <v>535</v>
      </c>
      <c r="C45" s="80"/>
      <c r="D45" s="238"/>
      <c r="E45" s="238"/>
      <c r="F45" s="238"/>
      <c r="G45" s="238"/>
      <c r="H45" s="238">
        <v>0</v>
      </c>
      <c r="I45" s="238">
        <v>0</v>
      </c>
      <c r="J45" s="238">
        <v>0</v>
      </c>
      <c r="K45" s="239"/>
      <c r="L45" s="239"/>
      <c r="M45" s="239"/>
      <c r="N45" s="239"/>
    </row>
    <row r="46" spans="1:14" hidden="1" x14ac:dyDescent="0.3">
      <c r="A46" s="80"/>
      <c r="B46" s="80"/>
      <c r="C46" s="80"/>
      <c r="D46" s="80"/>
      <c r="E46" s="80"/>
      <c r="F46" s="80"/>
      <c r="G46" s="80"/>
      <c r="H46" s="80"/>
      <c r="I46" s="80"/>
      <c r="J46" s="80"/>
      <c r="K46" s="80"/>
      <c r="L46" s="80"/>
      <c r="M46" s="80"/>
      <c r="N46" s="80"/>
    </row>
    <row r="47" spans="1:14" hidden="1" x14ac:dyDescent="0.3">
      <c r="A47" s="206" t="s">
        <v>4</v>
      </c>
      <c r="B47" s="206"/>
      <c r="C47" s="206"/>
      <c r="D47" s="206"/>
      <c r="E47" s="206"/>
      <c r="F47" s="206"/>
      <c r="G47" s="206"/>
      <c r="H47" s="206"/>
      <c r="I47" s="206"/>
      <c r="J47" s="206"/>
      <c r="K47" s="206"/>
      <c r="L47" s="206"/>
      <c r="M47" s="206"/>
      <c r="N47" s="206"/>
    </row>
    <row r="48" spans="1:14" hidden="1" x14ac:dyDescent="0.3">
      <c r="A48" s="80" t="s">
        <v>5</v>
      </c>
      <c r="B48" s="203" t="s">
        <v>428</v>
      </c>
      <c r="C48" s="80"/>
      <c r="D48" s="80"/>
      <c r="E48" s="80"/>
      <c r="F48" s="80"/>
      <c r="G48" s="80"/>
      <c r="H48" s="80"/>
      <c r="I48" s="80"/>
      <c r="J48" s="80"/>
      <c r="K48" s="80"/>
      <c r="L48" s="80"/>
      <c r="M48" s="80"/>
      <c r="N48" s="80"/>
    </row>
    <row r="49" spans="1:14" hidden="1" x14ac:dyDescent="0.3">
      <c r="A49" s="80" t="s">
        <v>6</v>
      </c>
      <c r="B49" s="203" t="s">
        <v>428</v>
      </c>
      <c r="C49" s="80"/>
      <c r="D49" s="80"/>
      <c r="E49" s="80"/>
      <c r="F49" s="80"/>
      <c r="G49" s="80"/>
      <c r="H49" s="80"/>
      <c r="I49" s="80"/>
      <c r="J49" s="80"/>
      <c r="K49" s="80"/>
      <c r="L49" s="80"/>
      <c r="M49" s="80"/>
      <c r="N49" s="80"/>
    </row>
    <row r="50" spans="1:14" hidden="1" x14ac:dyDescent="0.3">
      <c r="A50" s="80" t="s">
        <v>539</v>
      </c>
      <c r="B50" s="203" t="s">
        <v>428</v>
      </c>
      <c r="C50" s="80"/>
      <c r="D50" s="152"/>
      <c r="E50" s="152"/>
      <c r="F50" s="152"/>
      <c r="G50" s="152"/>
      <c r="H50" s="152"/>
      <c r="I50" s="152"/>
      <c r="J50" s="152"/>
      <c r="K50" s="80"/>
      <c r="L50" s="80"/>
      <c r="M50" s="80"/>
      <c r="N50" s="80"/>
    </row>
    <row r="51" spans="1:14" hidden="1" x14ac:dyDescent="0.3">
      <c r="A51" s="80"/>
      <c r="B51" s="80"/>
      <c r="C51" s="80"/>
      <c r="D51" s="80"/>
      <c r="E51" s="80"/>
      <c r="F51" s="80"/>
      <c r="G51" s="80"/>
      <c r="H51" s="80"/>
      <c r="I51" s="80"/>
      <c r="J51" s="80"/>
      <c r="K51" s="80"/>
      <c r="L51" s="80"/>
      <c r="M51" s="80"/>
      <c r="N51" s="80"/>
    </row>
    <row r="52" spans="1:14" hidden="1" x14ac:dyDescent="0.3">
      <c r="A52" s="206" t="s">
        <v>0</v>
      </c>
      <c r="B52" s="206"/>
      <c r="C52" s="206"/>
      <c r="D52" s="206"/>
      <c r="E52" s="206"/>
      <c r="F52" s="206"/>
      <c r="G52" s="206"/>
      <c r="H52" s="206"/>
      <c r="I52" s="206"/>
      <c r="J52" s="206"/>
      <c r="K52" s="206"/>
      <c r="L52" s="206"/>
      <c r="M52" s="206"/>
      <c r="N52" s="206"/>
    </row>
    <row r="53" spans="1:14" hidden="1" x14ac:dyDescent="0.3">
      <c r="A53" s="80" t="s">
        <v>1</v>
      </c>
      <c r="B53" s="203" t="s">
        <v>540</v>
      </c>
      <c r="C53" s="80"/>
      <c r="D53" s="80"/>
      <c r="E53" s="80"/>
      <c r="F53" s="80"/>
      <c r="G53" s="80"/>
      <c r="H53" s="80"/>
      <c r="I53" s="80"/>
      <c r="J53" s="80"/>
      <c r="K53" s="80"/>
      <c r="L53" s="80"/>
      <c r="M53" s="80"/>
      <c r="N53" s="80"/>
    </row>
    <row r="54" spans="1:14" hidden="1" x14ac:dyDescent="0.3">
      <c r="A54" s="80" t="s">
        <v>2</v>
      </c>
      <c r="B54" s="203" t="s">
        <v>540</v>
      </c>
      <c r="C54" s="80"/>
      <c r="D54" s="80"/>
      <c r="E54" s="80"/>
      <c r="F54" s="80"/>
      <c r="G54" s="80"/>
      <c r="H54" s="80"/>
      <c r="I54" s="80"/>
      <c r="J54" s="80"/>
      <c r="K54" s="80"/>
      <c r="L54" s="80"/>
      <c r="M54" s="80"/>
      <c r="N54" s="80"/>
    </row>
    <row r="55" spans="1:14" hidden="1" x14ac:dyDescent="0.3">
      <c r="A55" s="80"/>
      <c r="B55" s="80"/>
      <c r="C55" s="80"/>
      <c r="D55" s="80"/>
      <c r="E55" s="80"/>
      <c r="F55" s="80"/>
      <c r="G55" s="510"/>
      <c r="H55" s="510"/>
      <c r="I55" s="510"/>
      <c r="J55" s="510"/>
      <c r="K55" s="510"/>
      <c r="L55" s="510"/>
      <c r="M55" s="80"/>
      <c r="N55" s="80"/>
    </row>
    <row r="56" spans="1:14" ht="14.4" hidden="1" x14ac:dyDescent="0.3">
      <c r="A56" s="213" t="s">
        <v>551</v>
      </c>
      <c r="B56" s="1"/>
      <c r="C56" s="1"/>
      <c r="D56" s="1"/>
      <c r="E56" s="1"/>
      <c r="F56" s="1"/>
      <c r="G56" s="1"/>
      <c r="H56" s="1"/>
      <c r="I56" s="1"/>
      <c r="J56" s="1"/>
      <c r="K56" s="1"/>
      <c r="L56" s="1"/>
      <c r="M56" s="1"/>
      <c r="N56" s="1"/>
    </row>
    <row r="57" spans="1:14" hidden="1" x14ac:dyDescent="0.3">
      <c r="A57" s="80"/>
      <c r="B57" s="80"/>
      <c r="C57" s="80"/>
      <c r="D57" s="80"/>
      <c r="E57" s="80"/>
      <c r="F57" s="80"/>
      <c r="G57" s="510"/>
      <c r="H57" s="510"/>
      <c r="I57" s="510"/>
      <c r="J57" s="510"/>
      <c r="K57" s="510"/>
      <c r="L57" s="510"/>
      <c r="M57" s="80"/>
      <c r="N57" s="80"/>
    </row>
    <row r="58" spans="1:14" hidden="1" x14ac:dyDescent="0.3">
      <c r="A58" s="511" t="s">
        <v>10</v>
      </c>
      <c r="B58" s="511"/>
      <c r="C58" s="511"/>
      <c r="D58" s="511">
        <v>44286</v>
      </c>
      <c r="E58" s="511">
        <v>44651</v>
      </c>
      <c r="F58" s="511">
        <v>45016</v>
      </c>
      <c r="G58" s="511">
        <v>45382</v>
      </c>
      <c r="H58" s="511">
        <v>45747</v>
      </c>
      <c r="I58" s="511">
        <v>46112</v>
      </c>
      <c r="J58" s="511">
        <v>46477</v>
      </c>
      <c r="K58" s="511">
        <v>46843</v>
      </c>
      <c r="L58" s="511">
        <v>47208</v>
      </c>
      <c r="M58" s="511">
        <v>47573</v>
      </c>
      <c r="N58" s="511">
        <v>47573</v>
      </c>
    </row>
    <row r="59" spans="1:14" hidden="1" x14ac:dyDescent="0.3">
      <c r="A59" s="80" t="s">
        <v>495</v>
      </c>
      <c r="B59" s="80"/>
      <c r="C59" s="80"/>
      <c r="D59" s="80"/>
      <c r="E59" s="80"/>
      <c r="F59" s="80"/>
      <c r="G59" s="80"/>
      <c r="H59" s="80"/>
      <c r="I59" s="80"/>
      <c r="J59" s="80"/>
      <c r="K59" s="80"/>
      <c r="L59" s="80"/>
      <c r="M59" s="80"/>
      <c r="N59" s="80"/>
    </row>
    <row r="60" spans="1:14" ht="14.4" hidden="1" x14ac:dyDescent="0.3">
      <c r="A60" s="80" t="s">
        <v>3</v>
      </c>
      <c r="B60" s="80"/>
      <c r="C60" s="80"/>
      <c r="D60" s="135"/>
      <c r="E60" s="135"/>
      <c r="F60" s="135"/>
      <c r="G60" s="80"/>
      <c r="H60" s="80"/>
      <c r="I60" s="80"/>
      <c r="J60" s="80"/>
      <c r="K60" s="80"/>
      <c r="L60" s="80"/>
      <c r="M60" s="80"/>
      <c r="N60" s="80"/>
    </row>
    <row r="61" spans="1:14" hidden="1" x14ac:dyDescent="0.3">
      <c r="A61" s="205" t="s">
        <v>494</v>
      </c>
      <c r="B61" s="205"/>
      <c r="C61" s="205"/>
      <c r="D61" s="206"/>
      <c r="E61" s="206"/>
      <c r="F61" s="206"/>
      <c r="G61" s="206"/>
      <c r="H61" s="206"/>
      <c r="I61" s="206"/>
      <c r="J61" s="206"/>
      <c r="K61" s="206"/>
      <c r="L61" s="206"/>
      <c r="M61" s="206"/>
      <c r="N61" s="206"/>
    </row>
    <row r="62" spans="1:14" hidden="1" x14ac:dyDescent="0.3">
      <c r="A62" s="80" t="s">
        <v>1</v>
      </c>
      <c r="B62" s="203" t="s">
        <v>535</v>
      </c>
      <c r="C62" s="80"/>
      <c r="D62" s="80"/>
      <c r="E62" s="80"/>
      <c r="F62" s="80"/>
      <c r="G62" s="80"/>
      <c r="H62" s="80"/>
      <c r="I62" s="80"/>
      <c r="J62" s="80"/>
      <c r="K62" s="80"/>
      <c r="L62" s="80"/>
      <c r="M62" s="80"/>
      <c r="N62" s="80"/>
    </row>
    <row r="63" spans="1:14" hidden="1" x14ac:dyDescent="0.3">
      <c r="A63" s="80" t="s">
        <v>2</v>
      </c>
      <c r="B63" s="203" t="s">
        <v>535</v>
      </c>
      <c r="C63" s="80"/>
      <c r="D63" s="80"/>
      <c r="E63" s="80"/>
      <c r="F63" s="80"/>
      <c r="G63" s="80"/>
      <c r="H63" s="80"/>
      <c r="I63" s="80"/>
      <c r="J63" s="80"/>
      <c r="K63" s="80"/>
      <c r="L63" s="80"/>
      <c r="M63" s="80"/>
      <c r="N63" s="80"/>
    </row>
    <row r="64" spans="1:14" hidden="1" x14ac:dyDescent="0.3">
      <c r="A64" s="80" t="s">
        <v>9</v>
      </c>
      <c r="B64" s="203" t="s">
        <v>535</v>
      </c>
      <c r="C64" s="80"/>
      <c r="D64" s="238"/>
      <c r="E64" s="238"/>
      <c r="F64" s="238"/>
      <c r="G64" s="238"/>
      <c r="H64" s="238">
        <v>0</v>
      </c>
      <c r="I64" s="238">
        <v>0</v>
      </c>
      <c r="J64" s="238">
        <v>0</v>
      </c>
      <c r="K64" s="239"/>
      <c r="L64" s="239"/>
      <c r="M64" s="239"/>
      <c r="N64" s="239"/>
    </row>
    <row r="65" spans="1:14" hidden="1" x14ac:dyDescent="0.3">
      <c r="A65" s="80"/>
      <c r="B65" s="80"/>
      <c r="C65" s="80"/>
      <c r="D65" s="80"/>
      <c r="E65" s="80"/>
      <c r="F65" s="80"/>
      <c r="G65" s="80"/>
      <c r="H65" s="80"/>
      <c r="I65" s="80"/>
      <c r="J65" s="80"/>
      <c r="K65" s="80"/>
      <c r="L65" s="80"/>
      <c r="M65" s="80"/>
      <c r="N65" s="80"/>
    </row>
    <row r="66" spans="1:14" hidden="1" x14ac:dyDescent="0.3">
      <c r="A66" s="206" t="s">
        <v>4</v>
      </c>
      <c r="B66" s="206"/>
      <c r="C66" s="206"/>
      <c r="D66" s="206"/>
      <c r="E66" s="206"/>
      <c r="F66" s="206"/>
      <c r="G66" s="206"/>
      <c r="H66" s="206"/>
      <c r="I66" s="206"/>
      <c r="J66" s="206"/>
      <c r="K66" s="206"/>
      <c r="L66" s="206"/>
      <c r="M66" s="206"/>
      <c r="N66" s="206"/>
    </row>
    <row r="67" spans="1:14" hidden="1" x14ac:dyDescent="0.3">
      <c r="A67" s="80" t="s">
        <v>5</v>
      </c>
      <c r="B67" s="203" t="s">
        <v>428</v>
      </c>
      <c r="C67" s="80"/>
      <c r="D67" s="80"/>
      <c r="E67" s="80"/>
      <c r="F67" s="80"/>
      <c r="G67" s="80"/>
      <c r="H67" s="80"/>
      <c r="I67" s="80"/>
      <c r="J67" s="80"/>
      <c r="K67" s="80"/>
      <c r="L67" s="80"/>
      <c r="M67" s="80"/>
      <c r="N67" s="80"/>
    </row>
    <row r="68" spans="1:14" hidden="1" x14ac:dyDescent="0.3">
      <c r="A68" s="80" t="s">
        <v>6</v>
      </c>
      <c r="B68" s="203" t="s">
        <v>428</v>
      </c>
      <c r="C68" s="80"/>
      <c r="D68" s="80"/>
      <c r="E68" s="80"/>
      <c r="F68" s="80"/>
      <c r="G68" s="80"/>
      <c r="H68" s="80"/>
      <c r="I68" s="80"/>
      <c r="J68" s="80"/>
      <c r="K68" s="80"/>
      <c r="L68" s="80"/>
      <c r="M68" s="80"/>
      <c r="N68" s="80"/>
    </row>
    <row r="69" spans="1:14" hidden="1" x14ac:dyDescent="0.3">
      <c r="A69" s="80" t="s">
        <v>539</v>
      </c>
      <c r="B69" s="203" t="s">
        <v>428</v>
      </c>
      <c r="C69" s="80"/>
      <c r="D69" s="152"/>
      <c r="E69" s="152"/>
      <c r="F69" s="152"/>
      <c r="G69" s="152"/>
      <c r="H69" s="152"/>
      <c r="I69" s="152"/>
      <c r="J69" s="152"/>
      <c r="K69" s="80"/>
      <c r="L69" s="80"/>
      <c r="M69" s="80"/>
      <c r="N69" s="80"/>
    </row>
    <row r="70" spans="1:14" hidden="1" x14ac:dyDescent="0.3">
      <c r="A70" s="80"/>
      <c r="B70" s="80"/>
      <c r="C70" s="80"/>
      <c r="D70" s="80"/>
      <c r="E70" s="80"/>
      <c r="F70" s="80"/>
      <c r="G70" s="80"/>
      <c r="H70" s="80"/>
      <c r="I70" s="80"/>
      <c r="J70" s="80"/>
      <c r="K70" s="80"/>
      <c r="L70" s="80"/>
      <c r="M70" s="80"/>
      <c r="N70" s="80"/>
    </row>
    <row r="71" spans="1:14" hidden="1" x14ac:dyDescent="0.3">
      <c r="A71" s="206" t="s">
        <v>0</v>
      </c>
      <c r="B71" s="206"/>
      <c r="C71" s="206"/>
      <c r="D71" s="206"/>
      <c r="E71" s="206"/>
      <c r="F71" s="206"/>
      <c r="G71" s="206"/>
      <c r="H71" s="206"/>
      <c r="I71" s="206"/>
      <c r="J71" s="206"/>
      <c r="K71" s="206"/>
      <c r="L71" s="206"/>
      <c r="M71" s="206"/>
      <c r="N71" s="206"/>
    </row>
    <row r="72" spans="1:14" hidden="1" x14ac:dyDescent="0.3">
      <c r="A72" s="80" t="s">
        <v>1</v>
      </c>
      <c r="B72" s="203" t="s">
        <v>540</v>
      </c>
      <c r="C72" s="80"/>
      <c r="D72" s="80"/>
      <c r="E72" s="80"/>
      <c r="F72" s="80"/>
      <c r="G72" s="80"/>
      <c r="H72" s="80"/>
      <c r="I72" s="80"/>
      <c r="J72" s="80"/>
      <c r="K72" s="80"/>
      <c r="L72" s="80"/>
      <c r="M72" s="80"/>
      <c r="N72" s="80"/>
    </row>
    <row r="73" spans="1:14" hidden="1" x14ac:dyDescent="0.3">
      <c r="A73" s="80" t="s">
        <v>2</v>
      </c>
      <c r="B73" s="203" t="s">
        <v>540</v>
      </c>
      <c r="C73" s="80"/>
      <c r="D73" s="80"/>
      <c r="E73" s="80"/>
      <c r="F73" s="80"/>
      <c r="G73" s="80"/>
      <c r="H73" s="80"/>
      <c r="I73" s="80"/>
      <c r="J73" s="80"/>
      <c r="K73" s="80"/>
      <c r="L73" s="80"/>
      <c r="M73" s="80"/>
      <c r="N73" s="80"/>
    </row>
    <row r="74" spans="1:14" hidden="1" x14ac:dyDescent="0.3">
      <c r="A74" s="80"/>
      <c r="B74" s="80"/>
      <c r="C74" s="80"/>
      <c r="D74" s="80"/>
      <c r="E74" s="80"/>
      <c r="F74" s="80"/>
      <c r="G74" s="510"/>
      <c r="H74" s="510"/>
      <c r="I74" s="510"/>
      <c r="J74" s="510"/>
      <c r="K74" s="510"/>
      <c r="L74" s="510"/>
      <c r="M74" s="80"/>
      <c r="N74" s="80"/>
    </row>
    <row r="75" spans="1:14" ht="14.4" hidden="1" x14ac:dyDescent="0.3">
      <c r="A75" s="213" t="s">
        <v>552</v>
      </c>
      <c r="B75" s="1"/>
      <c r="C75" s="1"/>
      <c r="D75" s="1"/>
      <c r="E75" s="1"/>
      <c r="F75" s="1"/>
      <c r="G75" s="510"/>
      <c r="H75" s="510"/>
      <c r="I75" s="510"/>
      <c r="J75" s="510"/>
      <c r="K75" s="510"/>
      <c r="L75" s="510"/>
      <c r="M75" s="1"/>
      <c r="N75" s="1"/>
    </row>
    <row r="76" spans="1:14" ht="14.4" hidden="1" x14ac:dyDescent="0.3">
      <c r="A76" s="1"/>
      <c r="B76" s="1"/>
      <c r="C76" s="1"/>
      <c r="D76" s="1"/>
      <c r="E76" s="1"/>
      <c r="F76" s="1"/>
      <c r="G76" s="510"/>
      <c r="H76" s="510"/>
      <c r="I76" s="510"/>
      <c r="J76" s="510"/>
      <c r="K76" s="510"/>
      <c r="L76" s="510"/>
      <c r="M76" s="1"/>
      <c r="N76" s="1"/>
    </row>
    <row r="77" spans="1:14" hidden="1" x14ac:dyDescent="0.3">
      <c r="A77" s="511" t="s">
        <v>10</v>
      </c>
      <c r="B77" s="511"/>
      <c r="C77" s="511"/>
      <c r="D77" s="511">
        <v>44286</v>
      </c>
      <c r="E77" s="511">
        <v>44651</v>
      </c>
      <c r="F77" s="511">
        <v>45016</v>
      </c>
      <c r="G77" s="511">
        <v>45382</v>
      </c>
      <c r="H77" s="511">
        <v>45747</v>
      </c>
      <c r="I77" s="511">
        <v>46112</v>
      </c>
      <c r="J77" s="511">
        <v>46477</v>
      </c>
      <c r="K77" s="511">
        <v>46843</v>
      </c>
      <c r="L77" s="511">
        <v>47208</v>
      </c>
      <c r="M77" s="511">
        <v>47573</v>
      </c>
      <c r="N77" s="511">
        <v>47573</v>
      </c>
    </row>
    <row r="78" spans="1:14" hidden="1" x14ac:dyDescent="0.3">
      <c r="A78" s="80" t="s">
        <v>495</v>
      </c>
      <c r="B78" s="80"/>
      <c r="C78" s="80"/>
      <c r="D78" s="80"/>
      <c r="E78" s="80"/>
      <c r="F78" s="80"/>
      <c r="G78" s="80"/>
      <c r="H78" s="80"/>
      <c r="I78" s="80"/>
      <c r="J78" s="80"/>
      <c r="K78" s="80"/>
      <c r="L78" s="80"/>
      <c r="M78" s="80"/>
      <c r="N78" s="80"/>
    </row>
    <row r="79" spans="1:14" ht="14.4" hidden="1" x14ac:dyDescent="0.3">
      <c r="A79" s="80" t="s">
        <v>3</v>
      </c>
      <c r="B79" s="80"/>
      <c r="C79" s="80"/>
      <c r="D79" s="135"/>
      <c r="E79" s="135"/>
      <c r="F79" s="135"/>
      <c r="G79" s="80"/>
      <c r="H79" s="80"/>
      <c r="I79" s="80"/>
      <c r="J79" s="80"/>
      <c r="K79" s="80"/>
      <c r="L79" s="80"/>
      <c r="M79" s="80"/>
      <c r="N79" s="80"/>
    </row>
    <row r="80" spans="1:14" hidden="1" x14ac:dyDescent="0.3">
      <c r="A80" s="205" t="s">
        <v>494</v>
      </c>
      <c r="B80" s="205"/>
      <c r="C80" s="205"/>
      <c r="D80" s="206"/>
      <c r="E80" s="206"/>
      <c r="F80" s="206"/>
      <c r="G80" s="206"/>
      <c r="H80" s="206"/>
      <c r="I80" s="206"/>
      <c r="J80" s="206"/>
      <c r="K80" s="206"/>
      <c r="L80" s="206"/>
      <c r="M80" s="206"/>
      <c r="N80" s="206"/>
    </row>
    <row r="81" spans="1:14" hidden="1" x14ac:dyDescent="0.3">
      <c r="A81" s="80" t="s">
        <v>1</v>
      </c>
      <c r="B81" s="203" t="s">
        <v>535</v>
      </c>
      <c r="C81" s="80"/>
      <c r="D81" s="80"/>
      <c r="E81" s="80"/>
      <c r="F81" s="80"/>
      <c r="G81" s="80"/>
      <c r="H81" s="80"/>
      <c r="I81" s="80"/>
      <c r="J81" s="80"/>
      <c r="K81" s="80"/>
      <c r="L81" s="80"/>
      <c r="M81" s="80"/>
      <c r="N81" s="80"/>
    </row>
    <row r="82" spans="1:14" hidden="1" x14ac:dyDescent="0.3">
      <c r="A82" s="80" t="s">
        <v>2</v>
      </c>
      <c r="B82" s="203" t="s">
        <v>535</v>
      </c>
      <c r="C82" s="80"/>
      <c r="D82" s="80"/>
      <c r="E82" s="80"/>
      <c r="F82" s="80"/>
      <c r="G82" s="80"/>
      <c r="H82" s="80"/>
      <c r="I82" s="80"/>
      <c r="J82" s="80"/>
      <c r="K82" s="80"/>
      <c r="L82" s="80"/>
      <c r="M82" s="80"/>
      <c r="N82" s="80"/>
    </row>
    <row r="83" spans="1:14" hidden="1" x14ac:dyDescent="0.3">
      <c r="A83" s="80" t="s">
        <v>9</v>
      </c>
      <c r="B83" s="203" t="s">
        <v>535</v>
      </c>
      <c r="C83" s="80"/>
      <c r="D83" s="238"/>
      <c r="E83" s="238"/>
      <c r="F83" s="238"/>
      <c r="G83" s="238"/>
      <c r="H83" s="238">
        <v>0</v>
      </c>
      <c r="I83" s="238">
        <v>0</v>
      </c>
      <c r="J83" s="238">
        <v>0</v>
      </c>
      <c r="K83" s="508"/>
      <c r="L83" s="508"/>
      <c r="M83" s="508"/>
      <c r="N83" s="508"/>
    </row>
    <row r="84" spans="1:14" hidden="1" x14ac:dyDescent="0.3">
      <c r="A84" s="80"/>
      <c r="B84" s="80"/>
      <c r="C84" s="80"/>
      <c r="D84" s="80"/>
      <c r="E84" s="80"/>
      <c r="F84" s="80"/>
      <c r="G84" s="80"/>
      <c r="H84" s="80"/>
      <c r="I84" s="80"/>
      <c r="J84" s="80"/>
      <c r="K84" s="80"/>
      <c r="L84" s="80"/>
      <c r="M84" s="80"/>
      <c r="N84" s="80"/>
    </row>
    <row r="85" spans="1:14" hidden="1" x14ac:dyDescent="0.3">
      <c r="A85" s="206" t="s">
        <v>4</v>
      </c>
      <c r="B85" s="206"/>
      <c r="C85" s="206"/>
      <c r="D85" s="206"/>
      <c r="E85" s="206"/>
      <c r="F85" s="206"/>
      <c r="G85" s="206"/>
      <c r="H85" s="206"/>
      <c r="I85" s="206"/>
      <c r="J85" s="206"/>
      <c r="K85" s="206"/>
      <c r="L85" s="206"/>
      <c r="M85" s="206"/>
      <c r="N85" s="206"/>
    </row>
    <row r="86" spans="1:14" hidden="1" x14ac:dyDescent="0.3">
      <c r="A86" s="80" t="s">
        <v>5</v>
      </c>
      <c r="B86" s="203" t="s">
        <v>428</v>
      </c>
      <c r="C86" s="80"/>
      <c r="D86" s="80"/>
      <c r="E86" s="80"/>
      <c r="F86" s="80"/>
      <c r="G86" s="80"/>
      <c r="H86" s="80"/>
      <c r="I86" s="80"/>
      <c r="J86" s="80"/>
      <c r="K86" s="80"/>
      <c r="L86" s="80"/>
      <c r="M86" s="80"/>
      <c r="N86" s="80"/>
    </row>
    <row r="87" spans="1:14" hidden="1" x14ac:dyDescent="0.3">
      <c r="A87" s="80" t="s">
        <v>6</v>
      </c>
      <c r="B87" s="203" t="s">
        <v>428</v>
      </c>
      <c r="C87" s="80"/>
      <c r="D87" s="80"/>
      <c r="E87" s="80"/>
      <c r="F87" s="80"/>
      <c r="G87" s="80"/>
      <c r="H87" s="80"/>
      <c r="I87" s="80"/>
      <c r="J87" s="80"/>
      <c r="K87" s="80"/>
      <c r="L87" s="80"/>
      <c r="M87" s="80"/>
      <c r="N87" s="80"/>
    </row>
    <row r="88" spans="1:14" hidden="1" x14ac:dyDescent="0.3">
      <c r="A88" s="80" t="s">
        <v>539</v>
      </c>
      <c r="B88" s="203" t="s">
        <v>428</v>
      </c>
      <c r="C88" s="80"/>
      <c r="D88" s="152"/>
      <c r="E88" s="152"/>
      <c r="F88" s="152"/>
      <c r="G88" s="152"/>
      <c r="H88" s="152"/>
      <c r="I88" s="152"/>
      <c r="J88" s="152"/>
      <c r="K88" s="80"/>
      <c r="L88" s="80"/>
      <c r="M88" s="80"/>
      <c r="N88" s="80"/>
    </row>
    <row r="89" spans="1:14" hidden="1" x14ac:dyDescent="0.3">
      <c r="A89" s="80"/>
      <c r="B89" s="80"/>
      <c r="C89" s="80"/>
      <c r="D89" s="80"/>
      <c r="E89" s="80"/>
      <c r="F89" s="80"/>
      <c r="G89" s="80"/>
      <c r="H89" s="80"/>
      <c r="I89" s="80"/>
      <c r="J89" s="80"/>
      <c r="K89" s="80"/>
      <c r="L89" s="80"/>
      <c r="M89" s="80"/>
      <c r="N89" s="80"/>
    </row>
    <row r="90" spans="1:14" hidden="1" x14ac:dyDescent="0.3">
      <c r="A90" s="206" t="s">
        <v>0</v>
      </c>
      <c r="B90" s="206"/>
      <c r="C90" s="206"/>
      <c r="D90" s="206"/>
      <c r="E90" s="206"/>
      <c r="F90" s="206"/>
      <c r="G90" s="206"/>
      <c r="H90" s="206"/>
      <c r="I90" s="206"/>
      <c r="J90" s="206"/>
      <c r="K90" s="206"/>
      <c r="L90" s="206"/>
      <c r="M90" s="206"/>
      <c r="N90" s="206"/>
    </row>
    <row r="91" spans="1:14" hidden="1" x14ac:dyDescent="0.3">
      <c r="A91" s="80" t="s">
        <v>1</v>
      </c>
      <c r="B91" s="203" t="s">
        <v>540</v>
      </c>
      <c r="C91" s="80"/>
      <c r="D91" s="80"/>
      <c r="E91" s="80"/>
      <c r="F91" s="80"/>
      <c r="G91" s="80"/>
      <c r="H91" s="80"/>
      <c r="I91" s="80"/>
      <c r="J91" s="80"/>
      <c r="K91" s="80"/>
      <c r="L91" s="80"/>
      <c r="M91" s="80"/>
      <c r="N91" s="80"/>
    </row>
    <row r="92" spans="1:14" hidden="1" x14ac:dyDescent="0.3">
      <c r="A92" s="80" t="s">
        <v>2</v>
      </c>
      <c r="B92" s="203" t="s">
        <v>540</v>
      </c>
      <c r="C92" s="80"/>
      <c r="D92" s="80"/>
      <c r="E92" s="80"/>
      <c r="F92" s="80"/>
      <c r="G92" s="80"/>
      <c r="H92" s="80"/>
      <c r="I92" s="80"/>
      <c r="J92" s="80"/>
      <c r="K92" s="80"/>
      <c r="L92" s="80"/>
      <c r="M92" s="80"/>
      <c r="N92" s="80"/>
    </row>
    <row r="93" spans="1:14" hidden="1" x14ac:dyDescent="0.3">
      <c r="A93" s="80"/>
      <c r="B93" s="80"/>
      <c r="C93" s="80"/>
      <c r="D93" s="80"/>
      <c r="E93" s="80"/>
      <c r="F93" s="80"/>
      <c r="G93" s="510"/>
      <c r="H93" s="510"/>
      <c r="I93" s="510"/>
      <c r="J93" s="510"/>
      <c r="K93" s="510"/>
      <c r="L93" s="510"/>
      <c r="M93" s="80"/>
      <c r="N93" s="80"/>
    </row>
    <row r="94" spans="1:14" hidden="1" x14ac:dyDescent="0.3">
      <c r="A94" s="512" t="s">
        <v>499</v>
      </c>
      <c r="B94" s="80"/>
      <c r="C94" s="80"/>
      <c r="D94" s="80"/>
      <c r="E94" s="80"/>
      <c r="F94" s="80"/>
      <c r="G94" s="510"/>
      <c r="H94" s="510"/>
      <c r="I94" s="510"/>
      <c r="J94" s="510"/>
      <c r="K94" s="510"/>
      <c r="L94" s="510"/>
      <c r="M94" s="80"/>
      <c r="N94" s="80"/>
    </row>
    <row r="95" spans="1:14" hidden="1" x14ac:dyDescent="0.3">
      <c r="A95" s="80" t="s">
        <v>498</v>
      </c>
      <c r="B95" s="203" t="s">
        <v>535</v>
      </c>
      <c r="C95" s="80"/>
      <c r="D95" s="513">
        <f t="shared" ref="D95:N95" si="20">D24</f>
        <v>216000</v>
      </c>
      <c r="E95" s="513">
        <f t="shared" si="20"/>
        <v>216000</v>
      </c>
      <c r="F95" s="513">
        <f t="shared" si="20"/>
        <v>216000</v>
      </c>
      <c r="G95" s="513">
        <f t="shared" si="20"/>
        <v>216000</v>
      </c>
      <c r="H95" s="513">
        <f t="shared" si="20"/>
        <v>216000</v>
      </c>
      <c r="I95" s="513">
        <f t="shared" si="20"/>
        <v>432000</v>
      </c>
      <c r="J95" s="513">
        <f t="shared" si="20"/>
        <v>432000</v>
      </c>
      <c r="K95" s="513">
        <f t="shared" si="20"/>
        <v>432000</v>
      </c>
      <c r="L95" s="513">
        <f t="shared" si="20"/>
        <v>432000</v>
      </c>
      <c r="M95" s="513">
        <f t="shared" si="20"/>
        <v>432000</v>
      </c>
      <c r="N95" s="513">
        <f t="shared" si="20"/>
        <v>432000</v>
      </c>
    </row>
    <row r="96" spans="1:14" hidden="1" x14ac:dyDescent="0.3">
      <c r="A96" s="80" t="s">
        <v>497</v>
      </c>
      <c r="B96" s="203" t="s">
        <v>331</v>
      </c>
      <c r="C96" s="80"/>
      <c r="D96" s="514">
        <f t="shared" ref="D96:M96" si="21">D97/D95</f>
        <v>0.64414351851851848</v>
      </c>
      <c r="E96" s="514">
        <f t="shared" si="21"/>
        <v>0.88672685185185185</v>
      </c>
      <c r="F96" s="514">
        <f t="shared" si="21"/>
        <v>0.94529166666666664</v>
      </c>
      <c r="G96" s="514">
        <f t="shared" si="21"/>
        <v>1.0027314814814814</v>
      </c>
      <c r="H96" s="514">
        <f t="shared" si="21"/>
        <v>0.85129629629629633</v>
      </c>
      <c r="I96" s="514">
        <f t="shared" si="21"/>
        <v>0.50462962962962965</v>
      </c>
      <c r="J96" s="514">
        <f t="shared" si="21"/>
        <v>0.70520370370370367</v>
      </c>
      <c r="K96" s="514">
        <f t="shared" si="21"/>
        <v>0.74384969570284631</v>
      </c>
      <c r="L96" s="514">
        <f t="shared" si="21"/>
        <v>0.78468053577147356</v>
      </c>
      <c r="M96" s="514">
        <f t="shared" si="21"/>
        <v>0.8278231478644491</v>
      </c>
      <c r="N96" s="514">
        <f t="shared" ref="N96" si="22">N97/N95</f>
        <v>0.87341200181844925</v>
      </c>
    </row>
    <row r="97" spans="1:25" hidden="1" x14ac:dyDescent="0.3">
      <c r="A97" s="80" t="s">
        <v>668</v>
      </c>
      <c r="B97" s="203" t="s">
        <v>535</v>
      </c>
      <c r="C97" s="80"/>
      <c r="D97" s="513">
        <f t="shared" ref="D97:N97" si="23">D26+D30+D34+D45+D64+D83</f>
        <v>139135</v>
      </c>
      <c r="E97" s="513">
        <f t="shared" si="23"/>
        <v>191533</v>
      </c>
      <c r="F97" s="513">
        <f t="shared" si="23"/>
        <v>204183</v>
      </c>
      <c r="G97" s="513">
        <f t="shared" si="23"/>
        <v>216590</v>
      </c>
      <c r="H97" s="513">
        <f t="shared" si="23"/>
        <v>183880</v>
      </c>
      <c r="I97" s="513">
        <f t="shared" si="23"/>
        <v>218000</v>
      </c>
      <c r="J97" s="513">
        <f t="shared" si="23"/>
        <v>304648</v>
      </c>
      <c r="K97" s="513">
        <f t="shared" si="23"/>
        <v>321343.0685436296</v>
      </c>
      <c r="L97" s="513">
        <f t="shared" si="23"/>
        <v>338981.9914532766</v>
      </c>
      <c r="M97" s="513">
        <f t="shared" si="23"/>
        <v>357619.599877442</v>
      </c>
      <c r="N97" s="513">
        <f t="shared" si="23"/>
        <v>377313.98478557006</v>
      </c>
    </row>
    <row r="98" spans="1:25" hidden="1" x14ac:dyDescent="0.3">
      <c r="A98" s="80" t="s">
        <v>548</v>
      </c>
      <c r="B98" s="203"/>
      <c r="C98" s="80"/>
      <c r="D98" s="202">
        <f>'P&amp;L'!E11</f>
        <v>90.424999999999997</v>
      </c>
      <c r="E98" s="202">
        <f>'P&amp;L'!F11</f>
        <v>114.1917</v>
      </c>
      <c r="F98" s="202">
        <f>'P&amp;L'!G11</f>
        <v>148.12969999999999</v>
      </c>
      <c r="G98" s="513"/>
      <c r="H98" s="513"/>
      <c r="I98" s="513"/>
      <c r="J98" s="515"/>
      <c r="K98" s="508"/>
      <c r="L98" s="508"/>
      <c r="M98" s="508"/>
      <c r="N98" s="508"/>
    </row>
    <row r="99" spans="1:25" hidden="1" x14ac:dyDescent="0.3">
      <c r="A99" s="80" t="s">
        <v>549</v>
      </c>
      <c r="B99" s="203"/>
      <c r="C99" s="80"/>
      <c r="D99" s="516">
        <f>D98*10^7/D97</f>
        <v>6499.0836238185939</v>
      </c>
      <c r="E99" s="516">
        <f>E98*10^7/E97</f>
        <v>5961.9856630450104</v>
      </c>
      <c r="F99" s="516">
        <f>F98*10^7/F97</f>
        <v>7254.7518647487777</v>
      </c>
      <c r="G99" s="513"/>
      <c r="H99" s="513"/>
      <c r="I99" s="513">
        <f>I97/H97-1</f>
        <v>0.185555797259082</v>
      </c>
      <c r="J99" s="513"/>
      <c r="K99" s="513"/>
      <c r="L99" s="513"/>
      <c r="M99" s="513"/>
      <c r="N99" s="513"/>
      <c r="R99" s="148">
        <f>I97/H97-1</f>
        <v>0.185555797259082</v>
      </c>
      <c r="S99" s="148">
        <f t="shared" ref="S99:W99" si="24">J97/I97-1</f>
        <v>0.39746788990825688</v>
      </c>
      <c r="T99" s="148">
        <f t="shared" si="24"/>
        <v>5.4801175598164553E-2</v>
      </c>
      <c r="U99" s="148">
        <f t="shared" si="24"/>
        <v>5.4891250617568943E-2</v>
      </c>
      <c r="V99" s="148">
        <f t="shared" si="24"/>
        <v>5.4981116678979314E-2</v>
      </c>
      <c r="W99" s="148">
        <f t="shared" si="24"/>
        <v>5.5070764899008307E-2</v>
      </c>
      <c r="X99" s="148"/>
      <c r="Y99" s="148"/>
    </row>
    <row r="100" spans="1:25" x14ac:dyDescent="0.3">
      <c r="A100" s="80"/>
      <c r="B100" s="203"/>
      <c r="C100" s="80"/>
      <c r="D100" s="516"/>
      <c r="E100" s="516"/>
      <c r="F100" s="516"/>
      <c r="G100" s="517"/>
      <c r="H100" s="517"/>
      <c r="I100" s="517"/>
      <c r="J100" s="517"/>
      <c r="K100" s="517"/>
      <c r="L100" s="517"/>
      <c r="M100" s="517"/>
      <c r="N100" s="517"/>
    </row>
    <row r="101" spans="1:25" x14ac:dyDescent="0.3">
      <c r="A101" s="80" t="s">
        <v>496</v>
      </c>
      <c r="B101" s="203" t="s">
        <v>500</v>
      </c>
      <c r="C101" s="80"/>
      <c r="D101" s="110">
        <f t="shared" ref="D101:G101" si="25">D31+D27+D35+D50+D69+D88</f>
        <v>88.795000000000002</v>
      </c>
      <c r="E101" s="110">
        <f t="shared" si="25"/>
        <v>114.1906</v>
      </c>
      <c r="F101" s="110">
        <f t="shared" si="25"/>
        <v>148.12969999999999</v>
      </c>
      <c r="G101" s="110">
        <f t="shared" si="25"/>
        <v>161.38550000000001</v>
      </c>
      <c r="H101" s="110">
        <f t="shared" ref="H101:N101" si="26">H31+H27+H35</f>
        <v>236.00280000000001</v>
      </c>
      <c r="I101" s="110">
        <f t="shared" si="26"/>
        <v>338.43</v>
      </c>
      <c r="J101" s="110">
        <f t="shared" si="26"/>
        <v>663.86027999999999</v>
      </c>
      <c r="K101" s="110">
        <f t="shared" si="26"/>
        <v>740.44805202730254</v>
      </c>
      <c r="L101" s="110">
        <f t="shared" si="26"/>
        <v>782.03077523278876</v>
      </c>
      <c r="M101" s="110">
        <f t="shared" si="26"/>
        <v>825.97426220481702</v>
      </c>
      <c r="N101" s="110">
        <f t="shared" si="26"/>
        <v>872.41379988088897</v>
      </c>
    </row>
    <row r="102" spans="1:25" x14ac:dyDescent="0.3">
      <c r="A102" s="80" t="s">
        <v>493</v>
      </c>
      <c r="B102" s="203" t="s">
        <v>331</v>
      </c>
      <c r="C102" s="80"/>
      <c r="D102" s="516"/>
      <c r="E102" s="515">
        <f>E101/D101-1</f>
        <v>0.28600259023593666</v>
      </c>
      <c r="F102" s="515">
        <f t="shared" ref="F102:J102" si="27">F101/E101-1</f>
        <v>0.29721448175243825</v>
      </c>
      <c r="G102" s="515">
        <f t="shared" si="27"/>
        <v>8.9487793467481591E-2</v>
      </c>
      <c r="H102" s="515">
        <f t="shared" si="27"/>
        <v>0.46235442465401166</v>
      </c>
      <c r="I102" s="515">
        <f t="shared" si="27"/>
        <v>0.43400841006971103</v>
      </c>
      <c r="J102" s="515">
        <f t="shared" si="27"/>
        <v>0.96158815707827316</v>
      </c>
      <c r="K102" s="515">
        <f t="shared" ref="K102" si="28">K101/J101-1</f>
        <v>0.11536730594471267</v>
      </c>
      <c r="L102" s="515">
        <f t="shared" ref="L102" si="29">L101/K101-1</f>
        <v>5.6158866366972315E-2</v>
      </c>
      <c r="M102" s="515">
        <f t="shared" ref="M102" si="30">M101/L101-1</f>
        <v>5.6191505965922595E-2</v>
      </c>
      <c r="N102" s="515">
        <f t="shared" ref="N102" si="31">N101/M101-1</f>
        <v>5.6223952489885543E-2</v>
      </c>
    </row>
    <row r="103" spans="1:25" x14ac:dyDescent="0.3">
      <c r="D103" s="91"/>
      <c r="E103" s="91"/>
      <c r="F103" s="91"/>
      <c r="G103" s="91"/>
      <c r="H103" s="91"/>
      <c r="I103" s="91"/>
      <c r="J103" s="91"/>
      <c r="K103" s="81"/>
      <c r="L103" s="81"/>
    </row>
    <row r="104" spans="1:25" x14ac:dyDescent="0.3">
      <c r="A104" s="72" t="s">
        <v>421</v>
      </c>
      <c r="B104" s="72"/>
      <c r="C104" s="72"/>
      <c r="D104" s="82"/>
      <c r="E104" s="83"/>
      <c r="F104" s="83"/>
      <c r="G104" s="73"/>
      <c r="H104" s="73"/>
      <c r="I104" s="73"/>
      <c r="J104" s="73"/>
      <c r="K104" s="73"/>
      <c r="L104" s="73"/>
      <c r="M104" s="73"/>
      <c r="N104" s="73"/>
    </row>
    <row r="105" spans="1:25" x14ac:dyDescent="0.3">
      <c r="A105" s="84"/>
      <c r="B105" s="84"/>
      <c r="C105" s="84"/>
      <c r="D105" s="85"/>
      <c r="E105" s="86"/>
      <c r="F105" s="86"/>
      <c r="G105" s="85"/>
      <c r="H105" s="85"/>
      <c r="I105" s="85"/>
      <c r="J105" s="85"/>
      <c r="K105" s="85"/>
      <c r="L105" s="85"/>
      <c r="M105" s="85"/>
      <c r="N105" s="85"/>
    </row>
    <row r="106" spans="1:25" x14ac:dyDescent="0.3">
      <c r="A106" s="94" t="s">
        <v>492</v>
      </c>
      <c r="B106" s="87" t="s">
        <v>428</v>
      </c>
      <c r="C106" s="84"/>
      <c r="D106" s="95">
        <f>'P&amp;L'!E11</f>
        <v>90.424999999999997</v>
      </c>
      <c r="E106" s="95">
        <f>'P&amp;L'!F11</f>
        <v>114.1917</v>
      </c>
      <c r="F106" s="95">
        <f>'P&amp;L'!G11</f>
        <v>148.12969999999999</v>
      </c>
      <c r="G106" s="95">
        <f>G101</f>
        <v>161.38550000000001</v>
      </c>
      <c r="H106" s="95">
        <f>H101</f>
        <v>236.00280000000001</v>
      </c>
      <c r="I106" s="95">
        <f t="shared" ref="I106:M106" si="32">I101</f>
        <v>338.43</v>
      </c>
      <c r="J106" s="95">
        <f t="shared" si="32"/>
        <v>663.86027999999999</v>
      </c>
      <c r="K106" s="95">
        <f t="shared" si="32"/>
        <v>740.44805202730254</v>
      </c>
      <c r="L106" s="95">
        <f t="shared" si="32"/>
        <v>782.03077523278876</v>
      </c>
      <c r="M106" s="95">
        <f t="shared" si="32"/>
        <v>825.97426220481702</v>
      </c>
      <c r="N106" s="95">
        <f t="shared" ref="N106" si="33">N101</f>
        <v>872.41379988088897</v>
      </c>
    </row>
    <row r="107" spans="1:25" x14ac:dyDescent="0.3">
      <c r="A107" s="94" t="s">
        <v>493</v>
      </c>
      <c r="B107" s="87" t="s">
        <v>331</v>
      </c>
      <c r="C107" s="84"/>
      <c r="D107" s="85"/>
      <c r="E107" s="147">
        <f t="shared" ref="E107:J107" si="34">E106/D106-1</f>
        <v>0.26283328725463084</v>
      </c>
      <c r="F107" s="147">
        <f t="shared" si="34"/>
        <v>0.29720198578355506</v>
      </c>
      <c r="G107" s="147">
        <f t="shared" si="34"/>
        <v>8.9487793467481591E-2</v>
      </c>
      <c r="H107" s="147">
        <f t="shared" si="34"/>
        <v>0.46235442465401166</v>
      </c>
      <c r="I107" s="147">
        <f t="shared" si="34"/>
        <v>0.43400841006971103</v>
      </c>
      <c r="J107" s="147">
        <f t="shared" si="34"/>
        <v>0.96158815707827316</v>
      </c>
      <c r="K107" s="147">
        <f t="shared" ref="K107" si="35">K106/J106-1</f>
        <v>0.11536730594471267</v>
      </c>
      <c r="L107" s="147">
        <f t="shared" ref="L107" si="36">L106/K106-1</f>
        <v>5.6158866366972315E-2</v>
      </c>
      <c r="M107" s="147">
        <f t="shared" ref="M107:N107" si="37">M106/L106-1</f>
        <v>5.6191505965922595E-2</v>
      </c>
      <c r="N107" s="147">
        <f t="shared" si="37"/>
        <v>5.6223952489885543E-2</v>
      </c>
    </row>
    <row r="109" spans="1:25" x14ac:dyDescent="0.3">
      <c r="A109" s="72" t="s">
        <v>146</v>
      </c>
      <c r="B109" s="72"/>
      <c r="C109" s="72"/>
      <c r="D109" s="82"/>
      <c r="E109" s="83"/>
      <c r="F109" s="83"/>
      <c r="G109" s="73"/>
      <c r="H109" s="73"/>
      <c r="I109" s="73"/>
      <c r="J109" s="73"/>
      <c r="K109" s="73"/>
      <c r="L109" s="73"/>
      <c r="M109" s="73"/>
      <c r="N109" s="73"/>
    </row>
    <row r="110" spans="1:25" s="90" customFormat="1" x14ac:dyDescent="0.3">
      <c r="A110" s="94"/>
      <c r="B110" s="94"/>
      <c r="C110" s="94"/>
    </row>
    <row r="111" spans="1:25" s="90" customFormat="1" x14ac:dyDescent="0.3">
      <c r="A111" s="94" t="s">
        <v>501</v>
      </c>
      <c r="B111" s="87" t="s">
        <v>331</v>
      </c>
      <c r="C111" s="167">
        <v>5.6899999999999999E-2</v>
      </c>
    </row>
    <row r="112" spans="1:25" s="90" customFormat="1" hidden="1" x14ac:dyDescent="0.3">
      <c r="A112" s="94"/>
      <c r="B112" s="87"/>
      <c r="C112" s="167"/>
    </row>
    <row r="113" spans="1:3" s="90" customFormat="1" hidden="1" x14ac:dyDescent="0.3">
      <c r="A113" s="150" t="s">
        <v>62</v>
      </c>
      <c r="B113" s="100" t="s">
        <v>553</v>
      </c>
      <c r="C113" s="167"/>
    </row>
    <row r="114" spans="1:3" s="90" customFormat="1" ht="14.4" hidden="1" x14ac:dyDescent="0.3">
      <c r="A114" s="240" t="s">
        <v>554</v>
      </c>
      <c r="B114"/>
      <c r="C114" s="167"/>
    </row>
    <row r="115" spans="1:3" s="90" customFormat="1" ht="14.4" hidden="1" x14ac:dyDescent="0.3">
      <c r="A115" s="74" t="s">
        <v>7</v>
      </c>
      <c r="B115"/>
      <c r="C115" s="167"/>
    </row>
    <row r="116" spans="1:3" s="90" customFormat="1" ht="14.4" hidden="1" x14ac:dyDescent="0.3">
      <c r="A116" s="241" t="s">
        <v>555</v>
      </c>
      <c r="B116"/>
      <c r="C116" s="167"/>
    </row>
    <row r="117" spans="1:3" s="90" customFormat="1" ht="14.4" hidden="1" x14ac:dyDescent="0.3">
      <c r="A117" s="241" t="s">
        <v>556</v>
      </c>
      <c r="B117"/>
      <c r="C117" s="167"/>
    </row>
    <row r="118" spans="1:3" s="90" customFormat="1" hidden="1" x14ac:dyDescent="0.3">
      <c r="A118" s="94"/>
      <c r="B118" s="87"/>
      <c r="C118" s="167"/>
    </row>
    <row r="119" spans="1:3" s="90" customFormat="1" hidden="1" x14ac:dyDescent="0.3">
      <c r="A119" s="240" t="s">
        <v>8</v>
      </c>
      <c r="B119" s="87"/>
      <c r="C119" s="167"/>
    </row>
    <row r="120" spans="1:3" s="90" customFormat="1" hidden="1" x14ac:dyDescent="0.3">
      <c r="A120" s="241" t="s">
        <v>555</v>
      </c>
      <c r="B120" s="87"/>
      <c r="C120" s="167"/>
    </row>
    <row r="121" spans="1:3" s="90" customFormat="1" hidden="1" x14ac:dyDescent="0.3">
      <c r="A121" s="241" t="s">
        <v>556</v>
      </c>
      <c r="B121" s="87"/>
      <c r="C121" s="167"/>
    </row>
    <row r="122" spans="1:3" s="90" customFormat="1" hidden="1" x14ac:dyDescent="0.3">
      <c r="A122" s="94"/>
      <c r="B122" s="87"/>
      <c r="C122" s="167"/>
    </row>
    <row r="123" spans="1:3" s="90" customFormat="1" hidden="1" x14ac:dyDescent="0.3">
      <c r="A123" s="240" t="s">
        <v>84</v>
      </c>
      <c r="B123" s="87"/>
      <c r="C123" s="167"/>
    </row>
    <row r="124" spans="1:3" s="90" customFormat="1" hidden="1" x14ac:dyDescent="0.3">
      <c r="A124" s="241" t="s">
        <v>555</v>
      </c>
      <c r="B124" s="87"/>
      <c r="C124" s="167"/>
    </row>
    <row r="125" spans="1:3" s="90" customFormat="1" hidden="1" x14ac:dyDescent="0.3">
      <c r="A125" s="241" t="s">
        <v>556</v>
      </c>
      <c r="B125" s="167"/>
    </row>
    <row r="126" spans="1:3" s="90" customFormat="1" hidden="1" x14ac:dyDescent="0.3">
      <c r="A126" s="94"/>
      <c r="B126" s="87"/>
      <c r="C126" s="167"/>
    </row>
    <row r="127" spans="1:3" s="90" customFormat="1" hidden="1" x14ac:dyDescent="0.3">
      <c r="A127" s="240" t="s">
        <v>550</v>
      </c>
      <c r="B127" s="87"/>
      <c r="C127" s="167"/>
    </row>
    <row r="128" spans="1:3" s="90" customFormat="1" hidden="1" x14ac:dyDescent="0.3">
      <c r="A128" s="241" t="s">
        <v>555</v>
      </c>
      <c r="B128" s="87"/>
      <c r="C128" s="167"/>
    </row>
    <row r="129" spans="1:14" s="90" customFormat="1" hidden="1" x14ac:dyDescent="0.3">
      <c r="A129" s="241" t="s">
        <v>556</v>
      </c>
      <c r="B129" s="87"/>
      <c r="C129" s="167"/>
    </row>
    <row r="130" spans="1:14" s="90" customFormat="1" hidden="1" x14ac:dyDescent="0.3">
      <c r="A130" s="94"/>
      <c r="B130" s="87"/>
      <c r="C130" s="167"/>
    </row>
    <row r="131" spans="1:14" s="90" customFormat="1" hidden="1" x14ac:dyDescent="0.3">
      <c r="A131" s="240" t="s">
        <v>551</v>
      </c>
      <c r="B131" s="87"/>
      <c r="C131" s="167"/>
    </row>
    <row r="132" spans="1:14" s="90" customFormat="1" hidden="1" x14ac:dyDescent="0.3">
      <c r="A132" s="241" t="s">
        <v>555</v>
      </c>
      <c r="B132" s="87"/>
      <c r="C132" s="167"/>
    </row>
    <row r="133" spans="1:14" s="90" customFormat="1" hidden="1" x14ac:dyDescent="0.3">
      <c r="A133" s="241" t="s">
        <v>556</v>
      </c>
      <c r="B133" s="87"/>
      <c r="C133" s="167"/>
    </row>
    <row r="134" spans="1:14" s="90" customFormat="1" hidden="1" x14ac:dyDescent="0.3">
      <c r="A134" s="94"/>
      <c r="B134" s="87"/>
      <c r="C134" s="167"/>
    </row>
    <row r="135" spans="1:14" s="90" customFormat="1" hidden="1" x14ac:dyDescent="0.3">
      <c r="A135" s="240" t="s">
        <v>557</v>
      </c>
      <c r="B135" s="87"/>
      <c r="C135" s="167"/>
    </row>
    <row r="136" spans="1:14" s="90" customFormat="1" hidden="1" x14ac:dyDescent="0.3">
      <c r="A136" s="241" t="s">
        <v>555</v>
      </c>
      <c r="B136" s="87"/>
      <c r="C136" s="167"/>
    </row>
    <row r="137" spans="1:14" s="90" customFormat="1" hidden="1" x14ac:dyDescent="0.3">
      <c r="A137" s="241" t="s">
        <v>556</v>
      </c>
      <c r="B137" s="87"/>
      <c r="C137" s="167"/>
    </row>
    <row r="138" spans="1:14" s="90" customFormat="1" hidden="1" x14ac:dyDescent="0.3">
      <c r="A138" s="94"/>
      <c r="B138" s="87"/>
      <c r="C138" s="167"/>
    </row>
    <row r="139" spans="1:14" s="90" customFormat="1" x14ac:dyDescent="0.3">
      <c r="A139" s="94"/>
      <c r="B139" s="87"/>
      <c r="C139" s="167"/>
    </row>
    <row r="140" spans="1:14" s="90" customFormat="1" x14ac:dyDescent="0.3">
      <c r="A140" s="94"/>
      <c r="B140" s="94"/>
      <c r="C140" s="94"/>
    </row>
    <row r="141" spans="1:14" x14ac:dyDescent="0.3">
      <c r="A141" s="415" t="s">
        <v>422</v>
      </c>
      <c r="B141" s="415" t="s">
        <v>330</v>
      </c>
      <c r="C141" s="415"/>
      <c r="D141" s="468">
        <v>44286</v>
      </c>
      <c r="E141" s="468">
        <f t="shared" ref="E141:G141" si="38">EOMONTH(D141,12)</f>
        <v>44651</v>
      </c>
      <c r="F141" s="468">
        <f t="shared" si="38"/>
        <v>45016</v>
      </c>
      <c r="G141" s="468">
        <f t="shared" si="38"/>
        <v>45382</v>
      </c>
      <c r="H141" s="468">
        <f>EOMONTH(G141,12)</f>
        <v>45747</v>
      </c>
      <c r="I141" s="468">
        <f t="shared" ref="I141:N141" si="39">EOMONTH(H141,12)</f>
        <v>46112</v>
      </c>
      <c r="J141" s="468">
        <f t="shared" si="39"/>
        <v>46477</v>
      </c>
      <c r="K141" s="468">
        <f t="shared" si="39"/>
        <v>46843</v>
      </c>
      <c r="L141" s="468">
        <f t="shared" si="39"/>
        <v>47208</v>
      </c>
      <c r="M141" s="468">
        <f t="shared" si="39"/>
        <v>47573</v>
      </c>
      <c r="N141" s="468">
        <f t="shared" si="39"/>
        <v>47938</v>
      </c>
    </row>
    <row r="142" spans="1:14" x14ac:dyDescent="0.3">
      <c r="A142" s="149" t="str">
        <f>'P&amp;L'!B20</f>
        <v>Cost of Materials Consumed</v>
      </c>
      <c r="B142" s="87" t="s">
        <v>503</v>
      </c>
      <c r="C142" s="87"/>
      <c r="D142" s="88">
        <f>'P&amp;L'!E20/'P&amp;L'!E$11</f>
        <v>0.17420846004976501</v>
      </c>
      <c r="E142" s="88">
        <f>'P&amp;L'!F20/'P&amp;L'!F11</f>
        <v>0.19043765877905314</v>
      </c>
      <c r="F142" s="88">
        <f>'P&amp;L'!G20/'P&amp;L'!G11</f>
        <v>0.20070519281413521</v>
      </c>
      <c r="G142" s="88">
        <f>'P&amp;L'!I20/'P&amp;L'!I11</f>
        <v>0.16133874067579387</v>
      </c>
      <c r="H142" s="153">
        <f>AVERAGE(E142:G142)</f>
        <v>0.18416053075632741</v>
      </c>
      <c r="I142" s="88">
        <f>H142</f>
        <v>0.18416053075632741</v>
      </c>
      <c r="J142" s="88">
        <f t="shared" ref="J142:N142" si="40">I142</f>
        <v>0.18416053075632741</v>
      </c>
      <c r="K142" s="88">
        <f t="shared" si="40"/>
        <v>0.18416053075632741</v>
      </c>
      <c r="L142" s="88">
        <f t="shared" si="40"/>
        <v>0.18416053075632741</v>
      </c>
      <c r="M142" s="88">
        <f t="shared" si="40"/>
        <v>0.18416053075632741</v>
      </c>
      <c r="N142" s="88">
        <f t="shared" si="40"/>
        <v>0.18416053075632741</v>
      </c>
    </row>
    <row r="143" spans="1:14" s="100" customFormat="1" x14ac:dyDescent="0.3">
      <c r="A143" s="162" t="s">
        <v>123</v>
      </c>
      <c r="B143" s="141"/>
      <c r="C143" s="141"/>
      <c r="D143" s="234">
        <f>'P&amp;L'!E20</f>
        <v>15.752800000000001</v>
      </c>
      <c r="E143" s="234">
        <f>'P&amp;L'!F20</f>
        <v>21.746400000000001</v>
      </c>
      <c r="F143" s="234">
        <f>'P&amp;L'!G20</f>
        <v>29.730399999999999</v>
      </c>
      <c r="G143" s="234">
        <f>'P&amp;L'!I20</f>
        <v>26.037733333333335</v>
      </c>
      <c r="H143" s="234">
        <f>'P&amp;L'!J11*Assumptions!H142</f>
        <v>43.462400907979386</v>
      </c>
      <c r="I143" s="234">
        <f>'P&amp;L'!K11*Assumptions!I142</f>
        <v>62.325448423863882</v>
      </c>
      <c r="J143" s="234">
        <f>'P&amp;L'!L11*Assumptions!J142</f>
        <v>122.25686151284413</v>
      </c>
      <c r="K143" s="234">
        <f>'P&amp;L'!M11*Assumptions!K142</f>
        <v>136.36130625883678</v>
      </c>
      <c r="L143" s="234">
        <f>'P&amp;L'!N11*Assumptions!L142</f>
        <v>144.01920263465257</v>
      </c>
      <c r="M143" s="234">
        <f>'P&amp;L'!O11*Assumptions!M142</f>
        <v>152.11185851870505</v>
      </c>
      <c r="N143" s="234">
        <f>'P&amp;L'!P11*Assumptions!N142</f>
        <v>160.66418842520892</v>
      </c>
    </row>
    <row r="144" spans="1:14" x14ac:dyDescent="0.3">
      <c r="A144" s="149"/>
      <c r="B144" s="87"/>
      <c r="C144" s="87"/>
      <c r="D144" s="165"/>
      <c r="E144" s="165"/>
      <c r="F144" s="165"/>
      <c r="G144" s="165"/>
      <c r="H144" s="166"/>
      <c r="I144" s="101"/>
      <c r="J144" s="101"/>
      <c r="K144" s="101"/>
      <c r="L144" s="101"/>
    </row>
    <row r="145" spans="1:14" s="100" customFormat="1" x14ac:dyDescent="0.3">
      <c r="A145" s="235" t="str">
        <f>'P&amp;L'!B22</f>
        <v>Purchase of Stock in trade</v>
      </c>
      <c r="B145" s="141" t="s">
        <v>503</v>
      </c>
      <c r="C145" s="162"/>
      <c r="D145" s="127">
        <f>'P&amp;L'!E22/'P&amp;L'!E$11</f>
        <v>0</v>
      </c>
      <c r="E145" s="127">
        <f>'P&amp;L'!F22/'P&amp;L'!F$11</f>
        <v>0</v>
      </c>
      <c r="F145" s="127">
        <f>'P&amp;L'!G22/'P&amp;L'!G$11</f>
        <v>0</v>
      </c>
      <c r="G145" s="127">
        <f>'P&amp;L'!H22/'P&amp;L'!H$11</f>
        <v>0</v>
      </c>
      <c r="H145" s="236">
        <f>AVERAGE(E145:G145)</f>
        <v>0</v>
      </c>
      <c r="I145" s="127">
        <f t="shared" ref="I145:N145" si="41">H145*(1+Inflation)</f>
        <v>0</v>
      </c>
      <c r="J145" s="127">
        <f t="shared" si="41"/>
        <v>0</v>
      </c>
      <c r="K145" s="127">
        <f t="shared" si="41"/>
        <v>0</v>
      </c>
      <c r="L145" s="127">
        <f t="shared" si="41"/>
        <v>0</v>
      </c>
      <c r="M145" s="127">
        <f t="shared" si="41"/>
        <v>0</v>
      </c>
      <c r="N145" s="127">
        <f t="shared" si="41"/>
        <v>0</v>
      </c>
    </row>
    <row r="146" spans="1:14" x14ac:dyDescent="0.3">
      <c r="A146" s="89"/>
      <c r="B146" s="89"/>
      <c r="C146" s="89"/>
    </row>
    <row r="147" spans="1:14" x14ac:dyDescent="0.3">
      <c r="A147" s="94" t="s">
        <v>71</v>
      </c>
      <c r="B147" s="89"/>
      <c r="C147" s="89"/>
    </row>
    <row r="148" spans="1:14" x14ac:dyDescent="0.3">
      <c r="A148" s="94" t="s">
        <v>15</v>
      </c>
      <c r="B148" s="87" t="s">
        <v>503</v>
      </c>
      <c r="D148" s="88">
        <f>'P&amp;L'!E23/'P&amp;L'!E11</f>
        <v>7.8658556815040082E-2</v>
      </c>
      <c r="E148" s="88">
        <f>'P&amp;L'!F23/'P&amp;L'!F11</f>
        <v>6.2032529509587826E-2</v>
      </c>
      <c r="F148" s="88">
        <f>'P&amp;L'!G23/'P&amp;L'!G11</f>
        <v>5.2300112671530431E-2</v>
      </c>
      <c r="G148" s="88">
        <f>'P&amp;L'!I23/'P&amp;L'!I11</f>
        <v>5.9961603324544858E-2</v>
      </c>
      <c r="H148" s="88">
        <f>'P&amp;L'!J23/'P&amp;L'!J11</f>
        <v>5.2083395435690918E-2</v>
      </c>
      <c r="I148" s="88">
        <f>'P&amp;L'!K23/'P&amp;L'!K11</f>
        <v>5.1866084037133477E-2</v>
      </c>
      <c r="J148" s="88">
        <f>'P&amp;L'!L23/'P&amp;L'!L11</f>
        <v>2.7945348273561689E-2</v>
      </c>
      <c r="K148" s="88">
        <f>'P&amp;L'!M23/'P&amp;L'!M11</f>
        <v>2.6480459336497154E-2</v>
      </c>
      <c r="L148" s="88">
        <f>'P&amp;L'!N23/'P&amp;L'!N11</f>
        <v>2.649904135067823E-2</v>
      </c>
      <c r="M148" s="88">
        <f>'P&amp;L'!O23/'P&amp;L'!O11</f>
        <v>2.6516816926982038E-2</v>
      </c>
      <c r="N148" s="88">
        <f>'P&amp;L'!P23/'P&amp;L'!P11</f>
        <v>2.6533789301086401E-2</v>
      </c>
    </row>
    <row r="149" spans="1:14" x14ac:dyDescent="0.3">
      <c r="A149" s="89" t="s">
        <v>505</v>
      </c>
      <c r="B149" s="87" t="s">
        <v>504</v>
      </c>
      <c r="D149" s="163">
        <v>107</v>
      </c>
      <c r="E149" s="163">
        <v>101</v>
      </c>
      <c r="F149" s="163">
        <v>109</v>
      </c>
      <c r="G149" s="158">
        <f>F149</f>
        <v>109</v>
      </c>
      <c r="H149" s="158">
        <f>ROUNDUP(G149*(1+20%),0)</f>
        <v>131</v>
      </c>
      <c r="I149" s="158">
        <f>ROUNDUP(H149*(1+35%),0)</f>
        <v>177</v>
      </c>
      <c r="J149" s="157">
        <f>I149</f>
        <v>177</v>
      </c>
      <c r="K149" s="157">
        <f>J149</f>
        <v>177</v>
      </c>
      <c r="L149" s="157">
        <f>K149</f>
        <v>177</v>
      </c>
      <c r="M149" s="157">
        <f>L149</f>
        <v>177</v>
      </c>
      <c r="N149" s="157">
        <f>M149</f>
        <v>177</v>
      </c>
    </row>
    <row r="150" spans="1:14" x14ac:dyDescent="0.3">
      <c r="A150" s="89" t="s">
        <v>506</v>
      </c>
      <c r="B150" s="87" t="s">
        <v>428</v>
      </c>
      <c r="D150" s="98">
        <f>D151/D149</f>
        <v>6.6473831775700931E-2</v>
      </c>
      <c r="E150" s="98">
        <f>E151/E149</f>
        <v>7.013465346534653E-2</v>
      </c>
      <c r="F150" s="98">
        <f>F151/F149</f>
        <v>7.107522935779817E-2</v>
      </c>
      <c r="G150" s="98">
        <f>G151/G149</f>
        <v>8.8779204892966368E-2</v>
      </c>
      <c r="H150" s="155">
        <f t="shared" ref="H150:N150" si="42">G150*(1+Inflation)</f>
        <v>9.3830741651376157E-2</v>
      </c>
      <c r="I150" s="98">
        <f t="shared" si="42"/>
        <v>9.9169710851339452E-2</v>
      </c>
      <c r="J150" s="98">
        <f t="shared" si="42"/>
        <v>0.10481246739878067</v>
      </c>
      <c r="K150" s="98">
        <f t="shared" si="42"/>
        <v>0.11077629679377128</v>
      </c>
      <c r="L150" s="98">
        <f t="shared" si="42"/>
        <v>0.11707946808133686</v>
      </c>
      <c r="M150" s="98">
        <f t="shared" si="42"/>
        <v>0.12374128981516493</v>
      </c>
      <c r="N150" s="98">
        <f t="shared" si="42"/>
        <v>0.13078216920564781</v>
      </c>
    </row>
    <row r="151" spans="1:14" x14ac:dyDescent="0.3">
      <c r="A151" s="162" t="s">
        <v>123</v>
      </c>
      <c r="B151" s="141" t="s">
        <v>428</v>
      </c>
      <c r="C151" s="94"/>
      <c r="D151" s="159">
        <f>'P&amp;L'!E23</f>
        <v>7.1126999999999994</v>
      </c>
      <c r="E151" s="159">
        <f>'P&amp;L'!F23</f>
        <v>7.0835999999999997</v>
      </c>
      <c r="F151" s="159">
        <f>'P&amp;L'!G23</f>
        <v>7.7472000000000003</v>
      </c>
      <c r="G151" s="159">
        <f>'P&amp;L'!I23</f>
        <v>9.6769333333333343</v>
      </c>
      <c r="H151" s="160">
        <f t="shared" ref="H151:M151" si="43">H149*H150</f>
        <v>12.291827156330276</v>
      </c>
      <c r="I151" s="160">
        <f t="shared" si="43"/>
        <v>17.553038820687082</v>
      </c>
      <c r="J151" s="160">
        <f t="shared" si="43"/>
        <v>18.551806729584179</v>
      </c>
      <c r="K151" s="160">
        <f t="shared" si="43"/>
        <v>19.607404532497515</v>
      </c>
      <c r="L151" s="160">
        <f t="shared" si="43"/>
        <v>20.723065850396623</v>
      </c>
      <c r="M151" s="160">
        <f t="shared" si="43"/>
        <v>21.902208297284194</v>
      </c>
      <c r="N151" s="160">
        <f t="shared" ref="N151" si="44">N149*N150</f>
        <v>23.148443949399663</v>
      </c>
    </row>
    <row r="152" spans="1:14" x14ac:dyDescent="0.3">
      <c r="A152" s="90"/>
      <c r="B152" s="90"/>
      <c r="C152" s="90"/>
      <c r="D152" s="91"/>
      <c r="E152" s="91"/>
      <c r="F152" s="91"/>
      <c r="G152" s="91"/>
      <c r="H152" s="154"/>
    </row>
    <row r="153" spans="1:14" x14ac:dyDescent="0.3">
      <c r="A153" s="156" t="s">
        <v>16</v>
      </c>
      <c r="B153" s="87" t="s">
        <v>503</v>
      </c>
      <c r="C153" s="87"/>
      <c r="D153" s="88">
        <f>'P&amp;L'!E25/'P&amp;L'!E11</f>
        <v>0.2609665468620404</v>
      </c>
      <c r="E153" s="88">
        <f>'P&amp;L'!F25/'P&amp;L'!F11</f>
        <v>0.23965752327008003</v>
      </c>
      <c r="F153" s="88">
        <f>'P&amp;L'!G25/'P&amp;L'!G11</f>
        <v>0.21501697498881053</v>
      </c>
      <c r="G153" s="88">
        <f>'P&amp;L'!I25/'P&amp;L'!I11</f>
        <v>0.20279145276372412</v>
      </c>
      <c r="H153" s="153">
        <f>ROUND(AVERAGE(E153:G153),2)</f>
        <v>0.22</v>
      </c>
      <c r="I153" s="88">
        <f>H153</f>
        <v>0.22</v>
      </c>
      <c r="J153" s="88">
        <f t="shared" ref="J153:N153" si="45">I153</f>
        <v>0.22</v>
      </c>
      <c r="K153" s="88">
        <f t="shared" si="45"/>
        <v>0.22</v>
      </c>
      <c r="L153" s="88">
        <f t="shared" si="45"/>
        <v>0.22</v>
      </c>
      <c r="M153" s="88">
        <f t="shared" si="45"/>
        <v>0.22</v>
      </c>
      <c r="N153" s="88">
        <f t="shared" si="45"/>
        <v>0.22</v>
      </c>
    </row>
    <row r="154" spans="1:14" x14ac:dyDescent="0.3">
      <c r="A154" s="164" t="s">
        <v>123</v>
      </c>
      <c r="B154" s="141" t="s">
        <v>428</v>
      </c>
      <c r="C154" s="141"/>
      <c r="D154" s="159">
        <f>'P&amp;L'!E25</f>
        <v>23.597900000000003</v>
      </c>
      <c r="E154" s="159">
        <f>'P&amp;L'!F25</f>
        <v>27.366899999999998</v>
      </c>
      <c r="F154" s="159">
        <f>'P&amp;L'!G25</f>
        <v>31.850400000000004</v>
      </c>
      <c r="G154" s="159">
        <f>'P&amp;L'!I25</f>
        <v>32.727600000000002</v>
      </c>
      <c r="H154" s="160">
        <f>'P&amp;L'!J11*Assumptions!H153</f>
        <v>51.920616000000003</v>
      </c>
      <c r="I154" s="160">
        <f>'P&amp;L'!K11*Assumptions!I153</f>
        <v>74.454599999999999</v>
      </c>
      <c r="J154" s="160">
        <f>'P&amp;L'!L11*Assumptions!J153</f>
        <v>146.04926159999999</v>
      </c>
      <c r="K154" s="160">
        <f>'P&amp;L'!M11*Assumptions!K153</f>
        <v>162.89857144600657</v>
      </c>
      <c r="L154" s="160">
        <f>'P&amp;L'!N11*Assumptions!L153</f>
        <v>172.04677055121354</v>
      </c>
      <c r="M154" s="160">
        <f>'P&amp;L'!O11*Assumptions!M153</f>
        <v>181.71433768505975</v>
      </c>
      <c r="N154" s="160">
        <f>'P&amp;L'!P11*Assumptions!N153</f>
        <v>191.93103597379559</v>
      </c>
    </row>
    <row r="155" spans="1:14" x14ac:dyDescent="0.3">
      <c r="A155" s="92"/>
      <c r="B155" s="87"/>
      <c r="C155" s="134"/>
      <c r="D155" s="88"/>
      <c r="E155" s="88"/>
      <c r="F155" s="88"/>
      <c r="G155" s="88"/>
      <c r="H155" s="88"/>
      <c r="I155" s="101"/>
      <c r="J155" s="101"/>
      <c r="K155" s="101"/>
      <c r="L155" s="101"/>
    </row>
    <row r="156" spans="1:14" x14ac:dyDescent="0.3">
      <c r="A156" s="96" t="s">
        <v>17</v>
      </c>
      <c r="B156" s="87" t="s">
        <v>503</v>
      </c>
      <c r="C156" s="93"/>
      <c r="D156" s="88">
        <f>'P&amp;L'!E26/'P&amp;L'!E11</f>
        <v>2.4440143765551568E-2</v>
      </c>
      <c r="E156" s="88">
        <f>'P&amp;L'!F26/'P&amp;L'!F11</f>
        <v>2.8425008122306614E-2</v>
      </c>
      <c r="F156" s="88">
        <f>'P&amp;L'!G26/'P&amp;L'!G11</f>
        <v>4.1652686800823867E-2</v>
      </c>
      <c r="G156" s="88">
        <f>'P&amp;L'!I26/'P&amp;L'!I11</f>
        <v>6.2601245671595848E-2</v>
      </c>
      <c r="H156" s="153">
        <f>ROUNDUP(AVERAGE(E156:G156),2)</f>
        <v>0.05</v>
      </c>
      <c r="I156" s="88">
        <f>H156</f>
        <v>0.05</v>
      </c>
      <c r="J156" s="88">
        <f t="shared" ref="J156:N156" si="46">I156</f>
        <v>0.05</v>
      </c>
      <c r="K156" s="88">
        <f t="shared" si="46"/>
        <v>0.05</v>
      </c>
      <c r="L156" s="88">
        <f t="shared" si="46"/>
        <v>0.05</v>
      </c>
      <c r="M156" s="88">
        <f t="shared" si="46"/>
        <v>0.05</v>
      </c>
      <c r="N156" s="88">
        <f t="shared" si="46"/>
        <v>0.05</v>
      </c>
    </row>
    <row r="157" spans="1:14" x14ac:dyDescent="0.3">
      <c r="A157" s="164" t="s">
        <v>123</v>
      </c>
      <c r="B157" s="141" t="s">
        <v>428</v>
      </c>
      <c r="C157" s="96"/>
      <c r="D157" s="161">
        <f>'P&amp;L'!E26</f>
        <v>2.2100000000000004</v>
      </c>
      <c r="E157" s="161">
        <f>'P&amp;L'!F26</f>
        <v>3.2459000000000002</v>
      </c>
      <c r="F157" s="161">
        <f>'P&amp;L'!G26</f>
        <v>6.169999999999999</v>
      </c>
      <c r="G157" s="161">
        <f>'P&amp;L'!I26</f>
        <v>10.102933333333333</v>
      </c>
      <c r="H157" s="160">
        <f>'P&amp;L'!J11*Assumptions!H156</f>
        <v>11.800140000000001</v>
      </c>
      <c r="I157" s="160">
        <f>'P&amp;L'!K11*Assumptions!I156</f>
        <v>16.921500000000002</v>
      </c>
      <c r="J157" s="160">
        <f>'P&amp;L'!L11*Assumptions!J156</f>
        <v>33.193013999999998</v>
      </c>
      <c r="K157" s="160">
        <f>'P&amp;L'!M11*Assumptions!K156</f>
        <v>37.02240260136513</v>
      </c>
      <c r="L157" s="160">
        <f>'P&amp;L'!N11*Assumptions!L156</f>
        <v>39.101538761639439</v>
      </c>
      <c r="M157" s="160">
        <f>'P&amp;L'!O11*Assumptions!M156</f>
        <v>41.298713110240854</v>
      </c>
      <c r="N157" s="160">
        <f>'P&amp;L'!P11*Assumptions!N156</f>
        <v>43.620689994044454</v>
      </c>
    </row>
    <row r="158" spans="1:14" x14ac:dyDescent="0.3">
      <c r="A158" s="93"/>
      <c r="B158" s="93"/>
      <c r="C158" s="93"/>
      <c r="D158" s="91"/>
      <c r="E158" s="91"/>
      <c r="F158" s="91"/>
      <c r="G158" s="91"/>
      <c r="H158" s="154"/>
    </row>
    <row r="159" spans="1:14" x14ac:dyDescent="0.3">
      <c r="A159" s="156" t="s">
        <v>18</v>
      </c>
      <c r="B159" s="87" t="s">
        <v>503</v>
      </c>
      <c r="C159" s="87"/>
      <c r="D159" s="88">
        <f>'P&amp;L'!E27/'P&amp;L'!E11</f>
        <v>2.1465302737074924E-2</v>
      </c>
      <c r="E159" s="88">
        <f>'P&amp;L'!F27/'P&amp;L'!F11</f>
        <v>2.1863235243892509E-2</v>
      </c>
      <c r="F159" s="88">
        <f>'P&amp;L'!G27/'P&amp;L'!G11</f>
        <v>1.6829845736540346E-2</v>
      </c>
      <c r="G159" s="88">
        <f>'P&amp;L'!I27/'P&amp;L'!I11</f>
        <v>1.8373397857924037E-2</v>
      </c>
      <c r="H159" s="153">
        <f>ROUNDUP(AVERAGE(E159:G159),2)</f>
        <v>0.02</v>
      </c>
      <c r="I159" s="88">
        <f>H159</f>
        <v>0.02</v>
      </c>
      <c r="J159" s="88">
        <f t="shared" ref="J159:N159" si="47">I159</f>
        <v>0.02</v>
      </c>
      <c r="K159" s="88">
        <f t="shared" si="47"/>
        <v>0.02</v>
      </c>
      <c r="L159" s="88">
        <f t="shared" si="47"/>
        <v>0.02</v>
      </c>
      <c r="M159" s="88">
        <f t="shared" si="47"/>
        <v>0.02</v>
      </c>
      <c r="N159" s="88">
        <f t="shared" si="47"/>
        <v>0.02</v>
      </c>
    </row>
    <row r="160" spans="1:14" x14ac:dyDescent="0.3">
      <c r="A160" s="164" t="s">
        <v>123</v>
      </c>
      <c r="B160" s="141" t="s">
        <v>428</v>
      </c>
      <c r="C160" s="141"/>
      <c r="D160" s="161">
        <f>'P&amp;L'!E27</f>
        <v>1.9410000000000001</v>
      </c>
      <c r="E160" s="161">
        <f>'P&amp;L'!F27</f>
        <v>2.4965999999999999</v>
      </c>
      <c r="F160" s="161">
        <f>'P&amp;L'!G27</f>
        <v>2.4930000000000003</v>
      </c>
      <c r="G160" s="161">
        <f>'P&amp;L'!I27</f>
        <v>2.9651999999999998</v>
      </c>
      <c r="H160" s="160">
        <f>'P&amp;L'!J11*Assumptions!H159</f>
        <v>4.7200560000000005</v>
      </c>
      <c r="I160" s="160">
        <f>'P&amp;L'!K11*Assumptions!I159</f>
        <v>6.7686000000000002</v>
      </c>
      <c r="J160" s="160">
        <f>'P&amp;L'!L11*Assumptions!J159</f>
        <v>13.2772056</v>
      </c>
      <c r="K160" s="160">
        <f>'P&amp;L'!M11*Assumptions!K159</f>
        <v>14.808961040546052</v>
      </c>
      <c r="L160" s="160">
        <f>'P&amp;L'!N11*Assumptions!L159</f>
        <v>15.640615504655775</v>
      </c>
      <c r="M160" s="160">
        <f>'P&amp;L'!O11*Assumptions!M159</f>
        <v>16.519485244096341</v>
      </c>
      <c r="N160" s="160">
        <f>'P&amp;L'!P11*Assumptions!N159</f>
        <v>17.448275997617781</v>
      </c>
    </row>
    <row r="161" spans="1:17" x14ac:dyDescent="0.3">
      <c r="A161" s="92"/>
      <c r="B161" s="92"/>
      <c r="C161" s="92"/>
      <c r="D161" s="88"/>
      <c r="E161" s="88"/>
      <c r="F161" s="88"/>
      <c r="G161" s="88"/>
      <c r="H161" s="88"/>
      <c r="I161" s="88"/>
      <c r="J161" s="88"/>
      <c r="K161" s="88"/>
      <c r="L161" s="88"/>
    </row>
    <row r="162" spans="1:17" x14ac:dyDescent="0.3">
      <c r="A162" s="72" t="s">
        <v>423</v>
      </c>
      <c r="B162" s="72"/>
      <c r="C162" s="72"/>
      <c r="D162" s="82"/>
      <c r="E162" s="83"/>
      <c r="F162" s="83"/>
      <c r="G162" s="73"/>
      <c r="H162" s="73"/>
      <c r="I162" s="73"/>
      <c r="J162" s="73"/>
      <c r="K162" s="73"/>
      <c r="L162" s="73"/>
      <c r="M162" s="73"/>
      <c r="N162" s="73"/>
    </row>
    <row r="163" spans="1:17" x14ac:dyDescent="0.3">
      <c r="A163" s="84"/>
      <c r="B163" s="84"/>
      <c r="C163" s="84"/>
      <c r="D163" s="85"/>
      <c r="E163" s="86"/>
      <c r="F163" s="86"/>
      <c r="G163" s="85"/>
      <c r="H163" s="85"/>
      <c r="I163" s="85"/>
      <c r="J163" s="85"/>
      <c r="K163" s="85"/>
      <c r="L163" s="85"/>
      <c r="M163" s="85"/>
      <c r="N163" s="85"/>
    </row>
    <row r="164" spans="1:17" x14ac:dyDescent="0.3">
      <c r="A164" s="415" t="s">
        <v>422</v>
      </c>
      <c r="B164" s="415" t="s">
        <v>330</v>
      </c>
      <c r="C164" s="415"/>
      <c r="D164" s="468">
        <v>44286</v>
      </c>
      <c r="E164" s="468">
        <f t="shared" ref="E164:G164" si="48">EOMONTH(D164,12)</f>
        <v>44651</v>
      </c>
      <c r="F164" s="468">
        <f t="shared" si="48"/>
        <v>45016</v>
      </c>
      <c r="G164" s="468">
        <f t="shared" si="48"/>
        <v>45382</v>
      </c>
      <c r="H164" s="468">
        <f>EOMONTH(G164,12)</f>
        <v>45747</v>
      </c>
      <c r="I164" s="468">
        <f t="shared" ref="I164:N164" si="49">EOMONTH(H164,12)</f>
        <v>46112</v>
      </c>
      <c r="J164" s="468">
        <f t="shared" si="49"/>
        <v>46477</v>
      </c>
      <c r="K164" s="468">
        <f t="shared" si="49"/>
        <v>46843</v>
      </c>
      <c r="L164" s="468">
        <f t="shared" si="49"/>
        <v>47208</v>
      </c>
      <c r="M164" s="468">
        <f t="shared" si="49"/>
        <v>47573</v>
      </c>
      <c r="N164" s="468">
        <f t="shared" si="49"/>
        <v>47938</v>
      </c>
    </row>
    <row r="165" spans="1:17" s="90" customFormat="1" x14ac:dyDescent="0.3">
      <c r="A165" s="94"/>
      <c r="B165" s="94"/>
      <c r="C165" s="94"/>
      <c r="D165" s="168"/>
      <c r="E165" s="168"/>
      <c r="F165" s="168"/>
      <c r="G165" s="168"/>
      <c r="H165" s="168"/>
      <c r="I165" s="168"/>
      <c r="J165" s="168"/>
      <c r="K165" s="168"/>
      <c r="L165" s="168"/>
      <c r="M165" s="168"/>
      <c r="N165" s="168"/>
    </row>
    <row r="166" spans="1:17" s="90" customFormat="1" x14ac:dyDescent="0.3">
      <c r="A166" s="90" t="s">
        <v>655</v>
      </c>
      <c r="B166" s="87" t="s">
        <v>428</v>
      </c>
      <c r="C166" s="94"/>
      <c r="D166" s="95"/>
      <c r="E166" s="95"/>
      <c r="F166" s="95"/>
      <c r="G166" s="97">
        <f>4.28+5.72</f>
        <v>10</v>
      </c>
      <c r="H166" s="97">
        <v>100</v>
      </c>
      <c r="I166" s="97">
        <f>C171-SUM(G166:H166)</f>
        <v>41.970774999999975</v>
      </c>
      <c r="J166" s="168"/>
      <c r="K166" s="168"/>
      <c r="L166" s="168"/>
      <c r="M166" s="168"/>
      <c r="N166" s="168"/>
      <c r="O166" s="261">
        <f>C171</f>
        <v>151.97077499999997</v>
      </c>
      <c r="P166" s="261">
        <f>C180</f>
        <v>75</v>
      </c>
    </row>
    <row r="167" spans="1:17" s="90" customFormat="1" x14ac:dyDescent="0.3">
      <c r="B167" s="87"/>
      <c r="C167" s="94"/>
      <c r="D167" s="168"/>
      <c r="E167" s="168"/>
      <c r="F167" s="168"/>
      <c r="G167" s="168"/>
      <c r="H167" s="169"/>
      <c r="I167" s="169"/>
      <c r="J167" s="168"/>
      <c r="K167" s="168"/>
      <c r="L167" s="168"/>
      <c r="M167" s="168"/>
      <c r="N167" s="168"/>
      <c r="O167" s="97">
        <f>G166</f>
        <v>10</v>
      </c>
      <c r="P167" s="283">
        <f>(O167*$P$166)/$O$166</f>
        <v>4.9351594081164629</v>
      </c>
    </row>
    <row r="168" spans="1:17" s="90" customFormat="1" x14ac:dyDescent="0.3">
      <c r="A168" s="90" t="s">
        <v>509</v>
      </c>
      <c r="B168" s="87"/>
      <c r="C168" s="94"/>
      <c r="D168" s="168"/>
      <c r="E168" s="168"/>
      <c r="F168" s="168"/>
      <c r="G168" s="168"/>
      <c r="H168" s="169"/>
      <c r="I168" s="169"/>
      <c r="J168" s="168"/>
      <c r="K168" s="168"/>
      <c r="L168" s="168"/>
      <c r="M168" s="168"/>
      <c r="N168" s="168"/>
      <c r="O168" s="97">
        <f>H166</f>
        <v>100</v>
      </c>
      <c r="P168" s="283">
        <f t="shared" ref="P168:P169" si="50">(O168*$P$166)/$O$166</f>
        <v>49.351594081164627</v>
      </c>
    </row>
    <row r="169" spans="1:17" s="90" customFormat="1" x14ac:dyDescent="0.3">
      <c r="A169" s="178" t="s">
        <v>77</v>
      </c>
      <c r="B169" s="87" t="s">
        <v>428</v>
      </c>
      <c r="C169" s="298">
        <f>'NEW FERMENTOR (50KL)'!E64/100</f>
        <v>51.75</v>
      </c>
      <c r="D169" s="168"/>
      <c r="E169" s="168"/>
      <c r="F169" s="168"/>
      <c r="G169" s="168"/>
      <c r="H169" s="95"/>
      <c r="I169" s="95">
        <f>C169</f>
        <v>51.75</v>
      </c>
      <c r="J169" s="168"/>
      <c r="K169" s="168"/>
      <c r="L169" s="168"/>
      <c r="M169" s="168"/>
      <c r="N169" s="168"/>
      <c r="O169" s="97">
        <f>O166-O167-O168</f>
        <v>41.970774999999975</v>
      </c>
      <c r="P169" s="283">
        <f t="shared" si="50"/>
        <v>20.713246510718911</v>
      </c>
      <c r="Q169" s="283"/>
    </row>
    <row r="170" spans="1:17" s="90" customFormat="1" x14ac:dyDescent="0.3">
      <c r="A170" s="178" t="s">
        <v>510</v>
      </c>
      <c r="B170" s="87" t="s">
        <v>428</v>
      </c>
      <c r="C170" s="299">
        <f>'NEW FERMENTOR (50KL)'!E63/100</f>
        <v>100.22077499999997</v>
      </c>
      <c r="D170" s="168"/>
      <c r="E170" s="168"/>
      <c r="F170" s="168"/>
      <c r="G170" s="168"/>
      <c r="H170" s="95"/>
      <c r="I170" s="95">
        <f>C170</f>
        <v>100.22077499999997</v>
      </c>
      <c r="J170" s="168"/>
      <c r="K170" s="168"/>
      <c r="L170" s="168"/>
      <c r="M170" s="168"/>
      <c r="N170" s="168"/>
    </row>
    <row r="171" spans="1:17" s="90" customFormat="1" x14ac:dyDescent="0.3">
      <c r="A171" s="178" t="s">
        <v>123</v>
      </c>
      <c r="B171" s="87"/>
      <c r="C171" s="168">
        <f>SUM(C169:C170)</f>
        <v>151.97077499999997</v>
      </c>
      <c r="D171" s="168"/>
      <c r="E171" s="168"/>
      <c r="F171" s="168"/>
      <c r="G171" s="168"/>
      <c r="H171" s="261">
        <f>SUM(H169:H170)</f>
        <v>0</v>
      </c>
      <c r="I171" s="261">
        <f t="shared" ref="I171:M171" si="51">SUM(I169:I170)</f>
        <v>151.97077499999997</v>
      </c>
      <c r="J171" s="261">
        <f t="shared" si="51"/>
        <v>0</v>
      </c>
      <c r="K171" s="261">
        <f t="shared" si="51"/>
        <v>0</v>
      </c>
      <c r="L171" s="261">
        <f t="shared" si="51"/>
        <v>0</v>
      </c>
      <c r="M171" s="261">
        <f t="shared" si="51"/>
        <v>0</v>
      </c>
      <c r="N171" s="261">
        <f t="shared" ref="N171" si="52">SUM(N169:N170)</f>
        <v>0</v>
      </c>
    </row>
    <row r="172" spans="1:17" s="90" customFormat="1" x14ac:dyDescent="0.3">
      <c r="A172" s="92"/>
      <c r="B172" s="92"/>
      <c r="C172" s="92"/>
      <c r="D172" s="95"/>
      <c r="E172" s="95"/>
      <c r="F172" s="95"/>
      <c r="G172" s="95"/>
      <c r="H172" s="95"/>
      <c r="I172" s="95"/>
      <c r="J172" s="95"/>
      <c r="K172" s="95"/>
      <c r="L172" s="95"/>
      <c r="M172" s="95"/>
      <c r="N172" s="95"/>
    </row>
    <row r="173" spans="1:17" x14ac:dyDescent="0.3">
      <c r="A173" s="72" t="s">
        <v>424</v>
      </c>
      <c r="B173" s="72"/>
      <c r="C173" s="72"/>
      <c r="D173" s="82"/>
      <c r="E173" s="83"/>
      <c r="F173" s="83"/>
      <c r="G173" s="73"/>
      <c r="H173" s="73"/>
      <c r="I173" s="73"/>
      <c r="J173" s="73"/>
      <c r="K173" s="73"/>
      <c r="L173" s="73"/>
      <c r="M173" s="73"/>
      <c r="N173" s="73"/>
    </row>
    <row r="174" spans="1:17" s="90" customFormat="1" x14ac:dyDescent="0.3">
      <c r="A174" s="94"/>
      <c r="B174" s="94"/>
      <c r="C174" s="94"/>
    </row>
    <row r="175" spans="1:17" x14ac:dyDescent="0.3">
      <c r="A175" s="415" t="s">
        <v>422</v>
      </c>
      <c r="B175" s="415" t="s">
        <v>330</v>
      </c>
      <c r="C175" s="415"/>
      <c r="D175" s="468">
        <v>44286</v>
      </c>
      <c r="E175" s="468">
        <f t="shared" ref="E175:G175" si="53">EOMONTH(D175,12)</f>
        <v>44651</v>
      </c>
      <c r="F175" s="468">
        <f t="shared" si="53"/>
        <v>45016</v>
      </c>
      <c r="G175" s="468">
        <f t="shared" si="53"/>
        <v>45382</v>
      </c>
      <c r="H175" s="468">
        <f>EOMONTH(G175,12)</f>
        <v>45747</v>
      </c>
      <c r="I175" s="468">
        <f t="shared" ref="I175:N175" si="54">EOMONTH(H175,12)</f>
        <v>46112</v>
      </c>
      <c r="J175" s="468">
        <f t="shared" si="54"/>
        <v>46477</v>
      </c>
      <c r="K175" s="468">
        <f t="shared" si="54"/>
        <v>46843</v>
      </c>
      <c r="L175" s="468">
        <f t="shared" si="54"/>
        <v>47208</v>
      </c>
      <c r="M175" s="468">
        <f t="shared" si="54"/>
        <v>47573</v>
      </c>
      <c r="N175" s="468">
        <f t="shared" si="54"/>
        <v>47938</v>
      </c>
    </row>
    <row r="176" spans="1:17" s="90" customFormat="1" x14ac:dyDescent="0.3">
      <c r="A176" s="93"/>
      <c r="B176" s="93"/>
      <c r="C176" s="93"/>
      <c r="G176" s="95"/>
      <c r="H176" s="95"/>
      <c r="I176" s="95"/>
      <c r="J176" s="95"/>
      <c r="K176" s="95"/>
      <c r="L176" s="95"/>
      <c r="M176" s="95"/>
      <c r="N176" s="95"/>
    </row>
    <row r="177" spans="1:22" s="90" customFormat="1" x14ac:dyDescent="0.3">
      <c r="A177" s="96" t="s">
        <v>489</v>
      </c>
      <c r="B177" s="87" t="s">
        <v>331</v>
      </c>
      <c r="C177" s="237">
        <v>0.11</v>
      </c>
    </row>
    <row r="178" spans="1:22" s="90" customFormat="1" x14ac:dyDescent="0.3">
      <c r="A178" s="93"/>
      <c r="B178" s="93"/>
      <c r="C178" s="93"/>
      <c r="G178" s="95"/>
      <c r="H178" s="95"/>
      <c r="I178" s="95"/>
      <c r="J178" s="95"/>
      <c r="K178" s="95"/>
      <c r="L178" s="95"/>
      <c r="M178" s="95"/>
      <c r="N178" s="95"/>
    </row>
    <row r="179" spans="1:22" s="90" customFormat="1" x14ac:dyDescent="0.3">
      <c r="A179" s="96" t="s">
        <v>426</v>
      </c>
      <c r="B179" s="96"/>
      <c r="C179" s="96"/>
      <c r="G179" s="95"/>
      <c r="H179" s="95"/>
      <c r="I179" s="95"/>
      <c r="J179" s="95"/>
      <c r="K179" s="95"/>
      <c r="L179" s="95"/>
      <c r="M179" s="95"/>
      <c r="N179" s="95"/>
    </row>
    <row r="180" spans="1:22" s="90" customFormat="1" x14ac:dyDescent="0.3">
      <c r="A180" s="93" t="s">
        <v>427</v>
      </c>
      <c r="B180" s="87" t="s">
        <v>428</v>
      </c>
      <c r="C180" s="290">
        <v>75</v>
      </c>
      <c r="G180" s="97">
        <v>5</v>
      </c>
      <c r="H180" s="97">
        <v>50</v>
      </c>
      <c r="I180" s="97">
        <f>75-SUM(G180:H180)</f>
        <v>20</v>
      </c>
      <c r="J180" s="97">
        <v>0</v>
      </c>
      <c r="K180" s="97">
        <v>0</v>
      </c>
      <c r="L180" s="97">
        <v>0</v>
      </c>
      <c r="M180" s="97">
        <v>0</v>
      </c>
      <c r="N180" s="97">
        <v>0</v>
      </c>
    </row>
    <row r="181" spans="1:22" s="90" customFormat="1" x14ac:dyDescent="0.3">
      <c r="B181" s="93"/>
      <c r="C181" s="93"/>
      <c r="G181" s="95"/>
      <c r="H181" s="95"/>
      <c r="I181" s="95"/>
      <c r="J181" s="95"/>
      <c r="K181" s="95"/>
      <c r="L181" s="95"/>
      <c r="M181" s="95"/>
      <c r="N181" s="95"/>
    </row>
    <row r="182" spans="1:22" s="90" customFormat="1" x14ac:dyDescent="0.3">
      <c r="A182" s="96" t="s">
        <v>180</v>
      </c>
      <c r="B182" s="93"/>
      <c r="C182" s="93"/>
      <c r="G182" s="95"/>
      <c r="H182" s="95"/>
      <c r="I182" s="95"/>
      <c r="J182" s="95"/>
      <c r="K182" s="95"/>
      <c r="L182" s="95"/>
      <c r="M182" s="95"/>
      <c r="N182" s="95"/>
    </row>
    <row r="183" spans="1:22" s="90" customFormat="1" x14ac:dyDescent="0.3">
      <c r="A183" s="96" t="s">
        <v>666</v>
      </c>
      <c r="B183" s="285">
        <v>0</v>
      </c>
      <c r="C183" s="284"/>
      <c r="G183" s="95"/>
      <c r="H183" s="95"/>
      <c r="I183" s="95"/>
      <c r="J183" s="95"/>
      <c r="K183" s="95"/>
      <c r="L183" s="95"/>
      <c r="M183" s="95"/>
      <c r="N183" s="95"/>
    </row>
    <row r="184" spans="1:22" x14ac:dyDescent="0.3">
      <c r="A184" s="93" t="s">
        <v>427</v>
      </c>
      <c r="B184" s="87" t="s">
        <v>331</v>
      </c>
      <c r="C184" s="87"/>
      <c r="G184" s="98"/>
      <c r="H184" s="286"/>
      <c r="I184" s="286">
        <f>8%*$B$183</f>
        <v>0</v>
      </c>
      <c r="J184" s="286">
        <f>16%*$B$183</f>
        <v>0</v>
      </c>
      <c r="K184" s="286">
        <f>20%*$B$183</f>
        <v>0</v>
      </c>
      <c r="L184" s="286">
        <f>24%*$B$183</f>
        <v>0</v>
      </c>
      <c r="M184" s="286">
        <f>24%*$B$183</f>
        <v>0</v>
      </c>
      <c r="N184" s="286">
        <f>(1-SUM(H184:M184))*$B$183</f>
        <v>0</v>
      </c>
      <c r="P184" s="88"/>
      <c r="Q184" s="88"/>
      <c r="R184" s="88"/>
      <c r="S184" s="88"/>
      <c r="T184" s="88"/>
      <c r="U184" s="88"/>
      <c r="V184" s="101"/>
    </row>
    <row r="185" spans="1:22" x14ac:dyDescent="0.3">
      <c r="A185" s="93" t="s">
        <v>427</v>
      </c>
      <c r="B185" s="87" t="s">
        <v>428</v>
      </c>
      <c r="C185" s="87"/>
      <c r="G185" s="98"/>
      <c r="H185" s="98">
        <v>0</v>
      </c>
      <c r="I185" s="98">
        <f>6*(1-$B$183)</f>
        <v>6</v>
      </c>
      <c r="J185" s="98">
        <f>12*(1-$B$183)</f>
        <v>12</v>
      </c>
      <c r="K185" s="98">
        <f>14*(1-$B$183)</f>
        <v>14</v>
      </c>
      <c r="L185" s="98">
        <f>16*(1-$B$183)</f>
        <v>16</v>
      </c>
      <c r="M185" s="98">
        <f>18*(1-$B$183)</f>
        <v>18</v>
      </c>
      <c r="N185" s="98">
        <f>($C$180-SUM(H185:M185))*(1-$B$183)</f>
        <v>9</v>
      </c>
      <c r="P185" s="98"/>
      <c r="Q185" s="98"/>
      <c r="R185" s="98"/>
      <c r="S185" s="98"/>
      <c r="T185" s="98"/>
      <c r="U185" s="98"/>
    </row>
    <row r="186" spans="1:22" x14ac:dyDescent="0.3">
      <c r="B186" s="99"/>
      <c r="C186" s="99"/>
    </row>
    <row r="187" spans="1:22" x14ac:dyDescent="0.3">
      <c r="A187" s="100" t="s">
        <v>333</v>
      </c>
      <c r="B187" s="99"/>
      <c r="C187" s="99"/>
    </row>
    <row r="188" spans="1:22" x14ac:dyDescent="0.3">
      <c r="A188" s="93" t="s">
        <v>427</v>
      </c>
      <c r="B188" s="87" t="s">
        <v>331</v>
      </c>
      <c r="C188" s="87"/>
      <c r="H188" s="147">
        <f t="shared" ref="H188:N188" si="55">ROI_TL</f>
        <v>0.11</v>
      </c>
      <c r="I188" s="147">
        <f t="shared" si="55"/>
        <v>0.11</v>
      </c>
      <c r="J188" s="147">
        <f t="shared" si="55"/>
        <v>0.11</v>
      </c>
      <c r="K188" s="147">
        <f t="shared" si="55"/>
        <v>0.11</v>
      </c>
      <c r="L188" s="147">
        <f t="shared" si="55"/>
        <v>0.11</v>
      </c>
      <c r="M188" s="147">
        <f t="shared" si="55"/>
        <v>0.11</v>
      </c>
      <c r="N188" s="147">
        <f t="shared" si="55"/>
        <v>0.11</v>
      </c>
    </row>
    <row r="189" spans="1:22" x14ac:dyDescent="0.3">
      <c r="A189" s="93" t="s">
        <v>427</v>
      </c>
      <c r="B189" s="87" t="s">
        <v>428</v>
      </c>
      <c r="C189" s="87"/>
      <c r="H189" s="98">
        <f>SUMIF('Debt Sch'!$D$6:$BX$6,$H$175:$M$175,'Debt Sch'!$D$27:$BX$27)</f>
        <v>2.606849315068493</v>
      </c>
      <c r="I189" s="98">
        <f>SUMIF('Debt Sch'!$D$6:$BX$6,$H$175:$M$175,'Debt Sch'!$D$27:$BX$27)</f>
        <v>7.342876712328767</v>
      </c>
      <c r="J189" s="98">
        <f>SUMIF('Debt Sch'!$D$6:$BX$6,$H$175:$M$175,'Debt Sch'!$D$27:$BX$27)</f>
        <v>7.096356164383562</v>
      </c>
      <c r="K189" s="98">
        <f>SUMIF('Debt Sch'!$D$6:$BX$6,$H$175:$M$175,'Debt Sch'!$D$27:$BX$27)</f>
        <v>5.6924999999999999</v>
      </c>
      <c r="L189" s="98">
        <f>SUMIF('Debt Sch'!$D$6:$BX$6,$H$175:$M$175,'Debt Sch'!$D$27:$BX$27)</f>
        <v>4.0718082191780827</v>
      </c>
      <c r="M189" s="98">
        <f>SUMIF('Debt Sch'!$D$6:$BX$6,$H$175:$M$175,'Debt Sch'!$D$27:$BX$27)</f>
        <v>2.2295342465753425</v>
      </c>
      <c r="N189" s="98">
        <f>SUMIF('Debt Sch'!$D$6:$BX$6,$H$175:$M$175,'Debt Sch'!$D$27:$BX$27)</f>
        <v>0</v>
      </c>
    </row>
    <row r="191" spans="1:22" x14ac:dyDescent="0.3">
      <c r="A191" s="72" t="s">
        <v>429</v>
      </c>
      <c r="B191" s="72"/>
      <c r="C191" s="72"/>
      <c r="D191" s="82"/>
      <c r="E191" s="83"/>
      <c r="F191" s="83"/>
      <c r="G191" s="73"/>
      <c r="H191" s="73"/>
      <c r="I191" s="73"/>
      <c r="J191" s="73"/>
      <c r="K191" s="73"/>
      <c r="L191" s="73"/>
      <c r="M191" s="73"/>
      <c r="N191" s="73"/>
    </row>
    <row r="193" spans="1:14" x14ac:dyDescent="0.3">
      <c r="A193" s="415" t="s">
        <v>422</v>
      </c>
      <c r="B193" s="415" t="s">
        <v>330</v>
      </c>
      <c r="C193" s="415"/>
      <c r="D193" s="468">
        <v>44286</v>
      </c>
      <c r="E193" s="468">
        <f t="shared" ref="E193:G193" si="56">EOMONTH(D193,12)</f>
        <v>44651</v>
      </c>
      <c r="F193" s="468">
        <f t="shared" si="56"/>
        <v>45016</v>
      </c>
      <c r="G193" s="468">
        <f t="shared" si="56"/>
        <v>45382</v>
      </c>
      <c r="H193" s="468">
        <f>EOMONTH(G193,12)</f>
        <v>45747</v>
      </c>
      <c r="I193" s="468">
        <f t="shared" ref="I193:N193" si="57">EOMONTH(H193,12)</f>
        <v>46112</v>
      </c>
      <c r="J193" s="468">
        <f t="shared" si="57"/>
        <v>46477</v>
      </c>
      <c r="K193" s="468">
        <f t="shared" si="57"/>
        <v>46843</v>
      </c>
      <c r="L193" s="468">
        <f t="shared" si="57"/>
        <v>47208</v>
      </c>
      <c r="M193" s="468">
        <f t="shared" si="57"/>
        <v>47573</v>
      </c>
      <c r="N193" s="468">
        <f t="shared" si="57"/>
        <v>47938</v>
      </c>
    </row>
    <row r="194" spans="1:14" x14ac:dyDescent="0.3">
      <c r="A194" s="102"/>
      <c r="B194" s="102"/>
      <c r="C194" s="102"/>
      <c r="D194" s="103"/>
      <c r="E194" s="103"/>
      <c r="F194" s="103"/>
      <c r="G194" s="103"/>
      <c r="H194" s="103"/>
      <c r="I194" s="103"/>
      <c r="J194" s="103"/>
      <c r="K194" s="103"/>
      <c r="L194" s="103"/>
      <c r="M194" s="103"/>
      <c r="N194" s="103"/>
    </row>
    <row r="195" spans="1:14" x14ac:dyDescent="0.3">
      <c r="A195" s="104" t="s">
        <v>430</v>
      </c>
      <c r="B195" s="105" t="s">
        <v>331</v>
      </c>
      <c r="C195" s="105"/>
      <c r="G195" s="106">
        <f>IF(G106&gt;400,30%,25%)*IF('P&amp;L'!I34&gt;100,1.12,1.07)*1.04</f>
        <v>0.2782</v>
      </c>
      <c r="H195" s="106">
        <f>IF(H106&gt;400,30%,25%)*IF('P&amp;L'!J34&gt;100,1.12,1.07)*1.04</f>
        <v>0.29120000000000001</v>
      </c>
      <c r="I195" s="106">
        <f>IF(I106&gt;400,30%,25%)*IF('P&amp;L'!K34&gt;100,1.12,1.07)*1.04</f>
        <v>0.29120000000000001</v>
      </c>
      <c r="J195" s="106">
        <f>IF(J106&gt;400,30%,25%)*IF('P&amp;L'!L34&gt;100,1.12,1.07)*1.04</f>
        <v>0.34944000000000003</v>
      </c>
      <c r="K195" s="106">
        <f>IF(K101&gt;400,30%,25%)*IF('P&amp;L'!M34&gt;100,1.12,1.07)*1.04</f>
        <v>0.34944000000000003</v>
      </c>
      <c r="L195" s="106">
        <f>IF(L101&gt;400,30%,25%)*IF('P&amp;L'!N34&gt;100,1.12,1.07)*1.04</f>
        <v>0.34944000000000003</v>
      </c>
      <c r="M195" s="106">
        <f>IF(M101&gt;400,30%,25%)*IF('P&amp;L'!O34&gt;100,1.12,1.07)*1.04</f>
        <v>0.34944000000000003</v>
      </c>
      <c r="N195" s="106">
        <f>IF(N101&gt;400,30%,25%)*IF('P&amp;L'!P34&gt;100,1.12,1.07)*1.04</f>
        <v>0.34944000000000003</v>
      </c>
    </row>
    <row r="196" spans="1:14" x14ac:dyDescent="0.3">
      <c r="A196" s="104" t="s">
        <v>431</v>
      </c>
      <c r="B196" s="105" t="s">
        <v>331</v>
      </c>
      <c r="C196" s="105"/>
      <c r="G196" s="106">
        <f>15%*1.12*1.04</f>
        <v>0.17472000000000001</v>
      </c>
      <c r="H196" s="106">
        <f t="shared" ref="H196:N196" si="58">15%*1.12*1.04</f>
        <v>0.17472000000000001</v>
      </c>
      <c r="I196" s="106">
        <f t="shared" si="58"/>
        <v>0.17472000000000001</v>
      </c>
      <c r="J196" s="106">
        <f t="shared" si="58"/>
        <v>0.17472000000000001</v>
      </c>
      <c r="K196" s="106">
        <f t="shared" si="58"/>
        <v>0.17472000000000001</v>
      </c>
      <c r="L196" s="106">
        <f t="shared" si="58"/>
        <v>0.17472000000000001</v>
      </c>
      <c r="M196" s="106">
        <f t="shared" si="58"/>
        <v>0.17472000000000001</v>
      </c>
      <c r="N196" s="106">
        <f t="shared" si="58"/>
        <v>0.17472000000000001</v>
      </c>
    </row>
  </sheetData>
  <conditionalFormatting sqref="D15:N15">
    <cfRule type="cellIs" dxfId="1" priority="1" operator="lessThan">
      <formula>0</formula>
    </cfRule>
  </conditionalFormatting>
  <dataValidations disablePrompts="1" count="1">
    <dataValidation type="list" allowBlank="1" showInputMessage="1" showErrorMessage="1" sqref="B183" xr:uid="{00000000-0002-0000-0000-000000000000}">
      <formula1>"0,1"</formula1>
    </dataValidation>
  </dataValidations>
  <pageMargins left="0.70866141732283472" right="0.70866141732283472" top="0.74803149606299213" bottom="0.74803149606299213" header="0.31496062992125984" footer="0.31496062992125984"/>
  <pageSetup scale="67" orientation="landscape" r:id="rId1"/>
  <rowBreaks count="5" manualBreakCount="5">
    <brk id="36" max="16383" man="1"/>
    <brk id="73" max="16383" man="1"/>
    <brk id="93" max="16383" man="1"/>
    <brk id="138" max="16383" man="1"/>
    <brk id="17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119"/>
  <sheetViews>
    <sheetView zoomScaleNormal="100" zoomScaleSheetLayoutView="100" workbookViewId="0">
      <selection activeCell="I16" sqref="I16"/>
    </sheetView>
  </sheetViews>
  <sheetFormatPr defaultColWidth="9" defaultRowHeight="14.4" x14ac:dyDescent="0.3"/>
  <cols>
    <col min="1" max="1" width="4.88671875" style="341" customWidth="1"/>
    <col min="2" max="2" width="19.6640625" style="341" bestFit="1" customWidth="1"/>
    <col min="3" max="3" width="3.33203125" style="341" customWidth="1"/>
    <col min="4" max="12" width="12.6640625" style="346" customWidth="1"/>
    <col min="13" max="13" width="9.5546875" style="341" bestFit="1" customWidth="1"/>
    <col min="14" max="16384" width="9" style="341"/>
  </cols>
  <sheetData>
    <row r="1" spans="2:14" x14ac:dyDescent="0.3">
      <c r="B1" s="619" t="s">
        <v>415</v>
      </c>
      <c r="C1" s="619"/>
      <c r="D1" s="619"/>
      <c r="E1" s="619"/>
      <c r="F1" s="619"/>
      <c r="G1" s="619"/>
      <c r="H1" s="619"/>
      <c r="I1" s="619"/>
      <c r="J1" s="619"/>
      <c r="K1" s="619"/>
      <c r="L1" s="619"/>
    </row>
    <row r="2" spans="2:14" ht="18" customHeight="1" x14ac:dyDescent="0.3">
      <c r="B2" s="343" t="s">
        <v>779</v>
      </c>
      <c r="C2" s="344"/>
      <c r="D2" s="345"/>
      <c r="E2" s="345"/>
      <c r="F2" s="345"/>
      <c r="G2" s="345"/>
      <c r="H2" s="345"/>
      <c r="I2" s="345"/>
      <c r="J2" s="345"/>
      <c r="K2" s="345"/>
      <c r="L2" s="345"/>
    </row>
    <row r="3" spans="2:14" ht="11.25" customHeight="1" x14ac:dyDescent="0.3"/>
    <row r="4" spans="2:14" x14ac:dyDescent="0.3">
      <c r="B4" s="347" t="s">
        <v>770</v>
      </c>
      <c r="C4" s="347"/>
      <c r="D4" s="348"/>
      <c r="E4" s="381">
        <f>'P&amp;L'!E8</f>
        <v>44286</v>
      </c>
      <c r="F4" s="381">
        <f>'P&amp;L'!F8</f>
        <v>44651</v>
      </c>
      <c r="G4" s="381">
        <f>'P&amp;L'!G8</f>
        <v>45016</v>
      </c>
      <c r="H4" s="381">
        <f>'P&amp;L'!I8</f>
        <v>45382</v>
      </c>
      <c r="I4" s="381"/>
      <c r="J4" s="381"/>
      <c r="K4" s="381"/>
      <c r="L4" s="381"/>
      <c r="M4" s="349"/>
    </row>
    <row r="5" spans="2:14" ht="9.75" customHeight="1" x14ac:dyDescent="0.3">
      <c r="B5" s="342"/>
      <c r="C5" s="342"/>
      <c r="D5" s="350"/>
      <c r="E5" s="350"/>
      <c r="F5" s="350"/>
      <c r="G5" s="350"/>
      <c r="H5" s="350"/>
      <c r="I5" s="350"/>
      <c r="J5" s="350"/>
      <c r="K5" s="350"/>
      <c r="L5" s="350"/>
    </row>
    <row r="6" spans="2:14" x14ac:dyDescent="0.3">
      <c r="B6" s="342" t="s">
        <v>780</v>
      </c>
      <c r="C6" s="342"/>
      <c r="D6" s="350"/>
      <c r="E6" s="351">
        <f>'P&amp;L'!E17</f>
        <v>93.829199999999986</v>
      </c>
      <c r="F6" s="351">
        <f>'P&amp;L'!F17</f>
        <v>118.904</v>
      </c>
      <c r="G6" s="351">
        <f>'P&amp;L'!G17</f>
        <v>154.99689999999998</v>
      </c>
      <c r="H6" s="351">
        <f>'P&amp;L'!I17</f>
        <v>165.8903</v>
      </c>
      <c r="I6" s="351"/>
      <c r="J6" s="351"/>
      <c r="K6" s="351"/>
      <c r="L6" s="350"/>
    </row>
    <row r="7" spans="2:14" x14ac:dyDescent="0.3">
      <c r="B7" s="342" t="s">
        <v>781</v>
      </c>
      <c r="C7" s="342"/>
      <c r="D7" s="351"/>
      <c r="E7" s="351">
        <f>'P&amp;L'!E30</f>
        <v>43.595899999999986</v>
      </c>
      <c r="F7" s="351">
        <f>'P&amp;L'!F30</f>
        <v>62.095299999999995</v>
      </c>
      <c r="G7" s="351">
        <f>'P&amp;L'!G30</f>
        <v>80.241199999999978</v>
      </c>
      <c r="H7" s="351">
        <f>'P&amp;L'!I30</f>
        <v>72.518833333333333</v>
      </c>
      <c r="I7" s="351"/>
      <c r="J7" s="351"/>
      <c r="K7" s="351"/>
      <c r="L7" s="351"/>
    </row>
    <row r="8" spans="2:14" ht="20.25" customHeight="1" x14ac:dyDescent="0.3">
      <c r="B8" s="352" t="s">
        <v>782</v>
      </c>
      <c r="C8" s="353"/>
      <c r="D8" s="354"/>
      <c r="E8" s="354">
        <f t="shared" ref="E8:H8" si="0">E7/E6</f>
        <v>0.46463041355995782</v>
      </c>
      <c r="F8" s="354">
        <f t="shared" si="0"/>
        <v>0.52223053892215565</v>
      </c>
      <c r="G8" s="354">
        <f t="shared" si="0"/>
        <v>0.51769551520062651</v>
      </c>
      <c r="H8" s="354">
        <f t="shared" si="0"/>
        <v>0.43714932900436815</v>
      </c>
      <c r="I8" s="354"/>
      <c r="J8" s="354"/>
      <c r="K8" s="354"/>
      <c r="L8" s="354"/>
    </row>
    <row r="9" spans="2:14" x14ac:dyDescent="0.3">
      <c r="B9" s="355" t="s">
        <v>22</v>
      </c>
      <c r="C9" s="342"/>
      <c r="D9" s="351"/>
      <c r="E9" s="351">
        <f>'P&amp;L'!E32</f>
        <v>41.863399999999984</v>
      </c>
      <c r="F9" s="351">
        <f>'P&amp;L'!F32</f>
        <v>59.862299999999998</v>
      </c>
      <c r="G9" s="351">
        <f>'P&amp;L'!G32</f>
        <v>77.66549999999998</v>
      </c>
      <c r="H9" s="351">
        <f>'P&amp;L'!I32</f>
        <v>68.852378268333339</v>
      </c>
      <c r="I9" s="351"/>
      <c r="J9" s="351"/>
      <c r="K9" s="351"/>
      <c r="L9" s="351"/>
    </row>
    <row r="10" spans="2:14" ht="18" customHeight="1" x14ac:dyDescent="0.3">
      <c r="B10" s="356" t="s">
        <v>783</v>
      </c>
      <c r="C10" s="354"/>
      <c r="D10" s="354"/>
      <c r="E10" s="354">
        <f t="shared" ref="E10:H10" si="1">E9/E6</f>
        <v>0.44616601228615388</v>
      </c>
      <c r="F10" s="354">
        <f t="shared" si="1"/>
        <v>0.5034506829038552</v>
      </c>
      <c r="G10" s="354">
        <f t="shared" si="1"/>
        <v>0.50107776349075361</v>
      </c>
      <c r="H10" s="354">
        <f t="shared" si="1"/>
        <v>0.41504764454783277</v>
      </c>
      <c r="I10" s="354"/>
      <c r="J10" s="354"/>
      <c r="K10" s="354"/>
      <c r="L10" s="354"/>
    </row>
    <row r="11" spans="2:14" ht="18" customHeight="1" x14ac:dyDescent="0.3">
      <c r="B11" s="357" t="s">
        <v>784</v>
      </c>
      <c r="C11" s="342"/>
      <c r="D11" s="351"/>
      <c r="E11" s="351">
        <f>'P&amp;L'!E36</f>
        <v>30.179699999999983</v>
      </c>
      <c r="F11" s="351">
        <f>'P&amp;L'!F36</f>
        <v>43.624199999999995</v>
      </c>
      <c r="G11" s="351">
        <f>'P&amp;L'!G36</f>
        <v>57.96879999999998</v>
      </c>
      <c r="H11" s="351">
        <f>'P&amp;L'!I36</f>
        <v>49.548859594083012</v>
      </c>
      <c r="I11" s="351"/>
      <c r="J11" s="351"/>
      <c r="K11" s="351"/>
      <c r="L11" s="351"/>
    </row>
    <row r="12" spans="2:14" ht="18" customHeight="1" x14ac:dyDescent="0.3">
      <c r="B12" s="356" t="s">
        <v>785</v>
      </c>
      <c r="C12" s="354"/>
      <c r="D12" s="354"/>
      <c r="E12" s="354">
        <f t="shared" ref="E12:H12" si="2">E11/E6</f>
        <v>0.3216450742412808</v>
      </c>
      <c r="F12" s="354">
        <f t="shared" si="2"/>
        <v>0.36688589113907016</v>
      </c>
      <c r="G12" s="354">
        <f t="shared" si="2"/>
        <v>0.37399973805927722</v>
      </c>
      <c r="H12" s="354">
        <f t="shared" si="2"/>
        <v>0.2986844896542053</v>
      </c>
      <c r="I12" s="354"/>
      <c r="J12" s="354"/>
      <c r="K12" s="354"/>
      <c r="L12" s="354"/>
    </row>
    <row r="13" spans="2:14" x14ac:dyDescent="0.3">
      <c r="B13" s="342" t="str">
        <f>B6</f>
        <v xml:space="preserve">Revenue </v>
      </c>
      <c r="C13" s="342"/>
      <c r="D13" s="350"/>
      <c r="E13" s="351">
        <f t="shared" ref="E13:H13" si="3">E6</f>
        <v>93.829199999999986</v>
      </c>
      <c r="F13" s="351">
        <f t="shared" si="3"/>
        <v>118.904</v>
      </c>
      <c r="G13" s="351">
        <f t="shared" si="3"/>
        <v>154.99689999999998</v>
      </c>
      <c r="H13" s="351">
        <f t="shared" si="3"/>
        <v>165.8903</v>
      </c>
      <c r="I13" s="351"/>
      <c r="J13" s="351"/>
      <c r="K13" s="351"/>
      <c r="L13" s="350"/>
    </row>
    <row r="14" spans="2:14" ht="18" customHeight="1" x14ac:dyDescent="0.3">
      <c r="B14" s="356" t="s">
        <v>786</v>
      </c>
      <c r="C14" s="354"/>
      <c r="D14" s="354"/>
      <c r="E14" s="354" t="e">
        <f>E13/D13-1</f>
        <v>#DIV/0!</v>
      </c>
      <c r="F14" s="354">
        <f t="shared" ref="F14:H14" si="4">F13/E13-1</f>
        <v>0.26723877002042018</v>
      </c>
      <c r="G14" s="354">
        <f t="shared" si="4"/>
        <v>0.30354655856825663</v>
      </c>
      <c r="H14" s="354">
        <f t="shared" si="4"/>
        <v>7.0281405628112692E-2</v>
      </c>
      <c r="I14" s="354"/>
      <c r="J14" s="354"/>
      <c r="K14" s="354"/>
      <c r="L14" s="354"/>
    </row>
    <row r="15" spans="2:14" ht="15" thickBot="1" x14ac:dyDescent="0.35"/>
    <row r="16" spans="2:14" x14ac:dyDescent="0.3">
      <c r="B16" s="358" t="s">
        <v>787</v>
      </c>
      <c r="C16" s="359"/>
      <c r="D16" s="360"/>
      <c r="E16" s="361">
        <f>AVERAGE(E8:H8)</f>
        <v>0.48542644917177707</v>
      </c>
      <c r="N16" s="362"/>
    </row>
    <row r="17" spans="2:14" x14ac:dyDescent="0.3">
      <c r="B17" s="363" t="s">
        <v>788</v>
      </c>
      <c r="E17" s="364">
        <f>AVERAGE(E10:H10)</f>
        <v>0.46643552580714887</v>
      </c>
      <c r="N17" s="311"/>
    </row>
    <row r="18" spans="2:14" x14ac:dyDescent="0.3">
      <c r="B18" s="363" t="s">
        <v>789</v>
      </c>
      <c r="E18" s="364">
        <f>AVERAGE(E12:H12)</f>
        <v>0.34030379827345836</v>
      </c>
      <c r="N18" s="362"/>
    </row>
    <row r="19" spans="2:14" ht="15" thickBot="1" x14ac:dyDescent="0.35">
      <c r="B19" s="365" t="s">
        <v>790</v>
      </c>
      <c r="C19" s="366"/>
      <c r="D19" s="367"/>
      <c r="E19" s="368">
        <f>AVERAGE(F14:H14)</f>
        <v>0.21368891140559651</v>
      </c>
    </row>
    <row r="88" spans="2:13" hidden="1" x14ac:dyDescent="0.3"/>
    <row r="89" spans="2:13" hidden="1" x14ac:dyDescent="0.3">
      <c r="B89" s="369" t="s">
        <v>532</v>
      </c>
    </row>
    <row r="90" spans="2:13" hidden="1" x14ac:dyDescent="0.3">
      <c r="B90" s="347" t="s">
        <v>770</v>
      </c>
      <c r="C90" s="347"/>
      <c r="D90" s="348"/>
      <c r="E90" s="381">
        <f>E4</f>
        <v>44286</v>
      </c>
      <c r="F90" s="381">
        <f t="shared" ref="F90:K90" si="5">F4</f>
        <v>44651</v>
      </c>
      <c r="G90" s="381">
        <f t="shared" si="5"/>
        <v>45016</v>
      </c>
      <c r="H90" s="381">
        <f t="shared" si="5"/>
        <v>45382</v>
      </c>
      <c r="I90" s="381">
        <f t="shared" si="5"/>
        <v>0</v>
      </c>
      <c r="J90" s="381">
        <f t="shared" si="5"/>
        <v>0</v>
      </c>
      <c r="K90" s="381">
        <f t="shared" si="5"/>
        <v>0</v>
      </c>
      <c r="L90" s="348"/>
    </row>
    <row r="91" spans="2:13" hidden="1" x14ac:dyDescent="0.3">
      <c r="B91" s="342" t="s">
        <v>791</v>
      </c>
      <c r="C91" s="342"/>
      <c r="D91" s="351"/>
      <c r="E91" s="351">
        <f>'P&amp;L'!J36</f>
        <v>72.49789012783134</v>
      </c>
      <c r="F91" s="351">
        <f>'P&amp;L'!K36</f>
        <v>100.40547398932142</v>
      </c>
      <c r="G91" s="351">
        <f>'P&amp;L'!L36</f>
        <v>188.76717387833099</v>
      </c>
      <c r="H91" s="351">
        <f>'P&amp;L'!M36</f>
        <v>227.62917626751567</v>
      </c>
      <c r="I91" s="351">
        <f>'P&amp;L'!N36</f>
        <v>244.12062446811376</v>
      </c>
      <c r="J91" s="351">
        <f>'P&amp;L'!O36</f>
        <v>259.68856361470023</v>
      </c>
      <c r="K91" s="351">
        <f>'P&amp;L'!P36</f>
        <v>276.32452967005599</v>
      </c>
      <c r="L91" s="351"/>
    </row>
    <row r="92" spans="2:13" hidden="1" x14ac:dyDescent="0.3">
      <c r="B92" s="342" t="s">
        <v>792</v>
      </c>
      <c r="C92" s="342"/>
      <c r="D92" s="351"/>
      <c r="E92" s="351">
        <f>'P&amp;L'!J31</f>
        <v>4.3262995899999996</v>
      </c>
      <c r="F92" s="351">
        <f>'P&amp;L'!K31</f>
        <v>8.4972548024999988</v>
      </c>
      <c r="G92" s="351">
        <f>'P&amp;L'!L31</f>
        <v>13.805052064999996</v>
      </c>
      <c r="H92" s="351">
        <f>'P&amp;L'!M31</f>
        <v>13.789279514999997</v>
      </c>
      <c r="I92" s="351">
        <f>'P&amp;L'!N31</f>
        <v>13.774522764999997</v>
      </c>
      <c r="J92" s="351">
        <f>'P&amp;L'!O31</f>
        <v>13.774522764999997</v>
      </c>
      <c r="K92" s="351">
        <f>'P&amp;L'!P31</f>
        <v>13.774522764999997</v>
      </c>
      <c r="L92" s="351"/>
    </row>
    <row r="93" spans="2:13" hidden="1" x14ac:dyDescent="0.3">
      <c r="B93" s="342" t="s">
        <v>793</v>
      </c>
      <c r="C93" s="342"/>
      <c r="D93" s="351"/>
      <c r="E93" s="351">
        <f>'P&amp;L'!J33</f>
        <v>2.8129826484018263</v>
      </c>
      <c r="F93" s="351">
        <f>'P&amp;L'!K33</f>
        <v>7.5490100456620999</v>
      </c>
      <c r="G93" s="351">
        <f>'P&amp;L'!L33</f>
        <v>7.3024894977168948</v>
      </c>
      <c r="H93" s="351">
        <f>'P&amp;L'!M33</f>
        <v>5.8986333333333327</v>
      </c>
      <c r="I93" s="351">
        <f>'P&amp;L'!N33</f>
        <v>4.2779415525114155</v>
      </c>
      <c r="J93" s="351">
        <f>'P&amp;L'!O33</f>
        <v>2.4356675799086758</v>
      </c>
      <c r="K93" s="351">
        <f>'P&amp;L'!P33</f>
        <v>0.20613333333333334</v>
      </c>
      <c r="L93" s="351"/>
    </row>
    <row r="94" spans="2:13" ht="57.6" hidden="1" x14ac:dyDescent="0.3">
      <c r="B94" s="370" t="s">
        <v>794</v>
      </c>
      <c r="C94" s="342"/>
      <c r="D94" s="351"/>
      <c r="E94" s="351"/>
      <c r="F94" s="351"/>
      <c r="G94" s="351"/>
      <c r="H94" s="351"/>
      <c r="I94" s="351"/>
      <c r="J94" s="351"/>
      <c r="K94" s="351"/>
      <c r="L94" s="351"/>
    </row>
    <row r="95" spans="2:13" hidden="1" x14ac:dyDescent="0.3">
      <c r="B95" s="353" t="str">
        <f>'[55]PROJECT RK'!B700</f>
        <v>Total "A"</v>
      </c>
      <c r="C95" s="353"/>
      <c r="D95" s="371"/>
      <c r="E95" s="371">
        <f>SUM(E91:E94)</f>
        <v>79.637172366233173</v>
      </c>
      <c r="F95" s="371">
        <f t="shared" ref="F95:K95" si="6">SUM(F91:F94)</f>
        <v>116.45173883748352</v>
      </c>
      <c r="G95" s="371">
        <f t="shared" si="6"/>
        <v>209.87471544104787</v>
      </c>
      <c r="H95" s="371">
        <f t="shared" si="6"/>
        <v>247.317089115849</v>
      </c>
      <c r="I95" s="371">
        <f t="shared" si="6"/>
        <v>262.17308878562517</v>
      </c>
      <c r="J95" s="371">
        <f t="shared" si="6"/>
        <v>275.89875395960888</v>
      </c>
      <c r="K95" s="371">
        <f t="shared" si="6"/>
        <v>290.30518576838932</v>
      </c>
      <c r="L95" s="371"/>
      <c r="M95" s="372">
        <f>SUM(E95:L95)</f>
        <v>1481.6577442742368</v>
      </c>
    </row>
    <row r="96" spans="2:13" hidden="1" x14ac:dyDescent="0.3">
      <c r="B96" s="342" t="s">
        <v>795</v>
      </c>
      <c r="C96" s="342"/>
      <c r="D96" s="351"/>
      <c r="E96" s="351">
        <f>'Debt Sch'!E34</f>
        <v>0</v>
      </c>
      <c r="F96" s="351">
        <f>'Debt Sch'!F34</f>
        <v>6</v>
      </c>
      <c r="G96" s="351">
        <f>'Debt Sch'!G34</f>
        <v>12</v>
      </c>
      <c r="H96" s="351">
        <f>'Debt Sch'!H34</f>
        <v>14</v>
      </c>
      <c r="I96" s="351">
        <f>'Debt Sch'!I34</f>
        <v>16</v>
      </c>
      <c r="J96" s="351">
        <f>'Debt Sch'!J34</f>
        <v>18</v>
      </c>
      <c r="K96" s="351">
        <f>'Debt Sch'!K34</f>
        <v>9</v>
      </c>
      <c r="L96" s="351"/>
    </row>
    <row r="97" spans="2:13" hidden="1" x14ac:dyDescent="0.3">
      <c r="B97" s="342" t="s">
        <v>796</v>
      </c>
      <c r="C97" s="342"/>
      <c r="D97" s="351"/>
      <c r="E97" s="351">
        <f>E93</f>
        <v>2.8129826484018263</v>
      </c>
      <c r="F97" s="351">
        <f t="shared" ref="F97:K97" si="7">F93</f>
        <v>7.5490100456620999</v>
      </c>
      <c r="G97" s="351">
        <f t="shared" si="7"/>
        <v>7.3024894977168948</v>
      </c>
      <c r="H97" s="351">
        <f t="shared" si="7"/>
        <v>5.8986333333333327</v>
      </c>
      <c r="I97" s="351">
        <f t="shared" si="7"/>
        <v>4.2779415525114155</v>
      </c>
      <c r="J97" s="351">
        <f t="shared" si="7"/>
        <v>2.4356675799086758</v>
      </c>
      <c r="K97" s="351">
        <f t="shared" si="7"/>
        <v>0.20613333333333334</v>
      </c>
      <c r="L97" s="351"/>
    </row>
    <row r="98" spans="2:13" hidden="1" x14ac:dyDescent="0.3">
      <c r="B98" s="353" t="str">
        <f>'[55]PROJECT RK'!B706</f>
        <v>Total "B"</v>
      </c>
      <c r="C98" s="353"/>
      <c r="D98" s="373"/>
      <c r="E98" s="374">
        <f t="shared" ref="E98:K98" si="8">SUM(E96:E97)</f>
        <v>2.8129826484018263</v>
      </c>
      <c r="F98" s="374">
        <f t="shared" si="8"/>
        <v>13.549010045662101</v>
      </c>
      <c r="G98" s="374">
        <f t="shared" si="8"/>
        <v>19.302489497716895</v>
      </c>
      <c r="H98" s="374">
        <f t="shared" si="8"/>
        <v>19.898633333333333</v>
      </c>
      <c r="I98" s="374">
        <f t="shared" si="8"/>
        <v>20.277941552511415</v>
      </c>
      <c r="J98" s="374">
        <f t="shared" si="8"/>
        <v>20.435667579908674</v>
      </c>
      <c r="K98" s="374">
        <f t="shared" si="8"/>
        <v>9.2061333333333337</v>
      </c>
      <c r="L98" s="374"/>
      <c r="M98" s="341">
        <f>SUM(E98:L98)</f>
        <v>105.48285799086759</v>
      </c>
    </row>
    <row r="99" spans="2:13" hidden="1" x14ac:dyDescent="0.3">
      <c r="B99" s="347" t="str">
        <f>'[55]PROJECT RK'!B708</f>
        <v xml:space="preserve">D.S.C.R. </v>
      </c>
      <c r="C99" s="347"/>
      <c r="D99" s="375"/>
      <c r="E99" s="375">
        <f t="shared" ref="E99:K99" si="9">E95/E98</f>
        <v>28.310580732333488</v>
      </c>
      <c r="F99" s="375">
        <f t="shared" si="9"/>
        <v>8.5948522028564831</v>
      </c>
      <c r="G99" s="375">
        <f t="shared" si="9"/>
        <v>10.872935092951193</v>
      </c>
      <c r="H99" s="375">
        <f t="shared" si="9"/>
        <v>12.42884800040785</v>
      </c>
      <c r="I99" s="375">
        <f t="shared" si="9"/>
        <v>12.928979408817515</v>
      </c>
      <c r="J99" s="375">
        <f t="shared" si="9"/>
        <v>13.500843702843294</v>
      </c>
      <c r="K99" s="375">
        <f t="shared" si="9"/>
        <v>31.533888903961415</v>
      </c>
      <c r="L99" s="375"/>
    </row>
    <row r="100" spans="2:13" hidden="1" x14ac:dyDescent="0.3">
      <c r="B100" s="355" t="str">
        <f>'[55]PROJECT RK'!B710</f>
        <v>Average D.S.C.R.</v>
      </c>
      <c r="C100" s="355"/>
      <c r="D100" s="376">
        <f>+M95/M98</f>
        <v>14.046431548171691</v>
      </c>
      <c r="E100" s="377"/>
      <c r="F100" s="377"/>
      <c r="G100" s="377"/>
      <c r="H100" s="377"/>
      <c r="I100" s="377"/>
      <c r="J100" s="377"/>
      <c r="K100" s="377"/>
      <c r="L100" s="377"/>
    </row>
    <row r="101" spans="2:13" hidden="1" x14ac:dyDescent="0.3">
      <c r="B101" s="369"/>
      <c r="C101" s="369"/>
      <c r="D101" s="378">
        <f>SUM(E95:L95)/SUM(E98:L98)</f>
        <v>14.046431548171691</v>
      </c>
      <c r="E101" s="379" t="s">
        <v>797</v>
      </c>
    </row>
    <row r="102" spans="2:13" hidden="1" x14ac:dyDescent="0.3">
      <c r="E102" s="380"/>
      <c r="F102" s="380"/>
      <c r="G102" s="380"/>
      <c r="H102" s="380"/>
      <c r="I102" s="380"/>
      <c r="J102" s="380"/>
      <c r="K102" s="380"/>
      <c r="L102" s="380"/>
    </row>
    <row r="103" spans="2:13" hidden="1" x14ac:dyDescent="0.3"/>
    <row r="104" spans="2:13" hidden="1" x14ac:dyDescent="0.3"/>
    <row r="105" spans="2:13" hidden="1" x14ac:dyDescent="0.3"/>
    <row r="106" spans="2:13" hidden="1" x14ac:dyDescent="0.3"/>
    <row r="107" spans="2:13" hidden="1" x14ac:dyDescent="0.3"/>
    <row r="108" spans="2:13" hidden="1" x14ac:dyDescent="0.3"/>
    <row r="109" spans="2:13" hidden="1" x14ac:dyDescent="0.3"/>
    <row r="110" spans="2:13" hidden="1" x14ac:dyDescent="0.3"/>
    <row r="111" spans="2:13" hidden="1" x14ac:dyDescent="0.3"/>
    <row r="112" spans="2:13" hidden="1" x14ac:dyDescent="0.3"/>
    <row r="113" hidden="1" x14ac:dyDescent="0.3"/>
    <row r="114" hidden="1" x14ac:dyDescent="0.3"/>
    <row r="115" hidden="1" x14ac:dyDescent="0.3"/>
    <row r="116" hidden="1" x14ac:dyDescent="0.3"/>
    <row r="117" hidden="1" x14ac:dyDescent="0.3"/>
    <row r="118" hidden="1" x14ac:dyDescent="0.3"/>
    <row r="119" hidden="1" x14ac:dyDescent="0.3"/>
  </sheetData>
  <mergeCells count="1">
    <mergeCell ref="B1:L1"/>
  </mergeCells>
  <pageMargins left="0.7" right="0.7" top="0.75" bottom="0.75" header="0.3" footer="0.3"/>
  <pageSetup scale="48" orientation="portrait" horizontalDpi="4294967294" verticalDpi="4294967294" r:id="rId1"/>
  <rowBreaks count="1" manualBreakCount="1">
    <brk id="100" max="11" man="1"/>
  </rowBreaks>
  <colBreaks count="1" manualBreakCount="1">
    <brk id="1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N102"/>
  <sheetViews>
    <sheetView tabSelected="1" zoomScaleNormal="100" zoomScaleSheetLayoutView="100" workbookViewId="0">
      <selection activeCell="I14" sqref="I14"/>
    </sheetView>
  </sheetViews>
  <sheetFormatPr defaultColWidth="9" defaultRowHeight="14.4" x14ac:dyDescent="0.3"/>
  <cols>
    <col min="1" max="1" width="4.88671875" style="341" customWidth="1"/>
    <col min="2" max="2" width="19.6640625" style="341" bestFit="1" customWidth="1"/>
    <col min="3" max="3" width="3.33203125" style="341" customWidth="1"/>
    <col min="4" max="12" width="12.6640625" style="346" customWidth="1"/>
    <col min="13" max="13" width="9.5546875" style="341" bestFit="1" customWidth="1"/>
    <col min="14" max="16384" width="9" style="341"/>
  </cols>
  <sheetData>
    <row r="1" spans="2:14" x14ac:dyDescent="0.3">
      <c r="B1" s="619" t="s">
        <v>918</v>
      </c>
      <c r="C1" s="619"/>
      <c r="D1" s="619"/>
      <c r="E1" s="619"/>
      <c r="F1" s="619"/>
      <c r="G1" s="619"/>
      <c r="H1" s="619"/>
      <c r="I1" s="619"/>
      <c r="J1" s="619"/>
      <c r="K1" s="619"/>
      <c r="L1" s="619"/>
    </row>
    <row r="2" spans="2:14" ht="18" customHeight="1" x14ac:dyDescent="0.3">
      <c r="B2" s="343" t="s">
        <v>779</v>
      </c>
      <c r="C2" s="344"/>
      <c r="D2" s="345"/>
      <c r="E2" s="345"/>
      <c r="F2" s="345"/>
      <c r="G2" s="345"/>
      <c r="H2" s="345"/>
      <c r="I2" s="345"/>
      <c r="J2" s="345"/>
      <c r="K2" s="345"/>
      <c r="L2" s="345"/>
    </row>
    <row r="3" spans="2:14" ht="11.25" customHeight="1" x14ac:dyDescent="0.3"/>
    <row r="4" spans="2:14" x14ac:dyDescent="0.3">
      <c r="B4" s="347" t="s">
        <v>770</v>
      </c>
      <c r="C4" s="347"/>
      <c r="D4" s="348"/>
      <c r="E4" s="381">
        <f>'P&amp;L'!J8</f>
        <v>45747</v>
      </c>
      <c r="F4" s="381">
        <f>'P&amp;L'!K8</f>
        <v>46112</v>
      </c>
      <c r="G4" s="381">
        <f>'P&amp;L'!L8</f>
        <v>46477</v>
      </c>
      <c r="H4" s="381">
        <f>'P&amp;L'!M8</f>
        <v>46843</v>
      </c>
      <c r="I4" s="381">
        <f>'P&amp;L'!N8</f>
        <v>47208</v>
      </c>
      <c r="J4" s="381">
        <f>'P&amp;L'!O8</f>
        <v>47573</v>
      </c>
      <c r="K4" s="381">
        <f>'P&amp;L'!P8</f>
        <v>47938</v>
      </c>
      <c r="L4" s="381"/>
      <c r="M4" s="349"/>
    </row>
    <row r="5" spans="2:14" ht="9.75" customHeight="1" x14ac:dyDescent="0.3">
      <c r="B5" s="342"/>
      <c r="C5" s="342"/>
      <c r="D5" s="350"/>
      <c r="E5" s="350"/>
      <c r="F5" s="350"/>
      <c r="G5" s="350"/>
      <c r="H5" s="350"/>
      <c r="I5" s="350"/>
      <c r="J5" s="350"/>
      <c r="K5" s="350"/>
      <c r="L5" s="350"/>
    </row>
    <row r="6" spans="2:14" x14ac:dyDescent="0.3">
      <c r="B6" s="342" t="s">
        <v>780</v>
      </c>
      <c r="C6" s="342"/>
      <c r="D6" s="350"/>
      <c r="E6" s="351">
        <f>'P&amp;L'!J17</f>
        <v>240.76392312000002</v>
      </c>
      <c r="F6" s="351">
        <f>'P&amp;L'!K17</f>
        <v>343.46203102552801</v>
      </c>
      <c r="G6" s="351">
        <f>'P&amp;L'!L17</f>
        <v>669.17863359088051</v>
      </c>
      <c r="H6" s="351">
        <f>'P&amp;L'!M17</f>
        <v>746.06901993750421</v>
      </c>
      <c r="I6" s="351">
        <f>'P&amp;L'!N17</f>
        <v>787.97157621708084</v>
      </c>
      <c r="J6" s="351">
        <f>'P&amp;L'!O17</f>
        <v>832.25309476511529</v>
      </c>
      <c r="K6" s="351">
        <f>'P&amp;L'!P17</f>
        <v>879.0498980138683</v>
      </c>
      <c r="L6" s="350"/>
    </row>
    <row r="7" spans="2:14" x14ac:dyDescent="0.3">
      <c r="B7" s="342" t="s">
        <v>781</v>
      </c>
      <c r="C7" s="342"/>
      <c r="D7" s="351"/>
      <c r="E7" s="351">
        <f>'P&amp;L'!J30</f>
        <v>109.42185860385237</v>
      </c>
      <c r="F7" s="351">
        <f>'P&amp;L'!K30</f>
        <v>157.70184327553432</v>
      </c>
      <c r="G7" s="351">
        <f>'P&amp;L'!L30</f>
        <v>311.26859339241901</v>
      </c>
      <c r="H7" s="351">
        <f>'P&amp;L'!M30</f>
        <v>369.58519560090906</v>
      </c>
      <c r="I7" s="351">
        <f>'P&amp;L'!N30</f>
        <v>393.2993661683995</v>
      </c>
      <c r="J7" s="351">
        <f>'P&amp;L'!O30</f>
        <v>415.38715113976275</v>
      </c>
      <c r="K7" s="351">
        <f>'P&amp;L'!P30</f>
        <v>438.72937976725859</v>
      </c>
      <c r="L7" s="351"/>
    </row>
    <row r="8" spans="2:14" ht="20.25" customHeight="1" x14ac:dyDescent="0.3">
      <c r="B8" s="352" t="s">
        <v>782</v>
      </c>
      <c r="C8" s="353"/>
      <c r="D8" s="354"/>
      <c r="E8" s="354">
        <f t="shared" ref="E8:K8" si="0">E7/E6</f>
        <v>0.45447780209709837</v>
      </c>
      <c r="F8" s="354">
        <f t="shared" si="0"/>
        <v>0.45915364444989565</v>
      </c>
      <c r="G8" s="354">
        <f t="shared" si="0"/>
        <v>0.4651502271106896</v>
      </c>
      <c r="H8" s="354">
        <f t="shared" si="0"/>
        <v>0.49537668194809648</v>
      </c>
      <c r="I8" s="354">
        <f t="shared" si="0"/>
        <v>0.49912887474515727</v>
      </c>
      <c r="J8" s="354">
        <f t="shared" si="0"/>
        <v>0.49911157285272267</v>
      </c>
      <c r="K8" s="354">
        <f t="shared" si="0"/>
        <v>0.4990949669165845</v>
      </c>
      <c r="L8" s="354"/>
    </row>
    <row r="9" spans="2:14" x14ac:dyDescent="0.3">
      <c r="B9" s="355" t="s">
        <v>22</v>
      </c>
      <c r="C9" s="342"/>
      <c r="D9" s="351"/>
      <c r="E9" s="351">
        <f>'P&amp;L'!J32</f>
        <v>105.09555901385237</v>
      </c>
      <c r="F9" s="351">
        <f>'P&amp;L'!K32</f>
        <v>149.20458847303431</v>
      </c>
      <c r="G9" s="351">
        <f>'P&amp;L'!L32</f>
        <v>297.46354132741902</v>
      </c>
      <c r="H9" s="351">
        <f>'P&amp;L'!M32</f>
        <v>355.79591608590908</v>
      </c>
      <c r="I9" s="351">
        <f>'P&amp;L'!N32</f>
        <v>379.52484340339953</v>
      </c>
      <c r="J9" s="351">
        <f>'P&amp;L'!O32</f>
        <v>401.61262837476278</v>
      </c>
      <c r="K9" s="351">
        <f>'P&amp;L'!P32</f>
        <v>424.95485700225862</v>
      </c>
      <c r="L9" s="351"/>
    </row>
    <row r="10" spans="2:14" ht="18" customHeight="1" x14ac:dyDescent="0.3">
      <c r="B10" s="356" t="s">
        <v>783</v>
      </c>
      <c r="C10" s="354"/>
      <c r="D10" s="354"/>
      <c r="E10" s="354">
        <f t="shared" ref="E10:K10" si="1">E9/E6</f>
        <v>0.43650874953333979</v>
      </c>
      <c r="F10" s="354">
        <f t="shared" si="1"/>
        <v>0.43441363235269692</v>
      </c>
      <c r="G10" s="354">
        <f t="shared" si="1"/>
        <v>0.44452038124887439</v>
      </c>
      <c r="H10" s="354">
        <f t="shared" si="1"/>
        <v>0.47689410306262675</v>
      </c>
      <c r="I10" s="354">
        <f t="shared" si="1"/>
        <v>0.48164788535321862</v>
      </c>
      <c r="J10" s="354">
        <f t="shared" si="1"/>
        <v>0.48256069085343434</v>
      </c>
      <c r="K10" s="354">
        <f t="shared" si="1"/>
        <v>0.48342518207715479</v>
      </c>
      <c r="L10" s="354"/>
    </row>
    <row r="11" spans="2:14" ht="18" customHeight="1" x14ac:dyDescent="0.3">
      <c r="B11" s="357" t="s">
        <v>784</v>
      </c>
      <c r="C11" s="342"/>
      <c r="D11" s="351"/>
      <c r="E11" s="351">
        <f>'P&amp;L'!J36</f>
        <v>72.49789012783134</v>
      </c>
      <c r="F11" s="351">
        <f>'P&amp;L'!K36</f>
        <v>100.40547398932142</v>
      </c>
      <c r="G11" s="351">
        <f>'P&amp;L'!L36</f>
        <v>188.76717387833099</v>
      </c>
      <c r="H11" s="351">
        <f>'P&amp;L'!M36</f>
        <v>227.62917626751567</v>
      </c>
      <c r="I11" s="351">
        <f>'P&amp;L'!N36</f>
        <v>244.12062446811376</v>
      </c>
      <c r="J11" s="351">
        <f>'P&amp;L'!O36</f>
        <v>259.68856361470023</v>
      </c>
      <c r="K11" s="351">
        <f>'P&amp;L'!P36</f>
        <v>276.32452967005599</v>
      </c>
      <c r="L11" s="351"/>
    </row>
    <row r="12" spans="2:14" ht="18" customHeight="1" x14ac:dyDescent="0.3">
      <c r="B12" s="356" t="s">
        <v>785</v>
      </c>
      <c r="C12" s="354"/>
      <c r="D12" s="354"/>
      <c r="E12" s="354">
        <f t="shared" ref="E12:K12" si="2">E11/E6</f>
        <v>0.3011160857837385</v>
      </c>
      <c r="F12" s="354">
        <f t="shared" si="2"/>
        <v>0.29233354758173757</v>
      </c>
      <c r="G12" s="354">
        <f t="shared" si="2"/>
        <v>0.28208786772731692</v>
      </c>
      <c r="H12" s="354">
        <f t="shared" si="2"/>
        <v>0.30510471576287063</v>
      </c>
      <c r="I12" s="354">
        <f t="shared" si="2"/>
        <v>0.30980892183966313</v>
      </c>
      <c r="J12" s="354">
        <f t="shared" si="2"/>
        <v>0.31203075752814291</v>
      </c>
      <c r="K12" s="354">
        <f t="shared" si="2"/>
        <v>0.31434453299452697</v>
      </c>
      <c r="L12" s="354"/>
    </row>
    <row r="13" spans="2:14" x14ac:dyDescent="0.3">
      <c r="B13" s="342" t="str">
        <f>B6</f>
        <v xml:space="preserve">Revenue </v>
      </c>
      <c r="C13" s="342"/>
      <c r="D13" s="350"/>
      <c r="E13" s="351">
        <f t="shared" ref="E13:K13" si="3">E6</f>
        <v>240.76392312000002</v>
      </c>
      <c r="F13" s="351">
        <f t="shared" si="3"/>
        <v>343.46203102552801</v>
      </c>
      <c r="G13" s="351">
        <f t="shared" si="3"/>
        <v>669.17863359088051</v>
      </c>
      <c r="H13" s="351">
        <f t="shared" si="3"/>
        <v>746.06901993750421</v>
      </c>
      <c r="I13" s="351">
        <f t="shared" si="3"/>
        <v>787.97157621708084</v>
      </c>
      <c r="J13" s="351">
        <f t="shared" si="3"/>
        <v>832.25309476511529</v>
      </c>
      <c r="K13" s="351">
        <f t="shared" si="3"/>
        <v>879.0498980138683</v>
      </c>
      <c r="L13" s="350"/>
    </row>
    <row r="14" spans="2:14" ht="18" customHeight="1" x14ac:dyDescent="0.3">
      <c r="B14" s="356" t="s">
        <v>786</v>
      </c>
      <c r="C14" s="354"/>
      <c r="D14" s="354"/>
      <c r="E14" s="354" t="e">
        <f>E13/D13-1</f>
        <v>#DIV/0!</v>
      </c>
      <c r="F14" s="354">
        <f t="shared" ref="F14:K14" si="4">F13/E13-1</f>
        <v>0.42655106535351583</v>
      </c>
      <c r="G14" s="354">
        <f t="shared" si="4"/>
        <v>0.94833365304691686</v>
      </c>
      <c r="H14" s="354">
        <f t="shared" si="4"/>
        <v>0.11490263210291407</v>
      </c>
      <c r="I14" s="354">
        <f t="shared" si="4"/>
        <v>5.6164450151122258E-2</v>
      </c>
      <c r="J14" s="354">
        <f t="shared" si="4"/>
        <v>5.6196847557144824E-2</v>
      </c>
      <c r="K14" s="354">
        <f t="shared" si="4"/>
        <v>5.6229052848353112E-2</v>
      </c>
      <c r="L14" s="354"/>
    </row>
    <row r="15" spans="2:14" ht="15" thickBot="1" x14ac:dyDescent="0.35"/>
    <row r="16" spans="2:14" x14ac:dyDescent="0.3">
      <c r="B16" s="358" t="s">
        <v>787</v>
      </c>
      <c r="C16" s="359"/>
      <c r="D16" s="360"/>
      <c r="E16" s="361">
        <f>AVERAGE(E8:L8)</f>
        <v>0.48164196716003493</v>
      </c>
      <c r="N16" s="362"/>
    </row>
    <row r="17" spans="2:14" x14ac:dyDescent="0.3">
      <c r="B17" s="363" t="s">
        <v>788</v>
      </c>
      <c r="E17" s="364">
        <f>AVERAGE(E10:L10)</f>
        <v>0.46285294635447799</v>
      </c>
      <c r="N17" s="311"/>
    </row>
    <row r="18" spans="2:14" x14ac:dyDescent="0.3">
      <c r="B18" s="363" t="s">
        <v>789</v>
      </c>
      <c r="E18" s="364">
        <f>AVERAGE(E12:L12)</f>
        <v>0.30240377560257098</v>
      </c>
      <c r="N18" s="362"/>
    </row>
    <row r="19" spans="2:14" ht="15" thickBot="1" x14ac:dyDescent="0.35">
      <c r="B19" s="365" t="s">
        <v>790</v>
      </c>
      <c r="C19" s="366"/>
      <c r="D19" s="367"/>
      <c r="E19" s="368">
        <f>AVERAGE(F14:L14)</f>
        <v>0.27639628350999451</v>
      </c>
    </row>
    <row r="89" spans="2:13" x14ac:dyDescent="0.3">
      <c r="B89" s="369" t="s">
        <v>532</v>
      </c>
    </row>
    <row r="90" spans="2:13" x14ac:dyDescent="0.3">
      <c r="B90" s="347" t="s">
        <v>770</v>
      </c>
      <c r="C90" s="347"/>
      <c r="D90" s="348"/>
      <c r="E90" s="381">
        <f>E4</f>
        <v>45747</v>
      </c>
      <c r="F90" s="381">
        <f t="shared" ref="F90:K90" si="5">F4</f>
        <v>46112</v>
      </c>
      <c r="G90" s="381">
        <f t="shared" si="5"/>
        <v>46477</v>
      </c>
      <c r="H90" s="381">
        <f t="shared" si="5"/>
        <v>46843</v>
      </c>
      <c r="I90" s="381">
        <f t="shared" si="5"/>
        <v>47208</v>
      </c>
      <c r="J90" s="381">
        <f t="shared" si="5"/>
        <v>47573</v>
      </c>
      <c r="K90" s="381">
        <f t="shared" si="5"/>
        <v>47938</v>
      </c>
      <c r="L90" s="348"/>
    </row>
    <row r="91" spans="2:13" x14ac:dyDescent="0.3">
      <c r="B91" s="342" t="s">
        <v>791</v>
      </c>
      <c r="C91" s="342"/>
      <c r="D91" s="351"/>
      <c r="E91" s="351">
        <f>'P&amp;L'!J36</f>
        <v>72.49789012783134</v>
      </c>
      <c r="F91" s="351">
        <f>'P&amp;L'!K36</f>
        <v>100.40547398932142</v>
      </c>
      <c r="G91" s="351">
        <f>'P&amp;L'!L36</f>
        <v>188.76717387833099</v>
      </c>
      <c r="H91" s="351">
        <f>'P&amp;L'!M36</f>
        <v>227.62917626751567</v>
      </c>
      <c r="I91" s="351">
        <f>'P&amp;L'!N36</f>
        <v>244.12062446811376</v>
      </c>
      <c r="J91" s="351">
        <f>'P&amp;L'!O36</f>
        <v>259.68856361470023</v>
      </c>
      <c r="K91" s="351">
        <f>'P&amp;L'!P36</f>
        <v>276.32452967005599</v>
      </c>
      <c r="L91" s="351"/>
    </row>
    <row r="92" spans="2:13" x14ac:dyDescent="0.3">
      <c r="B92" s="342" t="s">
        <v>792</v>
      </c>
      <c r="C92" s="342"/>
      <c r="D92" s="351"/>
      <c r="E92" s="351">
        <f>'P&amp;L'!J31</f>
        <v>4.3262995899999996</v>
      </c>
      <c r="F92" s="351">
        <f>'P&amp;L'!K31</f>
        <v>8.4972548024999988</v>
      </c>
      <c r="G92" s="351">
        <f>'P&amp;L'!L31</f>
        <v>13.805052064999996</v>
      </c>
      <c r="H92" s="351">
        <f>'P&amp;L'!M31</f>
        <v>13.789279514999997</v>
      </c>
      <c r="I92" s="351">
        <f>'P&amp;L'!N31</f>
        <v>13.774522764999997</v>
      </c>
      <c r="J92" s="351">
        <f>'P&amp;L'!O31</f>
        <v>13.774522764999997</v>
      </c>
      <c r="K92" s="351">
        <f>'P&amp;L'!P31</f>
        <v>13.774522764999997</v>
      </c>
      <c r="L92" s="351"/>
    </row>
    <row r="93" spans="2:13" x14ac:dyDescent="0.3">
      <c r="B93" s="342" t="s">
        <v>793</v>
      </c>
      <c r="C93" s="342"/>
      <c r="D93" s="351"/>
      <c r="E93" s="351">
        <f>'P&amp;L'!J33</f>
        <v>2.8129826484018263</v>
      </c>
      <c r="F93" s="351">
        <f>'P&amp;L'!K33</f>
        <v>7.5490100456620999</v>
      </c>
      <c r="G93" s="351">
        <f>'P&amp;L'!L33</f>
        <v>7.3024894977168948</v>
      </c>
      <c r="H93" s="351">
        <f>'P&amp;L'!M33</f>
        <v>5.8986333333333327</v>
      </c>
      <c r="I93" s="351">
        <f>'P&amp;L'!N33</f>
        <v>4.2779415525114155</v>
      </c>
      <c r="J93" s="351">
        <f>'P&amp;L'!O33</f>
        <v>2.4356675799086758</v>
      </c>
      <c r="K93" s="351">
        <f>'P&amp;L'!P33</f>
        <v>0.20613333333333334</v>
      </c>
      <c r="L93" s="351"/>
    </row>
    <row r="94" spans="2:13" ht="57.6" hidden="1" x14ac:dyDescent="0.3">
      <c r="B94" s="370" t="s">
        <v>794</v>
      </c>
      <c r="C94" s="342"/>
      <c r="D94" s="351"/>
      <c r="E94" s="351"/>
      <c r="F94" s="351"/>
      <c r="G94" s="351"/>
      <c r="H94" s="351"/>
      <c r="I94" s="351"/>
      <c r="J94" s="351"/>
      <c r="K94" s="351"/>
      <c r="L94" s="351"/>
    </row>
    <row r="95" spans="2:13" x14ac:dyDescent="0.3">
      <c r="B95" s="353" t="str">
        <f>'[55]PROJECT RK'!B700</f>
        <v>Total "A"</v>
      </c>
      <c r="C95" s="353"/>
      <c r="D95" s="371"/>
      <c r="E95" s="371">
        <f>SUM(E91:E94)</f>
        <v>79.637172366233173</v>
      </c>
      <c r="F95" s="371">
        <f t="shared" ref="F95:K95" si="6">SUM(F91:F94)</f>
        <v>116.45173883748352</v>
      </c>
      <c r="G95" s="371">
        <f t="shared" si="6"/>
        <v>209.87471544104787</v>
      </c>
      <c r="H95" s="371">
        <f t="shared" si="6"/>
        <v>247.317089115849</v>
      </c>
      <c r="I95" s="371">
        <f t="shared" si="6"/>
        <v>262.17308878562517</v>
      </c>
      <c r="J95" s="371">
        <f t="shared" si="6"/>
        <v>275.89875395960888</v>
      </c>
      <c r="K95" s="371">
        <f t="shared" si="6"/>
        <v>290.30518576838932</v>
      </c>
      <c r="L95" s="371"/>
      <c r="M95" s="372">
        <f>SUM(E95:L95)</f>
        <v>1481.6577442742368</v>
      </c>
    </row>
    <row r="96" spans="2:13" x14ac:dyDescent="0.3">
      <c r="B96" s="342" t="s">
        <v>795</v>
      </c>
      <c r="C96" s="342"/>
      <c r="D96" s="351"/>
      <c r="E96" s="351">
        <f>'Debt Sch'!E34</f>
        <v>0</v>
      </c>
      <c r="F96" s="351">
        <f>'Debt Sch'!F34</f>
        <v>6</v>
      </c>
      <c r="G96" s="351">
        <f>'Debt Sch'!G34</f>
        <v>12</v>
      </c>
      <c r="H96" s="351">
        <f>'Debt Sch'!H34</f>
        <v>14</v>
      </c>
      <c r="I96" s="351">
        <f>'Debt Sch'!I34</f>
        <v>16</v>
      </c>
      <c r="J96" s="351">
        <f>'Debt Sch'!J34</f>
        <v>18</v>
      </c>
      <c r="K96" s="351">
        <f>'Debt Sch'!K34</f>
        <v>9</v>
      </c>
      <c r="L96" s="351"/>
    </row>
    <row r="97" spans="2:13" x14ac:dyDescent="0.3">
      <c r="B97" s="342" t="s">
        <v>796</v>
      </c>
      <c r="C97" s="342"/>
      <c r="D97" s="351"/>
      <c r="E97" s="351">
        <f>E93</f>
        <v>2.8129826484018263</v>
      </c>
      <c r="F97" s="351">
        <f t="shared" ref="F97:K97" si="7">F93</f>
        <v>7.5490100456620999</v>
      </c>
      <c r="G97" s="351">
        <f t="shared" si="7"/>
        <v>7.3024894977168948</v>
      </c>
      <c r="H97" s="351">
        <f t="shared" si="7"/>
        <v>5.8986333333333327</v>
      </c>
      <c r="I97" s="351">
        <f t="shared" si="7"/>
        <v>4.2779415525114155</v>
      </c>
      <c r="J97" s="351">
        <f t="shared" si="7"/>
        <v>2.4356675799086758</v>
      </c>
      <c r="K97" s="351">
        <f t="shared" si="7"/>
        <v>0.20613333333333334</v>
      </c>
      <c r="L97" s="351"/>
    </row>
    <row r="98" spans="2:13" x14ac:dyDescent="0.3">
      <c r="B98" s="353" t="str">
        <f>'[55]PROJECT RK'!B706</f>
        <v>Total "B"</v>
      </c>
      <c r="C98" s="353"/>
      <c r="D98" s="373"/>
      <c r="E98" s="374">
        <f t="shared" ref="E98:K98" si="8">SUM(E96:E97)</f>
        <v>2.8129826484018263</v>
      </c>
      <c r="F98" s="374">
        <f t="shared" si="8"/>
        <v>13.549010045662101</v>
      </c>
      <c r="G98" s="374">
        <f t="shared" si="8"/>
        <v>19.302489497716895</v>
      </c>
      <c r="H98" s="374">
        <f t="shared" si="8"/>
        <v>19.898633333333333</v>
      </c>
      <c r="I98" s="374">
        <f t="shared" si="8"/>
        <v>20.277941552511415</v>
      </c>
      <c r="J98" s="374">
        <f t="shared" si="8"/>
        <v>20.435667579908674</v>
      </c>
      <c r="K98" s="374">
        <f t="shared" si="8"/>
        <v>9.2061333333333337</v>
      </c>
      <c r="L98" s="374"/>
      <c r="M98" s="341">
        <f>SUM(E98:L98)</f>
        <v>105.48285799086759</v>
      </c>
    </row>
    <row r="99" spans="2:13" x14ac:dyDescent="0.3">
      <c r="B99" s="347" t="str">
        <f>'[55]PROJECT RK'!B708</f>
        <v xml:space="preserve">D.S.C.R. </v>
      </c>
      <c r="C99" s="347"/>
      <c r="D99" s="375"/>
      <c r="E99" s="375">
        <f t="shared" ref="E99:K99" si="9">E95/E98</f>
        <v>28.310580732333488</v>
      </c>
      <c r="F99" s="375">
        <f t="shared" si="9"/>
        <v>8.5948522028564831</v>
      </c>
      <c r="G99" s="375">
        <f t="shared" si="9"/>
        <v>10.872935092951193</v>
      </c>
      <c r="H99" s="375">
        <f t="shared" si="9"/>
        <v>12.42884800040785</v>
      </c>
      <c r="I99" s="375">
        <f t="shared" si="9"/>
        <v>12.928979408817515</v>
      </c>
      <c r="J99" s="375">
        <f t="shared" si="9"/>
        <v>13.500843702843294</v>
      </c>
      <c r="K99" s="375">
        <f t="shared" si="9"/>
        <v>31.533888903961415</v>
      </c>
      <c r="L99" s="375"/>
    </row>
    <row r="100" spans="2:13" x14ac:dyDescent="0.3">
      <c r="B100" s="355" t="str">
        <f>'[55]PROJECT RK'!B710</f>
        <v>Average D.S.C.R.</v>
      </c>
      <c r="C100" s="355"/>
      <c r="D100" s="376">
        <f>+M95/M98</f>
        <v>14.046431548171691</v>
      </c>
      <c r="E100" s="377"/>
      <c r="F100" s="377"/>
      <c r="G100" s="377"/>
      <c r="H100" s="377"/>
      <c r="I100" s="377"/>
      <c r="J100" s="377"/>
      <c r="K100" s="377"/>
      <c r="L100" s="377"/>
    </row>
    <row r="101" spans="2:13" x14ac:dyDescent="0.3">
      <c r="B101" s="369"/>
      <c r="C101" s="369"/>
      <c r="D101" s="378">
        <f>SUM(E95:L95)/SUM(E98:L98)</f>
        <v>14.046431548171691</v>
      </c>
      <c r="E101" s="379"/>
    </row>
    <row r="102" spans="2:13" x14ac:dyDescent="0.3">
      <c r="E102" s="380"/>
      <c r="F102" s="380"/>
      <c r="G102" s="380"/>
      <c r="H102" s="380"/>
      <c r="I102" s="380"/>
      <c r="J102" s="380"/>
      <c r="K102" s="380"/>
      <c r="L102" s="380"/>
    </row>
  </sheetData>
  <mergeCells count="1">
    <mergeCell ref="B1:L1"/>
  </mergeCells>
  <pageMargins left="0.7" right="0.7" top="0.75" bottom="0.75" header="0.3" footer="0.3"/>
  <pageSetup scale="48" orientation="portrait" horizontalDpi="4294967294" verticalDpi="4294967294" r:id="rId1"/>
  <rowBreaks count="1" manualBreakCount="1">
    <brk id="100" max="11" man="1"/>
  </rowBreaks>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98"/>
  <sheetViews>
    <sheetView topLeftCell="A19" zoomScaleNormal="100" zoomScaleSheetLayoutView="100" workbookViewId="0">
      <selection activeCell="P29" sqref="P29"/>
    </sheetView>
  </sheetViews>
  <sheetFormatPr defaultColWidth="8.88671875" defaultRowHeight="13.8" x14ac:dyDescent="0.3"/>
  <cols>
    <col min="1" max="1" width="31.6640625" style="74" customWidth="1"/>
    <col min="2" max="2" width="9.44140625" style="74" bestFit="1" customWidth="1"/>
    <col min="3" max="3" width="10" style="74" customWidth="1"/>
    <col min="4" max="10" width="9.6640625" style="74" bestFit="1" customWidth="1"/>
    <col min="11" max="16384" width="8.88671875" style="74"/>
  </cols>
  <sheetData>
    <row r="1" spans="1:11" s="71" customFormat="1" ht="21" x14ac:dyDescent="0.4">
      <c r="A1" s="492" t="s">
        <v>415</v>
      </c>
      <c r="B1" s="492"/>
      <c r="C1" s="492"/>
      <c r="D1" s="492"/>
      <c r="E1" s="492"/>
      <c r="F1" s="492"/>
      <c r="G1" s="492"/>
      <c r="H1" s="492"/>
      <c r="I1" s="492"/>
      <c r="J1" s="492"/>
    </row>
    <row r="2" spans="1:11" s="184" customFormat="1" ht="15.6" x14ac:dyDescent="0.3">
      <c r="A2" s="493" t="s">
        <v>432</v>
      </c>
      <c r="B2" s="493"/>
      <c r="C2" s="493"/>
      <c r="D2" s="493"/>
      <c r="E2" s="493"/>
      <c r="F2" s="494"/>
      <c r="G2" s="494"/>
      <c r="H2" s="494"/>
      <c r="I2" s="494"/>
      <c r="J2" s="494"/>
    </row>
    <row r="3" spans="1:11" x14ac:dyDescent="0.3">
      <c r="A3" s="495" t="s">
        <v>417</v>
      </c>
      <c r="B3" s="495"/>
      <c r="C3" s="495"/>
      <c r="D3" s="495"/>
      <c r="E3" s="495"/>
      <c r="F3" s="496"/>
      <c r="G3" s="496"/>
      <c r="H3" s="496"/>
      <c r="I3" s="496"/>
      <c r="J3" s="496"/>
    </row>
    <row r="5" spans="1:11" hidden="1" x14ac:dyDescent="0.3">
      <c r="A5" s="100" t="s">
        <v>433</v>
      </c>
    </row>
    <row r="6" spans="1:11" hidden="1" x14ac:dyDescent="0.3">
      <c r="A6" s="412" t="s">
        <v>329</v>
      </c>
      <c r="B6" s="412" t="s">
        <v>434</v>
      </c>
      <c r="C6" s="413">
        <f>DATE(2024,3,31)</f>
        <v>45382</v>
      </c>
      <c r="D6" s="413">
        <f>EOMONTH(C6,12)</f>
        <v>45747</v>
      </c>
      <c r="E6" s="413">
        <f t="shared" ref="E6:J6" si="0">EOMONTH(D6,12)</f>
        <v>46112</v>
      </c>
      <c r="F6" s="413">
        <f t="shared" si="0"/>
        <v>46477</v>
      </c>
      <c r="G6" s="413">
        <f t="shared" si="0"/>
        <v>46843</v>
      </c>
      <c r="H6" s="413">
        <f t="shared" si="0"/>
        <v>47208</v>
      </c>
      <c r="I6" s="413">
        <f t="shared" si="0"/>
        <v>47573</v>
      </c>
      <c r="J6" s="413">
        <f t="shared" si="0"/>
        <v>47938</v>
      </c>
    </row>
    <row r="7" spans="1:11" hidden="1" x14ac:dyDescent="0.3">
      <c r="A7" s="107" t="s">
        <v>435</v>
      </c>
      <c r="B7" s="108" t="s">
        <v>436</v>
      </c>
      <c r="C7" s="180">
        <f>'P&amp;L'!I36</f>
        <v>49.548859594083012</v>
      </c>
      <c r="D7" s="180">
        <f>'P&amp;L'!J36</f>
        <v>72.49789012783134</v>
      </c>
      <c r="E7" s="180">
        <f>'P&amp;L'!K36</f>
        <v>100.40547398932142</v>
      </c>
      <c r="F7" s="180">
        <f>'P&amp;L'!L36</f>
        <v>188.76717387833099</v>
      </c>
      <c r="G7" s="180">
        <f>'P&amp;L'!M36</f>
        <v>227.62917626751567</v>
      </c>
      <c r="H7" s="180">
        <f>'P&amp;L'!N36</f>
        <v>244.12062446811376</v>
      </c>
      <c r="I7" s="180">
        <f>'P&amp;L'!O36</f>
        <v>259.68856361470023</v>
      </c>
      <c r="J7" s="180">
        <f>'P&amp;L'!P36</f>
        <v>276.32452967005599</v>
      </c>
    </row>
    <row r="8" spans="1:11" hidden="1" x14ac:dyDescent="0.3">
      <c r="A8" s="107" t="s">
        <v>437</v>
      </c>
      <c r="B8" s="108" t="s">
        <v>436</v>
      </c>
      <c r="C8" s="111">
        <f>'P&amp;L'!I31</f>
        <v>3.6664550649999992</v>
      </c>
      <c r="D8" s="111">
        <f>'P&amp;L'!J31</f>
        <v>4.3262995899999996</v>
      </c>
      <c r="E8" s="111">
        <f>'P&amp;L'!K31</f>
        <v>8.4972548024999988</v>
      </c>
      <c r="F8" s="111">
        <f>'P&amp;L'!L31</f>
        <v>13.805052064999996</v>
      </c>
      <c r="G8" s="111">
        <f>'P&amp;L'!M31</f>
        <v>13.789279514999997</v>
      </c>
      <c r="H8" s="111">
        <f>'P&amp;L'!N31</f>
        <v>13.774522764999997</v>
      </c>
      <c r="I8" s="111">
        <f>'P&amp;L'!O31</f>
        <v>13.774522764999997</v>
      </c>
      <c r="J8" s="111">
        <f>'P&amp;L'!P31</f>
        <v>13.774522764999997</v>
      </c>
    </row>
    <row r="9" spans="1:11" hidden="1" x14ac:dyDescent="0.3">
      <c r="A9" s="107" t="s">
        <v>438</v>
      </c>
      <c r="B9" s="108" t="s">
        <v>436</v>
      </c>
      <c r="C9" s="111">
        <f>'P&amp;L'!I33</f>
        <v>0.20613333333333334</v>
      </c>
      <c r="D9" s="111">
        <f>'P&amp;L'!J33</f>
        <v>2.8129826484018263</v>
      </c>
      <c r="E9" s="111">
        <f>'P&amp;L'!K33</f>
        <v>7.5490100456620999</v>
      </c>
      <c r="F9" s="111">
        <f>'P&amp;L'!L33</f>
        <v>7.3024894977168948</v>
      </c>
      <c r="G9" s="111">
        <f>'P&amp;L'!M33</f>
        <v>5.8986333333333327</v>
      </c>
      <c r="H9" s="111">
        <f>'P&amp;L'!N33</f>
        <v>4.2779415525114155</v>
      </c>
      <c r="I9" s="111">
        <f>'P&amp;L'!O33</f>
        <v>2.4356675799086758</v>
      </c>
      <c r="J9" s="111">
        <f>'P&amp;L'!P33</f>
        <v>0.20613333333333334</v>
      </c>
    </row>
    <row r="10" spans="1:11" hidden="1" x14ac:dyDescent="0.3">
      <c r="A10" s="107" t="s">
        <v>439</v>
      </c>
      <c r="B10" s="108" t="s">
        <v>436</v>
      </c>
      <c r="C10" s="111"/>
      <c r="D10" s="114"/>
      <c r="E10" s="114"/>
      <c r="F10" s="114"/>
      <c r="G10" s="114"/>
      <c r="H10" s="114"/>
      <c r="I10" s="114"/>
      <c r="J10" s="114"/>
    </row>
    <row r="11" spans="1:11" hidden="1" x14ac:dyDescent="0.3">
      <c r="A11" s="107" t="s">
        <v>440</v>
      </c>
      <c r="B11" s="108" t="s">
        <v>436</v>
      </c>
      <c r="C11" s="111"/>
      <c r="D11" s="114"/>
      <c r="E11" s="114"/>
      <c r="F11" s="114"/>
      <c r="G11" s="114"/>
      <c r="H11" s="114"/>
      <c r="I11" s="114"/>
      <c r="J11" s="114"/>
    </row>
    <row r="12" spans="1:11" hidden="1" x14ac:dyDescent="0.3">
      <c r="A12" s="112" t="s">
        <v>441</v>
      </c>
      <c r="B12" s="112" t="s">
        <v>436</v>
      </c>
      <c r="C12" s="113">
        <f>SUM(C7:C11)</f>
        <v>53.421447992416347</v>
      </c>
      <c r="D12" s="113">
        <f t="shared" ref="D12:I12" si="1">SUM(D7:D11)</f>
        <v>79.637172366233173</v>
      </c>
      <c r="E12" s="113">
        <f t="shared" si="1"/>
        <v>116.45173883748352</v>
      </c>
      <c r="F12" s="113">
        <f t="shared" si="1"/>
        <v>209.87471544104787</v>
      </c>
      <c r="G12" s="113">
        <f t="shared" si="1"/>
        <v>247.317089115849</v>
      </c>
      <c r="H12" s="113">
        <f t="shared" si="1"/>
        <v>262.17308878562517</v>
      </c>
      <c r="I12" s="113">
        <f t="shared" si="1"/>
        <v>275.89875395960888</v>
      </c>
      <c r="J12" s="113">
        <f t="shared" ref="J12" si="2">SUM(J7:J11)</f>
        <v>290.30518576838932</v>
      </c>
    </row>
    <row r="13" spans="1:11" hidden="1" x14ac:dyDescent="0.3">
      <c r="A13" s="107" t="s">
        <v>442</v>
      </c>
      <c r="B13" s="108" t="s">
        <v>436</v>
      </c>
      <c r="C13" s="114">
        <f>'P&amp;L'!I89</f>
        <v>0</v>
      </c>
      <c r="D13" s="310">
        <f>'P&amp;L'!J89</f>
        <v>2.606849315068493</v>
      </c>
      <c r="E13" s="310">
        <f>'P&amp;L'!K89</f>
        <v>7.342876712328767</v>
      </c>
      <c r="F13" s="310">
        <f>'P&amp;L'!L89</f>
        <v>7.096356164383562</v>
      </c>
      <c r="G13" s="310">
        <f>'P&amp;L'!M89</f>
        <v>5.6924999999999999</v>
      </c>
      <c r="H13" s="310">
        <f>'P&amp;L'!N89</f>
        <v>4.0718082191780827</v>
      </c>
      <c r="I13" s="310">
        <f>'P&amp;L'!O89</f>
        <v>2.2295342465753425</v>
      </c>
      <c r="J13" s="310">
        <f>'P&amp;L'!P89</f>
        <v>0</v>
      </c>
      <c r="K13" s="74" t="s">
        <v>732</v>
      </c>
    </row>
    <row r="14" spans="1:11" hidden="1" x14ac:dyDescent="0.3">
      <c r="A14" s="107" t="s">
        <v>65</v>
      </c>
      <c r="B14" s="108" t="s">
        <v>436</v>
      </c>
      <c r="C14" s="180">
        <f>'Debt Sch'!D34</f>
        <v>0</v>
      </c>
      <c r="D14" s="180">
        <f>'Debt Sch'!E34</f>
        <v>0</v>
      </c>
      <c r="E14" s="180">
        <f>'Debt Sch'!F34</f>
        <v>6</v>
      </c>
      <c r="F14" s="180">
        <f>'Debt Sch'!G34</f>
        <v>12</v>
      </c>
      <c r="G14" s="180">
        <f>'Debt Sch'!H34</f>
        <v>14</v>
      </c>
      <c r="H14" s="180">
        <f>'Debt Sch'!I34</f>
        <v>16</v>
      </c>
      <c r="I14" s="180">
        <f>'Debt Sch'!J34</f>
        <v>18</v>
      </c>
      <c r="J14" s="180">
        <f>'Debt Sch'!K34</f>
        <v>9</v>
      </c>
    </row>
    <row r="15" spans="1:11" hidden="1" x14ac:dyDescent="0.3">
      <c r="A15" s="112" t="s">
        <v>443</v>
      </c>
      <c r="B15" s="112" t="s">
        <v>436</v>
      </c>
      <c r="C15" s="113">
        <f>SUM(C13:C14)</f>
        <v>0</v>
      </c>
      <c r="D15" s="113">
        <f t="shared" ref="D15:I15" si="3">SUM(D13:D14)</f>
        <v>2.606849315068493</v>
      </c>
      <c r="E15" s="113">
        <f t="shared" si="3"/>
        <v>13.342876712328767</v>
      </c>
      <c r="F15" s="113">
        <f t="shared" si="3"/>
        <v>19.096356164383561</v>
      </c>
      <c r="G15" s="113">
        <f t="shared" si="3"/>
        <v>19.692499999999999</v>
      </c>
      <c r="H15" s="113">
        <f t="shared" si="3"/>
        <v>20.071808219178081</v>
      </c>
      <c r="I15" s="113">
        <f t="shared" si="3"/>
        <v>20.229534246575341</v>
      </c>
      <c r="J15" s="113">
        <f t="shared" ref="J15" si="4">SUM(J13:J14)</f>
        <v>9</v>
      </c>
    </row>
    <row r="16" spans="1:11" hidden="1" x14ac:dyDescent="0.3">
      <c r="A16" s="115" t="s">
        <v>444</v>
      </c>
      <c r="B16" s="116" t="s">
        <v>445</v>
      </c>
      <c r="C16" s="117"/>
      <c r="D16" s="118">
        <f>IFERROR(D12/D15,0)</f>
        <v>30.549204323357969</v>
      </c>
      <c r="E16" s="118">
        <f t="shared" ref="E16:I16" si="5">IFERROR(E12/E15,0)</f>
        <v>8.7276335791878044</v>
      </c>
      <c r="F16" s="118">
        <f t="shared" si="5"/>
        <v>10.990301690774038</v>
      </c>
      <c r="G16" s="118">
        <f t="shared" si="5"/>
        <v>12.558948285684854</v>
      </c>
      <c r="H16" s="118">
        <f t="shared" si="5"/>
        <v>13.061757362504377</v>
      </c>
      <c r="I16" s="118">
        <f t="shared" si="5"/>
        <v>13.638413549057157</v>
      </c>
      <c r="J16" s="118">
        <f t="shared" ref="J16" si="6">IFERROR(J12/J15,0)</f>
        <v>32.25613175204326</v>
      </c>
    </row>
    <row r="17" spans="1:10" hidden="1" x14ac:dyDescent="0.3">
      <c r="A17" s="115" t="s">
        <v>446</v>
      </c>
      <c r="B17" s="116" t="s">
        <v>445</v>
      </c>
      <c r="C17" s="119">
        <f>MIN(D16:J16)</f>
        <v>8.7276335791878044</v>
      </c>
      <c r="D17" s="110"/>
      <c r="E17" s="110"/>
      <c r="F17" s="110"/>
      <c r="G17" s="110"/>
      <c r="H17" s="110"/>
      <c r="I17" s="110"/>
      <c r="J17" s="110"/>
    </row>
    <row r="18" spans="1:10" hidden="1" x14ac:dyDescent="0.3">
      <c r="A18" s="115" t="s">
        <v>447</v>
      </c>
      <c r="B18" s="116" t="s">
        <v>445</v>
      </c>
      <c r="C18" s="119">
        <f>SUM(D12:J12)/SUM(D15:J15)</f>
        <v>14.241241995814343</v>
      </c>
      <c r="D18" s="110"/>
      <c r="E18" s="110"/>
      <c r="F18" s="110"/>
      <c r="G18" s="110"/>
      <c r="H18" s="110"/>
      <c r="I18" s="110"/>
      <c r="J18" s="110"/>
    </row>
    <row r="19" spans="1:10" x14ac:dyDescent="0.3">
      <c r="A19" s="88"/>
      <c r="B19" s="88"/>
      <c r="C19" s="88"/>
      <c r="D19" s="88"/>
      <c r="E19" s="88"/>
      <c r="F19" s="88"/>
      <c r="G19" s="88"/>
      <c r="H19" s="88"/>
      <c r="I19" s="88"/>
      <c r="J19" s="88"/>
    </row>
    <row r="20" spans="1:10" x14ac:dyDescent="0.3">
      <c r="A20" s="100" t="s">
        <v>448</v>
      </c>
    </row>
    <row r="21" spans="1:10" x14ac:dyDescent="0.3">
      <c r="A21" s="412" t="s">
        <v>329</v>
      </c>
      <c r="B21" s="412" t="s">
        <v>434</v>
      </c>
      <c r="C21" s="413">
        <f>DATE(2024,3,31)</f>
        <v>45382</v>
      </c>
      <c r="D21" s="413">
        <f>EOMONTH(C21,12)</f>
        <v>45747</v>
      </c>
      <c r="E21" s="413">
        <f t="shared" ref="E21:J21" si="7">EOMONTH(D21,12)</f>
        <v>46112</v>
      </c>
      <c r="F21" s="413">
        <f t="shared" si="7"/>
        <v>46477</v>
      </c>
      <c r="G21" s="413">
        <f t="shared" si="7"/>
        <v>46843</v>
      </c>
      <c r="H21" s="413">
        <f t="shared" si="7"/>
        <v>47208</v>
      </c>
      <c r="I21" s="413">
        <f t="shared" si="7"/>
        <v>47573</v>
      </c>
      <c r="J21" s="413">
        <f t="shared" si="7"/>
        <v>47938</v>
      </c>
    </row>
    <row r="22" spans="1:10" x14ac:dyDescent="0.3">
      <c r="A22" s="120" t="s">
        <v>449</v>
      </c>
      <c r="B22" s="108" t="s">
        <v>436</v>
      </c>
      <c r="C22" s="121">
        <f>'Debt Sch'!D35</f>
        <v>5</v>
      </c>
      <c r="D22" s="121">
        <f>'Debt Sch'!E35</f>
        <v>55</v>
      </c>
      <c r="E22" s="121">
        <f>'Debt Sch'!F35</f>
        <v>69</v>
      </c>
      <c r="F22" s="121">
        <f>'Debt Sch'!G35</f>
        <v>57</v>
      </c>
      <c r="G22" s="121">
        <f>'Debt Sch'!H35</f>
        <v>43</v>
      </c>
      <c r="H22" s="121">
        <f>'Debt Sch'!I35</f>
        <v>27</v>
      </c>
      <c r="I22" s="121">
        <f>'Debt Sch'!J35</f>
        <v>9</v>
      </c>
      <c r="J22" s="121">
        <f>'Debt Sch'!K35</f>
        <v>0</v>
      </c>
    </row>
    <row r="23" spans="1:10" x14ac:dyDescent="0.3">
      <c r="A23" s="112" t="s">
        <v>450</v>
      </c>
      <c r="B23" s="112" t="s">
        <v>436</v>
      </c>
      <c r="C23" s="113">
        <f t="shared" ref="C23" si="8">SUM(C22:C22)</f>
        <v>5</v>
      </c>
      <c r="D23" s="113">
        <f t="shared" ref="D23:I23" si="9">SUM(D22:D22)</f>
        <v>55</v>
      </c>
      <c r="E23" s="113">
        <f t="shared" si="9"/>
        <v>69</v>
      </c>
      <c r="F23" s="113">
        <f t="shared" si="9"/>
        <v>57</v>
      </c>
      <c r="G23" s="113">
        <f t="shared" si="9"/>
        <v>43</v>
      </c>
      <c r="H23" s="113">
        <f t="shared" si="9"/>
        <v>27</v>
      </c>
      <c r="I23" s="113">
        <f t="shared" si="9"/>
        <v>9</v>
      </c>
      <c r="J23" s="113">
        <f t="shared" ref="J23" si="10">SUM(J22:J22)</f>
        <v>0</v>
      </c>
    </row>
    <row r="24" spans="1:10" x14ac:dyDescent="0.3">
      <c r="A24" s="122" t="s">
        <v>42</v>
      </c>
      <c r="B24" s="108" t="s">
        <v>436</v>
      </c>
      <c r="C24" s="121">
        <f>BS!I34</f>
        <v>191.43045959408303</v>
      </c>
      <c r="D24" s="121">
        <f>BS!J34</f>
        <v>263.9283497219144</v>
      </c>
      <c r="E24" s="121">
        <f>BS!K34</f>
        <v>364.33382371123582</v>
      </c>
      <c r="F24" s="121">
        <f>BS!L34</f>
        <v>553.10099758956676</v>
      </c>
      <c r="G24" s="121">
        <f>BS!M34</f>
        <v>780.73017385708249</v>
      </c>
      <c r="H24" s="121">
        <f>BS!N34</f>
        <v>1024.8507983251961</v>
      </c>
      <c r="I24" s="121">
        <f>BS!O34</f>
        <v>1284.5393619398965</v>
      </c>
      <c r="J24" s="121">
        <f>BS!P34</f>
        <v>1560.8638916099526</v>
      </c>
    </row>
    <row r="25" spans="1:10" x14ac:dyDescent="0.3">
      <c r="A25" s="112" t="s">
        <v>451</v>
      </c>
      <c r="B25" s="112" t="s">
        <v>436</v>
      </c>
      <c r="C25" s="113">
        <f t="shared" ref="C25:I25" si="11">SUM(C24:C24)</f>
        <v>191.43045959408303</v>
      </c>
      <c r="D25" s="113">
        <f t="shared" si="11"/>
        <v>263.9283497219144</v>
      </c>
      <c r="E25" s="113">
        <f t="shared" si="11"/>
        <v>364.33382371123582</v>
      </c>
      <c r="F25" s="113">
        <f t="shared" si="11"/>
        <v>553.10099758956676</v>
      </c>
      <c r="G25" s="113">
        <f t="shared" si="11"/>
        <v>780.73017385708249</v>
      </c>
      <c r="H25" s="113">
        <f t="shared" si="11"/>
        <v>1024.8507983251961</v>
      </c>
      <c r="I25" s="113">
        <f t="shared" si="11"/>
        <v>1284.5393619398965</v>
      </c>
      <c r="J25" s="113">
        <f t="shared" ref="J25" si="12">SUM(J24:J24)</f>
        <v>1560.8638916099526</v>
      </c>
    </row>
    <row r="26" spans="1:10" x14ac:dyDescent="0.3">
      <c r="A26" s="123" t="s">
        <v>452</v>
      </c>
      <c r="B26" s="123"/>
      <c r="C26" s="124">
        <f t="shared" ref="C26:I26" si="13">IFERROR(C23/C25,0)</f>
        <v>2.6119145357547613E-2</v>
      </c>
      <c r="D26" s="124">
        <f t="shared" si="13"/>
        <v>0.2083898908849702</v>
      </c>
      <c r="E26" s="124">
        <f t="shared" si="13"/>
        <v>0.18938675332732244</v>
      </c>
      <c r="F26" s="124">
        <f t="shared" si="13"/>
        <v>0.10305531945957061</v>
      </c>
      <c r="G26" s="124">
        <f t="shared" si="13"/>
        <v>5.5076646759487764E-2</v>
      </c>
      <c r="H26" s="124">
        <f t="shared" si="13"/>
        <v>2.6345298305005184E-2</v>
      </c>
      <c r="I26" s="124">
        <f t="shared" si="13"/>
        <v>7.0064026581546741E-3</v>
      </c>
      <c r="J26" s="124">
        <f t="shared" ref="J26" si="14">IFERROR(J23/J25,0)</f>
        <v>0</v>
      </c>
    </row>
    <row r="27" spans="1:10" x14ac:dyDescent="0.3">
      <c r="A27" s="88"/>
      <c r="B27" s="88"/>
      <c r="C27" s="88"/>
      <c r="D27" s="88"/>
      <c r="E27" s="88"/>
      <c r="F27" s="88"/>
      <c r="G27" s="88"/>
      <c r="H27" s="88"/>
      <c r="I27" s="88"/>
      <c r="J27" s="88"/>
    </row>
    <row r="28" spans="1:10" x14ac:dyDescent="0.3">
      <c r="A28" s="100" t="s">
        <v>453</v>
      </c>
      <c r="B28" s="88"/>
      <c r="C28" s="88"/>
      <c r="D28" s="88"/>
      <c r="E28" s="88"/>
      <c r="F28" s="88"/>
      <c r="G28" s="88"/>
      <c r="H28" s="88"/>
      <c r="I28" s="88"/>
      <c r="J28" s="88"/>
    </row>
    <row r="29" spans="1:10" x14ac:dyDescent="0.3">
      <c r="A29" s="412" t="s">
        <v>329</v>
      </c>
      <c r="B29" s="412" t="s">
        <v>434</v>
      </c>
      <c r="C29" s="413">
        <f>DATE(2024,3,31)</f>
        <v>45382</v>
      </c>
      <c r="D29" s="413">
        <f>EOMONTH(C29,12)</f>
        <v>45747</v>
      </c>
      <c r="E29" s="413">
        <f t="shared" ref="E29:J29" si="15">EOMONTH(D29,12)</f>
        <v>46112</v>
      </c>
      <c r="F29" s="413">
        <f t="shared" si="15"/>
        <v>46477</v>
      </c>
      <c r="G29" s="413">
        <f t="shared" si="15"/>
        <v>46843</v>
      </c>
      <c r="H29" s="413">
        <f t="shared" si="15"/>
        <v>47208</v>
      </c>
      <c r="I29" s="413">
        <f t="shared" si="15"/>
        <v>47573</v>
      </c>
      <c r="J29" s="413">
        <f t="shared" si="15"/>
        <v>47938</v>
      </c>
    </row>
    <row r="30" spans="1:10" x14ac:dyDescent="0.3">
      <c r="A30" s="125" t="s">
        <v>70</v>
      </c>
      <c r="B30" s="108"/>
      <c r="C30" s="109"/>
      <c r="D30" s="109"/>
      <c r="E30" s="109"/>
      <c r="F30" s="109"/>
      <c r="G30" s="109"/>
      <c r="H30" s="109"/>
      <c r="I30" s="109"/>
      <c r="J30" s="109"/>
    </row>
    <row r="31" spans="1:10" x14ac:dyDescent="0.3">
      <c r="A31" s="108" t="s">
        <v>454</v>
      </c>
      <c r="B31" s="108" t="s">
        <v>436</v>
      </c>
      <c r="C31" s="180">
        <f>'Debt Sch'!D35</f>
        <v>5</v>
      </c>
      <c r="D31" s="180">
        <f>'Debt Sch'!E35</f>
        <v>55</v>
      </c>
      <c r="E31" s="180">
        <f>'Debt Sch'!F35</f>
        <v>69</v>
      </c>
      <c r="F31" s="180">
        <f>'Debt Sch'!G35</f>
        <v>57</v>
      </c>
      <c r="G31" s="180">
        <f>'Debt Sch'!H35</f>
        <v>43</v>
      </c>
      <c r="H31" s="180">
        <f>'Debt Sch'!I35</f>
        <v>27</v>
      </c>
      <c r="I31" s="180">
        <f>'Debt Sch'!J35</f>
        <v>9</v>
      </c>
      <c r="J31" s="180">
        <f>'Debt Sch'!K35</f>
        <v>0</v>
      </c>
    </row>
    <row r="32" spans="1:10" x14ac:dyDescent="0.3">
      <c r="A32" s="112" t="s">
        <v>455</v>
      </c>
      <c r="B32" s="112" t="s">
        <v>436</v>
      </c>
      <c r="C32" s="113">
        <f t="shared" ref="C32:I32" si="16">SUM(C31:C31)</f>
        <v>5</v>
      </c>
      <c r="D32" s="113">
        <f t="shared" si="16"/>
        <v>55</v>
      </c>
      <c r="E32" s="113">
        <f t="shared" si="16"/>
        <v>69</v>
      </c>
      <c r="F32" s="113">
        <f t="shared" si="16"/>
        <v>57</v>
      </c>
      <c r="G32" s="113">
        <f t="shared" si="16"/>
        <v>43</v>
      </c>
      <c r="H32" s="113">
        <f t="shared" si="16"/>
        <v>27</v>
      </c>
      <c r="I32" s="113">
        <f t="shared" si="16"/>
        <v>9</v>
      </c>
      <c r="J32" s="113">
        <f t="shared" ref="J32" si="17">SUM(J31:J31)</f>
        <v>0</v>
      </c>
    </row>
    <row r="33" spans="1:10" x14ac:dyDescent="0.3">
      <c r="A33" s="125" t="s">
        <v>40</v>
      </c>
      <c r="B33" s="125"/>
      <c r="C33" s="109"/>
      <c r="D33" s="109"/>
      <c r="E33" s="109"/>
      <c r="F33" s="109"/>
      <c r="G33" s="109"/>
      <c r="H33" s="109"/>
      <c r="I33" s="109"/>
      <c r="J33" s="109"/>
    </row>
    <row r="34" spans="1:10" x14ac:dyDescent="0.3">
      <c r="A34" s="108" t="s">
        <v>41</v>
      </c>
      <c r="B34" s="108" t="s">
        <v>436</v>
      </c>
      <c r="C34" s="180">
        <f>BS!I33</f>
        <v>7.2644000000000002</v>
      </c>
      <c r="D34" s="180">
        <f>BS!J33</f>
        <v>7.2644000000000002</v>
      </c>
      <c r="E34" s="180">
        <f>BS!K33</f>
        <v>7.2644000000000002</v>
      </c>
      <c r="F34" s="180">
        <f>BS!L33</f>
        <v>7.2644000000000002</v>
      </c>
      <c r="G34" s="180">
        <f>BS!M33</f>
        <v>7.2644000000000002</v>
      </c>
      <c r="H34" s="180">
        <f>BS!N33</f>
        <v>7.2644000000000002</v>
      </c>
      <c r="I34" s="180">
        <f>BS!O33</f>
        <v>7.2644000000000002</v>
      </c>
      <c r="J34" s="180">
        <f>BS!P33</f>
        <v>7.2644000000000002</v>
      </c>
    </row>
    <row r="35" spans="1:10" hidden="1" x14ac:dyDescent="0.3">
      <c r="A35" s="108" t="s">
        <v>456</v>
      </c>
      <c r="B35" s="108" t="s">
        <v>436</v>
      </c>
      <c r="C35" s="180"/>
      <c r="D35" s="180"/>
      <c r="E35" s="180"/>
      <c r="F35" s="180"/>
      <c r="G35" s="180"/>
      <c r="H35" s="180"/>
      <c r="I35" s="180"/>
      <c r="J35" s="180"/>
    </row>
    <row r="36" spans="1:10" x14ac:dyDescent="0.3">
      <c r="A36" s="108" t="s">
        <v>457</v>
      </c>
      <c r="B36" s="108" t="s">
        <v>436</v>
      </c>
      <c r="C36" s="180">
        <f>BS!I269</f>
        <v>189.10915959408302</v>
      </c>
      <c r="D36" s="180">
        <f>BS!J269</f>
        <v>261.60704972191434</v>
      </c>
      <c r="E36" s="180">
        <f>BS!K269</f>
        <v>362.01252371123576</v>
      </c>
      <c r="F36" s="180">
        <f>BS!L269</f>
        <v>550.77969758956669</v>
      </c>
      <c r="G36" s="180">
        <f>BS!M269</f>
        <v>778.40887385708243</v>
      </c>
      <c r="H36" s="180">
        <f>BS!N269</f>
        <v>1022.5294983251962</v>
      </c>
      <c r="I36" s="180">
        <f>BS!O269</f>
        <v>1282.2180619398964</v>
      </c>
      <c r="J36" s="180">
        <f>BS!P269</f>
        <v>1558.5425916099525</v>
      </c>
    </row>
    <row r="37" spans="1:10" x14ac:dyDescent="0.3">
      <c r="A37" s="112" t="s">
        <v>458</v>
      </c>
      <c r="B37" s="112" t="s">
        <v>436</v>
      </c>
      <c r="C37" s="113">
        <f t="shared" ref="C37:I37" si="18">SUM(C34:C36)</f>
        <v>196.37355959408302</v>
      </c>
      <c r="D37" s="113">
        <f t="shared" si="18"/>
        <v>268.87144972191436</v>
      </c>
      <c r="E37" s="113">
        <f t="shared" si="18"/>
        <v>369.27692371123578</v>
      </c>
      <c r="F37" s="113">
        <f t="shared" si="18"/>
        <v>558.04409758956672</v>
      </c>
      <c r="G37" s="113">
        <f t="shared" si="18"/>
        <v>785.67327385708245</v>
      </c>
      <c r="H37" s="113">
        <f t="shared" si="18"/>
        <v>1029.7938983251961</v>
      </c>
      <c r="I37" s="113">
        <f t="shared" si="18"/>
        <v>1289.4824619398964</v>
      </c>
      <c r="J37" s="113">
        <f t="shared" ref="J37" si="19">SUM(J34:J36)</f>
        <v>1565.8069916099525</v>
      </c>
    </row>
    <row r="38" spans="1:10" x14ac:dyDescent="0.3">
      <c r="A38" s="125" t="s">
        <v>459</v>
      </c>
      <c r="B38" s="125" t="s">
        <v>445</v>
      </c>
      <c r="C38" s="126">
        <f t="shared" ref="C38:I38" si="20">IFERROR(C32/C37,0)</f>
        <v>2.54616762579205E-2</v>
      </c>
      <c r="D38" s="126">
        <f t="shared" si="20"/>
        <v>0.20455872148896748</v>
      </c>
      <c r="E38" s="126">
        <f t="shared" si="20"/>
        <v>0.18685164322359896</v>
      </c>
      <c r="F38" s="126">
        <f t="shared" si="20"/>
        <v>0.10214246552594607</v>
      </c>
      <c r="G38" s="126">
        <f t="shared" si="20"/>
        <v>5.4730129470869457E-2</v>
      </c>
      <c r="H38" s="126">
        <f t="shared" si="20"/>
        <v>2.6218838588878236E-2</v>
      </c>
      <c r="I38" s="126">
        <f t="shared" si="20"/>
        <v>6.9795443254500773E-3</v>
      </c>
      <c r="J38" s="126">
        <f t="shared" ref="J38" si="21">IFERROR(J32/J37,0)</f>
        <v>0</v>
      </c>
    </row>
    <row r="39" spans="1:10" x14ac:dyDescent="0.3">
      <c r="A39" s="88"/>
      <c r="B39" s="88"/>
      <c r="C39" s="88"/>
      <c r="D39" s="88"/>
      <c r="E39" s="88"/>
      <c r="F39" s="88"/>
      <c r="G39" s="88"/>
      <c r="H39" s="88"/>
      <c r="I39" s="88"/>
      <c r="J39" s="88"/>
    </row>
    <row r="40" spans="1:10" x14ac:dyDescent="0.3">
      <c r="A40" s="127" t="s">
        <v>460</v>
      </c>
      <c r="B40" s="88"/>
      <c r="C40" s="88"/>
      <c r="D40" s="88"/>
      <c r="E40" s="88"/>
      <c r="F40" s="88"/>
      <c r="G40" s="88"/>
      <c r="H40" s="88"/>
      <c r="I40" s="88"/>
      <c r="J40" s="88"/>
    </row>
    <row r="41" spans="1:10" x14ac:dyDescent="0.3">
      <c r="A41" s="412" t="s">
        <v>329</v>
      </c>
      <c r="B41" s="412" t="s">
        <v>434</v>
      </c>
      <c r="C41" s="413">
        <f>DATE(2024,3,31)</f>
        <v>45382</v>
      </c>
      <c r="D41" s="413">
        <f>EOMONTH(C41,12)</f>
        <v>45747</v>
      </c>
      <c r="E41" s="413">
        <f t="shared" ref="E41:J41" si="22">EOMONTH(D41,12)</f>
        <v>46112</v>
      </c>
      <c r="F41" s="413">
        <f t="shared" si="22"/>
        <v>46477</v>
      </c>
      <c r="G41" s="413">
        <f t="shared" si="22"/>
        <v>46843</v>
      </c>
      <c r="H41" s="413">
        <f t="shared" si="22"/>
        <v>47208</v>
      </c>
      <c r="I41" s="413">
        <f t="shared" si="22"/>
        <v>47573</v>
      </c>
      <c r="J41" s="413">
        <f t="shared" si="22"/>
        <v>47938</v>
      </c>
    </row>
    <row r="42" spans="1:10" x14ac:dyDescent="0.3">
      <c r="A42" s="108" t="s">
        <v>461</v>
      </c>
      <c r="B42" s="108" t="s">
        <v>436</v>
      </c>
      <c r="C42" s="128">
        <f>BS!I40</f>
        <v>5</v>
      </c>
      <c r="D42" s="128">
        <f>BS!J40</f>
        <v>49</v>
      </c>
      <c r="E42" s="128">
        <f>BS!K40</f>
        <v>57</v>
      </c>
      <c r="F42" s="128">
        <f>BS!L40</f>
        <v>43</v>
      </c>
      <c r="G42" s="128">
        <f>BS!M40</f>
        <v>27</v>
      </c>
      <c r="H42" s="128">
        <f>BS!N40</f>
        <v>9</v>
      </c>
      <c r="I42" s="128">
        <f>BS!O40</f>
        <v>9</v>
      </c>
      <c r="J42" s="128">
        <f>BS!P40</f>
        <v>0</v>
      </c>
    </row>
    <row r="43" spans="1:10" x14ac:dyDescent="0.3">
      <c r="A43" s="108" t="s">
        <v>462</v>
      </c>
      <c r="B43" s="108" t="s">
        <v>436</v>
      </c>
      <c r="C43" s="128">
        <f>BS!I41</f>
        <v>1.9220999999999999</v>
      </c>
      <c r="D43" s="128">
        <f>BS!J41</f>
        <v>1.9220999999999999</v>
      </c>
      <c r="E43" s="128">
        <f>BS!K41</f>
        <v>1.9220999999999999</v>
      </c>
      <c r="F43" s="128">
        <f>BS!L41</f>
        <v>1.9220999999999999</v>
      </c>
      <c r="G43" s="128">
        <f>BS!M41</f>
        <v>1.9220999999999999</v>
      </c>
      <c r="H43" s="128">
        <f>BS!N41</f>
        <v>1.9220999999999999</v>
      </c>
      <c r="I43" s="128">
        <f>BS!O41</f>
        <v>1.9220999999999999</v>
      </c>
      <c r="J43" s="128">
        <f>BS!P41</f>
        <v>1.9220999999999999</v>
      </c>
    </row>
    <row r="44" spans="1:10" x14ac:dyDescent="0.3">
      <c r="A44" s="108" t="s">
        <v>463</v>
      </c>
      <c r="B44" s="108" t="s">
        <v>436</v>
      </c>
      <c r="C44" s="128">
        <f>BS!I312</f>
        <v>0</v>
      </c>
      <c r="D44" s="128">
        <f>BS!J312</f>
        <v>6</v>
      </c>
      <c r="E44" s="128">
        <f>BS!K312</f>
        <v>12</v>
      </c>
      <c r="F44" s="128">
        <f>BS!L312</f>
        <v>14</v>
      </c>
      <c r="G44" s="128">
        <f>BS!M312</f>
        <v>16</v>
      </c>
      <c r="H44" s="128">
        <f>BS!N312</f>
        <v>18</v>
      </c>
      <c r="I44" s="128">
        <f>BS!O312</f>
        <v>9</v>
      </c>
      <c r="J44" s="128">
        <f>BS!P312</f>
        <v>0</v>
      </c>
    </row>
    <row r="45" spans="1:10" x14ac:dyDescent="0.3">
      <c r="A45" s="108" t="s">
        <v>464</v>
      </c>
      <c r="B45" s="108" t="s">
        <v>436</v>
      </c>
      <c r="C45" s="128">
        <f>BS!I48</f>
        <v>0</v>
      </c>
      <c r="D45" s="128">
        <f>BS!J48</f>
        <v>0</v>
      </c>
      <c r="E45" s="128">
        <f>BS!K48</f>
        <v>0</v>
      </c>
      <c r="F45" s="128">
        <f>BS!L48</f>
        <v>0</v>
      </c>
      <c r="G45" s="128">
        <f>BS!M48</f>
        <v>0</v>
      </c>
      <c r="H45" s="128">
        <f>BS!N48</f>
        <v>0</v>
      </c>
      <c r="I45" s="128">
        <f>BS!O48</f>
        <v>0</v>
      </c>
      <c r="J45" s="128">
        <f>BS!P48</f>
        <v>0</v>
      </c>
    </row>
    <row r="46" spans="1:10" x14ac:dyDescent="0.3">
      <c r="A46" s="112" t="s">
        <v>465</v>
      </c>
      <c r="B46" s="112" t="s">
        <v>436</v>
      </c>
      <c r="C46" s="113">
        <f t="shared" ref="C46:I46" si="23">SUM(C42:C45)</f>
        <v>6.9221000000000004</v>
      </c>
      <c r="D46" s="113">
        <f t="shared" si="23"/>
        <v>56.9221</v>
      </c>
      <c r="E46" s="113">
        <f t="shared" si="23"/>
        <v>70.9221</v>
      </c>
      <c r="F46" s="113">
        <f t="shared" si="23"/>
        <v>58.9221</v>
      </c>
      <c r="G46" s="113">
        <f t="shared" si="23"/>
        <v>44.9221</v>
      </c>
      <c r="H46" s="113">
        <f t="shared" si="23"/>
        <v>28.9221</v>
      </c>
      <c r="I46" s="113">
        <f t="shared" si="23"/>
        <v>19.9221</v>
      </c>
      <c r="J46" s="113">
        <f t="shared" ref="J46" si="24">SUM(J42:J45)</f>
        <v>1.9220999999999999</v>
      </c>
    </row>
    <row r="47" spans="1:10" x14ac:dyDescent="0.3">
      <c r="A47" s="129"/>
      <c r="B47" s="129"/>
      <c r="C47" s="130"/>
      <c r="D47" s="130"/>
      <c r="E47" s="130"/>
      <c r="F47" s="130"/>
      <c r="G47" s="130"/>
      <c r="H47" s="130"/>
      <c r="I47" s="130"/>
      <c r="J47" s="130"/>
    </row>
    <row r="48" spans="1:10" x14ac:dyDescent="0.3">
      <c r="A48" s="131" t="s">
        <v>466</v>
      </c>
      <c r="B48" s="108" t="s">
        <v>436</v>
      </c>
      <c r="C48" s="128">
        <f>'P&amp;L'!I11+'P&amp;L'!I14</f>
        <v>161.78363333333334</v>
      </c>
      <c r="D48" s="128">
        <f>'P&amp;L'!J11+'P&amp;L'!J14</f>
        <v>236.42358712000001</v>
      </c>
      <c r="E48" s="128">
        <f>'P&amp;L'!K11+'P&amp;L'!K14</f>
        <v>338.87472990712803</v>
      </c>
      <c r="F48" s="128">
        <f>'P&amp;L'!L11+'P&amp;L'!L14</f>
        <v>664.33031503884354</v>
      </c>
      <c r="G48" s="128">
        <f>'P&amp;L'!M11+'P&amp;L'!M14</f>
        <v>740.94483205985637</v>
      </c>
      <c r="H48" s="128">
        <f>'P&amp;L'!N11+'P&amp;L'!N14</f>
        <v>782.55582204919483</v>
      </c>
      <c r="I48" s="128">
        <f>'P&amp;L'!O11+'P&amp;L'!O14</f>
        <v>826.52918418507659</v>
      </c>
      <c r="J48" s="128">
        <f>'P&amp;L'!P11+'P&amp;L'!P14</f>
        <v>873.00029692182534</v>
      </c>
    </row>
    <row r="49" spans="1:10" x14ac:dyDescent="0.3">
      <c r="A49" s="129" t="s">
        <v>13</v>
      </c>
      <c r="B49" s="129" t="s">
        <v>436</v>
      </c>
      <c r="C49" s="119">
        <f t="shared" ref="C49:I49" si="25">SUM(C48:C48)</f>
        <v>161.78363333333334</v>
      </c>
      <c r="D49" s="119">
        <f t="shared" si="25"/>
        <v>236.42358712000001</v>
      </c>
      <c r="E49" s="119">
        <f t="shared" si="25"/>
        <v>338.87472990712803</v>
      </c>
      <c r="F49" s="119">
        <f t="shared" si="25"/>
        <v>664.33031503884354</v>
      </c>
      <c r="G49" s="119">
        <f t="shared" si="25"/>
        <v>740.94483205985637</v>
      </c>
      <c r="H49" s="119">
        <f t="shared" si="25"/>
        <v>782.55582204919483</v>
      </c>
      <c r="I49" s="119">
        <f t="shared" si="25"/>
        <v>826.52918418507659</v>
      </c>
      <c r="J49" s="119">
        <f t="shared" ref="J49" si="26">SUM(J48:J48)</f>
        <v>873.00029692182534</v>
      </c>
    </row>
    <row r="50" spans="1:10" x14ac:dyDescent="0.3">
      <c r="A50" s="129"/>
      <c r="B50" s="129"/>
      <c r="C50" s="130"/>
      <c r="D50" s="130"/>
      <c r="E50" s="130"/>
      <c r="F50" s="130"/>
      <c r="G50" s="130"/>
      <c r="H50" s="130"/>
      <c r="I50" s="130"/>
      <c r="J50" s="130"/>
    </row>
    <row r="51" spans="1:10" x14ac:dyDescent="0.3">
      <c r="A51" s="131" t="str">
        <f>'P&amp;L'!B20</f>
        <v>Cost of Materials Consumed</v>
      </c>
      <c r="B51" s="108" t="s">
        <v>436</v>
      </c>
      <c r="C51" s="128">
        <f>'P&amp;L'!I20</f>
        <v>26.037733333333335</v>
      </c>
      <c r="D51" s="128">
        <f>'P&amp;L'!J20</f>
        <v>43.462400907979386</v>
      </c>
      <c r="E51" s="128">
        <f>'P&amp;L'!K20</f>
        <v>62.325448423863882</v>
      </c>
      <c r="F51" s="128">
        <f>'P&amp;L'!L20</f>
        <v>122.25686151284413</v>
      </c>
      <c r="G51" s="128">
        <f>'P&amp;L'!M20</f>
        <v>136.36130625883678</v>
      </c>
      <c r="H51" s="128">
        <f>'P&amp;L'!N20</f>
        <v>144.01920263465257</v>
      </c>
      <c r="I51" s="128">
        <f>'P&amp;L'!O20</f>
        <v>152.11185851870505</v>
      </c>
      <c r="J51" s="128">
        <f>'P&amp;L'!P20</f>
        <v>160.66418842520892</v>
      </c>
    </row>
    <row r="52" spans="1:10" x14ac:dyDescent="0.3">
      <c r="A52" s="131" t="str">
        <f>'P&amp;L'!B21</f>
        <v>Changes in Inventories</v>
      </c>
      <c r="B52" s="108" t="s">
        <v>436</v>
      </c>
      <c r="C52" s="128">
        <f>'P&amp;L'!I21</f>
        <v>11.861066666666668</v>
      </c>
      <c r="D52" s="128">
        <f>'P&amp;L'!J21</f>
        <v>7.1470244518379626</v>
      </c>
      <c r="E52" s="128">
        <f>'P&amp;L'!K21</f>
        <v>7.7370005054427153</v>
      </c>
      <c r="F52" s="128">
        <f>'P&amp;L'!L21</f>
        <v>24.581890756033221</v>
      </c>
      <c r="G52" s="128">
        <f>'P&amp;L'!M21</f>
        <v>5.7851784573430862</v>
      </c>
      <c r="H52" s="128">
        <f>'P&amp;L'!N21</f>
        <v>3.1410167461234053</v>
      </c>
      <c r="I52" s="128">
        <f>'P&amp;L'!O21</f>
        <v>3.3193407699663595</v>
      </c>
      <c r="J52" s="128">
        <f>'P&amp;L'!P21</f>
        <v>3.5078839065433272</v>
      </c>
    </row>
    <row r="53" spans="1:10" x14ac:dyDescent="0.3">
      <c r="A53" s="131" t="str">
        <f>'P&amp;L'!B22</f>
        <v>Purchase of Stock in trade</v>
      </c>
      <c r="B53" s="108" t="s">
        <v>436</v>
      </c>
      <c r="C53" s="128">
        <f>'P&amp;L'!I22</f>
        <v>0</v>
      </c>
      <c r="D53" s="128">
        <f>'P&amp;L'!J22</f>
        <v>0</v>
      </c>
      <c r="E53" s="128">
        <f>'P&amp;L'!K22</f>
        <v>0</v>
      </c>
      <c r="F53" s="128">
        <f>'P&amp;L'!L22</f>
        <v>0</v>
      </c>
      <c r="G53" s="128">
        <f>'P&amp;L'!M22</f>
        <v>0</v>
      </c>
      <c r="H53" s="128">
        <f>'P&amp;L'!N22</f>
        <v>0</v>
      </c>
      <c r="I53" s="128">
        <f>'P&amp;L'!O22</f>
        <v>0</v>
      </c>
      <c r="J53" s="128">
        <f>'P&amp;L'!P22</f>
        <v>0</v>
      </c>
    </row>
    <row r="54" spans="1:10" x14ac:dyDescent="0.3">
      <c r="A54" s="131" t="str">
        <f>'P&amp;L'!B23</f>
        <v>Employee Cost</v>
      </c>
      <c r="B54" s="108" t="s">
        <v>436</v>
      </c>
      <c r="C54" s="128">
        <f>'P&amp;L'!I23</f>
        <v>9.6769333333333343</v>
      </c>
      <c r="D54" s="128">
        <f>'P&amp;L'!J23</f>
        <v>12.291827156330276</v>
      </c>
      <c r="E54" s="128">
        <f>'P&amp;L'!K23</f>
        <v>17.553038820687082</v>
      </c>
      <c r="F54" s="128">
        <f>'P&amp;L'!L23</f>
        <v>18.551806729584179</v>
      </c>
      <c r="G54" s="128">
        <f>'P&amp;L'!M23</f>
        <v>19.607404532497515</v>
      </c>
      <c r="H54" s="128">
        <f>'P&amp;L'!N23</f>
        <v>20.723065850396623</v>
      </c>
      <c r="I54" s="128">
        <f>'P&amp;L'!O23</f>
        <v>21.902208297284194</v>
      </c>
      <c r="J54" s="128">
        <f>'P&amp;L'!P23</f>
        <v>23.148443949399663</v>
      </c>
    </row>
    <row r="55" spans="1:10" x14ac:dyDescent="0.3">
      <c r="A55" s="131" t="str">
        <f>'P&amp;L'!B24</f>
        <v>Other Expenses</v>
      </c>
      <c r="B55" s="108" t="s">
        <v>436</v>
      </c>
      <c r="C55" s="128">
        <f>'P&amp;L'!I24</f>
        <v>45.795733333333338</v>
      </c>
      <c r="D55" s="128">
        <f>'P&amp;L'!J24</f>
        <v>68.440812000000008</v>
      </c>
      <c r="E55" s="128">
        <f>'P&amp;L'!K24</f>
        <v>98.144700000000014</v>
      </c>
      <c r="F55" s="128">
        <f>'P&amp;L'!L24</f>
        <v>192.5194812</v>
      </c>
      <c r="G55" s="128">
        <f>'P&amp;L'!M24</f>
        <v>214.72993508791777</v>
      </c>
      <c r="H55" s="128">
        <f>'P&amp;L'!N24</f>
        <v>226.78892481750876</v>
      </c>
      <c r="I55" s="128">
        <f>'P&amp;L'!O24</f>
        <v>239.53253603939694</v>
      </c>
      <c r="J55" s="128">
        <f>'P&amp;L'!P24</f>
        <v>253.00000196545781</v>
      </c>
    </row>
    <row r="56" spans="1:10" x14ac:dyDescent="0.3">
      <c r="A56" s="131" t="str">
        <f>'P&amp;L'!B25</f>
        <v>Manufacturing Expenses</v>
      </c>
      <c r="B56" s="108" t="s">
        <v>436</v>
      </c>
      <c r="C56" s="128">
        <f>'P&amp;L'!I25</f>
        <v>32.727600000000002</v>
      </c>
      <c r="D56" s="128">
        <f>'P&amp;L'!J25</f>
        <v>51.920616000000003</v>
      </c>
      <c r="E56" s="128">
        <f>'P&amp;L'!K25</f>
        <v>74.454599999999999</v>
      </c>
      <c r="F56" s="128">
        <f>'P&amp;L'!L25</f>
        <v>146.04926159999999</v>
      </c>
      <c r="G56" s="128">
        <f>'P&amp;L'!M25</f>
        <v>162.89857144600657</v>
      </c>
      <c r="H56" s="128">
        <f>'P&amp;L'!N25</f>
        <v>172.04677055121354</v>
      </c>
      <c r="I56" s="128">
        <f>'P&amp;L'!O25</f>
        <v>181.71433768505975</v>
      </c>
      <c r="J56" s="128">
        <f>'P&amp;L'!P25</f>
        <v>191.93103597379559</v>
      </c>
    </row>
    <row r="57" spans="1:10" x14ac:dyDescent="0.3">
      <c r="A57" s="131" t="str">
        <f>'P&amp;L'!B26</f>
        <v>Administrative Expenses</v>
      </c>
      <c r="B57" s="108" t="s">
        <v>436</v>
      </c>
      <c r="C57" s="128">
        <f>'P&amp;L'!I26</f>
        <v>10.102933333333333</v>
      </c>
      <c r="D57" s="128">
        <f>'P&amp;L'!J26</f>
        <v>11.800140000000001</v>
      </c>
      <c r="E57" s="128">
        <f>'P&amp;L'!K26</f>
        <v>16.921500000000002</v>
      </c>
      <c r="F57" s="128">
        <f>'P&amp;L'!L26</f>
        <v>33.193013999999998</v>
      </c>
      <c r="G57" s="128">
        <f>'P&amp;L'!M26</f>
        <v>37.02240260136513</v>
      </c>
      <c r="H57" s="128">
        <f>'P&amp;L'!N26</f>
        <v>39.101538761639439</v>
      </c>
      <c r="I57" s="128">
        <f>'P&amp;L'!O26</f>
        <v>41.298713110240854</v>
      </c>
      <c r="J57" s="128">
        <f>'P&amp;L'!P26</f>
        <v>43.620689994044454</v>
      </c>
    </row>
    <row r="58" spans="1:10" x14ac:dyDescent="0.3">
      <c r="A58" s="131" t="str">
        <f>'P&amp;L'!B27</f>
        <v>Selling &amp; Distribution Expenses</v>
      </c>
      <c r="B58" s="108" t="s">
        <v>436</v>
      </c>
      <c r="C58" s="128">
        <f>'P&amp;L'!I27</f>
        <v>2.9651999999999998</v>
      </c>
      <c r="D58" s="128">
        <f>'P&amp;L'!J27</f>
        <v>4.7200560000000005</v>
      </c>
      <c r="E58" s="128">
        <f>'P&amp;L'!K27</f>
        <v>6.7686000000000002</v>
      </c>
      <c r="F58" s="128">
        <f>'P&amp;L'!L27</f>
        <v>13.2772056</v>
      </c>
      <c r="G58" s="128">
        <f>'P&amp;L'!M27</f>
        <v>14.808961040546052</v>
      </c>
      <c r="H58" s="128">
        <f>'P&amp;L'!N27</f>
        <v>15.640615504655775</v>
      </c>
      <c r="I58" s="128">
        <f>'P&amp;L'!O27</f>
        <v>16.519485244096341</v>
      </c>
      <c r="J58" s="128">
        <f>'P&amp;L'!P27</f>
        <v>17.448275997617781</v>
      </c>
    </row>
    <row r="59" spans="1:10" x14ac:dyDescent="0.3">
      <c r="A59" s="129" t="s">
        <v>467</v>
      </c>
      <c r="B59" s="129" t="s">
        <v>436</v>
      </c>
      <c r="C59" s="119">
        <f t="shared" ref="C59:I59" si="27">SUM(C51:C55)</f>
        <v>93.371466666666663</v>
      </c>
      <c r="D59" s="119">
        <f t="shared" si="27"/>
        <v>131.34206451614764</v>
      </c>
      <c r="E59" s="119">
        <f t="shared" si="27"/>
        <v>185.76018774999369</v>
      </c>
      <c r="F59" s="119">
        <f t="shared" si="27"/>
        <v>357.9100401984615</v>
      </c>
      <c r="G59" s="119">
        <f t="shared" si="27"/>
        <v>376.48382433659515</v>
      </c>
      <c r="H59" s="119">
        <f t="shared" si="27"/>
        <v>394.67221004868134</v>
      </c>
      <c r="I59" s="119">
        <f t="shared" si="27"/>
        <v>416.86594362535254</v>
      </c>
      <c r="J59" s="119">
        <f t="shared" ref="J59" si="28">SUM(J51:J55)</f>
        <v>440.32051824660971</v>
      </c>
    </row>
    <row r="60" spans="1:10" x14ac:dyDescent="0.3">
      <c r="A60" s="132"/>
      <c r="B60" s="132"/>
      <c r="C60" s="133"/>
      <c r="D60" s="133"/>
      <c r="E60" s="133"/>
      <c r="F60" s="133"/>
      <c r="G60" s="133"/>
      <c r="H60" s="133"/>
      <c r="I60" s="133"/>
      <c r="J60" s="133"/>
    </row>
    <row r="61" spans="1:10" x14ac:dyDescent="0.3">
      <c r="A61" s="112" t="s">
        <v>468</v>
      </c>
      <c r="B61" s="112" t="s">
        <v>436</v>
      </c>
      <c r="C61" s="113">
        <f t="shared" ref="C61:I61" si="29">C49-C59</f>
        <v>68.412166666666678</v>
      </c>
      <c r="D61" s="113">
        <f t="shared" si="29"/>
        <v>105.08152260385236</v>
      </c>
      <c r="E61" s="113">
        <f t="shared" si="29"/>
        <v>153.11454215713434</v>
      </c>
      <c r="F61" s="113">
        <f t="shared" si="29"/>
        <v>306.42027484038204</v>
      </c>
      <c r="G61" s="113">
        <f t="shared" si="29"/>
        <v>364.46100772326122</v>
      </c>
      <c r="H61" s="113">
        <f t="shared" si="29"/>
        <v>387.88361200051349</v>
      </c>
      <c r="I61" s="113">
        <f t="shared" si="29"/>
        <v>409.66324055972404</v>
      </c>
      <c r="J61" s="113">
        <f t="shared" ref="J61" si="30">J49-J59</f>
        <v>432.67977867521563</v>
      </c>
    </row>
    <row r="62" spans="1:10" x14ac:dyDescent="0.3">
      <c r="A62" s="125" t="s">
        <v>469</v>
      </c>
      <c r="B62" s="125" t="s">
        <v>445</v>
      </c>
      <c r="C62" s="119">
        <f t="shared" ref="C62:I62" si="31">IFERROR(C46/C61,0)</f>
        <v>0.10118229457235919</v>
      </c>
      <c r="D62" s="119">
        <f t="shared" si="31"/>
        <v>0.54169466324342352</v>
      </c>
      <c r="E62" s="119">
        <f t="shared" si="31"/>
        <v>0.46319636920715179</v>
      </c>
      <c r="F62" s="119">
        <f t="shared" si="31"/>
        <v>0.19229177974823378</v>
      </c>
      <c r="G62" s="119">
        <f t="shared" si="31"/>
        <v>0.12325625800307775</v>
      </c>
      <c r="H62" s="119">
        <f t="shared" si="31"/>
        <v>7.4563861697672637E-2</v>
      </c>
      <c r="I62" s="119">
        <f t="shared" si="31"/>
        <v>4.8630431114054504E-2</v>
      </c>
      <c r="J62" s="119">
        <f t="shared" ref="J62" si="32">IFERROR(J46/J61,0)</f>
        <v>4.4423152981290454E-3</v>
      </c>
    </row>
    <row r="63" spans="1:10" x14ac:dyDescent="0.3">
      <c r="C63" s="146"/>
      <c r="D63" s="146"/>
      <c r="E63" s="146"/>
      <c r="F63" s="146"/>
      <c r="G63" s="146"/>
      <c r="H63" s="146"/>
      <c r="I63" s="146"/>
      <c r="J63" s="146"/>
    </row>
    <row r="64" spans="1:10" x14ac:dyDescent="0.3">
      <c r="C64" s="146"/>
      <c r="D64" s="146"/>
      <c r="E64" s="146"/>
      <c r="F64" s="146"/>
      <c r="G64" s="146"/>
      <c r="H64" s="146"/>
      <c r="I64" s="146"/>
      <c r="J64" s="146"/>
    </row>
    <row r="65" spans="1:10" x14ac:dyDescent="0.3">
      <c r="A65" s="100" t="s">
        <v>470</v>
      </c>
      <c r="B65" s="88"/>
      <c r="C65" s="88"/>
      <c r="D65" s="88"/>
      <c r="E65" s="88"/>
      <c r="F65" s="88"/>
      <c r="G65" s="88"/>
      <c r="H65" s="88"/>
      <c r="I65" s="88"/>
      <c r="J65" s="88"/>
    </row>
    <row r="66" spans="1:10" x14ac:dyDescent="0.3">
      <c r="A66" s="412" t="s">
        <v>329</v>
      </c>
      <c r="B66" s="412" t="s">
        <v>434</v>
      </c>
      <c r="C66" s="413">
        <f>DATE(2024,3,31)</f>
        <v>45382</v>
      </c>
      <c r="D66" s="413">
        <f>EOMONTH(C66,12)</f>
        <v>45747</v>
      </c>
      <c r="E66" s="413">
        <f t="shared" ref="E66:J66" si="33">EOMONTH(D66,12)</f>
        <v>46112</v>
      </c>
      <c r="F66" s="413">
        <f t="shared" si="33"/>
        <v>46477</v>
      </c>
      <c r="G66" s="413">
        <f t="shared" si="33"/>
        <v>46843</v>
      </c>
      <c r="H66" s="413">
        <f t="shared" si="33"/>
        <v>47208</v>
      </c>
      <c r="I66" s="413">
        <f t="shared" si="33"/>
        <v>47573</v>
      </c>
      <c r="J66" s="413">
        <f t="shared" si="33"/>
        <v>47938</v>
      </c>
    </row>
    <row r="67" spans="1:10" x14ac:dyDescent="0.3">
      <c r="A67" s="125" t="s">
        <v>471</v>
      </c>
      <c r="B67" s="108"/>
      <c r="C67" s="109"/>
      <c r="D67" s="109"/>
      <c r="E67" s="109"/>
      <c r="F67" s="109"/>
      <c r="G67" s="109"/>
      <c r="H67" s="109"/>
      <c r="I67" s="109"/>
      <c r="J67" s="109"/>
    </row>
    <row r="68" spans="1:10" x14ac:dyDescent="0.3">
      <c r="A68" s="108" t="str">
        <f>BS!B21</f>
        <v>Inventories</v>
      </c>
      <c r="B68" s="108" t="s">
        <v>436</v>
      </c>
      <c r="C68" s="180">
        <f>BS!I21</f>
        <v>10.679820203545537</v>
      </c>
      <c r="D68" s="180">
        <f>BS!J21</f>
        <v>17.8268446553835</v>
      </c>
      <c r="E68" s="180">
        <f>BS!K21</f>
        <v>25.563845160826215</v>
      </c>
      <c r="F68" s="180">
        <f>BS!L21</f>
        <v>50.145735916859437</v>
      </c>
      <c r="G68" s="180">
        <f>BS!M21</f>
        <v>55.930914374202523</v>
      </c>
      <c r="H68" s="180">
        <f>BS!N21</f>
        <v>59.071931120325928</v>
      </c>
      <c r="I68" s="180">
        <f>BS!O21</f>
        <v>62.391271890292288</v>
      </c>
      <c r="J68" s="180">
        <f>BS!P21</f>
        <v>65.899155796835615</v>
      </c>
    </row>
    <row r="69" spans="1:10" x14ac:dyDescent="0.3">
      <c r="A69" s="108" t="str">
        <f>BS!B22</f>
        <v>Trade Receviables</v>
      </c>
      <c r="B69" s="108" t="s">
        <v>436</v>
      </c>
      <c r="C69" s="180">
        <f>BS!I22</f>
        <v>27.588874589903511</v>
      </c>
      <c r="D69" s="180">
        <f>BS!J22</f>
        <v>40.344712827770032</v>
      </c>
      <c r="E69" s="180">
        <f>BS!K22</f>
        <v>57.854657496869578</v>
      </c>
      <c r="F69" s="180">
        <f>BS!L22</f>
        <v>113.48701097767909</v>
      </c>
      <c r="G69" s="180">
        <f>BS!M22</f>
        <v>126.57970169389193</v>
      </c>
      <c r="H69" s="180">
        <f>BS!N22</f>
        <v>133.68827424609043</v>
      </c>
      <c r="I69" s="180">
        <f>BS!O22</f>
        <v>141.20041970596353</v>
      </c>
      <c r="J69" s="180">
        <f>BS!P22</f>
        <v>149.13926539506352</v>
      </c>
    </row>
    <row r="70" spans="1:10" x14ac:dyDescent="0.3">
      <c r="A70" s="108" t="str">
        <f>BS!B23</f>
        <v>Cash &amp; Cash Equivalents</v>
      </c>
      <c r="B70" s="108" t="s">
        <v>436</v>
      </c>
      <c r="C70" s="180">
        <f>BS!I23</f>
        <v>4.9899921266311189</v>
      </c>
      <c r="D70" s="180">
        <f>BS!J23</f>
        <v>16.012377085873847</v>
      </c>
      <c r="E70" s="180">
        <f>BS!K23</f>
        <v>77.973864974270839</v>
      </c>
      <c r="F70" s="180">
        <f>BS!L23</f>
        <v>213.10356788402089</v>
      </c>
      <c r="G70" s="180">
        <f>BS!M23</f>
        <v>420.13020372209712</v>
      </c>
      <c r="H70" s="180">
        <f>BS!N23</f>
        <v>653.39343315051622</v>
      </c>
      <c r="I70" s="180">
        <f>BS!O23</f>
        <v>909.69364847777081</v>
      </c>
      <c r="J70" s="180">
        <f>BS!P23</f>
        <v>1173.1661965778167</v>
      </c>
    </row>
    <row r="71" spans="1:10" x14ac:dyDescent="0.3">
      <c r="A71" s="108" t="str">
        <f>BS!B24</f>
        <v>Other Bank Balances</v>
      </c>
      <c r="B71" s="108" t="s">
        <v>436</v>
      </c>
      <c r="C71" s="180">
        <f>BS!I24</f>
        <v>2.6227</v>
      </c>
      <c r="D71" s="180">
        <f>BS!J24</f>
        <v>2.6227</v>
      </c>
      <c r="E71" s="180">
        <f>BS!K24</f>
        <v>2.6227</v>
      </c>
      <c r="F71" s="180">
        <f>BS!L24</f>
        <v>2.6227</v>
      </c>
      <c r="G71" s="180">
        <f>BS!M24</f>
        <v>2.6227</v>
      </c>
      <c r="H71" s="180">
        <f>BS!N24</f>
        <v>2.6227</v>
      </c>
      <c r="I71" s="180">
        <f>BS!O24</f>
        <v>2.6227</v>
      </c>
      <c r="J71" s="180">
        <f>BS!P24</f>
        <v>2.6227</v>
      </c>
    </row>
    <row r="72" spans="1:10" x14ac:dyDescent="0.3">
      <c r="A72" s="108" t="str">
        <f>BS!B25</f>
        <v>Loans</v>
      </c>
      <c r="B72" s="108" t="s">
        <v>436</v>
      </c>
      <c r="C72" s="180">
        <f>BS!I25</f>
        <v>13.25</v>
      </c>
      <c r="D72" s="180">
        <f>BS!J25</f>
        <v>13.25</v>
      </c>
      <c r="E72" s="180">
        <f>BS!K25</f>
        <v>13.25</v>
      </c>
      <c r="F72" s="180">
        <f>BS!L25</f>
        <v>13.25</v>
      </c>
      <c r="G72" s="180">
        <f>BS!M25</f>
        <v>13.25</v>
      </c>
      <c r="H72" s="180">
        <f>BS!N25</f>
        <v>13.25</v>
      </c>
      <c r="I72" s="180">
        <f>BS!O25</f>
        <v>13.25</v>
      </c>
      <c r="J72" s="180">
        <f>BS!P25</f>
        <v>13.25</v>
      </c>
    </row>
    <row r="73" spans="1:10" x14ac:dyDescent="0.3">
      <c r="A73" s="108" t="str">
        <f>BS!B26</f>
        <v>Other Financial Assets</v>
      </c>
      <c r="B73" s="108" t="s">
        <v>436</v>
      </c>
      <c r="C73" s="180">
        <f>BS!I26</f>
        <v>0.7581</v>
      </c>
      <c r="D73" s="180">
        <f>BS!J26</f>
        <v>0.7581</v>
      </c>
      <c r="E73" s="180">
        <f>BS!K26</f>
        <v>0.7581</v>
      </c>
      <c r="F73" s="180">
        <f>BS!L26</f>
        <v>0.7581</v>
      </c>
      <c r="G73" s="180">
        <f>BS!M26</f>
        <v>0.7581</v>
      </c>
      <c r="H73" s="180">
        <f>BS!N26</f>
        <v>0.7581</v>
      </c>
      <c r="I73" s="180">
        <f>BS!O26</f>
        <v>0.7581</v>
      </c>
      <c r="J73" s="180">
        <f>BS!P26</f>
        <v>0.7581</v>
      </c>
    </row>
    <row r="74" spans="1:10" x14ac:dyDescent="0.3">
      <c r="A74" s="108" t="str">
        <f>BS!B27</f>
        <v>Other Current Assets</v>
      </c>
      <c r="B74" s="108" t="s">
        <v>436</v>
      </c>
      <c r="C74" s="180">
        <f>BS!I27</f>
        <v>0.66910000000000003</v>
      </c>
      <c r="D74" s="180">
        <f>BS!J27</f>
        <v>0.66910000000000003</v>
      </c>
      <c r="E74" s="180">
        <f>BS!K27</f>
        <v>0.66910000000000003</v>
      </c>
      <c r="F74" s="180">
        <f>BS!L27</f>
        <v>0.66910000000000003</v>
      </c>
      <c r="G74" s="180">
        <f>BS!M27</f>
        <v>0.66910000000000003</v>
      </c>
      <c r="H74" s="180">
        <f>BS!N27</f>
        <v>0.66910000000000003</v>
      </c>
      <c r="I74" s="180">
        <f>BS!O27</f>
        <v>0.66910000000000003</v>
      </c>
      <c r="J74" s="180">
        <f>BS!P27</f>
        <v>0.66910000000000003</v>
      </c>
    </row>
    <row r="75" spans="1:10" x14ac:dyDescent="0.3">
      <c r="A75" s="112" t="s">
        <v>455</v>
      </c>
      <c r="B75" s="112" t="s">
        <v>436</v>
      </c>
      <c r="C75" s="113">
        <f>SUM(C68:C74)</f>
        <v>60.558586920080167</v>
      </c>
      <c r="D75" s="113">
        <f t="shared" ref="D75:J75" si="34">SUM(D68:D74)</f>
        <v>91.48383456902738</v>
      </c>
      <c r="E75" s="113">
        <f t="shared" si="34"/>
        <v>178.69226763196664</v>
      </c>
      <c r="F75" s="113">
        <f t="shared" si="34"/>
        <v>394.03621477855944</v>
      </c>
      <c r="G75" s="113">
        <f t="shared" si="34"/>
        <v>619.94071979019157</v>
      </c>
      <c r="H75" s="113">
        <f t="shared" si="34"/>
        <v>863.45353851693255</v>
      </c>
      <c r="I75" s="113">
        <f t="shared" si="34"/>
        <v>1130.5852400740266</v>
      </c>
      <c r="J75" s="113">
        <f t="shared" si="34"/>
        <v>1405.5045177697157</v>
      </c>
    </row>
    <row r="76" spans="1:10" x14ac:dyDescent="0.3">
      <c r="A76" s="125" t="s">
        <v>45</v>
      </c>
      <c r="B76" s="125"/>
      <c r="C76" s="180"/>
      <c r="D76" s="180"/>
      <c r="E76" s="180"/>
      <c r="F76" s="180"/>
      <c r="G76" s="180"/>
      <c r="H76" s="180"/>
      <c r="I76" s="180"/>
      <c r="J76" s="180"/>
    </row>
    <row r="77" spans="1:10" x14ac:dyDescent="0.3">
      <c r="A77" s="108" t="str">
        <f>BS!B48</f>
        <v>Borrowings</v>
      </c>
      <c r="B77" s="108" t="s">
        <v>436</v>
      </c>
      <c r="C77" s="180">
        <f>BS!I48</f>
        <v>0</v>
      </c>
      <c r="D77" s="180">
        <f>BS!J48</f>
        <v>0</v>
      </c>
      <c r="E77" s="180">
        <f>BS!K48</f>
        <v>0</v>
      </c>
      <c r="F77" s="180">
        <f>BS!L48</f>
        <v>0</v>
      </c>
      <c r="G77" s="180">
        <f>BS!M48</f>
        <v>0</v>
      </c>
      <c r="H77" s="180">
        <f>BS!N48</f>
        <v>0</v>
      </c>
      <c r="I77" s="180">
        <f>BS!O48</f>
        <v>0</v>
      </c>
      <c r="J77" s="180">
        <f>BS!P48</f>
        <v>0</v>
      </c>
    </row>
    <row r="78" spans="1:10" x14ac:dyDescent="0.3">
      <c r="A78" s="108" t="str">
        <f>BS!B49</f>
        <v>Lease Liabilities</v>
      </c>
      <c r="B78" s="108" t="s">
        <v>436</v>
      </c>
      <c r="C78" s="180">
        <f>BS!I49</f>
        <v>0.11799999999999999</v>
      </c>
      <c r="D78" s="180">
        <f>BS!J49</f>
        <v>0.11799999999999999</v>
      </c>
      <c r="E78" s="180">
        <f>BS!K49</f>
        <v>0.11799999999999999</v>
      </c>
      <c r="F78" s="180">
        <f>BS!L49</f>
        <v>0.11799999999999999</v>
      </c>
      <c r="G78" s="180">
        <f>BS!M49</f>
        <v>0.11799999999999999</v>
      </c>
      <c r="H78" s="180">
        <f>BS!N49</f>
        <v>0.11799999999999999</v>
      </c>
      <c r="I78" s="180">
        <f>BS!O49</f>
        <v>0.11799999999999999</v>
      </c>
      <c r="J78" s="180">
        <f>BS!P49</f>
        <v>0.11799999999999999</v>
      </c>
    </row>
    <row r="79" spans="1:10" x14ac:dyDescent="0.3">
      <c r="A79" s="108" t="str">
        <f>BS!B50</f>
        <v>Trade Payables - MSME</v>
      </c>
      <c r="B79" s="108" t="s">
        <v>436</v>
      </c>
      <c r="C79" s="180">
        <f>BS!I50</f>
        <v>0</v>
      </c>
      <c r="D79" s="180">
        <f>BS!J50</f>
        <v>0</v>
      </c>
      <c r="E79" s="180">
        <f>BS!K50</f>
        <v>0</v>
      </c>
      <c r="F79" s="180">
        <f>BS!L50</f>
        <v>0</v>
      </c>
      <c r="G79" s="180">
        <f>BS!M50</f>
        <v>0</v>
      </c>
      <c r="H79" s="180">
        <f>BS!N50</f>
        <v>0</v>
      </c>
      <c r="I79" s="180">
        <f>BS!O50</f>
        <v>0</v>
      </c>
      <c r="J79" s="180">
        <f>BS!P50</f>
        <v>0</v>
      </c>
    </row>
    <row r="80" spans="1:10" x14ac:dyDescent="0.3">
      <c r="A80" s="108" t="str">
        <f>BS!B51</f>
        <v>Trade Payables - Non-MSME</v>
      </c>
      <c r="B80" s="108" t="s">
        <v>436</v>
      </c>
      <c r="C80" s="180">
        <f>BS!I51</f>
        <v>12.227972260997205</v>
      </c>
      <c r="D80" s="180">
        <f>BS!J51</f>
        <v>16.329030192113077</v>
      </c>
      <c r="E80" s="180">
        <f>BS!K51</f>
        <v>22.605509463230877</v>
      </c>
      <c r="F80" s="180">
        <f>BS!L51</f>
        <v>47.377230666492679</v>
      </c>
      <c r="G80" s="180">
        <f>BS!M51</f>
        <v>45.863279895609111</v>
      </c>
      <c r="H80" s="180">
        <f>BS!N51</f>
        <v>47.480951389236381</v>
      </c>
      <c r="I80" s="180">
        <f>BS!O51</f>
        <v>50.149566566630142</v>
      </c>
      <c r="J80" s="180">
        <f>BS!P51</f>
        <v>52.969791827263478</v>
      </c>
    </row>
    <row r="81" spans="1:10" x14ac:dyDescent="0.3">
      <c r="A81" s="108" t="str">
        <f>BS!B52</f>
        <v>Other Financial Liabilities</v>
      </c>
      <c r="B81" s="108" t="s">
        <v>436</v>
      </c>
      <c r="C81" s="180">
        <f>BS!I52</f>
        <v>5.5329999999999995</v>
      </c>
      <c r="D81" s="180">
        <f>BS!J52</f>
        <v>5.5329999999999995</v>
      </c>
      <c r="E81" s="180">
        <f>BS!K52</f>
        <v>5.5330000000000013</v>
      </c>
      <c r="F81" s="180">
        <f>BS!L52</f>
        <v>5.5330000000000013</v>
      </c>
      <c r="G81" s="180">
        <f>BS!M52</f>
        <v>5.5330000000000013</v>
      </c>
      <c r="H81" s="180">
        <f>BS!N52</f>
        <v>5.5330000000000013</v>
      </c>
      <c r="I81" s="180">
        <f>BS!O52</f>
        <v>5.5329999999999995</v>
      </c>
      <c r="J81" s="180">
        <f>BS!P52</f>
        <v>5.5329999999999995</v>
      </c>
    </row>
    <row r="82" spans="1:10" x14ac:dyDescent="0.3">
      <c r="A82" s="108" t="s">
        <v>530</v>
      </c>
      <c r="B82" s="108"/>
      <c r="C82" s="180"/>
      <c r="D82" s="180">
        <f>BS!J53</f>
        <v>6</v>
      </c>
      <c r="E82" s="180">
        <f>BS!K53</f>
        <v>12</v>
      </c>
      <c r="F82" s="180">
        <f>BS!L53</f>
        <v>14</v>
      </c>
      <c r="G82" s="180">
        <f>BS!M53</f>
        <v>16</v>
      </c>
      <c r="H82" s="180">
        <f>BS!N53</f>
        <v>18</v>
      </c>
      <c r="I82" s="180">
        <f>BS!O53</f>
        <v>9</v>
      </c>
      <c r="J82" s="180">
        <f>BS!P53</f>
        <v>0</v>
      </c>
    </row>
    <row r="83" spans="1:10" x14ac:dyDescent="0.3">
      <c r="A83" s="108" t="str">
        <f>BS!B54</f>
        <v>Other Current Liabilities</v>
      </c>
      <c r="B83" s="108" t="s">
        <v>436</v>
      </c>
      <c r="C83" s="180">
        <f>BS!I54</f>
        <v>1.2291000000000001</v>
      </c>
      <c r="D83" s="180">
        <f>BS!J54</f>
        <v>1.2291000000000001</v>
      </c>
      <c r="E83" s="180">
        <f>BS!K54</f>
        <v>1.2291000000000001</v>
      </c>
      <c r="F83" s="180">
        <f>BS!L54</f>
        <v>1.2291000000000001</v>
      </c>
      <c r="G83" s="180">
        <f>BS!M54</f>
        <v>1.2291000000000001</v>
      </c>
      <c r="H83" s="180">
        <f>BS!N54</f>
        <v>1.2291000000000001</v>
      </c>
      <c r="I83" s="180">
        <f>BS!O54</f>
        <v>1.2291000000000001</v>
      </c>
      <c r="J83" s="180">
        <f>BS!P54</f>
        <v>1.2291000000000001</v>
      </c>
    </row>
    <row r="84" spans="1:10" x14ac:dyDescent="0.3">
      <c r="A84" s="108" t="str">
        <f>BS!B55</f>
        <v>Provisions</v>
      </c>
      <c r="B84" s="108" t="s">
        <v>436</v>
      </c>
      <c r="C84" s="180">
        <f>BS!I55</f>
        <v>0.26750000000000002</v>
      </c>
      <c r="D84" s="180">
        <f>BS!J55</f>
        <v>0.26750000000000002</v>
      </c>
      <c r="E84" s="180">
        <f>BS!K55</f>
        <v>0.26750000000000002</v>
      </c>
      <c r="F84" s="180">
        <f>BS!L55</f>
        <v>0.26750000000000002</v>
      </c>
      <c r="G84" s="180">
        <f>BS!M55</f>
        <v>0.26750000000000002</v>
      </c>
      <c r="H84" s="180">
        <f>BS!N55</f>
        <v>0.26750000000000002</v>
      </c>
      <c r="I84" s="180">
        <f>BS!O55</f>
        <v>0.26750000000000002</v>
      </c>
      <c r="J84" s="180">
        <f>BS!P55</f>
        <v>0.26750000000000002</v>
      </c>
    </row>
    <row r="85" spans="1:10" x14ac:dyDescent="0.3">
      <c r="A85" s="108" t="str">
        <f>BS!B56</f>
        <v>Current Tax Liabilities</v>
      </c>
      <c r="B85" s="108" t="s">
        <v>436</v>
      </c>
      <c r="C85" s="180">
        <f>BS!I56</f>
        <v>0</v>
      </c>
      <c r="D85" s="180">
        <f>BS!J56</f>
        <v>0</v>
      </c>
      <c r="E85" s="180">
        <f>BS!K56</f>
        <v>0</v>
      </c>
      <c r="F85" s="180">
        <f>BS!L56</f>
        <v>0</v>
      </c>
      <c r="G85" s="180">
        <f>BS!M56</f>
        <v>0</v>
      </c>
      <c r="H85" s="180">
        <f>BS!N56</f>
        <v>0</v>
      </c>
      <c r="I85" s="180">
        <f>BS!O56</f>
        <v>0</v>
      </c>
      <c r="J85" s="180">
        <f>BS!P56</f>
        <v>0</v>
      </c>
    </row>
    <row r="86" spans="1:10" x14ac:dyDescent="0.3">
      <c r="A86" s="112" t="s">
        <v>472</v>
      </c>
      <c r="B86" s="112" t="s">
        <v>436</v>
      </c>
      <c r="C86" s="113">
        <f>SUM(C77:C85)</f>
        <v>19.375572260997203</v>
      </c>
      <c r="D86" s="113">
        <f t="shared" ref="D86:J86" si="35">SUM(D77:D85)</f>
        <v>29.476630192113074</v>
      </c>
      <c r="E86" s="113">
        <f t="shared" si="35"/>
        <v>41.753109463230878</v>
      </c>
      <c r="F86" s="113">
        <f t="shared" si="35"/>
        <v>68.524830666492676</v>
      </c>
      <c r="G86" s="113">
        <f t="shared" si="35"/>
        <v>69.010879895609122</v>
      </c>
      <c r="H86" s="113">
        <f t="shared" si="35"/>
        <v>72.628551389236378</v>
      </c>
      <c r="I86" s="113">
        <f t="shared" si="35"/>
        <v>66.297166566630153</v>
      </c>
      <c r="J86" s="113">
        <f t="shared" si="35"/>
        <v>60.117391827263482</v>
      </c>
    </row>
    <row r="87" spans="1:10" x14ac:dyDescent="0.3">
      <c r="A87" s="125" t="s">
        <v>473</v>
      </c>
      <c r="B87" s="125" t="s">
        <v>445</v>
      </c>
      <c r="C87" s="126">
        <f t="shared" ref="C87:I87" si="36">IFERROR(C75/C86,0)</f>
        <v>3.1255121709093405</v>
      </c>
      <c r="D87" s="126">
        <f t="shared" si="36"/>
        <v>3.103605601209642</v>
      </c>
      <c r="E87" s="126">
        <f t="shared" si="36"/>
        <v>4.2797355677025388</v>
      </c>
      <c r="F87" s="126">
        <f t="shared" si="36"/>
        <v>5.7502690768593983</v>
      </c>
      <c r="G87" s="126">
        <f t="shared" si="36"/>
        <v>8.9832316401118053</v>
      </c>
      <c r="H87" s="126">
        <f t="shared" si="36"/>
        <v>11.888623991540841</v>
      </c>
      <c r="I87" s="126">
        <f t="shared" si="36"/>
        <v>17.053296522676618</v>
      </c>
      <c r="J87" s="126">
        <f t="shared" ref="J87" si="37">IFERROR(J75/J86,0)</f>
        <v>23.379332919301959</v>
      </c>
    </row>
    <row r="88" spans="1:10" x14ac:dyDescent="0.3">
      <c r="A88" s="88"/>
      <c r="B88" s="88"/>
      <c r="C88" s="88"/>
      <c r="D88" s="88"/>
      <c r="E88" s="88"/>
      <c r="F88" s="88"/>
      <c r="G88" s="88"/>
      <c r="H88" s="88"/>
      <c r="I88" s="88"/>
      <c r="J88" s="88"/>
    </row>
    <row r="89" spans="1:10" x14ac:dyDescent="0.3">
      <c r="A89" s="88"/>
      <c r="B89" s="88"/>
      <c r="C89" s="88"/>
      <c r="D89" s="88"/>
      <c r="E89" s="88"/>
      <c r="F89" s="88"/>
      <c r="G89" s="88"/>
      <c r="H89" s="88"/>
      <c r="I89" s="88"/>
      <c r="J89" s="88"/>
    </row>
    <row r="90" spans="1:10" x14ac:dyDescent="0.3">
      <c r="A90" s="94" t="s">
        <v>474</v>
      </c>
      <c r="B90" s="88"/>
      <c r="C90" s="88"/>
      <c r="D90" s="262"/>
      <c r="E90" s="263"/>
      <c r="F90" s="88"/>
      <c r="G90" s="88"/>
      <c r="H90" s="88"/>
      <c r="I90" s="88"/>
      <c r="J90" s="88"/>
    </row>
    <row r="91" spans="1:10" x14ac:dyDescent="0.3">
      <c r="A91" s="412" t="s">
        <v>329</v>
      </c>
      <c r="B91" s="412" t="s">
        <v>434</v>
      </c>
      <c r="C91" s="413">
        <f>DATE(2024,3,31)</f>
        <v>45382</v>
      </c>
      <c r="D91" s="413">
        <f>EOMONTH(C91,12)</f>
        <v>45747</v>
      </c>
      <c r="E91" s="413">
        <f t="shared" ref="E91:J91" si="38">EOMONTH(D91,12)</f>
        <v>46112</v>
      </c>
      <c r="F91" s="413">
        <f t="shared" si="38"/>
        <v>46477</v>
      </c>
      <c r="G91" s="413">
        <f t="shared" si="38"/>
        <v>46843</v>
      </c>
      <c r="H91" s="413">
        <f t="shared" si="38"/>
        <v>47208</v>
      </c>
      <c r="I91" s="413">
        <f t="shared" si="38"/>
        <v>47573</v>
      </c>
      <c r="J91" s="413">
        <f t="shared" si="38"/>
        <v>47938</v>
      </c>
    </row>
    <row r="92" spans="1:10" x14ac:dyDescent="0.3">
      <c r="A92" s="108" t="s">
        <v>475</v>
      </c>
      <c r="B92" s="108" t="s">
        <v>436</v>
      </c>
      <c r="C92" s="128">
        <f>BS!I12+BS!I13++BS!I14</f>
        <v>117.12184493500001</v>
      </c>
      <c r="D92" s="128">
        <f>BS!J12+BS!J13++BS!J14</f>
        <v>212.79554534499999</v>
      </c>
      <c r="E92" s="128">
        <f>BS!K12+BS!K13++BS!K14</f>
        <v>246.26906554249996</v>
      </c>
      <c r="F92" s="128">
        <f>BS!L12+BS!L13++BS!L14</f>
        <v>232.46401347749995</v>
      </c>
      <c r="G92" s="128">
        <f>BS!M12+BS!M13++BS!M14</f>
        <v>218.67473396249997</v>
      </c>
      <c r="H92" s="128">
        <f>BS!N12+BS!N13++BS!N14</f>
        <v>204.90021119749997</v>
      </c>
      <c r="I92" s="128">
        <f>BS!O12+BS!O13++BS!O14</f>
        <v>191.12568843249997</v>
      </c>
      <c r="J92" s="128">
        <f>BS!P12+BS!P13++BS!P14</f>
        <v>177.35116566749997</v>
      </c>
    </row>
    <row r="93" spans="1:10" x14ac:dyDescent="0.3">
      <c r="A93" s="108" t="s">
        <v>476</v>
      </c>
      <c r="B93" s="108" t="s">
        <v>436</v>
      </c>
      <c r="C93" s="128"/>
      <c r="D93" s="128"/>
      <c r="E93" s="128"/>
      <c r="F93" s="128"/>
      <c r="G93" s="128"/>
      <c r="H93" s="128"/>
      <c r="I93" s="128"/>
      <c r="J93" s="128"/>
    </row>
    <row r="94" spans="1:10" x14ac:dyDescent="0.3">
      <c r="A94" s="112" t="s">
        <v>477</v>
      </c>
      <c r="B94" s="112" t="s">
        <v>436</v>
      </c>
      <c r="C94" s="113">
        <f t="shared" ref="C94:I94" si="39">SUM(C92:C93)</f>
        <v>117.12184493500001</v>
      </c>
      <c r="D94" s="113">
        <f t="shared" si="39"/>
        <v>212.79554534499999</v>
      </c>
      <c r="E94" s="113">
        <f t="shared" si="39"/>
        <v>246.26906554249996</v>
      </c>
      <c r="F94" s="113">
        <f t="shared" si="39"/>
        <v>232.46401347749995</v>
      </c>
      <c r="G94" s="113">
        <f t="shared" si="39"/>
        <v>218.67473396249997</v>
      </c>
      <c r="H94" s="113">
        <f t="shared" si="39"/>
        <v>204.90021119749997</v>
      </c>
      <c r="I94" s="113">
        <f t="shared" si="39"/>
        <v>191.12568843249997</v>
      </c>
      <c r="J94" s="113">
        <f t="shared" ref="J94" si="40">SUM(J92:J93)</f>
        <v>177.35116566749997</v>
      </c>
    </row>
    <row r="95" spans="1:10" x14ac:dyDescent="0.3">
      <c r="A95" s="129"/>
      <c r="B95" s="129"/>
      <c r="C95" s="130"/>
      <c r="D95" s="130"/>
      <c r="E95" s="130"/>
      <c r="F95" s="130"/>
      <c r="G95" s="130"/>
      <c r="H95" s="130"/>
      <c r="I95" s="130"/>
      <c r="J95" s="130"/>
    </row>
    <row r="96" spans="1:10" x14ac:dyDescent="0.3">
      <c r="A96" s="131" t="s">
        <v>478</v>
      </c>
      <c r="B96" s="108" t="s">
        <v>436</v>
      </c>
      <c r="C96" s="128">
        <f>'Debt Sch'!D35</f>
        <v>5</v>
      </c>
      <c r="D96" s="128">
        <f>'Debt Sch'!E35</f>
        <v>55</v>
      </c>
      <c r="E96" s="128">
        <f>'Debt Sch'!F35</f>
        <v>69</v>
      </c>
      <c r="F96" s="128">
        <f>'Debt Sch'!G35</f>
        <v>57</v>
      </c>
      <c r="G96" s="128">
        <f>'Debt Sch'!H35</f>
        <v>43</v>
      </c>
      <c r="H96" s="128">
        <f>'Debt Sch'!I35</f>
        <v>27</v>
      </c>
      <c r="I96" s="128">
        <f>'Debt Sch'!J35</f>
        <v>9</v>
      </c>
      <c r="J96" s="128">
        <f>'Debt Sch'!K35</f>
        <v>0</v>
      </c>
    </row>
    <row r="97" spans="1:10" x14ac:dyDescent="0.3">
      <c r="A97" s="112" t="s">
        <v>479</v>
      </c>
      <c r="B97" s="112" t="s">
        <v>436</v>
      </c>
      <c r="C97" s="113">
        <f>SUM(C96)</f>
        <v>5</v>
      </c>
      <c r="D97" s="113">
        <f t="shared" ref="D97:I97" si="41">SUM(D96)</f>
        <v>55</v>
      </c>
      <c r="E97" s="113">
        <f t="shared" si="41"/>
        <v>69</v>
      </c>
      <c r="F97" s="113">
        <f t="shared" si="41"/>
        <v>57</v>
      </c>
      <c r="G97" s="113">
        <f t="shared" si="41"/>
        <v>43</v>
      </c>
      <c r="H97" s="113">
        <f t="shared" si="41"/>
        <v>27</v>
      </c>
      <c r="I97" s="113">
        <f t="shared" si="41"/>
        <v>9</v>
      </c>
      <c r="J97" s="113">
        <f t="shared" ref="J97" si="42">SUM(J96)</f>
        <v>0</v>
      </c>
    </row>
    <row r="98" spans="1:10" x14ac:dyDescent="0.3">
      <c r="A98" s="125" t="s">
        <v>480</v>
      </c>
      <c r="B98" s="125" t="s">
        <v>445</v>
      </c>
      <c r="C98" s="119">
        <f>IFERROR(C94/C97,0)</f>
        <v>23.424368987000001</v>
      </c>
      <c r="D98" s="119">
        <f>IFERROR(D94/D97,0)</f>
        <v>3.8690099153636361</v>
      </c>
      <c r="E98" s="119">
        <f t="shared" ref="E98:I98" si="43">IFERROR(E94/E97,0)</f>
        <v>3.5691168919202894</v>
      </c>
      <c r="F98" s="119">
        <f t="shared" si="43"/>
        <v>4.078316025921052</v>
      </c>
      <c r="G98" s="119">
        <f t="shared" si="43"/>
        <v>5.0854589293604642</v>
      </c>
      <c r="H98" s="119">
        <f t="shared" si="43"/>
        <v>7.588896711018517</v>
      </c>
      <c r="I98" s="119">
        <f t="shared" si="43"/>
        <v>21.236187603611107</v>
      </c>
      <c r="J98" s="119">
        <f t="shared" ref="J98" si="44">IFERROR(J94/J97,0)</f>
        <v>0</v>
      </c>
    </row>
  </sheetData>
  <printOptions horizontalCentered="1"/>
  <pageMargins left="0.4" right="0.4" top="0.75" bottom="0.5" header="0.3" footer="0.3"/>
  <pageSetup paperSize="9" scale="7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1"/>
  <sheetViews>
    <sheetView zoomScaleNormal="100" zoomScaleSheetLayoutView="102" workbookViewId="0">
      <selection activeCell="I11" sqref="I11"/>
    </sheetView>
  </sheetViews>
  <sheetFormatPr defaultColWidth="8.88671875" defaultRowHeight="13.2" x14ac:dyDescent="0.25"/>
  <cols>
    <col min="1" max="2" width="8.88671875" style="311"/>
    <col min="3" max="3" width="10.6640625" style="311" customWidth="1"/>
    <col min="4" max="5" width="13.44140625" style="311" bestFit="1" customWidth="1"/>
    <col min="6" max="6" width="12.33203125" style="311" bestFit="1" customWidth="1"/>
    <col min="7" max="7" width="10.33203125" style="311" customWidth="1"/>
    <col min="8" max="8" width="9.88671875" style="311" customWidth="1"/>
    <col min="9" max="9" width="10.33203125" style="311" customWidth="1"/>
    <col min="10" max="10" width="11" style="311" customWidth="1"/>
    <col min="11" max="11" width="13.44140625" style="311" bestFit="1" customWidth="1"/>
    <col min="12" max="12" width="9.44140625" style="311" bestFit="1" customWidth="1"/>
    <col min="13" max="16384" width="8.88671875" style="311"/>
  </cols>
  <sheetData>
    <row r="1" spans="1:14" ht="14.4" x14ac:dyDescent="0.3">
      <c r="A1" s="619" t="s">
        <v>415</v>
      </c>
      <c r="B1" s="619"/>
      <c r="C1" s="619"/>
      <c r="D1" s="619"/>
      <c r="E1" s="619"/>
      <c r="F1" s="619"/>
      <c r="G1" s="619"/>
      <c r="H1" s="619"/>
      <c r="I1" s="619"/>
      <c r="J1" s="619"/>
      <c r="K1" s="619"/>
    </row>
    <row r="2" spans="1:14" x14ac:dyDescent="0.25">
      <c r="A2" s="312" t="s">
        <v>747</v>
      </c>
      <c r="B2" s="312"/>
      <c r="C2" s="312"/>
      <c r="D2" s="312"/>
      <c r="E2" s="312"/>
      <c r="F2" s="312"/>
      <c r="G2" s="312"/>
      <c r="H2" s="312"/>
      <c r="I2" s="312"/>
      <c r="J2" s="312"/>
      <c r="K2" s="312"/>
    </row>
    <row r="3" spans="1:14" x14ac:dyDescent="0.25">
      <c r="A3" s="312" t="s">
        <v>10</v>
      </c>
      <c r="B3" s="312"/>
      <c r="C3" s="312"/>
      <c r="D3" s="382">
        <f>'Forecasted Ratio Analysis'!E90</f>
        <v>45747</v>
      </c>
      <c r="E3" s="382">
        <f>'Forecasted Ratio Analysis'!F90</f>
        <v>46112</v>
      </c>
      <c r="F3" s="382">
        <f>'Forecasted Ratio Analysis'!G90</f>
        <v>46477</v>
      </c>
      <c r="G3" s="382">
        <f>'Forecasted Ratio Analysis'!H90</f>
        <v>46843</v>
      </c>
      <c r="H3" s="382">
        <f>'Forecasted Ratio Analysis'!I90</f>
        <v>47208</v>
      </c>
      <c r="I3" s="382">
        <f>'Forecasted Ratio Analysis'!J90</f>
        <v>47573</v>
      </c>
      <c r="J3" s="382">
        <f>'Forecasted Ratio Analysis'!K90</f>
        <v>47938</v>
      </c>
      <c r="K3" s="313"/>
    </row>
    <row r="4" spans="1:14" x14ac:dyDescent="0.25">
      <c r="A4" s="522" t="s">
        <v>539</v>
      </c>
      <c r="B4" s="522"/>
      <c r="C4" s="314"/>
      <c r="D4" s="383">
        <f>'P&amp;L'!J11</f>
        <v>236.00280000000001</v>
      </c>
      <c r="E4" s="383">
        <f>'P&amp;L'!K11</f>
        <v>338.43</v>
      </c>
      <c r="F4" s="383">
        <f>'P&amp;L'!L11</f>
        <v>663.86027999999999</v>
      </c>
      <c r="G4" s="383">
        <f>'P&amp;L'!M11</f>
        <v>740.44805202730254</v>
      </c>
      <c r="H4" s="383">
        <f>'P&amp;L'!N11</f>
        <v>782.03077523278876</v>
      </c>
      <c r="I4" s="383">
        <f>'P&amp;L'!O11</f>
        <v>825.97426220481702</v>
      </c>
      <c r="J4" s="383">
        <f>'P&amp;L'!P11</f>
        <v>872.41379988088897</v>
      </c>
      <c r="K4" s="314"/>
    </row>
    <row r="5" spans="1:14" x14ac:dyDescent="0.25">
      <c r="A5" s="522" t="s">
        <v>497</v>
      </c>
      <c r="B5" s="522"/>
      <c r="C5" s="314"/>
      <c r="D5" s="384">
        <f>Assumptions!H96</f>
        <v>0.85129629629629633</v>
      </c>
      <c r="E5" s="384">
        <f>Assumptions!I96</f>
        <v>0.50462962962962965</v>
      </c>
      <c r="F5" s="384">
        <f>Assumptions!J96</f>
        <v>0.70520370370370367</v>
      </c>
      <c r="G5" s="384">
        <f>Assumptions!K96</f>
        <v>0.74384969570284631</v>
      </c>
      <c r="H5" s="384">
        <f>Assumptions!L96</f>
        <v>0.78468053577147356</v>
      </c>
      <c r="I5" s="384">
        <f>Assumptions!M96</f>
        <v>0.8278231478644491</v>
      </c>
      <c r="J5" s="384">
        <f>Assumptions!N96</f>
        <v>0.87341200181844925</v>
      </c>
      <c r="K5" s="315"/>
    </row>
    <row r="6" spans="1:14" x14ac:dyDescent="0.25">
      <c r="A6" s="316" t="s">
        <v>748</v>
      </c>
      <c r="B6" s="316"/>
      <c r="C6" s="316"/>
      <c r="D6" s="316"/>
      <c r="E6" s="316"/>
      <c r="F6" s="316"/>
      <c r="G6" s="316"/>
      <c r="H6" s="316"/>
      <c r="I6" s="316"/>
      <c r="J6" s="316"/>
      <c r="K6" s="316"/>
    </row>
    <row r="7" spans="1:14" x14ac:dyDescent="0.25">
      <c r="A7" s="523" t="s">
        <v>749</v>
      </c>
      <c r="B7" s="523"/>
      <c r="C7" s="314"/>
      <c r="D7" s="383">
        <f>'P&amp;L'!J20+'P&amp;L'!J21+'P&amp;L'!J23+'P&amp;L'!K25+'P&amp;L'!K27</f>
        <v>144.12445251614761</v>
      </c>
      <c r="E7" s="383">
        <f>'P&amp;L'!K20+'P&amp;L'!K21+'P&amp;L'!K23+'P&amp;L'!L25+'P&amp;L'!L27</f>
        <v>246.94195494999366</v>
      </c>
      <c r="F7" s="383">
        <f>'P&amp;L'!L20+'P&amp;L'!L21+'P&amp;L'!L23+'P&amp;L'!M25+'P&amp;L'!M27</f>
        <v>343.09809148501415</v>
      </c>
      <c r="G7" s="383">
        <f>'P&amp;L'!M20+'P&amp;L'!M21+'P&amp;L'!M23+'P&amp;L'!N25+'P&amp;L'!N27</f>
        <v>349.44127530454671</v>
      </c>
      <c r="H7" s="383">
        <f>'P&amp;L'!N20+'P&amp;L'!N21+'P&amp;L'!N23+'P&amp;L'!O25+'P&amp;L'!O27</f>
        <v>366.11710816032871</v>
      </c>
      <c r="I7" s="383">
        <f>'P&amp;L'!O20+'P&amp;L'!O21+'P&amp;L'!O23+'P&amp;L'!P25+'P&amp;L'!P27</f>
        <v>386.71271955736893</v>
      </c>
      <c r="J7" s="383">
        <f>'P&amp;L'!P20+'P&amp;L'!P21+'P&amp;L'!P23+'P&amp;L'!P25+'P&amp;L'!P27</f>
        <v>396.69982825256528</v>
      </c>
      <c r="K7" s="314"/>
    </row>
    <row r="8" spans="1:14" x14ac:dyDescent="0.25">
      <c r="A8" s="523" t="s">
        <v>750</v>
      </c>
      <c r="B8" s="523"/>
      <c r="C8" s="314"/>
      <c r="D8" s="408">
        <f>D4-D7</f>
        <v>91.878347483852394</v>
      </c>
      <c r="E8" s="408">
        <f t="shared" ref="E8:J8" si="0">E4-E7</f>
        <v>91.488045050006349</v>
      </c>
      <c r="F8" s="408">
        <f t="shared" si="0"/>
        <v>320.76218851498584</v>
      </c>
      <c r="G8" s="408">
        <f t="shared" si="0"/>
        <v>391.00677672275583</v>
      </c>
      <c r="H8" s="408">
        <f t="shared" si="0"/>
        <v>415.91366707246004</v>
      </c>
      <c r="I8" s="408">
        <f t="shared" si="0"/>
        <v>439.2615426474481</v>
      </c>
      <c r="J8" s="408">
        <f t="shared" si="0"/>
        <v>475.71397162832369</v>
      </c>
      <c r="K8" s="314"/>
    </row>
    <row r="9" spans="1:14" ht="14.4" x14ac:dyDescent="0.3">
      <c r="A9" s="523" t="s">
        <v>751</v>
      </c>
      <c r="B9" s="523"/>
      <c r="C9" s="314"/>
      <c r="D9" s="318">
        <f>D8/D4</f>
        <v>0.38931041277413825</v>
      </c>
      <c r="E9" s="318">
        <f t="shared" ref="E9:J9" si="1">E8/E4</f>
        <v>0.27033077756110968</v>
      </c>
      <c r="F9" s="318">
        <f t="shared" si="1"/>
        <v>0.48317725608615392</v>
      </c>
      <c r="G9" s="318">
        <f t="shared" si="1"/>
        <v>0.52806780388199093</v>
      </c>
      <c r="H9" s="318">
        <f t="shared" si="1"/>
        <v>0.53183797907269592</v>
      </c>
      <c r="I9" s="318">
        <f t="shared" si="1"/>
        <v>0.53181020613754226</v>
      </c>
      <c r="J9" s="318">
        <f t="shared" si="1"/>
        <v>0.54528478537738989</v>
      </c>
      <c r="K9" s="318"/>
    </row>
    <row r="10" spans="1:14" x14ac:dyDescent="0.25">
      <c r="A10" s="316" t="s">
        <v>752</v>
      </c>
      <c r="B10" s="316"/>
      <c r="C10" s="316"/>
      <c r="D10" s="316"/>
      <c r="E10" s="316"/>
      <c r="F10" s="316"/>
      <c r="G10" s="316"/>
      <c r="H10" s="316"/>
      <c r="I10" s="316"/>
      <c r="J10" s="316"/>
      <c r="K10" s="316"/>
    </row>
    <row r="11" spans="1:14" x14ac:dyDescent="0.25">
      <c r="A11" s="523" t="s">
        <v>753</v>
      </c>
      <c r="B11" s="523"/>
      <c r="C11" s="314"/>
      <c r="D11" s="383">
        <f>'P&amp;L'!J26+'P&amp;L'!J31+'P&amp;L'!J33</f>
        <v>18.939422238401825</v>
      </c>
      <c r="E11" s="383">
        <f>'P&amp;L'!K26+'P&amp;L'!K31+'P&amp;L'!K33</f>
        <v>32.967764848162098</v>
      </c>
      <c r="F11" s="383">
        <f>'P&amp;L'!L26+'P&amp;L'!L31+'P&amp;L'!L33</f>
        <v>54.300555562716895</v>
      </c>
      <c r="G11" s="383">
        <f>'P&amp;L'!M26+'P&amp;L'!M31+'P&amp;L'!M33</f>
        <v>56.710315449698456</v>
      </c>
      <c r="H11" s="383">
        <f>'P&amp;L'!N26+'P&amp;L'!N31+'P&amp;L'!N33</f>
        <v>57.154003079150847</v>
      </c>
      <c r="I11" s="383">
        <f>'P&amp;L'!O26+'P&amp;L'!O31+'P&amp;L'!O33</f>
        <v>57.508903455149529</v>
      </c>
      <c r="J11" s="383">
        <f>'P&amp;L'!P26+'P&amp;L'!P31+'P&amp;L'!P33</f>
        <v>57.601346092377788</v>
      </c>
      <c r="K11" s="314"/>
    </row>
    <row r="12" spans="1:14" ht="14.4" x14ac:dyDescent="0.3">
      <c r="A12" s="523" t="s">
        <v>754</v>
      </c>
      <c r="B12" s="523"/>
      <c r="C12" s="314" t="s">
        <v>755</v>
      </c>
      <c r="D12" s="319">
        <f>D8/D4</f>
        <v>0.38931041277413825</v>
      </c>
      <c r="E12" s="319">
        <f t="shared" ref="E12:J12" si="2">E8/E4</f>
        <v>0.27033077756110968</v>
      </c>
      <c r="F12" s="319">
        <f t="shared" si="2"/>
        <v>0.48317725608615392</v>
      </c>
      <c r="G12" s="319">
        <f t="shared" si="2"/>
        <v>0.52806780388199093</v>
      </c>
      <c r="H12" s="319">
        <f t="shared" si="2"/>
        <v>0.53183797907269592</v>
      </c>
      <c r="I12" s="319">
        <f t="shared" si="2"/>
        <v>0.53181020613754226</v>
      </c>
      <c r="J12" s="319">
        <f t="shared" si="2"/>
        <v>0.54528478537738989</v>
      </c>
      <c r="K12" s="319"/>
    </row>
    <row r="13" spans="1:14" x14ac:dyDescent="0.25">
      <c r="A13" s="316" t="s">
        <v>756</v>
      </c>
      <c r="B13" s="316"/>
      <c r="C13" s="316"/>
      <c r="D13" s="408">
        <f>D11/D12</f>
        <v>48.648640305929071</v>
      </c>
      <c r="E13" s="408">
        <f t="shared" ref="E13:I13" si="3">E11/E12</f>
        <v>121.95342737365361</v>
      </c>
      <c r="F13" s="408">
        <f t="shared" si="3"/>
        <v>112.3822673330359</v>
      </c>
      <c r="G13" s="408">
        <f t="shared" si="3"/>
        <v>107.39210956018007</v>
      </c>
      <c r="H13" s="408">
        <f t="shared" si="3"/>
        <v>107.46506516665778</v>
      </c>
      <c r="I13" s="408">
        <f t="shared" si="3"/>
        <v>108.13802140584714</v>
      </c>
      <c r="J13" s="408">
        <f>J11/J12</f>
        <v>105.63534438708405</v>
      </c>
      <c r="K13" s="314"/>
    </row>
    <row r="14" spans="1:14" ht="14.4" x14ac:dyDescent="0.3">
      <c r="A14" s="314" t="s">
        <v>757</v>
      </c>
      <c r="B14" s="314"/>
      <c r="C14" s="314"/>
      <c r="D14" s="318">
        <f>D13/D4</f>
        <v>0.20613586070135215</v>
      </c>
      <c r="E14" s="318">
        <f t="shared" ref="E14:J14" si="4">E13/E4</f>
        <v>0.36035052262994893</v>
      </c>
      <c r="F14" s="318">
        <f t="shared" si="4"/>
        <v>0.16928602406071938</v>
      </c>
      <c r="G14" s="318">
        <f t="shared" si="4"/>
        <v>0.14503665620585657</v>
      </c>
      <c r="H14" s="318">
        <f t="shared" si="4"/>
        <v>0.13741794897351506</v>
      </c>
      <c r="I14" s="318">
        <f t="shared" si="4"/>
        <v>0.13092178092473314</v>
      </c>
      <c r="J14" s="318">
        <f t="shared" si="4"/>
        <v>0.12108399064928418</v>
      </c>
      <c r="K14" s="318"/>
    </row>
    <row r="15" spans="1:14" ht="14.4" x14ac:dyDescent="0.3">
      <c r="G15" s="320"/>
      <c r="H15" s="320"/>
      <c r="I15" s="320"/>
      <c r="J15" s="320"/>
      <c r="K15" s="320"/>
      <c r="L15" s="320"/>
      <c r="M15" s="320"/>
      <c r="N15" s="320"/>
    </row>
    <row r="16" spans="1:14" ht="14.4" hidden="1" x14ac:dyDescent="0.3">
      <c r="A16" s="312" t="s">
        <v>862</v>
      </c>
      <c r="B16" s="312"/>
      <c r="C16" s="312"/>
      <c r="D16" s="382">
        <f>D3</f>
        <v>45747</v>
      </c>
      <c r="E16" s="382">
        <f t="shared" ref="E16:J16" si="5">E3</f>
        <v>46112</v>
      </c>
      <c r="F16" s="382">
        <f t="shared" si="5"/>
        <v>46477</v>
      </c>
      <c r="G16" s="382">
        <f t="shared" si="5"/>
        <v>46843</v>
      </c>
      <c r="H16" s="382">
        <f t="shared" si="5"/>
        <v>47208</v>
      </c>
      <c r="I16" s="382">
        <f t="shared" si="5"/>
        <v>47573</v>
      </c>
      <c r="J16" s="382">
        <f t="shared" si="5"/>
        <v>47938</v>
      </c>
      <c r="K16" s="320"/>
      <c r="L16" s="320"/>
      <c r="M16" s="320"/>
      <c r="N16" s="320"/>
    </row>
    <row r="17" spans="1:14" ht="14.4" hidden="1" x14ac:dyDescent="0.3">
      <c r="A17" s="314" t="s">
        <v>863</v>
      </c>
      <c r="D17" s="311">
        <v>12</v>
      </c>
      <c r="E17" s="311">
        <f>D17</f>
        <v>12</v>
      </c>
      <c r="F17" s="311">
        <f t="shared" ref="F17:J17" si="6">E17</f>
        <v>12</v>
      </c>
      <c r="G17" s="311">
        <f t="shared" si="6"/>
        <v>12</v>
      </c>
      <c r="H17" s="311">
        <f t="shared" si="6"/>
        <v>12</v>
      </c>
      <c r="I17" s="311">
        <f t="shared" si="6"/>
        <v>12</v>
      </c>
      <c r="J17" s="311">
        <f t="shared" si="6"/>
        <v>12</v>
      </c>
      <c r="K17" s="320"/>
      <c r="L17" s="320"/>
      <c r="M17" s="320"/>
      <c r="N17" s="320"/>
    </row>
    <row r="18" spans="1:14" ht="14.4" hidden="1" x14ac:dyDescent="0.3">
      <c r="A18" s="314" t="s">
        <v>22</v>
      </c>
      <c r="D18" s="340">
        <f>'P&amp;L'!J32</f>
        <v>105.09555901385237</v>
      </c>
      <c r="E18" s="340">
        <f>'P&amp;L'!K32</f>
        <v>149.20458847303431</v>
      </c>
      <c r="F18" s="340">
        <f>'P&amp;L'!L32</f>
        <v>297.46354132741902</v>
      </c>
      <c r="G18" s="340">
        <f>'P&amp;L'!M32</f>
        <v>355.79591608590908</v>
      </c>
      <c r="H18" s="340">
        <f>'P&amp;L'!N32</f>
        <v>379.52484340339953</v>
      </c>
      <c r="I18" s="340">
        <f>'P&amp;L'!O32</f>
        <v>401.61262837476278</v>
      </c>
      <c r="J18" s="340">
        <f>'P&amp;L'!P32</f>
        <v>424.95485700225862</v>
      </c>
      <c r="K18" s="320"/>
      <c r="L18" s="320"/>
      <c r="M18" s="320"/>
      <c r="N18" s="320"/>
    </row>
    <row r="19" spans="1:14" ht="14.4" hidden="1" x14ac:dyDescent="0.3">
      <c r="A19" s="314" t="s">
        <v>864</v>
      </c>
      <c r="D19" s="340">
        <f>'P&amp;L'!J35</f>
        <v>29.784686237619198</v>
      </c>
      <c r="E19" s="340">
        <f>'P&amp;L'!K35</f>
        <v>41.250104438050791</v>
      </c>
      <c r="F19" s="340">
        <f>'P&amp;L'!L35</f>
        <v>101.39387795137111</v>
      </c>
      <c r="G19" s="340">
        <f>'P&amp;L'!M35</f>
        <v>122.26810648506007</v>
      </c>
      <c r="H19" s="340">
        <f>'P&amp;L'!N35</f>
        <v>131.12627738277433</v>
      </c>
      <c r="I19" s="340">
        <f>'P&amp;L'!O35</f>
        <v>139.48839718015384</v>
      </c>
      <c r="J19" s="340">
        <f>'P&amp;L'!P35</f>
        <v>148.42419399886927</v>
      </c>
      <c r="K19" s="320"/>
      <c r="L19" s="320"/>
      <c r="M19" s="320"/>
      <c r="N19" s="320"/>
    </row>
    <row r="20" spans="1:14" ht="14.4" hidden="1" x14ac:dyDescent="0.3">
      <c r="A20" s="314" t="s">
        <v>865</v>
      </c>
      <c r="D20" s="340">
        <f>'P&amp;L'!J31</f>
        <v>4.3262995899999996</v>
      </c>
      <c r="E20" s="340">
        <f>'P&amp;L'!K31</f>
        <v>8.4972548024999988</v>
      </c>
      <c r="F20" s="340">
        <f>'P&amp;L'!L31</f>
        <v>13.805052064999996</v>
      </c>
      <c r="G20" s="340">
        <f>'P&amp;L'!M31</f>
        <v>13.789279514999997</v>
      </c>
      <c r="H20" s="340">
        <f>'P&amp;L'!N31</f>
        <v>13.774522764999997</v>
      </c>
      <c r="I20" s="340">
        <f>'P&amp;L'!O31</f>
        <v>13.774522764999997</v>
      </c>
      <c r="J20" s="340">
        <f>'P&amp;L'!P31</f>
        <v>13.774522764999997</v>
      </c>
      <c r="K20" s="320"/>
      <c r="L20" s="320"/>
      <c r="M20" s="320"/>
      <c r="N20" s="320"/>
    </row>
    <row r="21" spans="1:14" ht="14.4" hidden="1" x14ac:dyDescent="0.3">
      <c r="A21" s="314" t="s">
        <v>866</v>
      </c>
      <c r="D21" s="340">
        <f>D18-D19+D20</f>
        <v>79.637172366233173</v>
      </c>
      <c r="E21" s="340">
        <f t="shared" ref="E21:J21" si="7">E18-E19+E20</f>
        <v>116.45173883748352</v>
      </c>
      <c r="F21" s="340">
        <f t="shared" si="7"/>
        <v>209.8747154410479</v>
      </c>
      <c r="G21" s="340">
        <f t="shared" si="7"/>
        <v>247.31708911584903</v>
      </c>
      <c r="H21" s="340">
        <f t="shared" si="7"/>
        <v>262.17308878562517</v>
      </c>
      <c r="I21" s="340">
        <f t="shared" si="7"/>
        <v>275.89875395960888</v>
      </c>
      <c r="J21" s="340">
        <f t="shared" si="7"/>
        <v>290.30518576838932</v>
      </c>
      <c r="K21" s="320"/>
      <c r="L21" s="320"/>
      <c r="M21" s="320"/>
      <c r="N21" s="320"/>
    </row>
    <row r="22" spans="1:14" ht="14.4" hidden="1" x14ac:dyDescent="0.3">
      <c r="A22" s="314" t="s">
        <v>867</v>
      </c>
      <c r="D22" s="340">
        <f>WC!J25</f>
        <v>0</v>
      </c>
      <c r="E22" s="340">
        <f>WC!K25</f>
        <v>0</v>
      </c>
      <c r="F22" s="340">
        <f>WC!L25</f>
        <v>0</v>
      </c>
      <c r="G22" s="340">
        <f>WC!M25</f>
        <v>0</v>
      </c>
      <c r="H22" s="340">
        <f>WC!N25</f>
        <v>0</v>
      </c>
      <c r="I22" s="340">
        <f>WC!O25</f>
        <v>0</v>
      </c>
      <c r="J22" s="340">
        <f>WC!P25</f>
        <v>0</v>
      </c>
      <c r="K22" s="320"/>
      <c r="L22" s="320"/>
      <c r="M22" s="320"/>
      <c r="N22" s="320"/>
    </row>
    <row r="23" spans="1:14" hidden="1" x14ac:dyDescent="0.25">
      <c r="A23" s="314" t="s">
        <v>868</v>
      </c>
      <c r="D23" s="499">
        <f>'Capex Assumption'!E3+10</f>
        <v>110</v>
      </c>
      <c r="E23" s="499">
        <f>'Capex Assumption'!F3</f>
        <v>41.97</v>
      </c>
      <c r="F23" s="499">
        <f>'Capex Assumption'!G3</f>
        <v>0</v>
      </c>
      <c r="G23" s="499">
        <f>'Capex Assumption'!H3</f>
        <v>0</v>
      </c>
      <c r="H23" s="499">
        <f>'Capex Assumption'!I3</f>
        <v>0</v>
      </c>
      <c r="I23" s="499">
        <f>'Capex Assumption'!J3</f>
        <v>0</v>
      </c>
      <c r="J23" s="499">
        <f>'Capex Assumption'!K3</f>
        <v>0</v>
      </c>
    </row>
    <row r="24" spans="1:14" hidden="1" x14ac:dyDescent="0.25">
      <c r="A24" s="314" t="s">
        <v>869</v>
      </c>
      <c r="D24" s="340">
        <f>D21-D22-D23</f>
        <v>-30.362827633766827</v>
      </c>
      <c r="E24" s="340">
        <f t="shared" ref="E24:J24" si="8">E21-E22-E23</f>
        <v>74.481738837483519</v>
      </c>
      <c r="F24" s="340">
        <f t="shared" si="8"/>
        <v>209.8747154410479</v>
      </c>
      <c r="G24" s="340">
        <f t="shared" si="8"/>
        <v>247.31708911584903</v>
      </c>
      <c r="H24" s="340">
        <f t="shared" si="8"/>
        <v>262.17308878562517</v>
      </c>
      <c r="I24" s="340">
        <f t="shared" si="8"/>
        <v>275.89875395960888</v>
      </c>
      <c r="J24" s="340">
        <f t="shared" si="8"/>
        <v>290.30518576838932</v>
      </c>
    </row>
    <row r="25" spans="1:14" hidden="1" x14ac:dyDescent="0.25">
      <c r="A25" s="314" t="s">
        <v>870</v>
      </c>
      <c r="D25" s="500">
        <f>IRR(D24:J24)</f>
        <v>3.5083655316177467</v>
      </c>
    </row>
    <row r="28" spans="1:14" ht="15.6" x14ac:dyDescent="0.25">
      <c r="A28" s="620" t="s">
        <v>836</v>
      </c>
      <c r="B28" s="621"/>
      <c r="C28" s="621"/>
      <c r="D28" s="621"/>
      <c r="E28" s="621"/>
      <c r="F28" s="621"/>
      <c r="G28" s="621"/>
      <c r="H28" s="621"/>
      <c r="I28" s="621"/>
      <c r="J28" s="621"/>
      <c r="K28" s="621"/>
      <c r="L28" s="321"/>
    </row>
    <row r="29" spans="1:14" x14ac:dyDescent="0.25">
      <c r="A29" s="518" t="s">
        <v>758</v>
      </c>
      <c r="B29" s="519"/>
      <c r="C29" s="520"/>
      <c r="D29" s="521">
        <v>2025</v>
      </c>
      <c r="E29" s="521">
        <v>2026</v>
      </c>
      <c r="F29" s="521">
        <v>2027</v>
      </c>
      <c r="G29" s="521">
        <v>2028</v>
      </c>
      <c r="H29" s="521">
        <v>2029</v>
      </c>
      <c r="I29" s="521">
        <v>2030</v>
      </c>
      <c r="J29" s="521">
        <v>2031</v>
      </c>
      <c r="K29" s="521"/>
    </row>
    <row r="30" spans="1:14" x14ac:dyDescent="0.25">
      <c r="A30" s="323"/>
      <c r="B30" s="323"/>
      <c r="C30" s="323"/>
      <c r="D30" s="440">
        <v>0.05</v>
      </c>
      <c r="E30" s="325"/>
      <c r="F30" s="324"/>
      <c r="G30" s="324"/>
      <c r="H30" s="324"/>
      <c r="I30" s="324"/>
      <c r="J30" s="323"/>
      <c r="K30" s="314"/>
    </row>
    <row r="31" spans="1:14" x14ac:dyDescent="0.25">
      <c r="A31" s="326" t="s">
        <v>759</v>
      </c>
      <c r="B31" s="323"/>
      <c r="C31" s="323"/>
      <c r="D31" s="324"/>
      <c r="E31" s="325"/>
      <c r="F31" s="324"/>
      <c r="G31" s="324"/>
      <c r="H31" s="324"/>
      <c r="I31" s="324"/>
      <c r="J31" s="323"/>
      <c r="K31" s="314"/>
    </row>
    <row r="32" spans="1:14" x14ac:dyDescent="0.25">
      <c r="A32" s="323" t="s">
        <v>466</v>
      </c>
      <c r="B32" s="323"/>
      <c r="C32" s="323"/>
      <c r="D32" s="327">
        <f>'P&amp;L'!J17*(1-$D$30)</f>
        <v>228.72572696400002</v>
      </c>
      <c r="E32" s="327">
        <f>'P&amp;L'!K17*(1-$D$30)</f>
        <v>326.28892947425157</v>
      </c>
      <c r="F32" s="327">
        <f>'P&amp;L'!L17*(1-$D$30)</f>
        <v>635.71970191133641</v>
      </c>
      <c r="G32" s="327">
        <f>'P&amp;L'!M17*(1-$D$30)</f>
        <v>708.76556894062901</v>
      </c>
      <c r="H32" s="327">
        <f>'P&amp;L'!N17*(1-$D$30)</f>
        <v>748.5729974062267</v>
      </c>
      <c r="I32" s="327">
        <f>'P&amp;L'!O17*(1-$D$30)</f>
        <v>790.64044002685944</v>
      </c>
      <c r="J32" s="327">
        <f>'P&amp;L'!P17*(1-$D$30)</f>
        <v>835.09740311317489</v>
      </c>
      <c r="K32" s="327"/>
    </row>
    <row r="33" spans="1:12" x14ac:dyDescent="0.25">
      <c r="A33" s="323"/>
      <c r="B33" s="323"/>
      <c r="C33" s="323"/>
      <c r="D33" s="324"/>
      <c r="E33" s="325"/>
      <c r="F33" s="324"/>
      <c r="G33" s="324"/>
      <c r="H33" s="324"/>
      <c r="I33" s="324"/>
      <c r="J33" s="323"/>
      <c r="K33" s="324"/>
    </row>
    <row r="34" spans="1:12" x14ac:dyDescent="0.25">
      <c r="A34" s="326" t="s">
        <v>760</v>
      </c>
      <c r="B34" s="323"/>
      <c r="C34" s="323"/>
      <c r="D34" s="324"/>
      <c r="E34" s="325"/>
      <c r="F34" s="324"/>
      <c r="G34" s="324"/>
      <c r="H34" s="324"/>
      <c r="I34" s="324"/>
      <c r="J34" s="323"/>
      <c r="K34" s="324"/>
    </row>
    <row r="35" spans="1:12" x14ac:dyDescent="0.25">
      <c r="A35" s="323" t="s">
        <v>467</v>
      </c>
      <c r="B35" s="323"/>
      <c r="C35" s="323"/>
      <c r="D35" s="324">
        <f>'P&amp;L'!J28</f>
        <v>131.34206451614764</v>
      </c>
      <c r="E35" s="324">
        <f>'P&amp;L'!K28</f>
        <v>185.76018774999369</v>
      </c>
      <c r="F35" s="324">
        <f>'P&amp;L'!L28</f>
        <v>357.9100401984615</v>
      </c>
      <c r="G35" s="324">
        <f>'P&amp;L'!M28</f>
        <v>376.48382433659515</v>
      </c>
      <c r="H35" s="324">
        <f>'P&amp;L'!N28</f>
        <v>394.67221004868134</v>
      </c>
      <c r="I35" s="324">
        <f>'P&amp;L'!O28</f>
        <v>416.86594362535254</v>
      </c>
      <c r="J35" s="324">
        <f>'P&amp;L'!P28</f>
        <v>440.32051824660971</v>
      </c>
      <c r="K35" s="324"/>
    </row>
    <row r="36" spans="1:12" x14ac:dyDescent="0.25">
      <c r="A36" s="323" t="s">
        <v>761</v>
      </c>
      <c r="B36" s="323"/>
      <c r="C36" s="323"/>
      <c r="D36" s="324">
        <f>'P&amp;L'!J33</f>
        <v>2.8129826484018263</v>
      </c>
      <c r="E36" s="324">
        <f>'P&amp;L'!K33</f>
        <v>7.5490100456620999</v>
      </c>
      <c r="F36" s="324">
        <f>'P&amp;L'!L33</f>
        <v>7.3024894977168948</v>
      </c>
      <c r="G36" s="324">
        <f>'P&amp;L'!M33</f>
        <v>5.8986333333333327</v>
      </c>
      <c r="H36" s="324">
        <f>'P&amp;L'!N33</f>
        <v>4.2779415525114155</v>
      </c>
      <c r="I36" s="324">
        <f>'P&amp;L'!O33</f>
        <v>2.4356675799086758</v>
      </c>
      <c r="J36" s="324">
        <f>'P&amp;L'!P33</f>
        <v>0.20613333333333334</v>
      </c>
      <c r="K36" s="324"/>
    </row>
    <row r="37" spans="1:12" x14ac:dyDescent="0.25">
      <c r="A37" s="323" t="s">
        <v>21</v>
      </c>
      <c r="B37" s="323"/>
      <c r="C37" s="323"/>
      <c r="D37" s="324">
        <f>'P&amp;L'!J31</f>
        <v>4.3262995899999996</v>
      </c>
      <c r="E37" s="324">
        <f>'P&amp;L'!K31</f>
        <v>8.4972548024999988</v>
      </c>
      <c r="F37" s="324">
        <f>'P&amp;L'!L31</f>
        <v>13.805052064999996</v>
      </c>
      <c r="G37" s="324">
        <f>'P&amp;L'!M31</f>
        <v>13.789279514999997</v>
      </c>
      <c r="H37" s="324">
        <f>'P&amp;L'!N31</f>
        <v>13.774522764999997</v>
      </c>
      <c r="I37" s="324">
        <f>'P&amp;L'!O31</f>
        <v>13.774522764999997</v>
      </c>
      <c r="J37" s="324">
        <f>'P&amp;L'!P31</f>
        <v>13.774522764999997</v>
      </c>
      <c r="K37" s="324"/>
    </row>
    <row r="38" spans="1:12" x14ac:dyDescent="0.25">
      <c r="A38" s="326" t="s">
        <v>762</v>
      </c>
      <c r="B38" s="323"/>
      <c r="C38" s="323"/>
      <c r="D38" s="327">
        <f t="shared" ref="D38:J38" si="9">SUM(D35:D37)</f>
        <v>138.48134675454946</v>
      </c>
      <c r="E38" s="327">
        <f t="shared" si="9"/>
        <v>201.8064525981558</v>
      </c>
      <c r="F38" s="327">
        <f t="shared" si="9"/>
        <v>379.01758176117841</v>
      </c>
      <c r="G38" s="327">
        <f t="shared" si="9"/>
        <v>396.17173718492847</v>
      </c>
      <c r="H38" s="327">
        <f t="shared" si="9"/>
        <v>412.72467436619274</v>
      </c>
      <c r="I38" s="327">
        <f t="shared" si="9"/>
        <v>433.0761339702612</v>
      </c>
      <c r="J38" s="327">
        <f t="shared" si="9"/>
        <v>454.30117434494304</v>
      </c>
      <c r="K38" s="327"/>
    </row>
    <row r="39" spans="1:12" x14ac:dyDescent="0.25">
      <c r="A39" s="323"/>
      <c r="B39" s="323"/>
      <c r="C39" s="323"/>
      <c r="D39" s="323"/>
      <c r="E39" s="324"/>
      <c r="F39" s="324"/>
      <c r="G39" s="324"/>
      <c r="H39" s="324"/>
      <c r="I39" s="324"/>
      <c r="J39" s="324"/>
      <c r="K39" s="323"/>
      <c r="L39" s="321"/>
    </row>
    <row r="40" spans="1:12" x14ac:dyDescent="0.25">
      <c r="A40" s="323"/>
      <c r="B40" s="323"/>
      <c r="C40" s="323"/>
      <c r="D40" s="323"/>
      <c r="E40" s="324"/>
      <c r="F40" s="324"/>
      <c r="G40" s="324"/>
      <c r="H40" s="324"/>
      <c r="I40" s="324"/>
      <c r="J40" s="324"/>
      <c r="K40" s="323"/>
      <c r="L40" s="321"/>
    </row>
    <row r="41" spans="1:12" x14ac:dyDescent="0.25">
      <c r="A41" s="323"/>
      <c r="B41" s="323"/>
      <c r="C41" s="323"/>
      <c r="D41" s="323"/>
      <c r="E41" s="324"/>
      <c r="F41" s="324"/>
      <c r="G41" s="324"/>
      <c r="H41" s="325"/>
      <c r="I41" s="324"/>
      <c r="J41" s="324"/>
      <c r="K41" s="323"/>
    </row>
    <row r="42" spans="1:12" x14ac:dyDescent="0.25">
      <c r="A42" s="323" t="s">
        <v>763</v>
      </c>
      <c r="B42" s="323"/>
      <c r="C42" s="323"/>
      <c r="D42" s="324">
        <f t="shared" ref="D42:J42" si="10">D32-D38</f>
        <v>90.244380209450554</v>
      </c>
      <c r="E42" s="324">
        <f t="shared" si="10"/>
        <v>124.48247687609577</v>
      </c>
      <c r="F42" s="324">
        <f t="shared" si="10"/>
        <v>256.70212015015801</v>
      </c>
      <c r="G42" s="324">
        <f t="shared" si="10"/>
        <v>312.59383175570053</v>
      </c>
      <c r="H42" s="324">
        <f t="shared" si="10"/>
        <v>335.84832304003396</v>
      </c>
      <c r="I42" s="324">
        <f t="shared" si="10"/>
        <v>357.56430605659824</v>
      </c>
      <c r="J42" s="324">
        <f t="shared" si="10"/>
        <v>380.79622876823186</v>
      </c>
      <c r="K42" s="324"/>
    </row>
    <row r="43" spans="1:12" x14ac:dyDescent="0.25">
      <c r="A43" s="323" t="s">
        <v>837</v>
      </c>
      <c r="B43" s="323"/>
      <c r="C43" s="323"/>
      <c r="D43" s="441">
        <f>Assumptions!H195</f>
        <v>0.29120000000000001</v>
      </c>
      <c r="E43" s="441">
        <f>Assumptions!I195</f>
        <v>0.29120000000000001</v>
      </c>
      <c r="F43" s="441">
        <f>Assumptions!J195</f>
        <v>0.34944000000000003</v>
      </c>
      <c r="G43" s="441">
        <f>Assumptions!K195</f>
        <v>0.34944000000000003</v>
      </c>
      <c r="H43" s="441">
        <f>Assumptions!L195</f>
        <v>0.34944000000000003</v>
      </c>
      <c r="I43" s="441">
        <f>Assumptions!M195</f>
        <v>0.34944000000000003</v>
      </c>
      <c r="J43" s="441">
        <f>Assumptions!N195</f>
        <v>0.34944000000000003</v>
      </c>
      <c r="K43" s="324"/>
    </row>
    <row r="44" spans="1:12" x14ac:dyDescent="0.25">
      <c r="A44" s="323" t="s">
        <v>764</v>
      </c>
      <c r="B44" s="323"/>
      <c r="C44" s="323"/>
      <c r="D44" s="324">
        <f>D42*D43</f>
        <v>26.279163516992003</v>
      </c>
      <c r="E44" s="324">
        <f t="shared" ref="E44:J44" si="11">E42*E43</f>
        <v>36.24929726631909</v>
      </c>
      <c r="F44" s="324">
        <f t="shared" si="11"/>
        <v>89.701988865271218</v>
      </c>
      <c r="G44" s="324">
        <f t="shared" si="11"/>
        <v>109.23278856871201</v>
      </c>
      <c r="H44" s="324">
        <f t="shared" si="11"/>
        <v>117.35883800310948</v>
      </c>
      <c r="I44" s="324">
        <f t="shared" si="11"/>
        <v>124.9472711084177</v>
      </c>
      <c r="J44" s="324">
        <f t="shared" si="11"/>
        <v>133.06543418077095</v>
      </c>
      <c r="K44" s="324"/>
    </row>
    <row r="45" spans="1:12" x14ac:dyDescent="0.25">
      <c r="A45" s="323" t="s">
        <v>765</v>
      </c>
      <c r="B45" s="323"/>
      <c r="C45" s="323"/>
      <c r="D45" s="324">
        <f t="shared" ref="D45:J45" si="12">D42-D44</f>
        <v>63.965216692458554</v>
      </c>
      <c r="E45" s="324">
        <f t="shared" si="12"/>
        <v>88.233179609776684</v>
      </c>
      <c r="F45" s="324">
        <f t="shared" si="12"/>
        <v>167.00013128488678</v>
      </c>
      <c r="G45" s="324">
        <f t="shared" si="12"/>
        <v>203.36104318698852</v>
      </c>
      <c r="H45" s="324">
        <f t="shared" si="12"/>
        <v>218.48948503692446</v>
      </c>
      <c r="I45" s="324">
        <f t="shared" si="12"/>
        <v>232.61703494818056</v>
      </c>
      <c r="J45" s="324">
        <f t="shared" si="12"/>
        <v>247.73079458746091</v>
      </c>
      <c r="K45" s="324"/>
    </row>
    <row r="46" spans="1:12" x14ac:dyDescent="0.25">
      <c r="A46" s="323" t="s">
        <v>766</v>
      </c>
      <c r="B46" s="323"/>
      <c r="C46" s="323"/>
      <c r="D46" s="324">
        <f>D45+D37</f>
        <v>68.291516282458559</v>
      </c>
      <c r="E46" s="324">
        <f t="shared" ref="E46:J46" si="13">E45+E37</f>
        <v>96.730434412276679</v>
      </c>
      <c r="F46" s="324">
        <f t="shared" si="13"/>
        <v>180.80518334988676</v>
      </c>
      <c r="G46" s="324">
        <f t="shared" si="13"/>
        <v>217.15032270198853</v>
      </c>
      <c r="H46" s="324">
        <f t="shared" si="13"/>
        <v>232.26400780192446</v>
      </c>
      <c r="I46" s="324">
        <f t="shared" si="13"/>
        <v>246.39155771318056</v>
      </c>
      <c r="J46" s="324">
        <f t="shared" si="13"/>
        <v>261.50531735246091</v>
      </c>
      <c r="K46" s="324"/>
      <c r="L46" s="328">
        <f>SUM(D46:K46)</f>
        <v>1303.1383396141764</v>
      </c>
    </row>
    <row r="47" spans="1:12" x14ac:dyDescent="0.25">
      <c r="A47" s="323" t="s">
        <v>767</v>
      </c>
      <c r="B47" s="323"/>
      <c r="C47" s="323"/>
      <c r="D47" s="324">
        <f>'Debt Sch'!E36</f>
        <v>2.606849315068493</v>
      </c>
      <c r="E47" s="324">
        <f>'Debt Sch'!F36</f>
        <v>7.342876712328767</v>
      </c>
      <c r="F47" s="324">
        <f>'Debt Sch'!G36</f>
        <v>7.096356164383562</v>
      </c>
      <c r="G47" s="324">
        <f>'Debt Sch'!H36</f>
        <v>5.6924999999999999</v>
      </c>
      <c r="H47" s="324">
        <f>'Debt Sch'!I36</f>
        <v>4.0718082191780827</v>
      </c>
      <c r="I47" s="324">
        <f>'Debt Sch'!J36</f>
        <v>2.2295342465753425</v>
      </c>
      <c r="J47" s="324">
        <f>'Debt Sch'!K36</f>
        <v>0.37158904109589036</v>
      </c>
      <c r="K47" s="324"/>
      <c r="L47" s="328">
        <f>SUM(D47:K47)</f>
        <v>29.411513698630134</v>
      </c>
    </row>
    <row r="48" spans="1:12" x14ac:dyDescent="0.25">
      <c r="A48" s="323" t="s">
        <v>768</v>
      </c>
      <c r="B48" s="323"/>
      <c r="C48" s="323"/>
      <c r="D48" s="324">
        <f>'Debt Sch'!E34</f>
        <v>0</v>
      </c>
      <c r="E48" s="324">
        <f>'Debt Sch'!F34</f>
        <v>6</v>
      </c>
      <c r="F48" s="324">
        <f>'Debt Sch'!G34</f>
        <v>12</v>
      </c>
      <c r="G48" s="324">
        <f>'Debt Sch'!H34</f>
        <v>14</v>
      </c>
      <c r="H48" s="324">
        <f>'Debt Sch'!I34</f>
        <v>16</v>
      </c>
      <c r="I48" s="324">
        <f>'Debt Sch'!J34</f>
        <v>18</v>
      </c>
      <c r="J48" s="324">
        <f>'Debt Sch'!K34</f>
        <v>9</v>
      </c>
      <c r="K48" s="324"/>
      <c r="L48" s="328">
        <f>SUM(D48:K48)</f>
        <v>75</v>
      </c>
    </row>
    <row r="49" spans="1:20" x14ac:dyDescent="0.25">
      <c r="A49" s="326" t="s">
        <v>532</v>
      </c>
      <c r="B49" s="326"/>
      <c r="C49" s="326"/>
      <c r="D49" s="327">
        <f>(D46+D47)/(D47+D48)</f>
        <v>27.196955799366656</v>
      </c>
      <c r="E49" s="327">
        <f t="shared" ref="E49:J49" si="14">(E46+E47)/(E47+E48)</f>
        <v>7.7999155181012885</v>
      </c>
      <c r="F49" s="327">
        <f t="shared" si="14"/>
        <v>9.8396541149941346</v>
      </c>
      <c r="G49" s="327">
        <f t="shared" si="14"/>
        <v>11.31612658128671</v>
      </c>
      <c r="H49" s="327">
        <f t="shared" si="14"/>
        <v>11.77451545174141</v>
      </c>
      <c r="I49" s="327">
        <f t="shared" si="14"/>
        <v>12.290005737618255</v>
      </c>
      <c r="J49" s="327">
        <f t="shared" si="14"/>
        <v>27.943703596603036</v>
      </c>
      <c r="K49" s="327"/>
    </row>
    <row r="50" spans="1:20" x14ac:dyDescent="0.25">
      <c r="A50" s="322" t="s">
        <v>447</v>
      </c>
      <c r="B50" s="317"/>
      <c r="C50" s="317"/>
      <c r="D50" s="329">
        <f>+(L46+L47)/(L47+L48)</f>
        <v>12.762479980503237</v>
      </c>
      <c r="E50" s="324"/>
      <c r="F50" s="324"/>
      <c r="G50" s="325"/>
      <c r="H50" s="324"/>
      <c r="I50" s="324"/>
      <c r="J50" s="324"/>
      <c r="K50" s="324"/>
    </row>
    <row r="51" spans="1:20" x14ac:dyDescent="0.25">
      <c r="A51" s="330"/>
      <c r="B51" s="321"/>
      <c r="C51" s="321"/>
      <c r="D51" s="321"/>
      <c r="E51" s="331"/>
      <c r="F51" s="331"/>
      <c r="G51" s="331"/>
      <c r="H51" s="332"/>
      <c r="I51" s="331"/>
      <c r="J51" s="331"/>
      <c r="K51" s="321"/>
      <c r="M51" s="328"/>
      <c r="N51" s="328"/>
      <c r="O51" s="328"/>
      <c r="P51" s="328"/>
      <c r="Q51" s="328"/>
      <c r="R51" s="328"/>
      <c r="S51" s="328"/>
      <c r="T51" s="328"/>
    </row>
    <row r="52" spans="1:20" x14ac:dyDescent="0.25">
      <c r="D52" s="328"/>
      <c r="E52" s="328"/>
      <c r="F52" s="328"/>
      <c r="G52" s="328"/>
      <c r="H52" s="328"/>
      <c r="I52" s="328"/>
      <c r="J52" s="328"/>
      <c r="K52" s="328"/>
    </row>
    <row r="53" spans="1:20" ht="15.6" x14ac:dyDescent="0.25">
      <c r="A53" s="620" t="s">
        <v>860</v>
      </c>
      <c r="B53" s="621"/>
      <c r="C53" s="621"/>
      <c r="D53" s="621"/>
      <c r="E53" s="621"/>
      <c r="F53" s="621"/>
      <c r="G53" s="621"/>
      <c r="H53" s="621"/>
      <c r="I53" s="621"/>
      <c r="J53" s="621"/>
      <c r="K53" s="621"/>
    </row>
    <row r="54" spans="1:20" x14ac:dyDescent="0.25">
      <c r="A54" s="333" t="s">
        <v>758</v>
      </c>
      <c r="B54" s="334"/>
      <c r="C54" s="335"/>
      <c r="D54" s="336">
        <v>2026</v>
      </c>
      <c r="E54" s="336">
        <v>2027</v>
      </c>
      <c r="F54" s="336">
        <v>2028</v>
      </c>
      <c r="G54" s="336">
        <v>2029</v>
      </c>
      <c r="H54" s="336">
        <v>2030</v>
      </c>
      <c r="I54" s="336">
        <v>2031</v>
      </c>
      <c r="J54" s="336">
        <v>2032</v>
      </c>
      <c r="K54" s="336"/>
    </row>
    <row r="55" spans="1:20" x14ac:dyDescent="0.25">
      <c r="A55" s="330"/>
      <c r="B55" s="321"/>
      <c r="C55" s="442">
        <v>0.05</v>
      </c>
      <c r="D55" s="331"/>
      <c r="E55" s="332"/>
      <c r="F55" s="331"/>
      <c r="G55" s="331"/>
      <c r="H55" s="331"/>
      <c r="I55" s="331"/>
      <c r="J55" s="321"/>
    </row>
    <row r="56" spans="1:20" x14ac:dyDescent="0.25">
      <c r="A56" s="326" t="s">
        <v>759</v>
      </c>
      <c r="B56" s="321"/>
      <c r="C56" s="321"/>
      <c r="D56" s="331"/>
      <c r="E56" s="332"/>
      <c r="F56" s="331"/>
      <c r="G56" s="331"/>
      <c r="H56" s="331"/>
      <c r="I56" s="331"/>
      <c r="J56" s="321"/>
    </row>
    <row r="57" spans="1:20" x14ac:dyDescent="0.25">
      <c r="A57" s="323" t="s">
        <v>466</v>
      </c>
      <c r="B57" s="323"/>
      <c r="C57" s="323"/>
      <c r="D57" s="327">
        <f>'P&amp;L'!J17</f>
        <v>240.76392312000002</v>
      </c>
      <c r="E57" s="327">
        <f>'P&amp;L'!K17</f>
        <v>343.46203102552801</v>
      </c>
      <c r="F57" s="327">
        <f>'P&amp;L'!L17</f>
        <v>669.17863359088051</v>
      </c>
      <c r="G57" s="327">
        <f>'P&amp;L'!M17</f>
        <v>746.06901993750421</v>
      </c>
      <c r="H57" s="327">
        <f>'P&amp;L'!N17</f>
        <v>787.97157621708084</v>
      </c>
      <c r="I57" s="327">
        <f>'P&amp;L'!O17</f>
        <v>832.25309476511529</v>
      </c>
      <c r="J57" s="327">
        <f>'P&amp;L'!P17</f>
        <v>879.0498980138683</v>
      </c>
      <c r="K57" s="327"/>
    </row>
    <row r="58" spans="1:20" x14ac:dyDescent="0.25">
      <c r="A58" s="321"/>
      <c r="B58" s="321"/>
      <c r="C58" s="321"/>
      <c r="D58" s="331"/>
      <c r="E58" s="332"/>
      <c r="F58" s="331"/>
      <c r="G58" s="331"/>
      <c r="H58" s="331"/>
      <c r="I58" s="331"/>
      <c r="J58" s="321"/>
      <c r="K58" s="331"/>
    </row>
    <row r="59" spans="1:20" x14ac:dyDescent="0.25">
      <c r="A59" s="326" t="s">
        <v>760</v>
      </c>
      <c r="B59" s="323"/>
      <c r="C59" s="321"/>
      <c r="D59" s="331"/>
      <c r="E59" s="332"/>
      <c r="F59" s="331"/>
      <c r="G59" s="331"/>
      <c r="H59" s="331"/>
      <c r="I59" s="331"/>
      <c r="J59" s="321"/>
      <c r="K59" s="331"/>
    </row>
    <row r="60" spans="1:20" x14ac:dyDescent="0.25">
      <c r="A60" s="323" t="s">
        <v>467</v>
      </c>
      <c r="B60" s="323"/>
      <c r="C60" s="323"/>
      <c r="D60" s="324">
        <f>'P&amp;L'!J28*(1+$C$55)</f>
        <v>137.90916774195503</v>
      </c>
      <c r="E60" s="324">
        <f>'P&amp;L'!K28*(1+$C$55)</f>
        <v>195.04819713749339</v>
      </c>
      <c r="F60" s="324">
        <f>'P&amp;L'!L28*(1+$C$55)</f>
        <v>375.80554220838457</v>
      </c>
      <c r="G60" s="324">
        <f>'P&amp;L'!M28*(1+$C$55)</f>
        <v>395.30801555342492</v>
      </c>
      <c r="H60" s="324">
        <f>'P&amp;L'!N28*(1+$C$55)</f>
        <v>414.40582055111543</v>
      </c>
      <c r="I60" s="324">
        <f>'P&amp;L'!O28*(1+$C$55)</f>
        <v>437.70924080662019</v>
      </c>
      <c r="J60" s="324">
        <f>'P&amp;L'!P28*(1+$C$55)</f>
        <v>462.33654415894023</v>
      </c>
      <c r="K60" s="324"/>
    </row>
    <row r="61" spans="1:20" x14ac:dyDescent="0.25">
      <c r="A61" s="323" t="s">
        <v>761</v>
      </c>
      <c r="B61" s="323"/>
      <c r="C61" s="323"/>
      <c r="D61" s="324">
        <f>'P&amp;L'!J33</f>
        <v>2.8129826484018263</v>
      </c>
      <c r="E61" s="324">
        <f>'P&amp;L'!K33</f>
        <v>7.5490100456620999</v>
      </c>
      <c r="F61" s="324">
        <f>'P&amp;L'!L33</f>
        <v>7.3024894977168948</v>
      </c>
      <c r="G61" s="324">
        <f>'P&amp;L'!M33</f>
        <v>5.8986333333333327</v>
      </c>
      <c r="H61" s="324">
        <f>'P&amp;L'!N33</f>
        <v>4.2779415525114155</v>
      </c>
      <c r="I61" s="324">
        <f>'P&amp;L'!O33</f>
        <v>2.4356675799086758</v>
      </c>
      <c r="J61" s="324">
        <f>'P&amp;L'!P33</f>
        <v>0.20613333333333334</v>
      </c>
      <c r="K61" s="324"/>
    </row>
    <row r="62" spans="1:20" x14ac:dyDescent="0.25">
      <c r="A62" s="323" t="s">
        <v>21</v>
      </c>
      <c r="B62" s="323"/>
      <c r="C62" s="323"/>
      <c r="D62" s="324">
        <f>'P&amp;L'!J31</f>
        <v>4.3262995899999996</v>
      </c>
      <c r="E62" s="324">
        <f>'P&amp;L'!K31</f>
        <v>8.4972548024999988</v>
      </c>
      <c r="F62" s="324">
        <f>'P&amp;L'!L31</f>
        <v>13.805052064999996</v>
      </c>
      <c r="G62" s="324">
        <f>'P&amp;L'!M31</f>
        <v>13.789279514999997</v>
      </c>
      <c r="H62" s="324">
        <f>'P&amp;L'!N31</f>
        <v>13.774522764999997</v>
      </c>
      <c r="I62" s="324">
        <f>'P&amp;L'!O31</f>
        <v>13.774522764999997</v>
      </c>
      <c r="J62" s="324">
        <f>'P&amp;L'!P31</f>
        <v>13.774522764999997</v>
      </c>
      <c r="K62" s="324"/>
    </row>
    <row r="63" spans="1:20" x14ac:dyDescent="0.25">
      <c r="A63" s="326" t="s">
        <v>762</v>
      </c>
      <c r="B63" s="323"/>
      <c r="C63" s="323"/>
      <c r="D63" s="327">
        <f t="shared" ref="D63:J63" si="15">SUM(D60:D62)</f>
        <v>145.04844998035685</v>
      </c>
      <c r="E63" s="327">
        <f t="shared" si="15"/>
        <v>211.0944619856555</v>
      </c>
      <c r="F63" s="327">
        <f t="shared" si="15"/>
        <v>396.91308377110147</v>
      </c>
      <c r="G63" s="327">
        <f t="shared" si="15"/>
        <v>414.99592840175825</v>
      </c>
      <c r="H63" s="327">
        <f t="shared" si="15"/>
        <v>432.45828486862683</v>
      </c>
      <c r="I63" s="327">
        <f t="shared" si="15"/>
        <v>453.91943115152884</v>
      </c>
      <c r="J63" s="327">
        <f t="shared" si="15"/>
        <v>476.31720025727356</v>
      </c>
      <c r="K63" s="327"/>
    </row>
    <row r="64" spans="1:20" x14ac:dyDescent="0.25">
      <c r="A64" s="330"/>
      <c r="B64" s="321"/>
      <c r="C64" s="321"/>
      <c r="D64" s="321"/>
      <c r="E64" s="331"/>
      <c r="F64" s="331"/>
      <c r="G64" s="331"/>
      <c r="H64" s="331"/>
      <c r="I64" s="331"/>
      <c r="J64" s="331"/>
      <c r="K64" s="321"/>
    </row>
    <row r="65" spans="1:20" x14ac:dyDescent="0.25">
      <c r="A65" s="330"/>
      <c r="B65" s="321"/>
      <c r="C65" s="321"/>
      <c r="D65" s="321"/>
      <c r="E65" s="331"/>
      <c r="F65" s="331"/>
      <c r="G65" s="331"/>
      <c r="H65" s="331"/>
      <c r="I65" s="331"/>
      <c r="J65" s="331"/>
      <c r="K65" s="331"/>
    </row>
    <row r="66" spans="1:20" x14ac:dyDescent="0.25">
      <c r="A66" s="330"/>
      <c r="B66" s="321"/>
      <c r="C66" s="321"/>
      <c r="D66" s="321"/>
      <c r="E66" s="331"/>
      <c r="F66" s="331"/>
      <c r="G66" s="331"/>
      <c r="H66" s="332"/>
      <c r="I66" s="331"/>
      <c r="J66" s="331"/>
      <c r="K66" s="321"/>
    </row>
    <row r="67" spans="1:20" x14ac:dyDescent="0.25">
      <c r="A67" s="323" t="s">
        <v>763</v>
      </c>
      <c r="B67" s="323"/>
      <c r="C67" s="323"/>
      <c r="D67" s="324">
        <f t="shared" ref="D67:J67" si="16">D57-D63</f>
        <v>95.715473139643166</v>
      </c>
      <c r="E67" s="324">
        <f t="shared" si="16"/>
        <v>132.36756903987251</v>
      </c>
      <c r="F67" s="324">
        <f t="shared" si="16"/>
        <v>272.26554981977904</v>
      </c>
      <c r="G67" s="324">
        <f t="shared" si="16"/>
        <v>331.07309153574596</v>
      </c>
      <c r="H67" s="324">
        <f t="shared" si="16"/>
        <v>355.513291348454</v>
      </c>
      <c r="I67" s="324">
        <f t="shared" si="16"/>
        <v>378.33366361358645</v>
      </c>
      <c r="J67" s="324">
        <f t="shared" si="16"/>
        <v>402.73269775659475</v>
      </c>
      <c r="K67" s="324"/>
    </row>
    <row r="68" spans="1:20" x14ac:dyDescent="0.25">
      <c r="A68" s="323" t="s">
        <v>838</v>
      </c>
      <c r="B68" s="323"/>
      <c r="C68" s="323"/>
      <c r="D68" s="441">
        <f>Assumptions!H195</f>
        <v>0.29120000000000001</v>
      </c>
      <c r="E68" s="441">
        <f>Assumptions!I195</f>
        <v>0.29120000000000001</v>
      </c>
      <c r="F68" s="441">
        <f>Assumptions!J195</f>
        <v>0.34944000000000003</v>
      </c>
      <c r="G68" s="441">
        <f>Assumptions!K195</f>
        <v>0.34944000000000003</v>
      </c>
      <c r="H68" s="441">
        <f>Assumptions!L195</f>
        <v>0.34944000000000003</v>
      </c>
      <c r="I68" s="441">
        <f>Assumptions!M195</f>
        <v>0.34944000000000003</v>
      </c>
      <c r="J68" s="441">
        <f>Assumptions!N195</f>
        <v>0.34944000000000003</v>
      </c>
      <c r="K68" s="324"/>
    </row>
    <row r="69" spans="1:20" x14ac:dyDescent="0.25">
      <c r="A69" s="323" t="s">
        <v>764</v>
      </c>
      <c r="B69" s="323"/>
      <c r="C69" s="323"/>
      <c r="D69" s="324">
        <f>D67*D68</f>
        <v>27.872345778264091</v>
      </c>
      <c r="E69" s="324">
        <f t="shared" ref="E69" si="17">E67*E68</f>
        <v>38.545436104410875</v>
      </c>
      <c r="F69" s="324">
        <f t="shared" ref="F69" si="18">F67*F68</f>
        <v>95.140473729023597</v>
      </c>
      <c r="G69" s="324">
        <f t="shared" ref="G69" si="19">G67*G68</f>
        <v>115.69018110625107</v>
      </c>
      <c r="H69" s="324">
        <f t="shared" ref="H69" si="20">H67*H68</f>
        <v>124.23056452880378</v>
      </c>
      <c r="I69" s="324">
        <f t="shared" ref="I69" si="21">I67*I68</f>
        <v>132.20491541313166</v>
      </c>
      <c r="J69" s="324">
        <f t="shared" ref="J69" si="22">J67*J68</f>
        <v>140.73091390406449</v>
      </c>
      <c r="K69" s="324"/>
    </row>
    <row r="70" spans="1:20" x14ac:dyDescent="0.25">
      <c r="A70" s="323" t="s">
        <v>765</v>
      </c>
      <c r="B70" s="323"/>
      <c r="C70" s="323"/>
      <c r="D70" s="324">
        <f t="shared" ref="D70:J70" si="23">D67-D69</f>
        <v>67.843127361379075</v>
      </c>
      <c r="E70" s="324">
        <f t="shared" si="23"/>
        <v>93.822132935461639</v>
      </c>
      <c r="F70" s="324">
        <f t="shared" si="23"/>
        <v>177.12507609075544</v>
      </c>
      <c r="G70" s="324">
        <f t="shared" si="23"/>
        <v>215.38291042949487</v>
      </c>
      <c r="H70" s="324">
        <f t="shared" si="23"/>
        <v>231.28272681965024</v>
      </c>
      <c r="I70" s="324">
        <f t="shared" si="23"/>
        <v>246.12874820045479</v>
      </c>
      <c r="J70" s="324">
        <f t="shared" si="23"/>
        <v>262.00178385253025</v>
      </c>
      <c r="K70" s="324"/>
    </row>
    <row r="71" spans="1:20" x14ac:dyDescent="0.25">
      <c r="A71" s="323" t="s">
        <v>766</v>
      </c>
      <c r="B71" s="323"/>
      <c r="C71" s="323"/>
      <c r="D71" s="324">
        <f>D70+D62</f>
        <v>72.16942695137908</v>
      </c>
      <c r="E71" s="324">
        <f t="shared" ref="E71:J71" si="24">E70+E62</f>
        <v>102.31938773796163</v>
      </c>
      <c r="F71" s="324">
        <f t="shared" si="24"/>
        <v>190.93012815575543</v>
      </c>
      <c r="G71" s="324">
        <f t="shared" si="24"/>
        <v>229.17218994449487</v>
      </c>
      <c r="H71" s="324">
        <f t="shared" si="24"/>
        <v>245.05724958465024</v>
      </c>
      <c r="I71" s="324">
        <f t="shared" si="24"/>
        <v>259.90327096545479</v>
      </c>
      <c r="J71" s="324">
        <f t="shared" si="24"/>
        <v>275.77630661753022</v>
      </c>
      <c r="K71" s="324"/>
      <c r="L71" s="328">
        <f>SUM(D71:K71)</f>
        <v>1375.3279599572263</v>
      </c>
    </row>
    <row r="72" spans="1:20" x14ac:dyDescent="0.25">
      <c r="A72" s="323" t="s">
        <v>767</v>
      </c>
      <c r="B72" s="323"/>
      <c r="C72" s="323"/>
      <c r="D72" s="324">
        <f>'Debt Sch'!E36</f>
        <v>2.606849315068493</v>
      </c>
      <c r="E72" s="324">
        <f>'Debt Sch'!F36</f>
        <v>7.342876712328767</v>
      </c>
      <c r="F72" s="324">
        <f>'Debt Sch'!G36</f>
        <v>7.096356164383562</v>
      </c>
      <c r="G72" s="324">
        <f>'Debt Sch'!H36</f>
        <v>5.6924999999999999</v>
      </c>
      <c r="H72" s="324">
        <f>'Debt Sch'!I36</f>
        <v>4.0718082191780827</v>
      </c>
      <c r="I72" s="324">
        <f>'Debt Sch'!J36</f>
        <v>2.2295342465753425</v>
      </c>
      <c r="J72" s="324">
        <f>'Debt Sch'!K36</f>
        <v>0.37158904109589036</v>
      </c>
      <c r="K72" s="324"/>
      <c r="L72" s="328">
        <f>SUM(D72:K72)</f>
        <v>29.411513698630134</v>
      </c>
    </row>
    <row r="73" spans="1:20" x14ac:dyDescent="0.25">
      <c r="A73" s="323" t="s">
        <v>768</v>
      </c>
      <c r="B73" s="323"/>
      <c r="C73" s="323"/>
      <c r="D73" s="324">
        <f>'Debt Sch'!E34</f>
        <v>0</v>
      </c>
      <c r="E73" s="324">
        <f>'Debt Sch'!F34</f>
        <v>6</v>
      </c>
      <c r="F73" s="324">
        <f>'Debt Sch'!G34</f>
        <v>12</v>
      </c>
      <c r="G73" s="324">
        <f>'Debt Sch'!H34</f>
        <v>14</v>
      </c>
      <c r="H73" s="324">
        <f>'Debt Sch'!I34</f>
        <v>16</v>
      </c>
      <c r="I73" s="324">
        <f>'Debt Sch'!J34</f>
        <v>18</v>
      </c>
      <c r="J73" s="324">
        <f>'Debt Sch'!K34</f>
        <v>9</v>
      </c>
      <c r="K73" s="324"/>
      <c r="L73" s="328">
        <f>SUM(D73:K73)</f>
        <v>75</v>
      </c>
    </row>
    <row r="74" spans="1:20" x14ac:dyDescent="0.25">
      <c r="A74" s="326" t="s">
        <v>532</v>
      </c>
      <c r="B74" s="326"/>
      <c r="C74" s="326"/>
      <c r="D74" s="327">
        <f>(D71+D72)/(D72+D73)</f>
        <v>28.684541079614675</v>
      </c>
      <c r="E74" s="327">
        <f t="shared" ref="E74:J74" si="25">(E71+E72)/(E72+E73)</f>
        <v>8.2187872086806344</v>
      </c>
      <c r="F74" s="327">
        <f t="shared" si="25"/>
        <v>10.369857087682329</v>
      </c>
      <c r="G74" s="327">
        <f t="shared" si="25"/>
        <v>11.926606065481522</v>
      </c>
      <c r="H74" s="327">
        <f t="shared" si="25"/>
        <v>12.411889107519078</v>
      </c>
      <c r="I74" s="327">
        <f t="shared" si="25"/>
        <v>12.957925872979828</v>
      </c>
      <c r="J74" s="327">
        <f t="shared" si="25"/>
        <v>29.466496497837692</v>
      </c>
      <c r="K74" s="327"/>
    </row>
    <row r="75" spans="1:20" x14ac:dyDescent="0.25">
      <c r="A75" s="322" t="s">
        <v>447</v>
      </c>
      <c r="B75" s="317"/>
      <c r="C75" s="317"/>
      <c r="D75" s="329">
        <f>+(L71+L72)/(L72+L73)</f>
        <v>13.453875189573912</v>
      </c>
      <c r="E75" s="331"/>
      <c r="F75" s="331"/>
      <c r="G75" s="332"/>
      <c r="H75" s="331"/>
      <c r="I75" s="331"/>
      <c r="J75" s="331"/>
      <c r="K75" s="331"/>
    </row>
    <row r="76" spans="1:20" x14ac:dyDescent="0.25">
      <c r="M76" s="328"/>
      <c r="N76" s="328"/>
      <c r="O76" s="328"/>
      <c r="P76" s="328"/>
      <c r="Q76" s="328"/>
      <c r="R76" s="328"/>
      <c r="S76" s="328"/>
      <c r="T76" s="328"/>
    </row>
    <row r="77" spans="1:20" ht="15.6" x14ac:dyDescent="0.25">
      <c r="A77" s="620" t="s">
        <v>769</v>
      </c>
      <c r="B77" s="621"/>
      <c r="C77" s="621"/>
      <c r="D77" s="621"/>
      <c r="E77" s="621"/>
      <c r="F77" s="621"/>
      <c r="G77" s="621"/>
      <c r="H77" s="621"/>
      <c r="I77" s="621"/>
      <c r="J77" s="621"/>
      <c r="K77" s="621"/>
    </row>
    <row r="78" spans="1:20" x14ac:dyDescent="0.25">
      <c r="A78" s="333" t="s">
        <v>758</v>
      </c>
      <c r="B78" s="337"/>
      <c r="C78" s="338"/>
      <c r="D78" s="339">
        <v>2026</v>
      </c>
      <c r="E78" s="339">
        <v>2027</v>
      </c>
      <c r="F78" s="339">
        <v>2028</v>
      </c>
      <c r="G78" s="339">
        <v>2029</v>
      </c>
      <c r="H78" s="339">
        <v>2030</v>
      </c>
      <c r="I78" s="339">
        <v>2031</v>
      </c>
      <c r="J78" s="339">
        <v>2032</v>
      </c>
      <c r="K78" s="339"/>
    </row>
    <row r="79" spans="1:20" x14ac:dyDescent="0.25">
      <c r="A79" s="330"/>
      <c r="B79" s="321"/>
      <c r="C79" s="442">
        <v>0.12</v>
      </c>
      <c r="D79" s="331"/>
      <c r="E79" s="332"/>
      <c r="F79" s="331"/>
      <c r="G79" s="331"/>
      <c r="H79" s="331"/>
      <c r="I79" s="331"/>
      <c r="J79" s="321"/>
    </row>
    <row r="80" spans="1:20" x14ac:dyDescent="0.25">
      <c r="A80" s="326" t="s">
        <v>759</v>
      </c>
      <c r="B80" s="321"/>
      <c r="C80" s="321"/>
      <c r="D80" s="331"/>
      <c r="E80" s="332"/>
      <c r="F80" s="331"/>
      <c r="G80" s="331"/>
      <c r="H80" s="331"/>
      <c r="I80" s="331"/>
      <c r="J80" s="321"/>
    </row>
    <row r="81" spans="1:12" x14ac:dyDescent="0.25">
      <c r="A81" s="323" t="s">
        <v>466</v>
      </c>
      <c r="B81" s="323"/>
      <c r="C81" s="323"/>
      <c r="D81" s="327">
        <f>'P&amp;L'!J17</f>
        <v>240.76392312000002</v>
      </c>
      <c r="E81" s="327">
        <f>'P&amp;L'!K17</f>
        <v>343.46203102552801</v>
      </c>
      <c r="F81" s="327">
        <f>'P&amp;L'!L17</f>
        <v>669.17863359088051</v>
      </c>
      <c r="G81" s="327">
        <f>'P&amp;L'!M17</f>
        <v>746.06901993750421</v>
      </c>
      <c r="H81" s="327">
        <f>'P&amp;L'!N17</f>
        <v>787.97157621708084</v>
      </c>
      <c r="I81" s="327">
        <f>'P&amp;L'!O17</f>
        <v>832.25309476511529</v>
      </c>
      <c r="J81" s="327">
        <f>'P&amp;L'!P17</f>
        <v>879.0498980138683</v>
      </c>
      <c r="K81" s="327"/>
    </row>
    <row r="82" spans="1:12" x14ac:dyDescent="0.25">
      <c r="A82" s="321"/>
      <c r="B82" s="321"/>
      <c r="C82" s="321"/>
      <c r="D82" s="331"/>
      <c r="E82" s="331"/>
      <c r="F82" s="331"/>
      <c r="G82" s="331"/>
      <c r="H82" s="331"/>
      <c r="I82" s="331"/>
      <c r="J82" s="331"/>
      <c r="K82" s="331"/>
    </row>
    <row r="83" spans="1:12" x14ac:dyDescent="0.25">
      <c r="A83" s="326" t="s">
        <v>760</v>
      </c>
      <c r="B83" s="323"/>
      <c r="C83" s="321"/>
      <c r="D83" s="331"/>
      <c r="E83" s="331"/>
      <c r="F83" s="331"/>
      <c r="G83" s="331"/>
      <c r="H83" s="331"/>
      <c r="I83" s="331"/>
      <c r="J83" s="331"/>
      <c r="K83" s="331"/>
    </row>
    <row r="84" spans="1:12" x14ac:dyDescent="0.25">
      <c r="A84" s="323" t="s">
        <v>467</v>
      </c>
      <c r="B84" s="323"/>
      <c r="C84" s="323"/>
      <c r="D84" s="324">
        <f>'P&amp;L'!J28</f>
        <v>131.34206451614764</v>
      </c>
      <c r="E84" s="324">
        <f>'P&amp;L'!K28</f>
        <v>185.76018774999369</v>
      </c>
      <c r="F84" s="324">
        <f>'P&amp;L'!L28</f>
        <v>357.9100401984615</v>
      </c>
      <c r="G84" s="324">
        <f>'P&amp;L'!M28</f>
        <v>376.48382433659515</v>
      </c>
      <c r="H84" s="324">
        <f>'P&amp;L'!N28</f>
        <v>394.67221004868134</v>
      </c>
      <c r="I84" s="324">
        <f>'P&amp;L'!O28</f>
        <v>416.86594362535254</v>
      </c>
      <c r="J84" s="324">
        <f>'P&amp;L'!P28</f>
        <v>440.32051824660971</v>
      </c>
      <c r="K84" s="324"/>
    </row>
    <row r="85" spans="1:12" x14ac:dyDescent="0.25">
      <c r="A85" s="323" t="s">
        <v>761</v>
      </c>
      <c r="B85" s="323"/>
      <c r="C85" s="323"/>
      <c r="D85" s="324">
        <f>'12% Debt Sch'!E36</f>
        <v>2.8438356164383563</v>
      </c>
      <c r="E85" s="324">
        <f>'12% Debt Sch'!F36</f>
        <v>8.0104109589041101</v>
      </c>
      <c r="F85" s="324">
        <f>'12% Debt Sch'!G36</f>
        <v>7.7414794520547936</v>
      </c>
      <c r="G85" s="324">
        <f>'12% Debt Sch'!H36</f>
        <v>6.2099999999999991</v>
      </c>
      <c r="H85" s="324">
        <f>'12% Debt Sch'!I36</f>
        <v>4.4419726027397264</v>
      </c>
      <c r="I85" s="324">
        <f>'12% Debt Sch'!J36</f>
        <v>2.432219178082192</v>
      </c>
      <c r="J85" s="324">
        <f>'12% Debt Sch'!K36</f>
        <v>0.40536986301369871</v>
      </c>
      <c r="K85" s="324"/>
    </row>
    <row r="86" spans="1:12" x14ac:dyDescent="0.25">
      <c r="A86" s="323" t="s">
        <v>21</v>
      </c>
      <c r="B86" s="323"/>
      <c r="C86" s="323"/>
      <c r="D86" s="324">
        <f>'P&amp;L'!J31</f>
        <v>4.3262995899999996</v>
      </c>
      <c r="E86" s="324">
        <f>'P&amp;L'!K31</f>
        <v>8.4972548024999988</v>
      </c>
      <c r="F86" s="324">
        <f>'P&amp;L'!L31</f>
        <v>13.805052064999996</v>
      </c>
      <c r="G86" s="324">
        <f>'P&amp;L'!M31</f>
        <v>13.789279514999997</v>
      </c>
      <c r="H86" s="324">
        <f>'P&amp;L'!N31</f>
        <v>13.774522764999997</v>
      </c>
      <c r="I86" s="324">
        <f>'P&amp;L'!O31</f>
        <v>13.774522764999997</v>
      </c>
      <c r="J86" s="324">
        <f>'P&amp;L'!P31</f>
        <v>13.774522764999997</v>
      </c>
      <c r="K86" s="324"/>
    </row>
    <row r="87" spans="1:12" x14ac:dyDescent="0.25">
      <c r="A87" s="326" t="s">
        <v>762</v>
      </c>
      <c r="B87" s="323"/>
      <c r="C87" s="323"/>
      <c r="D87" s="327">
        <f t="shared" ref="D87:J87" si="26">SUM(D84:D86)</f>
        <v>138.51219972258599</v>
      </c>
      <c r="E87" s="327">
        <f t="shared" si="26"/>
        <v>202.26785351139782</v>
      </c>
      <c r="F87" s="327">
        <f t="shared" si="26"/>
        <v>379.4565717155163</v>
      </c>
      <c r="G87" s="327">
        <f t="shared" si="26"/>
        <v>396.4831038515951</v>
      </c>
      <c r="H87" s="327">
        <f t="shared" si="26"/>
        <v>412.88870541642103</v>
      </c>
      <c r="I87" s="327">
        <f t="shared" si="26"/>
        <v>433.07268556843468</v>
      </c>
      <c r="J87" s="327">
        <f t="shared" si="26"/>
        <v>454.50041087462336</v>
      </c>
      <c r="K87" s="327"/>
    </row>
    <row r="88" spans="1:12" x14ac:dyDescent="0.25">
      <c r="A88" s="330"/>
      <c r="B88" s="321"/>
      <c r="C88" s="321"/>
      <c r="D88" s="321"/>
      <c r="E88" s="331"/>
      <c r="F88" s="331"/>
      <c r="G88" s="331"/>
      <c r="H88" s="331"/>
      <c r="I88" s="331"/>
      <c r="J88" s="331"/>
      <c r="K88" s="321"/>
    </row>
    <row r="89" spans="1:12" x14ac:dyDescent="0.25">
      <c r="A89" s="330"/>
      <c r="B89" s="321"/>
      <c r="C89" s="321"/>
      <c r="D89" s="321"/>
      <c r="E89" s="331"/>
      <c r="F89" s="331"/>
      <c r="G89" s="331"/>
      <c r="H89" s="331"/>
      <c r="I89" s="331"/>
      <c r="J89" s="331"/>
      <c r="K89" s="321"/>
    </row>
    <row r="90" spans="1:12" x14ac:dyDescent="0.25">
      <c r="A90" s="330"/>
      <c r="B90" s="321"/>
      <c r="C90" s="321"/>
      <c r="D90" s="321"/>
      <c r="E90" s="331"/>
      <c r="F90" s="331"/>
      <c r="G90" s="331"/>
      <c r="H90" s="332"/>
      <c r="I90" s="331"/>
      <c r="J90" s="331"/>
      <c r="K90" s="321"/>
    </row>
    <row r="91" spans="1:12" x14ac:dyDescent="0.25">
      <c r="A91" s="323" t="s">
        <v>763</v>
      </c>
      <c r="B91" s="323"/>
      <c r="C91" s="323"/>
      <c r="D91" s="324">
        <f t="shared" ref="D91:J91" si="27">D81-D87</f>
        <v>102.25172339741403</v>
      </c>
      <c r="E91" s="324">
        <f t="shared" si="27"/>
        <v>141.19417751413019</v>
      </c>
      <c r="F91" s="324">
        <f t="shared" si="27"/>
        <v>289.7220618753642</v>
      </c>
      <c r="G91" s="324">
        <f t="shared" si="27"/>
        <v>349.5859160859091</v>
      </c>
      <c r="H91" s="324">
        <f t="shared" si="27"/>
        <v>375.0828708006598</v>
      </c>
      <c r="I91" s="324">
        <f t="shared" si="27"/>
        <v>399.18040919668061</v>
      </c>
      <c r="J91" s="324">
        <f t="shared" si="27"/>
        <v>424.54948713924495</v>
      </c>
      <c r="K91" s="324"/>
    </row>
    <row r="92" spans="1:12" x14ac:dyDescent="0.25">
      <c r="A92" s="323" t="s">
        <v>838</v>
      </c>
      <c r="B92" s="323"/>
      <c r="C92" s="323"/>
      <c r="D92" s="441">
        <f>Assumptions!H195</f>
        <v>0.29120000000000001</v>
      </c>
      <c r="E92" s="441">
        <f>Assumptions!I195</f>
        <v>0.29120000000000001</v>
      </c>
      <c r="F92" s="441">
        <f>Assumptions!J195</f>
        <v>0.34944000000000003</v>
      </c>
      <c r="G92" s="441">
        <f>Assumptions!K195</f>
        <v>0.34944000000000003</v>
      </c>
      <c r="H92" s="441">
        <f>Assumptions!L195</f>
        <v>0.34944000000000003</v>
      </c>
      <c r="I92" s="441">
        <f>Assumptions!M195</f>
        <v>0.34944000000000003</v>
      </c>
      <c r="J92" s="441">
        <f>Assumptions!N195</f>
        <v>0.34944000000000003</v>
      </c>
      <c r="K92" s="324"/>
    </row>
    <row r="93" spans="1:12" x14ac:dyDescent="0.25">
      <c r="A93" s="323" t="s">
        <v>764</v>
      </c>
      <c r="B93" s="323"/>
      <c r="C93" s="323"/>
      <c r="D93" s="324">
        <f>D91*D92</f>
        <v>29.775701853326964</v>
      </c>
      <c r="E93" s="324">
        <f t="shared" ref="E93:J93" si="28">E91*E92</f>
        <v>41.115744492114715</v>
      </c>
      <c r="F93" s="324">
        <f t="shared" si="28"/>
        <v>101.24047730172728</v>
      </c>
      <c r="G93" s="324">
        <f t="shared" si="28"/>
        <v>122.15930251706008</v>
      </c>
      <c r="H93" s="324">
        <f t="shared" si="28"/>
        <v>131.06895837258259</v>
      </c>
      <c r="I93" s="324">
        <f t="shared" si="28"/>
        <v>139.48960218968807</v>
      </c>
      <c r="J93" s="324">
        <f t="shared" si="28"/>
        <v>148.35457278593776</v>
      </c>
      <c r="K93" s="324"/>
    </row>
    <row r="94" spans="1:12" x14ac:dyDescent="0.25">
      <c r="A94" s="323" t="s">
        <v>765</v>
      </c>
      <c r="B94" s="323"/>
      <c r="C94" s="323"/>
      <c r="D94" s="324">
        <f t="shared" ref="D94:J94" si="29">D91-D93</f>
        <v>72.476021544087061</v>
      </c>
      <c r="E94" s="324">
        <f t="shared" si="29"/>
        <v>100.07843302201547</v>
      </c>
      <c r="F94" s="324">
        <f t="shared" si="29"/>
        <v>188.48158457363692</v>
      </c>
      <c r="G94" s="324">
        <f t="shared" si="29"/>
        <v>227.42661356884901</v>
      </c>
      <c r="H94" s="324">
        <f t="shared" si="29"/>
        <v>244.01391242807722</v>
      </c>
      <c r="I94" s="324">
        <f t="shared" si="29"/>
        <v>259.69080700699254</v>
      </c>
      <c r="J94" s="324">
        <f t="shared" si="29"/>
        <v>276.19491435330718</v>
      </c>
      <c r="K94" s="324"/>
    </row>
    <row r="95" spans="1:12" x14ac:dyDescent="0.25">
      <c r="A95" s="323" t="s">
        <v>766</v>
      </c>
      <c r="B95" s="323"/>
      <c r="C95" s="323"/>
      <c r="D95" s="324">
        <f>D94+D86</f>
        <v>76.802321134087066</v>
      </c>
      <c r="E95" s="324">
        <f t="shared" ref="E95:J95" si="30">E94+E86</f>
        <v>108.57568782451547</v>
      </c>
      <c r="F95" s="324">
        <f t="shared" si="30"/>
        <v>202.28663663863691</v>
      </c>
      <c r="G95" s="324">
        <f t="shared" si="30"/>
        <v>241.21589308384901</v>
      </c>
      <c r="H95" s="324">
        <f t="shared" si="30"/>
        <v>257.78843519307719</v>
      </c>
      <c r="I95" s="324">
        <f t="shared" si="30"/>
        <v>273.46532977199251</v>
      </c>
      <c r="J95" s="324">
        <f t="shared" si="30"/>
        <v>289.96943711830716</v>
      </c>
      <c r="K95" s="324"/>
      <c r="L95" s="328">
        <f>SUM(D95:K95)</f>
        <v>1450.1037407644653</v>
      </c>
    </row>
    <row r="96" spans="1:12" x14ac:dyDescent="0.25">
      <c r="A96" s="323" t="s">
        <v>767</v>
      </c>
      <c r="B96" s="323"/>
      <c r="C96" s="323"/>
      <c r="D96" s="324">
        <f>'12% Debt Sch'!E36</f>
        <v>2.8438356164383563</v>
      </c>
      <c r="E96" s="324">
        <f>'12% Debt Sch'!F36</f>
        <v>8.0104109589041101</v>
      </c>
      <c r="F96" s="324">
        <f>'12% Debt Sch'!G36</f>
        <v>7.7414794520547936</v>
      </c>
      <c r="G96" s="324">
        <f>'12% Debt Sch'!H36</f>
        <v>6.2099999999999991</v>
      </c>
      <c r="H96" s="324">
        <f>'12% Debt Sch'!I36</f>
        <v>4.4419726027397264</v>
      </c>
      <c r="I96" s="324">
        <f>'12% Debt Sch'!J36</f>
        <v>2.432219178082192</v>
      </c>
      <c r="J96" s="324">
        <f>'12% Debt Sch'!K36</f>
        <v>0.40536986301369871</v>
      </c>
      <c r="K96" s="324"/>
      <c r="L96" s="328">
        <f>SUM(D96:K96)</f>
        <v>32.085287671232877</v>
      </c>
    </row>
    <row r="97" spans="1:20" x14ac:dyDescent="0.25">
      <c r="A97" s="323" t="s">
        <v>768</v>
      </c>
      <c r="B97" s="323"/>
      <c r="C97" s="323"/>
      <c r="D97" s="324">
        <f>'12% Debt Sch'!E34</f>
        <v>0</v>
      </c>
      <c r="E97" s="324">
        <f>'12% Debt Sch'!F34</f>
        <v>6</v>
      </c>
      <c r="F97" s="324">
        <f>'12% Debt Sch'!G34</f>
        <v>12</v>
      </c>
      <c r="G97" s="324">
        <f>'12% Debt Sch'!H34</f>
        <v>14</v>
      </c>
      <c r="H97" s="324">
        <f>'12% Debt Sch'!I34</f>
        <v>16</v>
      </c>
      <c r="I97" s="324">
        <f>'12% Debt Sch'!J34</f>
        <v>18</v>
      </c>
      <c r="J97" s="324">
        <f>'12% Debt Sch'!K34</f>
        <v>9</v>
      </c>
      <c r="K97" s="324"/>
      <c r="L97" s="328">
        <f>SUM(D97:K97)</f>
        <v>75</v>
      </c>
    </row>
    <row r="98" spans="1:20" x14ac:dyDescent="0.25">
      <c r="A98" s="326" t="s">
        <v>532</v>
      </c>
      <c r="B98" s="326"/>
      <c r="C98" s="326"/>
      <c r="D98" s="327">
        <f>(D95+D96)/(D96+D97)</f>
        <v>28.006596545223292</v>
      </c>
      <c r="E98" s="327">
        <f t="shared" ref="E98:J98" si="31">(E95+E96)/(E96+E97)</f>
        <v>8.3213903664492435</v>
      </c>
      <c r="F98" s="327">
        <f t="shared" si="31"/>
        <v>10.638924838474095</v>
      </c>
      <c r="G98" s="327">
        <f t="shared" si="31"/>
        <v>12.242745823050422</v>
      </c>
      <c r="H98" s="327">
        <f t="shared" si="31"/>
        <v>12.828038315669772</v>
      </c>
      <c r="I98" s="327">
        <f t="shared" si="31"/>
        <v>13.503063301417216</v>
      </c>
      <c r="J98" s="327">
        <f t="shared" si="31"/>
        <v>30.873300169003457</v>
      </c>
      <c r="K98" s="327"/>
    </row>
    <row r="99" spans="1:20" x14ac:dyDescent="0.25">
      <c r="A99" s="322" t="s">
        <v>447</v>
      </c>
      <c r="B99" s="317"/>
      <c r="C99" s="317"/>
      <c r="D99" s="329">
        <f>+(L95+L96)/(L96+L97)</f>
        <v>13.841201351452034</v>
      </c>
    </row>
    <row r="100" spans="1:20" x14ac:dyDescent="0.25">
      <c r="D100" s="340"/>
      <c r="E100" s="340"/>
      <c r="F100" s="340"/>
      <c r="G100" s="340"/>
      <c r="H100" s="340"/>
      <c r="I100" s="340"/>
      <c r="J100" s="340"/>
      <c r="K100" s="340"/>
      <c r="M100" s="328"/>
      <c r="N100" s="328"/>
      <c r="O100" s="328"/>
      <c r="P100" s="328"/>
      <c r="Q100" s="328"/>
      <c r="R100" s="328"/>
      <c r="S100" s="328"/>
      <c r="T100" s="328"/>
    </row>
    <row r="101" spans="1:20" x14ac:dyDescent="0.25">
      <c r="M101" s="328"/>
      <c r="N101" s="328"/>
      <c r="O101" s="328"/>
      <c r="P101" s="328"/>
      <c r="Q101" s="328"/>
      <c r="R101" s="328"/>
      <c r="S101" s="328"/>
      <c r="T101" s="328"/>
    </row>
  </sheetData>
  <mergeCells count="4">
    <mergeCell ref="A1:K1"/>
    <mergeCell ref="A28:K28"/>
    <mergeCell ref="A53:K53"/>
    <mergeCell ref="A77:K77"/>
  </mergeCells>
  <pageMargins left="0.7" right="0.7" top="0.75" bottom="0.75" header="0.3" footer="0.3"/>
  <pageSetup scale="68" orientation="portrait" horizontalDpi="4294967294"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BD548-D872-41A0-B7BC-914157CF4787}">
  <sheetPr>
    <tabColor theme="9" tint="-0.249977111117893"/>
  </sheetPr>
  <dimension ref="A1:N91"/>
  <sheetViews>
    <sheetView showGridLines="0" workbookViewId="0">
      <selection activeCell="H43" sqref="H43"/>
    </sheetView>
  </sheetViews>
  <sheetFormatPr defaultColWidth="9.109375" defaultRowHeight="14.4" x14ac:dyDescent="0.3"/>
  <cols>
    <col min="1" max="1" width="6.109375" style="524" bestFit="1" customWidth="1"/>
    <col min="2" max="2" width="37.44140625" style="525" customWidth="1"/>
    <col min="3" max="13" width="11.6640625" style="526" customWidth="1"/>
    <col min="14" max="14" width="9.5546875" style="524" bestFit="1" customWidth="1"/>
    <col min="15" max="16384" width="9.109375" style="524"/>
  </cols>
  <sheetData>
    <row r="1" spans="1:13" ht="18" customHeight="1" x14ac:dyDescent="0.3"/>
    <row r="2" spans="1:13" ht="21" hidden="1" customHeight="1" x14ac:dyDescent="0.3">
      <c r="B2" s="527" t="s">
        <v>874</v>
      </c>
      <c r="C2" s="528"/>
      <c r="D2" s="528"/>
      <c r="E2" s="528"/>
      <c r="F2" s="528"/>
      <c r="G2" s="528"/>
      <c r="H2" s="528"/>
      <c r="I2" s="528"/>
    </row>
    <row r="3" spans="1:13" ht="15" hidden="1" customHeight="1" x14ac:dyDescent="0.3">
      <c r="B3" s="529"/>
      <c r="C3" s="530"/>
      <c r="D3" s="530"/>
      <c r="E3" s="530"/>
      <c r="F3" s="530"/>
      <c r="G3" s="530"/>
      <c r="H3" s="530"/>
      <c r="I3" s="530"/>
    </row>
    <row r="4" spans="1:13" ht="22.5" hidden="1" customHeight="1" x14ac:dyDescent="0.3">
      <c r="B4" s="531" t="s">
        <v>862</v>
      </c>
      <c r="C4" s="532">
        <v>2025</v>
      </c>
      <c r="D4" s="532">
        <f t="shared" ref="D4:I4" si="0">C4+1</f>
        <v>2026</v>
      </c>
      <c r="E4" s="532">
        <f t="shared" si="0"/>
        <v>2027</v>
      </c>
      <c r="F4" s="532">
        <f t="shared" si="0"/>
        <v>2028</v>
      </c>
      <c r="G4" s="532">
        <f t="shared" si="0"/>
        <v>2029</v>
      </c>
      <c r="H4" s="532">
        <f t="shared" si="0"/>
        <v>2030</v>
      </c>
      <c r="I4" s="532">
        <f t="shared" si="0"/>
        <v>2031</v>
      </c>
    </row>
    <row r="5" spans="1:13" ht="18.75" hidden="1" customHeight="1" x14ac:dyDescent="0.3">
      <c r="B5" s="533" t="s">
        <v>863</v>
      </c>
      <c r="C5" s="534">
        <v>12</v>
      </c>
      <c r="D5" s="534">
        <f>12</f>
        <v>12</v>
      </c>
      <c r="E5" s="534">
        <f>D5</f>
        <v>12</v>
      </c>
      <c r="F5" s="534">
        <f t="shared" ref="F5:I5" si="1">E5</f>
        <v>12</v>
      </c>
      <c r="G5" s="534">
        <f t="shared" si="1"/>
        <v>12</v>
      </c>
      <c r="H5" s="534">
        <f t="shared" si="1"/>
        <v>12</v>
      </c>
      <c r="I5" s="534">
        <f t="shared" si="1"/>
        <v>12</v>
      </c>
    </row>
    <row r="6" spans="1:13" ht="19.5" hidden="1" customHeight="1" x14ac:dyDescent="0.3">
      <c r="B6" s="529" t="s">
        <v>22</v>
      </c>
      <c r="C6" s="534">
        <f>'P&amp;L'!J32</f>
        <v>105.09555901385237</v>
      </c>
      <c r="D6" s="534">
        <f>'P&amp;L'!K32</f>
        <v>149.20458847303431</v>
      </c>
      <c r="E6" s="534">
        <f>'P&amp;L'!L32</f>
        <v>297.46354132741902</v>
      </c>
      <c r="F6" s="534">
        <f>'P&amp;L'!M32</f>
        <v>355.79591608590908</v>
      </c>
      <c r="G6" s="534">
        <f>'P&amp;L'!N32</f>
        <v>379.52484340339953</v>
      </c>
      <c r="H6" s="534">
        <f>'P&amp;L'!O32</f>
        <v>401.61262837476278</v>
      </c>
      <c r="I6" s="534">
        <f>'P&amp;L'!P32</f>
        <v>424.95485700225862</v>
      </c>
    </row>
    <row r="7" spans="1:13" ht="19.5" hidden="1" customHeight="1" x14ac:dyDescent="0.3">
      <c r="B7" s="529" t="s">
        <v>838</v>
      </c>
      <c r="C7" s="606">
        <f>Assumptions!H195</f>
        <v>0.29120000000000001</v>
      </c>
      <c r="D7" s="606">
        <f>Assumptions!I195</f>
        <v>0.29120000000000001</v>
      </c>
      <c r="E7" s="606">
        <f>Assumptions!J195</f>
        <v>0.34944000000000003</v>
      </c>
      <c r="F7" s="606">
        <f>Assumptions!K195</f>
        <v>0.34944000000000003</v>
      </c>
      <c r="G7" s="606">
        <f>Assumptions!L195</f>
        <v>0.34944000000000003</v>
      </c>
      <c r="H7" s="606">
        <f>Assumptions!M195</f>
        <v>0.34944000000000003</v>
      </c>
      <c r="I7" s="606">
        <f>Assumptions!N195</f>
        <v>0.34944000000000003</v>
      </c>
    </row>
    <row r="8" spans="1:13" ht="19.5" hidden="1" customHeight="1" x14ac:dyDescent="0.3">
      <c r="B8" s="529" t="s">
        <v>864</v>
      </c>
      <c r="C8" s="607">
        <f>C6*C7</f>
        <v>30.60382678483381</v>
      </c>
      <c r="D8" s="607">
        <f t="shared" ref="D8:I8" si="2">D6*D7</f>
        <v>43.448376163347589</v>
      </c>
      <c r="E8" s="607">
        <f t="shared" si="2"/>
        <v>103.94565988145331</v>
      </c>
      <c r="F8" s="607">
        <f t="shared" si="2"/>
        <v>124.32932491706008</v>
      </c>
      <c r="G8" s="607">
        <f t="shared" si="2"/>
        <v>132.62116127888393</v>
      </c>
      <c r="H8" s="607">
        <f t="shared" si="2"/>
        <v>140.33951685927713</v>
      </c>
      <c r="I8" s="607">
        <f t="shared" si="2"/>
        <v>148.49622523086927</v>
      </c>
    </row>
    <row r="9" spans="1:13" ht="19.5" hidden="1" customHeight="1" x14ac:dyDescent="0.3">
      <c r="B9" s="535" t="s">
        <v>865</v>
      </c>
      <c r="C9" s="534">
        <f>'P&amp;L'!J31</f>
        <v>4.3262995899999996</v>
      </c>
      <c r="D9" s="534">
        <f>'P&amp;L'!K31</f>
        <v>8.4972548024999988</v>
      </c>
      <c r="E9" s="534">
        <f>'P&amp;L'!L31</f>
        <v>13.805052064999996</v>
      </c>
      <c r="F9" s="534">
        <f>'P&amp;L'!M31</f>
        <v>13.789279514999997</v>
      </c>
      <c r="G9" s="534">
        <f>'P&amp;L'!N31</f>
        <v>13.774522764999997</v>
      </c>
      <c r="H9" s="534">
        <f>'P&amp;L'!O31</f>
        <v>13.774522764999997</v>
      </c>
      <c r="I9" s="534">
        <f>'P&amp;L'!P31</f>
        <v>13.774522764999997</v>
      </c>
    </row>
    <row r="10" spans="1:13" ht="19.5" hidden="1" customHeight="1" x14ac:dyDescent="0.3">
      <c r="B10" s="536" t="s">
        <v>866</v>
      </c>
      <c r="C10" s="537">
        <f>C6-C8+C9</f>
        <v>78.818031819018557</v>
      </c>
      <c r="D10" s="537">
        <f t="shared" ref="D10:I10" si="3">D6-D8+D9</f>
        <v>114.25346711218671</v>
      </c>
      <c r="E10" s="537">
        <f t="shared" si="3"/>
        <v>207.3229335109657</v>
      </c>
      <c r="F10" s="537">
        <f t="shared" si="3"/>
        <v>245.255870683849</v>
      </c>
      <c r="G10" s="537">
        <f t="shared" si="3"/>
        <v>260.6782048895156</v>
      </c>
      <c r="H10" s="537">
        <f t="shared" si="3"/>
        <v>275.04763428048562</v>
      </c>
      <c r="I10" s="537">
        <f t="shared" si="3"/>
        <v>290.23315453638935</v>
      </c>
    </row>
    <row r="11" spans="1:13" ht="19.5" hidden="1" customHeight="1" x14ac:dyDescent="0.3">
      <c r="B11" s="535" t="s">
        <v>867</v>
      </c>
      <c r="C11" s="538">
        <f>WC!I25</f>
        <v>0</v>
      </c>
      <c r="D11" s="538">
        <f>WC!J25</f>
        <v>0</v>
      </c>
      <c r="E11" s="538">
        <f>WC!K25</f>
        <v>0</v>
      </c>
      <c r="F11" s="538">
        <f>WC!L25</f>
        <v>0</v>
      </c>
      <c r="G11" s="538">
        <f>WC!M25</f>
        <v>0</v>
      </c>
      <c r="H11" s="538">
        <f>WC!N25</f>
        <v>0</v>
      </c>
      <c r="I11" s="538">
        <f>WC!O25</f>
        <v>0</v>
      </c>
    </row>
    <row r="12" spans="1:13" ht="19.5" hidden="1" customHeight="1" x14ac:dyDescent="0.3">
      <c r="B12" s="535" t="s">
        <v>868</v>
      </c>
      <c r="C12" s="539">
        <f>'Capex Assumption'!D3+'Capex Assumption'!E3</f>
        <v>110</v>
      </c>
      <c r="D12" s="539">
        <f>'Capex Assumption'!F3</f>
        <v>41.97</v>
      </c>
      <c r="E12" s="539">
        <f>[3]BS!E18-[3]BS!D18</f>
        <v>0</v>
      </c>
      <c r="F12" s="539">
        <f>[3]BS!F18-[3]BS!E18</f>
        <v>0</v>
      </c>
      <c r="G12" s="539">
        <f>[3]BS!G18-[3]BS!F18</f>
        <v>0</v>
      </c>
      <c r="H12" s="539">
        <f>[3]BS!H18-[3]BS!G18</f>
        <v>0</v>
      </c>
      <c r="I12" s="539">
        <f>[3]BS!I18-[3]BS!H18</f>
        <v>0</v>
      </c>
    </row>
    <row r="13" spans="1:13" ht="19.5" hidden="1" customHeight="1" x14ac:dyDescent="0.3">
      <c r="B13" s="536" t="s">
        <v>869</v>
      </c>
      <c r="C13" s="540">
        <f>C10-C11-C12</f>
        <v>-31.181968180981443</v>
      </c>
      <c r="D13" s="540">
        <f t="shared" ref="D13:I13" si="4">D10-D11-D12</f>
        <v>72.283467112186713</v>
      </c>
      <c r="E13" s="540">
        <f t="shared" si="4"/>
        <v>207.3229335109657</v>
      </c>
      <c r="F13" s="540">
        <f t="shared" si="4"/>
        <v>245.255870683849</v>
      </c>
      <c r="G13" s="540">
        <f t="shared" si="4"/>
        <v>260.6782048895156</v>
      </c>
      <c r="H13" s="540">
        <f t="shared" si="4"/>
        <v>275.04763428048562</v>
      </c>
      <c r="I13" s="540">
        <f t="shared" si="4"/>
        <v>290.23315453638935</v>
      </c>
    </row>
    <row r="14" spans="1:13" s="541" customFormat="1" ht="21" hidden="1" customHeight="1" x14ac:dyDescent="0.3">
      <c r="B14" s="531" t="s">
        <v>870</v>
      </c>
      <c r="C14" s="623">
        <f>IRR(C13:I13,0.5)</f>
        <v>3.3771339130890654</v>
      </c>
      <c r="D14" s="623"/>
      <c r="E14" s="623"/>
      <c r="F14" s="623"/>
      <c r="G14" s="623"/>
      <c r="H14" s="623"/>
      <c r="I14" s="623"/>
      <c r="J14" s="526"/>
      <c r="K14" s="526"/>
      <c r="L14" s="526"/>
      <c r="M14" s="526"/>
    </row>
    <row r="15" spans="1:13" x14ac:dyDescent="0.3">
      <c r="B15" s="542"/>
      <c r="C15" s="543"/>
      <c r="D15" s="544"/>
      <c r="E15" s="543"/>
      <c r="F15" s="545"/>
      <c r="G15" s="546"/>
      <c r="H15" s="547"/>
      <c r="I15" s="546"/>
      <c r="K15" s="548"/>
      <c r="L15" s="548"/>
    </row>
    <row r="16" spans="1:13" x14ac:dyDescent="0.3">
      <c r="A16" s="549">
        <v>0.02</v>
      </c>
      <c r="B16" s="524" t="s">
        <v>772</v>
      </c>
      <c r="C16" s="549">
        <f>D57</f>
        <v>0.105</v>
      </c>
      <c r="D16" s="524"/>
      <c r="E16" s="524"/>
      <c r="F16" s="524"/>
      <c r="G16" s="524"/>
      <c r="H16" s="524"/>
      <c r="I16" s="524"/>
      <c r="J16" s="550"/>
      <c r="K16" s="551"/>
      <c r="L16" s="551"/>
      <c r="M16" s="552"/>
    </row>
    <row r="17" spans="1:14" ht="15" hidden="1" customHeight="1" x14ac:dyDescent="0.3">
      <c r="B17" s="524"/>
      <c r="C17" s="524"/>
      <c r="D17" s="524"/>
      <c r="E17" s="524"/>
      <c r="F17" s="524"/>
      <c r="G17" s="524"/>
      <c r="H17" s="524"/>
      <c r="I17" s="524"/>
    </row>
    <row r="18" spans="1:14" s="526" customFormat="1" ht="15" hidden="1" customHeight="1" x14ac:dyDescent="0.3">
      <c r="A18" s="524"/>
      <c r="B18" s="524" t="s">
        <v>875</v>
      </c>
      <c r="C18" s="524"/>
      <c r="D18" s="524"/>
      <c r="E18" s="524"/>
      <c r="F18" s="524"/>
      <c r="G18" s="524"/>
      <c r="H18" s="524"/>
      <c r="I18" s="524"/>
      <c r="N18" s="524"/>
    </row>
    <row r="19" spans="1:14" s="526" customFormat="1" ht="15" hidden="1" customHeight="1" x14ac:dyDescent="0.3">
      <c r="A19" s="524"/>
      <c r="B19" s="524" t="s">
        <v>876</v>
      </c>
      <c r="C19" s="524">
        <f t="shared" ref="C19:I19" si="5">C4</f>
        <v>2025</v>
      </c>
      <c r="D19" s="524">
        <f t="shared" si="5"/>
        <v>2026</v>
      </c>
      <c r="E19" s="524">
        <f t="shared" si="5"/>
        <v>2027</v>
      </c>
      <c r="F19" s="524">
        <f t="shared" si="5"/>
        <v>2028</v>
      </c>
      <c r="G19" s="524">
        <f t="shared" si="5"/>
        <v>2029</v>
      </c>
      <c r="H19" s="524">
        <f t="shared" si="5"/>
        <v>2030</v>
      </c>
      <c r="I19" s="524">
        <f t="shared" si="5"/>
        <v>2031</v>
      </c>
      <c r="J19" s="553"/>
      <c r="N19" s="524"/>
    </row>
    <row r="20" spans="1:14" s="526" customFormat="1" ht="15" hidden="1" customHeight="1" x14ac:dyDescent="0.3">
      <c r="A20" s="524"/>
      <c r="B20" s="524" t="s">
        <v>877</v>
      </c>
      <c r="C20" s="524">
        <v>0.13</v>
      </c>
      <c r="D20" s="524">
        <f>C20</f>
        <v>0.13</v>
      </c>
      <c r="E20" s="524">
        <f t="shared" ref="E20:I20" si="6">D20</f>
        <v>0.13</v>
      </c>
      <c r="F20" s="524">
        <f t="shared" si="6"/>
        <v>0.13</v>
      </c>
      <c r="G20" s="524">
        <f t="shared" si="6"/>
        <v>0.13</v>
      </c>
      <c r="H20" s="524">
        <f t="shared" si="6"/>
        <v>0.13</v>
      </c>
      <c r="I20" s="524">
        <f t="shared" si="6"/>
        <v>0.13</v>
      </c>
      <c r="J20" s="551"/>
      <c r="N20" s="524"/>
    </row>
    <row r="21" spans="1:14" s="526" customFormat="1" ht="15" hidden="1" customHeight="1" x14ac:dyDescent="0.3">
      <c r="A21" s="524"/>
      <c r="B21" s="524" t="s">
        <v>878</v>
      </c>
      <c r="C21" s="524">
        <v>0.2</v>
      </c>
      <c r="D21" s="524">
        <v>0.2</v>
      </c>
      <c r="E21" s="524">
        <v>0.2</v>
      </c>
      <c r="F21" s="524">
        <v>0.2</v>
      </c>
      <c r="G21" s="524">
        <v>0.2</v>
      </c>
      <c r="H21" s="524">
        <v>0.2</v>
      </c>
      <c r="I21" s="524">
        <v>0.2</v>
      </c>
      <c r="J21" s="551"/>
      <c r="N21" s="524"/>
    </row>
    <row r="22" spans="1:14" s="526" customFormat="1" ht="15" hidden="1" customHeight="1" x14ac:dyDescent="0.3">
      <c r="A22" s="524"/>
      <c r="B22" s="524" t="s">
        <v>879</v>
      </c>
      <c r="C22" s="524">
        <v>0</v>
      </c>
      <c r="D22" s="524">
        <v>0</v>
      </c>
      <c r="E22" s="524">
        <v>0</v>
      </c>
      <c r="F22" s="524">
        <v>0</v>
      </c>
      <c r="G22" s="524">
        <v>0</v>
      </c>
      <c r="H22" s="524">
        <v>0</v>
      </c>
      <c r="I22" s="524">
        <v>0</v>
      </c>
      <c r="J22" s="554"/>
      <c r="N22" s="524"/>
    </row>
    <row r="23" spans="1:14" s="526" customFormat="1" ht="15" hidden="1" customHeight="1" x14ac:dyDescent="0.3">
      <c r="A23" s="524"/>
      <c r="B23" s="524" t="s">
        <v>880</v>
      </c>
      <c r="C23" s="524">
        <v>0.33989999999999998</v>
      </c>
      <c r="D23" s="524">
        <v>0.33989999999999998</v>
      </c>
      <c r="E23" s="524">
        <v>0.33989999999999998</v>
      </c>
      <c r="F23" s="524">
        <v>0.33989999999999998</v>
      </c>
      <c r="G23" s="524">
        <v>0.33989999999999998</v>
      </c>
      <c r="H23" s="524">
        <v>0.33989999999999998</v>
      </c>
      <c r="I23" s="524">
        <v>0.33989999999999998</v>
      </c>
      <c r="J23" s="554"/>
      <c r="N23" s="524"/>
    </row>
    <row r="24" spans="1:14" s="526" customFormat="1" ht="15" hidden="1" customHeight="1" x14ac:dyDescent="0.3">
      <c r="A24" s="524"/>
      <c r="B24" s="524" t="s">
        <v>881</v>
      </c>
      <c r="C24" s="524">
        <f>C20*C22*(1-C23)+C21*(1-C22)</f>
        <v>0.2</v>
      </c>
      <c r="D24" s="524">
        <f>D20*D22*(1-D23)+D21*(1-D22)</f>
        <v>0.2</v>
      </c>
      <c r="E24" s="524">
        <f>E20*E22*(1-E23)+E21*(1-E22)</f>
        <v>0.2</v>
      </c>
      <c r="F24" s="524">
        <f t="shared" ref="F24:I24" si="7">F20*F22*(1-F23)+F21*(1-F22)</f>
        <v>0.2</v>
      </c>
      <c r="G24" s="524">
        <f t="shared" si="7"/>
        <v>0.2</v>
      </c>
      <c r="H24" s="524">
        <f t="shared" si="7"/>
        <v>0.2</v>
      </c>
      <c r="I24" s="524">
        <f t="shared" si="7"/>
        <v>0.2</v>
      </c>
      <c r="J24" s="555"/>
      <c r="N24" s="524"/>
    </row>
    <row r="25" spans="1:14" s="526" customFormat="1" ht="15" hidden="1" customHeight="1" x14ac:dyDescent="0.3">
      <c r="A25" s="524"/>
      <c r="B25" s="524" t="s">
        <v>882</v>
      </c>
      <c r="C25" s="524"/>
      <c r="D25" s="524"/>
      <c r="E25" s="524">
        <f>1/(1+E24)</f>
        <v>0.83333333333333337</v>
      </c>
      <c r="F25" s="524">
        <f t="shared" ref="F25:I25" si="8">E25/(1+F24)</f>
        <v>0.69444444444444453</v>
      </c>
      <c r="G25" s="524">
        <f t="shared" si="8"/>
        <v>0.57870370370370383</v>
      </c>
      <c r="H25" s="524">
        <f t="shared" si="8"/>
        <v>0.48225308641975323</v>
      </c>
      <c r="I25" s="524">
        <f t="shared" si="8"/>
        <v>0.40187757201646102</v>
      </c>
      <c r="J25" s="556"/>
      <c r="N25" s="524"/>
    </row>
    <row r="26" spans="1:14" s="526" customFormat="1" ht="15" hidden="1" customHeight="1" x14ac:dyDescent="0.3">
      <c r="A26" s="524"/>
      <c r="B26" s="524"/>
      <c r="C26" s="524"/>
      <c r="D26" s="524"/>
      <c r="E26" s="524"/>
      <c r="F26" s="524"/>
      <c r="G26" s="524"/>
      <c r="H26" s="524"/>
      <c r="I26" s="524"/>
      <c r="N26" s="524"/>
    </row>
    <row r="27" spans="1:14" s="526" customFormat="1" ht="15" hidden="1" customHeight="1" x14ac:dyDescent="0.3">
      <c r="A27" s="524"/>
      <c r="B27" s="524"/>
      <c r="C27" s="524"/>
      <c r="D27" s="524"/>
      <c r="E27" s="524"/>
      <c r="F27" s="524"/>
      <c r="G27" s="524"/>
      <c r="H27" s="524"/>
      <c r="I27" s="524"/>
      <c r="N27" s="524"/>
    </row>
    <row r="28" spans="1:14" s="526" customFormat="1" ht="15" hidden="1" customHeight="1" x14ac:dyDescent="0.3">
      <c r="A28" s="524"/>
      <c r="B28" s="524"/>
      <c r="C28" s="524"/>
      <c r="D28" s="524"/>
      <c r="E28" s="524"/>
      <c r="F28" s="524"/>
      <c r="G28" s="524"/>
      <c r="H28" s="524"/>
      <c r="I28" s="524"/>
      <c r="N28" s="524"/>
    </row>
    <row r="29" spans="1:14" s="526" customFormat="1" ht="15" hidden="1" customHeight="1" x14ac:dyDescent="0.3">
      <c r="A29" s="524"/>
      <c r="B29" s="524"/>
      <c r="C29" s="524"/>
      <c r="D29" s="524"/>
      <c r="E29" s="524"/>
      <c r="F29" s="524"/>
      <c r="G29" s="524"/>
      <c r="H29" s="524"/>
      <c r="I29" s="524"/>
      <c r="N29" s="524"/>
    </row>
    <row r="30" spans="1:14" s="526" customFormat="1" ht="15" hidden="1" customHeight="1" x14ac:dyDescent="0.3">
      <c r="A30" s="524"/>
      <c r="B30" s="524"/>
      <c r="C30" s="524"/>
      <c r="D30" s="524"/>
      <c r="E30" s="524"/>
      <c r="F30" s="524"/>
      <c r="G30" s="524"/>
      <c r="H30" s="524"/>
      <c r="I30" s="524"/>
      <c r="N30" s="524"/>
    </row>
    <row r="31" spans="1:14" s="526" customFormat="1" ht="15" hidden="1" customHeight="1" x14ac:dyDescent="0.3">
      <c r="A31" s="524"/>
      <c r="B31" s="524"/>
      <c r="C31" s="524"/>
      <c r="D31" s="524"/>
      <c r="E31" s="524"/>
      <c r="F31" s="524"/>
      <c r="G31" s="524"/>
      <c r="H31" s="524"/>
      <c r="I31" s="524"/>
      <c r="N31" s="524"/>
    </row>
    <row r="32" spans="1:14" s="526" customFormat="1" ht="15" hidden="1" customHeight="1" x14ac:dyDescent="0.3">
      <c r="A32" s="524"/>
      <c r="B32" s="524"/>
      <c r="C32" s="524"/>
      <c r="D32" s="524"/>
      <c r="E32" s="524"/>
      <c r="F32" s="524"/>
      <c r="G32" s="524"/>
      <c r="H32" s="524"/>
      <c r="I32" s="524"/>
      <c r="J32" s="557"/>
      <c r="N32" s="524"/>
    </row>
    <row r="33" spans="1:14" s="526" customFormat="1" ht="15" hidden="1" customHeight="1" x14ac:dyDescent="0.3">
      <c r="A33" s="524"/>
      <c r="B33" s="524"/>
      <c r="C33" s="524"/>
      <c r="D33" s="524"/>
      <c r="E33" s="524"/>
      <c r="F33" s="524"/>
      <c r="G33" s="524"/>
      <c r="H33" s="524"/>
      <c r="I33" s="524"/>
      <c r="N33" s="524"/>
    </row>
    <row r="34" spans="1:14" s="526" customFormat="1" ht="15" hidden="1" customHeight="1" x14ac:dyDescent="0.3">
      <c r="A34" s="524"/>
      <c r="B34" s="524"/>
      <c r="C34" s="524"/>
      <c r="D34" s="524"/>
      <c r="E34" s="524"/>
      <c r="F34" s="524"/>
      <c r="G34" s="524"/>
      <c r="H34" s="524"/>
      <c r="I34" s="524"/>
      <c r="N34" s="524"/>
    </row>
    <row r="35" spans="1:14" s="526" customFormat="1" ht="15" hidden="1" customHeight="1" x14ac:dyDescent="0.3">
      <c r="A35" s="524"/>
      <c r="B35" s="524"/>
      <c r="C35" s="524"/>
      <c r="D35" s="524"/>
      <c r="E35" s="524"/>
      <c r="F35" s="524"/>
      <c r="G35" s="524"/>
      <c r="H35" s="524"/>
      <c r="I35" s="524"/>
      <c r="N35" s="524"/>
    </row>
    <row r="36" spans="1:14" s="526" customFormat="1" ht="15" hidden="1" customHeight="1" x14ac:dyDescent="0.3">
      <c r="A36" s="524"/>
      <c r="B36" s="524"/>
      <c r="C36" s="524"/>
      <c r="D36" s="524"/>
      <c r="E36" s="524"/>
      <c r="F36" s="524"/>
      <c r="G36" s="524"/>
      <c r="H36" s="524"/>
      <c r="I36" s="524"/>
      <c r="N36" s="524"/>
    </row>
    <row r="37" spans="1:14" s="526" customFormat="1" x14ac:dyDescent="0.3">
      <c r="A37" s="524"/>
      <c r="B37" s="3" t="s">
        <v>773</v>
      </c>
      <c r="C37" s="558">
        <v>5.0000000000000001E-3</v>
      </c>
      <c r="D37" s="524"/>
      <c r="E37" s="524"/>
      <c r="F37" s="524"/>
      <c r="G37" s="524"/>
      <c r="H37" s="524"/>
      <c r="I37" s="524"/>
      <c r="J37" s="551"/>
      <c r="K37" s="551"/>
      <c r="L37" s="551"/>
      <c r="N37" s="524"/>
    </row>
    <row r="38" spans="1:14" s="526" customFormat="1" x14ac:dyDescent="0.3">
      <c r="A38" s="524"/>
      <c r="B38" s="3"/>
      <c r="C38" s="558"/>
      <c r="D38" s="524"/>
      <c r="E38" s="524"/>
      <c r="F38" s="524"/>
      <c r="G38" s="524"/>
      <c r="H38" s="524"/>
      <c r="I38" s="524"/>
      <c r="J38" s="551"/>
      <c r="K38" s="551"/>
      <c r="L38" s="551"/>
      <c r="N38" s="524"/>
    </row>
    <row r="39" spans="1:14" s="526" customFormat="1" x14ac:dyDescent="0.3">
      <c r="A39" s="524"/>
      <c r="B39" s="559" t="s">
        <v>883</v>
      </c>
      <c r="C39" s="560" t="s">
        <v>884</v>
      </c>
      <c r="D39" s="561">
        <v>1.35E-2</v>
      </c>
      <c r="E39" s="562"/>
      <c r="F39" s="563" t="s">
        <v>885</v>
      </c>
      <c r="G39" s="524"/>
      <c r="H39" s="524"/>
      <c r="I39" s="524"/>
      <c r="J39" s="551"/>
      <c r="K39" s="551"/>
      <c r="L39" s="551"/>
      <c r="N39" s="524"/>
    </row>
    <row r="40" spans="1:14" s="526" customFormat="1" x14ac:dyDescent="0.3">
      <c r="A40" s="524"/>
      <c r="B40" s="564" t="s">
        <v>886</v>
      </c>
      <c r="C40" s="565" t="str">
        <f>C39</f>
        <v>Median</v>
      </c>
      <c r="D40" s="566">
        <v>0.79</v>
      </c>
      <c r="E40" s="567"/>
      <c r="F40" s="563" t="s">
        <v>885</v>
      </c>
      <c r="G40" s="524"/>
      <c r="H40" s="524"/>
      <c r="I40" s="524"/>
      <c r="J40" s="551"/>
      <c r="K40" s="551"/>
      <c r="L40" s="551"/>
      <c r="N40" s="524"/>
    </row>
    <row r="41" spans="1:14" s="526" customFormat="1" x14ac:dyDescent="0.3">
      <c r="A41" s="524"/>
      <c r="B41" s="564" t="s">
        <v>838</v>
      </c>
      <c r="C41" s="565"/>
      <c r="D41" s="568">
        <v>0.34939999999999999</v>
      </c>
      <c r="E41" s="567"/>
      <c r="F41" s="567"/>
      <c r="G41" s="524"/>
      <c r="H41" s="524"/>
      <c r="I41" s="524"/>
      <c r="J41" s="551"/>
      <c r="K41" s="551"/>
      <c r="L41" s="551"/>
      <c r="N41" s="524"/>
    </row>
    <row r="42" spans="1:14" s="526" customFormat="1" x14ac:dyDescent="0.3">
      <c r="A42" s="524"/>
      <c r="B42" s="569" t="s">
        <v>887</v>
      </c>
      <c r="C42" s="565" t="s">
        <v>888</v>
      </c>
      <c r="D42" s="566">
        <f>D40*(1+(1-D41)*D39)</f>
        <v>0.79693864900000011</v>
      </c>
      <c r="E42" s="567"/>
      <c r="F42" s="567"/>
      <c r="G42" s="524"/>
      <c r="H42" s="524"/>
      <c r="I42" s="524"/>
      <c r="J42" s="551"/>
      <c r="K42" s="551"/>
      <c r="L42" s="551"/>
      <c r="N42" s="524"/>
    </row>
    <row r="43" spans="1:14" s="526" customFormat="1" x14ac:dyDescent="0.3">
      <c r="A43" s="524"/>
      <c r="B43" s="564"/>
      <c r="C43" s="565"/>
      <c r="D43" s="570"/>
      <c r="E43" s="570"/>
      <c r="F43" s="570"/>
      <c r="G43" s="524"/>
      <c r="H43" s="524"/>
      <c r="I43" s="524"/>
      <c r="J43" s="551"/>
      <c r="K43" s="551"/>
      <c r="L43" s="551"/>
      <c r="N43" s="524"/>
    </row>
    <row r="44" spans="1:14" s="526" customFormat="1" x14ac:dyDescent="0.3">
      <c r="A44" s="524"/>
      <c r="B44" s="571" t="s">
        <v>889</v>
      </c>
      <c r="C44" s="565"/>
      <c r="D44" s="570"/>
      <c r="E44" s="570"/>
      <c r="F44" s="570"/>
      <c r="G44" s="524"/>
      <c r="H44" s="524"/>
      <c r="I44" s="571" t="s">
        <v>889</v>
      </c>
      <c r="J44" s="551"/>
      <c r="K44" s="551"/>
      <c r="L44" s="551"/>
      <c r="N44" s="524"/>
    </row>
    <row r="45" spans="1:14" s="526" customFormat="1" x14ac:dyDescent="0.3">
      <c r="A45" s="524"/>
      <c r="B45" s="564" t="s">
        <v>890</v>
      </c>
      <c r="C45" s="565"/>
      <c r="D45" s="570">
        <v>7.4200000000000002E-2</v>
      </c>
      <c r="E45" s="572" t="s">
        <v>891</v>
      </c>
      <c r="F45" s="570"/>
      <c r="G45" s="524"/>
      <c r="H45" s="524"/>
      <c r="I45" s="571" t="s">
        <v>899</v>
      </c>
      <c r="J45" s="551"/>
      <c r="K45" s="551"/>
      <c r="L45" s="551"/>
      <c r="N45" s="524"/>
    </row>
    <row r="46" spans="1:14" s="526" customFormat="1" x14ac:dyDescent="0.3">
      <c r="A46" s="524"/>
      <c r="B46" s="564" t="s">
        <v>892</v>
      </c>
      <c r="C46" s="565"/>
      <c r="D46" s="573">
        <f>+D45+D47</f>
        <v>0.15229999999999999</v>
      </c>
      <c r="E46" s="574" t="s">
        <v>893</v>
      </c>
      <c r="F46" s="570"/>
      <c r="G46" s="524"/>
      <c r="H46" s="524"/>
      <c r="I46" s="524"/>
      <c r="J46" s="551"/>
      <c r="K46" s="551"/>
      <c r="L46" s="551"/>
      <c r="N46" s="524"/>
    </row>
    <row r="47" spans="1:14" s="526" customFormat="1" x14ac:dyDescent="0.3">
      <c r="A47" s="524"/>
      <c r="B47" s="564" t="s">
        <v>894</v>
      </c>
      <c r="C47" s="565"/>
      <c r="D47" s="570">
        <v>7.8100000000000003E-2</v>
      </c>
      <c r="E47" s="574" t="s">
        <v>895</v>
      </c>
      <c r="F47" s="570"/>
      <c r="G47" s="524"/>
      <c r="H47" s="524"/>
      <c r="I47" s="524"/>
      <c r="J47" s="551"/>
      <c r="K47" s="551"/>
      <c r="L47" s="551"/>
      <c r="N47" s="524"/>
    </row>
    <row r="48" spans="1:14" s="526" customFormat="1" x14ac:dyDescent="0.3">
      <c r="A48" s="524"/>
      <c r="B48" s="564" t="s">
        <v>896</v>
      </c>
      <c r="C48" s="565"/>
      <c r="D48" s="575">
        <f>D42</f>
        <v>0.79693864900000011</v>
      </c>
      <c r="E48" s="576" t="s">
        <v>801</v>
      </c>
      <c r="F48" s="577"/>
      <c r="G48" s="524"/>
      <c r="H48" s="524"/>
      <c r="I48" s="524"/>
      <c r="J48" s="551"/>
      <c r="K48" s="551"/>
      <c r="L48" s="551"/>
      <c r="N48" s="524"/>
    </row>
    <row r="49" spans="1:14" s="526" customFormat="1" x14ac:dyDescent="0.3">
      <c r="A49" s="524"/>
      <c r="B49" s="564" t="s">
        <v>897</v>
      </c>
      <c r="C49" s="565"/>
      <c r="D49" s="578">
        <v>0</v>
      </c>
      <c r="E49" s="574" t="s">
        <v>898</v>
      </c>
      <c r="F49" s="577"/>
      <c r="G49" s="524"/>
      <c r="H49" s="524"/>
      <c r="I49" s="524"/>
      <c r="J49" s="551"/>
      <c r="K49" s="551"/>
      <c r="L49" s="551"/>
      <c r="N49" s="524"/>
    </row>
    <row r="50" spans="1:14" x14ac:dyDescent="0.3">
      <c r="B50" s="579" t="s">
        <v>889</v>
      </c>
      <c r="C50" s="579"/>
      <c r="D50" s="580">
        <f>D45+(D48*D47)+D49</f>
        <v>0.13644090848690002</v>
      </c>
      <c r="E50" s="581" t="s">
        <v>801</v>
      </c>
      <c r="F50" s="577"/>
      <c r="G50" s="524"/>
      <c r="H50" s="524"/>
      <c r="I50" s="524"/>
      <c r="J50" s="551"/>
      <c r="K50" s="551"/>
      <c r="L50" s="551"/>
    </row>
    <row r="51" spans="1:14" x14ac:dyDescent="0.3">
      <c r="B51" s="571" t="s">
        <v>899</v>
      </c>
      <c r="C51" s="582"/>
      <c r="D51" s="583"/>
      <c r="E51" s="584"/>
      <c r="F51" s="577"/>
      <c r="G51" s="524"/>
      <c r="H51" s="524"/>
      <c r="I51" s="524"/>
      <c r="J51" s="551"/>
      <c r="K51" s="551"/>
      <c r="L51" s="551"/>
    </row>
    <row r="52" spans="1:14" x14ac:dyDescent="0.3">
      <c r="B52" s="564" t="s">
        <v>900</v>
      </c>
      <c r="C52" s="565"/>
      <c r="D52" s="570">
        <v>0.11</v>
      </c>
      <c r="E52" s="574" t="s">
        <v>901</v>
      </c>
      <c r="F52" s="577"/>
      <c r="G52" s="524"/>
      <c r="H52" s="524"/>
      <c r="I52" s="524"/>
      <c r="J52" s="551"/>
      <c r="K52" s="551"/>
      <c r="L52" s="551"/>
    </row>
    <row r="53" spans="1:14" x14ac:dyDescent="0.3">
      <c r="B53" s="564" t="s">
        <v>902</v>
      </c>
      <c r="C53" s="565"/>
      <c r="D53" s="568">
        <v>0.34939999999999999</v>
      </c>
      <c r="E53" s="585" t="s">
        <v>903</v>
      </c>
      <c r="F53" s="577"/>
      <c r="G53" s="524"/>
      <c r="H53" s="524"/>
      <c r="I53" s="524"/>
      <c r="J53" s="551"/>
      <c r="K53" s="551"/>
      <c r="L53" s="551"/>
    </row>
    <row r="54" spans="1:14" x14ac:dyDescent="0.3">
      <c r="B54" s="564" t="s">
        <v>904</v>
      </c>
      <c r="C54" s="565"/>
      <c r="D54" s="570">
        <f>D52*(1-D53)</f>
        <v>7.1566000000000005E-2</v>
      </c>
      <c r="E54" s="581" t="s">
        <v>801</v>
      </c>
      <c r="F54" s="577"/>
      <c r="G54" s="524"/>
      <c r="H54" s="524"/>
      <c r="I54" s="524"/>
      <c r="J54" s="551"/>
      <c r="K54" s="551"/>
      <c r="L54" s="551"/>
    </row>
    <row r="55" spans="1:14" x14ac:dyDescent="0.3">
      <c r="B55" s="564" t="s">
        <v>905</v>
      </c>
      <c r="C55" s="565" t="s">
        <v>888</v>
      </c>
      <c r="D55" s="575">
        <f>'Capex Assumption'!F17</f>
        <v>0.97440561257632841</v>
      </c>
      <c r="E55" s="576" t="s">
        <v>801</v>
      </c>
      <c r="F55" s="586"/>
      <c r="G55" s="524"/>
      <c r="H55" s="524"/>
      <c r="I55" s="524"/>
      <c r="J55" s="551"/>
      <c r="K55" s="551"/>
      <c r="L55" s="551"/>
    </row>
    <row r="56" spans="1:14" x14ac:dyDescent="0.3">
      <c r="B56" s="579" t="s">
        <v>881</v>
      </c>
      <c r="C56" s="579"/>
      <c r="D56" s="580">
        <f>(D50*(1/(1+D55)))+(D54*(D55/(1+D55)))</f>
        <v>0.10442394371413236</v>
      </c>
      <c r="E56" s="587" t="s">
        <v>906</v>
      </c>
      <c r="F56" s="577"/>
      <c r="G56" s="524"/>
      <c r="H56" s="524"/>
      <c r="I56" s="524"/>
      <c r="J56" s="551"/>
      <c r="K56" s="551"/>
      <c r="L56" s="551"/>
    </row>
    <row r="57" spans="1:14" x14ac:dyDescent="0.3">
      <c r="B57" s="579" t="s">
        <v>907</v>
      </c>
      <c r="C57" s="579"/>
      <c r="D57" s="580">
        <f>ROUND(D56*4,2)/4</f>
        <v>0.105</v>
      </c>
      <c r="E57" s="587" t="s">
        <v>801</v>
      </c>
      <c r="F57" s="577"/>
      <c r="G57" s="524"/>
      <c r="H57" s="524"/>
      <c r="I57" s="524"/>
      <c r="J57" s="551"/>
      <c r="K57" s="551"/>
      <c r="L57" s="551"/>
    </row>
    <row r="58" spans="1:14" x14ac:dyDescent="0.3">
      <c r="B58" s="524"/>
      <c r="C58" s="524"/>
      <c r="D58" s="524"/>
      <c r="E58" s="524"/>
      <c r="F58" s="524"/>
      <c r="G58" s="524"/>
      <c r="H58" s="524"/>
      <c r="I58" s="524"/>
      <c r="J58" s="524"/>
      <c r="K58" s="524"/>
      <c r="L58" s="524"/>
      <c r="M58" s="524"/>
    </row>
    <row r="59" spans="1:14" x14ac:dyDescent="0.3">
      <c r="B59" s="533" t="s">
        <v>908</v>
      </c>
      <c r="C59" s="534">
        <f>C5/12</f>
        <v>1</v>
      </c>
      <c r="D59" s="534">
        <f>C59+1</f>
        <v>2</v>
      </c>
      <c r="E59" s="534">
        <f t="shared" ref="E59:I59" si="9">D59+1</f>
        <v>3</v>
      </c>
      <c r="F59" s="534">
        <f t="shared" si="9"/>
        <v>4</v>
      </c>
      <c r="G59" s="534">
        <f t="shared" si="9"/>
        <v>5</v>
      </c>
      <c r="H59" s="534">
        <f t="shared" si="9"/>
        <v>6</v>
      </c>
      <c r="I59" s="534">
        <f t="shared" si="9"/>
        <v>7</v>
      </c>
      <c r="J59" s="534"/>
      <c r="K59" s="534"/>
      <c r="L59" s="534"/>
      <c r="M59" s="534"/>
    </row>
    <row r="60" spans="1:14" x14ac:dyDescent="0.3">
      <c r="B60" s="533"/>
      <c r="C60" s="551"/>
      <c r="D60" s="551"/>
    </row>
    <row r="61" spans="1:14" x14ac:dyDescent="0.3">
      <c r="B61" s="533" t="s">
        <v>774</v>
      </c>
      <c r="C61" s="588">
        <f>1/(1+$C$16)^C59</f>
        <v>0.90497737556561086</v>
      </c>
      <c r="D61" s="588">
        <f t="shared" ref="D61:I61" si="10">1/(1+$C$16)^D59</f>
        <v>0.81898405028562071</v>
      </c>
      <c r="E61" s="588">
        <f t="shared" si="10"/>
        <v>0.74116203645757528</v>
      </c>
      <c r="F61" s="588">
        <f t="shared" si="10"/>
        <v>0.67073487462224002</v>
      </c>
      <c r="G61" s="588">
        <f t="shared" si="10"/>
        <v>0.60699988653596382</v>
      </c>
      <c r="H61" s="588">
        <f t="shared" si="10"/>
        <v>0.54932116428594002</v>
      </c>
      <c r="I61" s="588">
        <f t="shared" si="10"/>
        <v>0.49712322559813582</v>
      </c>
      <c r="J61" s="588"/>
      <c r="K61" s="588"/>
      <c r="L61" s="588"/>
      <c r="M61" s="588"/>
    </row>
    <row r="63" spans="1:14" x14ac:dyDescent="0.3">
      <c r="B63" s="3" t="s">
        <v>775</v>
      </c>
      <c r="C63" s="534">
        <f>C13*C61</f>
        <v>-28.21897572939497</v>
      </c>
      <c r="D63" s="534">
        <f t="shared" ref="D63:I63" si="11">D13*D61</f>
        <v>59.199006664226133</v>
      </c>
      <c r="E63" s="534">
        <f t="shared" si="11"/>
        <v>153.6598876053458</v>
      </c>
      <c r="F63" s="534">
        <f t="shared" si="11"/>
        <v>164.50166567349976</v>
      </c>
      <c r="G63" s="534">
        <f t="shared" si="11"/>
        <v>158.23164079033469</v>
      </c>
      <c r="H63" s="534">
        <f t="shared" si="11"/>
        <v>151.08948669704978</v>
      </c>
      <c r="I63" s="588">
        <f t="shared" si="11"/>
        <v>144.2816419586521</v>
      </c>
      <c r="J63" s="534"/>
      <c r="K63" s="534"/>
      <c r="L63" s="534"/>
      <c r="M63" s="534"/>
    </row>
    <row r="64" spans="1:14" x14ac:dyDescent="0.3">
      <c r="B64" s="3" t="s">
        <v>771</v>
      </c>
      <c r="C64" s="588"/>
      <c r="I64" s="588">
        <f>BS!P133+BS!P146</f>
        <v>177.35116566749997</v>
      </c>
    </row>
    <row r="65" spans="2:14" x14ac:dyDescent="0.3">
      <c r="B65" s="3" t="s">
        <v>776</v>
      </c>
      <c r="C65" s="588"/>
      <c r="D65" s="589"/>
      <c r="I65" s="588">
        <f>I64*I61</f>
        <v>88.165383540216951</v>
      </c>
    </row>
    <row r="66" spans="2:14" x14ac:dyDescent="0.3">
      <c r="B66" s="3" t="s">
        <v>909</v>
      </c>
      <c r="C66" s="588">
        <f>C63+C65</f>
        <v>-28.21897572939497</v>
      </c>
      <c r="D66" s="588">
        <f t="shared" ref="D66:I66" si="12">D63+D65</f>
        <v>59.199006664226133</v>
      </c>
      <c r="E66" s="588">
        <f t="shared" si="12"/>
        <v>153.6598876053458</v>
      </c>
      <c r="F66" s="588">
        <f t="shared" si="12"/>
        <v>164.50166567349976</v>
      </c>
      <c r="G66" s="588">
        <f t="shared" si="12"/>
        <v>158.23164079033469</v>
      </c>
      <c r="H66" s="588">
        <f t="shared" si="12"/>
        <v>151.08948669704978</v>
      </c>
      <c r="I66" s="588">
        <f t="shared" si="12"/>
        <v>232.44702549886904</v>
      </c>
      <c r="J66" s="588"/>
      <c r="K66" s="588"/>
      <c r="L66" s="588"/>
      <c r="M66" s="588"/>
    </row>
    <row r="67" spans="2:14" x14ac:dyDescent="0.3">
      <c r="B67" s="542"/>
      <c r="C67" s="551"/>
      <c r="D67" s="551"/>
    </row>
    <row r="68" spans="2:14" x14ac:dyDescent="0.3">
      <c r="B68" s="531" t="s">
        <v>777</v>
      </c>
      <c r="C68" s="622">
        <f>SUM(C66:I66)</f>
        <v>890.90973719993019</v>
      </c>
      <c r="D68" s="622"/>
      <c r="E68" s="622"/>
      <c r="F68" s="622"/>
      <c r="G68" s="622"/>
      <c r="H68" s="622"/>
      <c r="I68" s="622"/>
      <c r="J68" s="588"/>
      <c r="K68" s="588"/>
      <c r="L68" s="588"/>
      <c r="M68" s="588"/>
    </row>
    <row r="69" spans="2:14" x14ac:dyDescent="0.3">
      <c r="B69" s="542"/>
      <c r="C69" s="590"/>
      <c r="D69" s="551"/>
    </row>
    <row r="70" spans="2:14" x14ac:dyDescent="0.3">
      <c r="B70" s="542"/>
      <c r="C70" s="551"/>
    </row>
    <row r="71" spans="2:14" x14ac:dyDescent="0.3">
      <c r="B71" s="591" t="s">
        <v>910</v>
      </c>
      <c r="C71" s="532">
        <f>C4</f>
        <v>2025</v>
      </c>
      <c r="D71" s="532">
        <f t="shared" ref="D71:I71" si="13">D4</f>
        <v>2026</v>
      </c>
      <c r="E71" s="532">
        <f t="shared" si="13"/>
        <v>2027</v>
      </c>
      <c r="F71" s="532">
        <f t="shared" si="13"/>
        <v>2028</v>
      </c>
      <c r="G71" s="532">
        <f t="shared" si="13"/>
        <v>2029</v>
      </c>
      <c r="H71" s="532">
        <f t="shared" si="13"/>
        <v>2030</v>
      </c>
      <c r="I71" s="532">
        <f t="shared" si="13"/>
        <v>2031</v>
      </c>
      <c r="N71" s="526"/>
    </row>
    <row r="72" spans="2:14" x14ac:dyDescent="0.3">
      <c r="B72" s="592"/>
      <c r="C72" s="592"/>
      <c r="D72" s="593"/>
      <c r="E72" s="594"/>
      <c r="F72" s="595"/>
      <c r="G72" s="595"/>
      <c r="H72" s="595"/>
      <c r="I72" s="595"/>
      <c r="N72" s="526"/>
    </row>
    <row r="73" spans="2:14" x14ac:dyDescent="0.3">
      <c r="B73" s="596" t="s">
        <v>911</v>
      </c>
      <c r="C73" s="588">
        <v>1</v>
      </c>
      <c r="D73" s="588">
        <f>C73+1</f>
        <v>2</v>
      </c>
      <c r="E73" s="588">
        <f t="shared" ref="E73:I73" si="14">D73+1</f>
        <v>3</v>
      </c>
      <c r="F73" s="588">
        <f t="shared" si="14"/>
        <v>4</v>
      </c>
      <c r="G73" s="588">
        <f t="shared" si="14"/>
        <v>5</v>
      </c>
      <c r="H73" s="588">
        <f t="shared" si="14"/>
        <v>6</v>
      </c>
      <c r="I73" s="588">
        <f t="shared" si="14"/>
        <v>7</v>
      </c>
      <c r="N73" s="526"/>
    </row>
    <row r="74" spans="2:14" x14ac:dyDescent="0.3">
      <c r="B74" s="596" t="s">
        <v>912</v>
      </c>
      <c r="C74" s="588">
        <f>'BEP, Sensitivity '!D46</f>
        <v>68.291516282458559</v>
      </c>
      <c r="D74" s="588">
        <f>'BEP, Sensitivity '!E46</f>
        <v>96.730434412276679</v>
      </c>
      <c r="E74" s="588">
        <f>'BEP, Sensitivity '!F46</f>
        <v>180.80518334988676</v>
      </c>
      <c r="F74" s="588">
        <f>'BEP, Sensitivity '!G46</f>
        <v>217.15032270198853</v>
      </c>
      <c r="G74" s="588">
        <f>'BEP, Sensitivity '!H46</f>
        <v>232.26400780192446</v>
      </c>
      <c r="H74" s="588">
        <f>'BEP, Sensitivity '!I46</f>
        <v>246.39155771318056</v>
      </c>
      <c r="I74" s="588">
        <f>'BEP, Sensitivity '!J46</f>
        <v>261.50531735246091</v>
      </c>
      <c r="N74" s="526"/>
    </row>
    <row r="75" spans="2:14" x14ac:dyDescent="0.3">
      <c r="B75" s="596" t="s">
        <v>913</v>
      </c>
      <c r="C75" s="588">
        <f>C74</f>
        <v>68.291516282458559</v>
      </c>
      <c r="D75" s="588">
        <f>C75+D74</f>
        <v>165.02195069473524</v>
      </c>
      <c r="E75" s="588">
        <f t="shared" ref="E75:I75" si="15">D75+E74</f>
        <v>345.82713404462197</v>
      </c>
      <c r="F75" s="588">
        <f t="shared" si="15"/>
        <v>562.97745674661053</v>
      </c>
      <c r="G75" s="588">
        <f t="shared" si="15"/>
        <v>795.24146454853496</v>
      </c>
      <c r="H75" s="588">
        <f t="shared" si="15"/>
        <v>1041.6330222617155</v>
      </c>
      <c r="I75" s="588">
        <f t="shared" si="15"/>
        <v>1303.1383396141764</v>
      </c>
      <c r="N75" s="526"/>
    </row>
    <row r="76" spans="2:14" x14ac:dyDescent="0.3">
      <c r="B76" s="596" t="s">
        <v>914</v>
      </c>
      <c r="C76" s="588">
        <f>'Capex Assumption'!F7</f>
        <v>151.97</v>
      </c>
      <c r="D76" s="588"/>
      <c r="E76" s="588"/>
      <c r="F76" s="588"/>
      <c r="G76" s="588"/>
      <c r="H76" s="588"/>
      <c r="I76" s="588"/>
      <c r="N76" s="526"/>
    </row>
    <row r="77" spans="2:14" x14ac:dyDescent="0.3">
      <c r="B77" s="597" t="s">
        <v>915</v>
      </c>
      <c r="C77" s="598">
        <f>1+(C76-C75)/D74</f>
        <v>1.8650688299495661</v>
      </c>
      <c r="D77" s="598" t="s">
        <v>916</v>
      </c>
      <c r="E77" s="599"/>
      <c r="F77" s="599"/>
      <c r="G77" s="599"/>
      <c r="H77" s="599"/>
      <c r="I77" s="599"/>
      <c r="N77" s="526"/>
    </row>
    <row r="79" spans="2:14" x14ac:dyDescent="0.3">
      <c r="D79" s="600"/>
      <c r="E79" s="600"/>
      <c r="F79" s="600"/>
      <c r="G79" s="600"/>
      <c r="H79" s="600"/>
      <c r="I79" s="601"/>
      <c r="J79" s="600"/>
      <c r="K79" s="600"/>
      <c r="L79" s="600"/>
      <c r="M79" s="600"/>
      <c r="N79" s="602"/>
    </row>
    <row r="80" spans="2:14" x14ac:dyDescent="0.3">
      <c r="B80" s="525">
        <v>2025</v>
      </c>
      <c r="C80" s="525">
        <v>1</v>
      </c>
      <c r="D80" s="603">
        <f>C74</f>
        <v>68.291516282458559</v>
      </c>
      <c r="E80" s="603">
        <f>C75</f>
        <v>68.291516282458559</v>
      </c>
      <c r="I80" s="604"/>
    </row>
    <row r="81" spans="1:14" x14ac:dyDescent="0.3">
      <c r="B81" s="525">
        <f t="shared" ref="B81:C86" si="16">B80+1</f>
        <v>2026</v>
      </c>
      <c r="C81" s="525">
        <f t="shared" si="16"/>
        <v>2</v>
      </c>
      <c r="D81" s="603">
        <f>D74</f>
        <v>96.730434412276679</v>
      </c>
      <c r="E81" s="603">
        <f>D75</f>
        <v>165.02195069473524</v>
      </c>
      <c r="I81" s="604"/>
    </row>
    <row r="82" spans="1:14" s="526" customFormat="1" x14ac:dyDescent="0.3">
      <c r="A82" s="524"/>
      <c r="B82" s="525">
        <f t="shared" si="16"/>
        <v>2027</v>
      </c>
      <c r="C82" s="525">
        <f t="shared" si="16"/>
        <v>3</v>
      </c>
      <c r="D82" s="603">
        <f>E74</f>
        <v>180.80518334988676</v>
      </c>
      <c r="E82" s="603">
        <f>E75</f>
        <v>345.82713404462197</v>
      </c>
      <c r="N82" s="524"/>
    </row>
    <row r="83" spans="1:14" s="526" customFormat="1" x14ac:dyDescent="0.3">
      <c r="A83" s="524"/>
      <c r="B83" s="525">
        <f t="shared" si="16"/>
        <v>2028</v>
      </c>
      <c r="C83" s="525">
        <f t="shared" si="16"/>
        <v>4</v>
      </c>
      <c r="D83" s="603">
        <f>F74</f>
        <v>217.15032270198853</v>
      </c>
      <c r="E83" s="603">
        <f>F75</f>
        <v>562.97745674661053</v>
      </c>
      <c r="N83" s="524"/>
    </row>
    <row r="84" spans="1:14" s="526" customFormat="1" x14ac:dyDescent="0.3">
      <c r="A84" s="524"/>
      <c r="B84" s="525">
        <f t="shared" si="16"/>
        <v>2029</v>
      </c>
      <c r="C84" s="525">
        <f t="shared" si="16"/>
        <v>5</v>
      </c>
      <c r="D84" s="603">
        <f>G74</f>
        <v>232.26400780192446</v>
      </c>
      <c r="E84" s="603">
        <f>G75</f>
        <v>795.24146454853496</v>
      </c>
      <c r="N84" s="524"/>
    </row>
    <row r="85" spans="1:14" s="526" customFormat="1" x14ac:dyDescent="0.3">
      <c r="A85" s="524"/>
      <c r="B85" s="525">
        <f t="shared" si="16"/>
        <v>2030</v>
      </c>
      <c r="C85" s="525">
        <f t="shared" si="16"/>
        <v>6</v>
      </c>
      <c r="D85" s="603">
        <f>H74</f>
        <v>246.39155771318056</v>
      </c>
      <c r="E85" s="603">
        <f>H75</f>
        <v>1041.6330222617155</v>
      </c>
      <c r="N85" s="524"/>
    </row>
    <row r="86" spans="1:14" s="526" customFormat="1" x14ac:dyDescent="0.3">
      <c r="A86" s="524"/>
      <c r="B86" s="525">
        <f t="shared" si="16"/>
        <v>2031</v>
      </c>
      <c r="C86" s="525">
        <f t="shared" si="16"/>
        <v>7</v>
      </c>
      <c r="D86" s="603">
        <f>I74</f>
        <v>261.50531735246091</v>
      </c>
      <c r="E86" s="603">
        <f>I75</f>
        <v>1303.1383396141764</v>
      </c>
      <c r="N86" s="524"/>
    </row>
    <row r="87" spans="1:14" s="526" customFormat="1" x14ac:dyDescent="0.3">
      <c r="A87" s="524"/>
      <c r="B87" s="525"/>
      <c r="C87" s="525"/>
      <c r="D87" s="603">
        <f>SUM(D80:D86)</f>
        <v>1303.1383396141764</v>
      </c>
      <c r="E87" s="603"/>
      <c r="N87" s="524"/>
    </row>
    <row r="88" spans="1:14" s="526" customFormat="1" x14ac:dyDescent="0.3">
      <c r="A88" s="524"/>
      <c r="B88" s="525"/>
      <c r="C88" s="525"/>
      <c r="D88" s="603"/>
      <c r="E88" s="603"/>
      <c r="N88" s="524"/>
    </row>
    <row r="89" spans="1:14" s="526" customFormat="1" x14ac:dyDescent="0.3">
      <c r="A89" s="524"/>
      <c r="B89" s="525"/>
      <c r="C89" s="525"/>
      <c r="D89" s="603"/>
      <c r="E89" s="603"/>
      <c r="N89" s="524"/>
    </row>
    <row r="90" spans="1:14" s="526" customFormat="1" x14ac:dyDescent="0.3">
      <c r="A90" s="524"/>
      <c r="B90" s="525"/>
      <c r="C90" s="525"/>
      <c r="D90" s="603"/>
      <c r="E90" s="603"/>
      <c r="N90" s="524"/>
    </row>
    <row r="91" spans="1:14" s="526" customFormat="1" x14ac:dyDescent="0.3">
      <c r="A91" s="524"/>
      <c r="B91" s="525"/>
      <c r="C91" s="525"/>
      <c r="D91" s="605"/>
      <c r="E91" s="525"/>
      <c r="N91" s="524"/>
    </row>
  </sheetData>
  <mergeCells count="2">
    <mergeCell ref="C68:I68"/>
    <mergeCell ref="C14:I14"/>
  </mergeCells>
  <dataValidations disablePrompts="1" count="1">
    <dataValidation type="list" allowBlank="1" showInputMessage="1" showErrorMessage="1" sqref="C39" xr:uid="{A62D6CDD-90D2-452C-BB4C-7697167BBDCE}">
      <formula1>$B$19:$B$20</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D3119-77AE-42F1-8625-4ECE8F724D14}">
  <dimension ref="A1:CU197"/>
  <sheetViews>
    <sheetView topLeftCell="A7" workbookViewId="0">
      <selection activeCell="A30" sqref="A30:K30"/>
    </sheetView>
  </sheetViews>
  <sheetFormatPr defaultRowHeight="14.4" x14ac:dyDescent="0.3"/>
  <cols>
    <col min="1" max="1" width="27.33203125" customWidth="1"/>
    <col min="2" max="2" width="5.5546875" bestFit="1" customWidth="1"/>
    <col min="3" max="3" width="6.6640625" bestFit="1" customWidth="1"/>
    <col min="4" max="11" width="9.33203125" bestFit="1" customWidth="1"/>
    <col min="12" max="91" width="8.33203125" customWidth="1"/>
  </cols>
  <sheetData>
    <row r="1" spans="1:88" ht="21" x14ac:dyDescent="0.4">
      <c r="A1" s="492" t="str">
        <f>Assumptions!A1</f>
        <v xml:space="preserve">GUJARAT THEMIS BIOSYN LIMITED </v>
      </c>
      <c r="B1" s="492"/>
      <c r="C1" s="492"/>
      <c r="D1" s="492"/>
      <c r="E1" s="492"/>
      <c r="F1" s="492"/>
      <c r="G1" s="492"/>
      <c r="H1" s="492"/>
      <c r="I1" s="492"/>
      <c r="J1" s="492"/>
      <c r="K1" s="492"/>
      <c r="L1" s="497"/>
      <c r="M1" s="497"/>
      <c r="N1" s="497"/>
      <c r="O1" s="497"/>
      <c r="P1" s="497"/>
      <c r="Q1" s="497"/>
      <c r="R1" s="497"/>
      <c r="S1" s="497"/>
      <c r="T1" s="497"/>
      <c r="U1" s="497"/>
      <c r="V1" s="497"/>
      <c r="W1" s="497"/>
      <c r="X1" s="497"/>
      <c r="Y1" s="497"/>
      <c r="Z1" s="497"/>
      <c r="AA1" s="497"/>
      <c r="AB1" s="497"/>
      <c r="AC1" s="497"/>
      <c r="AD1" s="497"/>
      <c r="AE1" s="497"/>
      <c r="AF1" s="497"/>
      <c r="AG1" s="497"/>
      <c r="AH1" s="497"/>
      <c r="AI1" s="497"/>
      <c r="AJ1" s="497"/>
      <c r="AK1" s="497"/>
      <c r="AL1" s="497"/>
      <c r="AM1" s="497"/>
      <c r="AN1" s="497"/>
      <c r="AO1" s="497"/>
      <c r="AP1" s="497"/>
      <c r="AQ1" s="497"/>
      <c r="AR1" s="497"/>
      <c r="AS1" s="497"/>
      <c r="AT1" s="497"/>
      <c r="AU1" s="497"/>
      <c r="AV1" s="497"/>
      <c r="AW1" s="497"/>
      <c r="AX1" s="497"/>
      <c r="AY1" s="497"/>
      <c r="AZ1" s="497"/>
      <c r="BA1" s="497"/>
      <c r="BB1" s="497"/>
      <c r="BC1" s="497"/>
      <c r="BD1" s="497"/>
      <c r="BE1" s="497"/>
      <c r="BF1" s="497"/>
      <c r="BG1" s="497"/>
      <c r="BH1" s="497"/>
      <c r="BI1" s="497"/>
      <c r="BJ1" s="497"/>
      <c r="BK1" s="497"/>
      <c r="BL1" s="497"/>
      <c r="BM1" s="497"/>
      <c r="BN1" s="497"/>
      <c r="BO1" s="497"/>
      <c r="BP1" s="497"/>
      <c r="BQ1" s="497"/>
      <c r="BR1" s="497"/>
      <c r="BS1" s="497"/>
      <c r="BT1" s="497"/>
      <c r="BU1" s="497"/>
      <c r="BV1" s="497"/>
      <c r="BW1" s="497"/>
      <c r="BX1" s="497"/>
      <c r="BY1" s="497"/>
      <c r="BZ1" s="497"/>
      <c r="CA1" s="497"/>
      <c r="CB1" s="497"/>
      <c r="CC1" s="497"/>
      <c r="CD1" s="497"/>
    </row>
    <row r="2" spans="1:88" s="184" customFormat="1" ht="15.6" x14ac:dyDescent="0.3">
      <c r="A2" s="493" t="s">
        <v>63</v>
      </c>
      <c r="B2" s="493"/>
      <c r="C2" s="493"/>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4"/>
      <c r="AS2" s="494"/>
      <c r="AT2" s="494"/>
      <c r="AU2" s="494"/>
      <c r="AV2" s="494"/>
      <c r="AW2" s="494"/>
      <c r="AX2" s="494"/>
      <c r="AY2" s="494"/>
      <c r="AZ2" s="494"/>
      <c r="BA2" s="494"/>
      <c r="BB2" s="494"/>
      <c r="BC2" s="494"/>
      <c r="BD2" s="494"/>
      <c r="BE2" s="494"/>
      <c r="BF2" s="494"/>
      <c r="BG2" s="494"/>
      <c r="BH2" s="494"/>
      <c r="BI2" s="494"/>
      <c r="BJ2" s="494"/>
      <c r="BK2" s="494"/>
      <c r="BL2" s="494"/>
      <c r="BM2" s="494"/>
      <c r="BN2" s="494"/>
      <c r="BO2" s="494"/>
      <c r="BP2" s="494"/>
      <c r="BQ2" s="494"/>
      <c r="BR2" s="494"/>
      <c r="BS2" s="494"/>
      <c r="BT2" s="494"/>
      <c r="BU2" s="494"/>
      <c r="BV2" s="494"/>
      <c r="BW2" s="494"/>
      <c r="BX2" s="494"/>
      <c r="BY2" s="494"/>
      <c r="BZ2" s="494"/>
      <c r="CA2" s="494"/>
      <c r="CB2" s="494"/>
      <c r="CC2" s="494"/>
      <c r="CD2" s="494"/>
    </row>
    <row r="3" spans="1:88" s="74" customFormat="1" ht="13.8" x14ac:dyDescent="0.3">
      <c r="A3" s="496" t="s">
        <v>481</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c r="AV3" s="496"/>
      <c r="AW3" s="496"/>
      <c r="AX3" s="496"/>
      <c r="AY3" s="496"/>
      <c r="AZ3" s="496"/>
      <c r="BA3" s="496"/>
      <c r="BB3" s="496"/>
      <c r="BC3" s="496"/>
      <c r="BD3" s="496"/>
      <c r="BE3" s="496"/>
      <c r="BF3" s="496"/>
      <c r="BG3" s="496"/>
      <c r="BH3" s="496"/>
      <c r="BI3" s="496"/>
      <c r="BJ3" s="496"/>
      <c r="BK3" s="496"/>
      <c r="BL3" s="496"/>
      <c r="BM3" s="496"/>
      <c r="BN3" s="496"/>
      <c r="BO3" s="496"/>
      <c r="BP3" s="496"/>
      <c r="BQ3" s="496"/>
      <c r="BR3" s="496"/>
      <c r="BS3" s="496"/>
      <c r="BT3" s="496"/>
      <c r="BU3" s="496"/>
      <c r="BV3" s="496"/>
      <c r="BW3" s="496"/>
      <c r="BX3" s="496"/>
      <c r="BY3" s="496"/>
      <c r="BZ3" s="496"/>
      <c r="CA3" s="496"/>
      <c r="CB3" s="496"/>
      <c r="CC3" s="496"/>
      <c r="CD3" s="496"/>
    </row>
    <row r="4" spans="1:88" x14ac:dyDescent="0.3">
      <c r="A4" s="75" t="s">
        <v>482</v>
      </c>
      <c r="B4" s="75"/>
      <c r="C4" s="75"/>
      <c r="D4" s="76">
        <f>DATE(2024,3,1)</f>
        <v>45352</v>
      </c>
      <c r="E4" s="76">
        <f t="shared" ref="E4:BP4" si="0">D5+1</f>
        <v>45383</v>
      </c>
      <c r="F4" s="76">
        <f t="shared" si="0"/>
        <v>45413</v>
      </c>
      <c r="G4" s="76">
        <f t="shared" si="0"/>
        <v>45444</v>
      </c>
      <c r="H4" s="76">
        <f t="shared" si="0"/>
        <v>45474</v>
      </c>
      <c r="I4" s="76">
        <f t="shared" si="0"/>
        <v>45505</v>
      </c>
      <c r="J4" s="76">
        <f t="shared" si="0"/>
        <v>45536</v>
      </c>
      <c r="K4" s="76">
        <f t="shared" si="0"/>
        <v>45566</v>
      </c>
      <c r="L4" s="76">
        <f t="shared" si="0"/>
        <v>45597</v>
      </c>
      <c r="M4" s="76">
        <f t="shared" si="0"/>
        <v>45627</v>
      </c>
      <c r="N4" s="76">
        <f t="shared" si="0"/>
        <v>45658</v>
      </c>
      <c r="O4" s="76">
        <f t="shared" si="0"/>
        <v>45689</v>
      </c>
      <c r="P4" s="76">
        <f t="shared" si="0"/>
        <v>45717</v>
      </c>
      <c r="Q4" s="76">
        <f t="shared" si="0"/>
        <v>45748</v>
      </c>
      <c r="R4" s="76">
        <f t="shared" si="0"/>
        <v>45778</v>
      </c>
      <c r="S4" s="76">
        <f t="shared" si="0"/>
        <v>45809</v>
      </c>
      <c r="T4" s="76">
        <f t="shared" si="0"/>
        <v>45839</v>
      </c>
      <c r="U4" s="76">
        <f t="shared" si="0"/>
        <v>45870</v>
      </c>
      <c r="V4" s="76">
        <f t="shared" si="0"/>
        <v>45901</v>
      </c>
      <c r="W4" s="76">
        <f t="shared" si="0"/>
        <v>45931</v>
      </c>
      <c r="X4" s="76">
        <f t="shared" si="0"/>
        <v>45962</v>
      </c>
      <c r="Y4" s="76">
        <f t="shared" si="0"/>
        <v>45992</v>
      </c>
      <c r="Z4" s="76">
        <f t="shared" si="0"/>
        <v>46023</v>
      </c>
      <c r="AA4" s="76">
        <f t="shared" si="0"/>
        <v>46054</v>
      </c>
      <c r="AB4" s="76">
        <f t="shared" si="0"/>
        <v>46082</v>
      </c>
      <c r="AC4" s="76">
        <f t="shared" si="0"/>
        <v>46113</v>
      </c>
      <c r="AD4" s="76">
        <f t="shared" si="0"/>
        <v>46143</v>
      </c>
      <c r="AE4" s="76">
        <f t="shared" si="0"/>
        <v>46174</v>
      </c>
      <c r="AF4" s="76">
        <f t="shared" si="0"/>
        <v>46204</v>
      </c>
      <c r="AG4" s="76">
        <f t="shared" si="0"/>
        <v>46235</v>
      </c>
      <c r="AH4" s="76">
        <f t="shared" si="0"/>
        <v>46266</v>
      </c>
      <c r="AI4" s="76">
        <f t="shared" si="0"/>
        <v>46296</v>
      </c>
      <c r="AJ4" s="76">
        <f t="shared" si="0"/>
        <v>46327</v>
      </c>
      <c r="AK4" s="76">
        <f t="shared" si="0"/>
        <v>46357</v>
      </c>
      <c r="AL4" s="76">
        <f t="shared" si="0"/>
        <v>46388</v>
      </c>
      <c r="AM4" s="76">
        <f t="shared" si="0"/>
        <v>46419</v>
      </c>
      <c r="AN4" s="76">
        <f t="shared" si="0"/>
        <v>46447</v>
      </c>
      <c r="AO4" s="76">
        <f t="shared" si="0"/>
        <v>46478</v>
      </c>
      <c r="AP4" s="76">
        <f t="shared" si="0"/>
        <v>46508</v>
      </c>
      <c r="AQ4" s="76">
        <f t="shared" si="0"/>
        <v>46539</v>
      </c>
      <c r="AR4" s="76">
        <f t="shared" si="0"/>
        <v>46569</v>
      </c>
      <c r="AS4" s="76">
        <f t="shared" si="0"/>
        <v>46600</v>
      </c>
      <c r="AT4" s="76">
        <f t="shared" si="0"/>
        <v>46631</v>
      </c>
      <c r="AU4" s="76">
        <f t="shared" si="0"/>
        <v>46661</v>
      </c>
      <c r="AV4" s="76">
        <f t="shared" si="0"/>
        <v>46692</v>
      </c>
      <c r="AW4" s="76">
        <f t="shared" si="0"/>
        <v>46722</v>
      </c>
      <c r="AX4" s="76">
        <f t="shared" si="0"/>
        <v>46753</v>
      </c>
      <c r="AY4" s="76">
        <f t="shared" si="0"/>
        <v>46784</v>
      </c>
      <c r="AZ4" s="76">
        <f t="shared" si="0"/>
        <v>46813</v>
      </c>
      <c r="BA4" s="76">
        <f t="shared" si="0"/>
        <v>46844</v>
      </c>
      <c r="BB4" s="76">
        <f t="shared" si="0"/>
        <v>46874</v>
      </c>
      <c r="BC4" s="76">
        <f t="shared" si="0"/>
        <v>46905</v>
      </c>
      <c r="BD4" s="76">
        <f t="shared" si="0"/>
        <v>46935</v>
      </c>
      <c r="BE4" s="76">
        <f t="shared" si="0"/>
        <v>46966</v>
      </c>
      <c r="BF4" s="76">
        <f t="shared" si="0"/>
        <v>46997</v>
      </c>
      <c r="BG4" s="76">
        <f t="shared" si="0"/>
        <v>47027</v>
      </c>
      <c r="BH4" s="76">
        <f t="shared" si="0"/>
        <v>47058</v>
      </c>
      <c r="BI4" s="76">
        <f t="shared" si="0"/>
        <v>47088</v>
      </c>
      <c r="BJ4" s="76">
        <f t="shared" si="0"/>
        <v>47119</v>
      </c>
      <c r="BK4" s="76">
        <f t="shared" si="0"/>
        <v>47150</v>
      </c>
      <c r="BL4" s="76">
        <f t="shared" si="0"/>
        <v>47178</v>
      </c>
      <c r="BM4" s="76">
        <f t="shared" si="0"/>
        <v>47209</v>
      </c>
      <c r="BN4" s="76">
        <f t="shared" si="0"/>
        <v>47239</v>
      </c>
      <c r="BO4" s="76">
        <f t="shared" si="0"/>
        <v>47270</v>
      </c>
      <c r="BP4" s="76">
        <f t="shared" si="0"/>
        <v>47300</v>
      </c>
      <c r="BQ4" s="76">
        <f t="shared" ref="BQ4:CD4" si="1">BP5+1</f>
        <v>47331</v>
      </c>
      <c r="BR4" s="76">
        <f t="shared" si="1"/>
        <v>47362</v>
      </c>
      <c r="BS4" s="76">
        <f t="shared" si="1"/>
        <v>47392</v>
      </c>
      <c r="BT4" s="76">
        <f t="shared" si="1"/>
        <v>47423</v>
      </c>
      <c r="BU4" s="76">
        <f t="shared" si="1"/>
        <v>47453</v>
      </c>
      <c r="BV4" s="76">
        <f t="shared" si="1"/>
        <v>47484</v>
      </c>
      <c r="BW4" s="76">
        <f t="shared" si="1"/>
        <v>47515</v>
      </c>
      <c r="BX4" s="76">
        <f t="shared" si="1"/>
        <v>47543</v>
      </c>
      <c r="BY4" s="76">
        <f t="shared" si="1"/>
        <v>47574</v>
      </c>
      <c r="BZ4" s="76">
        <f t="shared" si="1"/>
        <v>47604</v>
      </c>
      <c r="CA4" s="76">
        <f t="shared" si="1"/>
        <v>47635</v>
      </c>
      <c r="CB4" s="76">
        <f t="shared" si="1"/>
        <v>47665</v>
      </c>
      <c r="CC4" s="76">
        <f t="shared" si="1"/>
        <v>47696</v>
      </c>
      <c r="CD4" s="76">
        <f t="shared" si="1"/>
        <v>47727</v>
      </c>
    </row>
    <row r="5" spans="1:88" x14ac:dyDescent="0.3">
      <c r="A5" s="75" t="s">
        <v>483</v>
      </c>
      <c r="B5" s="75"/>
      <c r="C5" s="75"/>
      <c r="D5" s="78">
        <f>EOMONTH(D4,0)</f>
        <v>45382</v>
      </c>
      <c r="E5" s="78">
        <f t="shared" ref="E5:BP5" si="2">EOMONTH(E4,0)</f>
        <v>45412</v>
      </c>
      <c r="F5" s="78">
        <f t="shared" si="2"/>
        <v>45443</v>
      </c>
      <c r="G5" s="78">
        <f t="shared" si="2"/>
        <v>45473</v>
      </c>
      <c r="H5" s="78">
        <f t="shared" si="2"/>
        <v>45504</v>
      </c>
      <c r="I5" s="78">
        <f t="shared" si="2"/>
        <v>45535</v>
      </c>
      <c r="J5" s="78">
        <f t="shared" si="2"/>
        <v>45565</v>
      </c>
      <c r="K5" s="78">
        <f t="shared" si="2"/>
        <v>45596</v>
      </c>
      <c r="L5" s="78">
        <f t="shared" si="2"/>
        <v>45626</v>
      </c>
      <c r="M5" s="78">
        <f t="shared" si="2"/>
        <v>45657</v>
      </c>
      <c r="N5" s="78">
        <f t="shared" si="2"/>
        <v>45688</v>
      </c>
      <c r="O5" s="78">
        <f t="shared" si="2"/>
        <v>45716</v>
      </c>
      <c r="P5" s="78">
        <f t="shared" si="2"/>
        <v>45747</v>
      </c>
      <c r="Q5" s="78">
        <f t="shared" si="2"/>
        <v>45777</v>
      </c>
      <c r="R5" s="78">
        <f t="shared" si="2"/>
        <v>45808</v>
      </c>
      <c r="S5" s="78">
        <f t="shared" si="2"/>
        <v>45838</v>
      </c>
      <c r="T5" s="78">
        <f t="shared" si="2"/>
        <v>45869</v>
      </c>
      <c r="U5" s="78">
        <f t="shared" si="2"/>
        <v>45900</v>
      </c>
      <c r="V5" s="78">
        <f t="shared" si="2"/>
        <v>45930</v>
      </c>
      <c r="W5" s="78">
        <f t="shared" si="2"/>
        <v>45961</v>
      </c>
      <c r="X5" s="78">
        <f t="shared" si="2"/>
        <v>45991</v>
      </c>
      <c r="Y5" s="78">
        <f t="shared" si="2"/>
        <v>46022</v>
      </c>
      <c r="Z5" s="78">
        <f t="shared" si="2"/>
        <v>46053</v>
      </c>
      <c r="AA5" s="78">
        <f t="shared" si="2"/>
        <v>46081</v>
      </c>
      <c r="AB5" s="78">
        <f t="shared" si="2"/>
        <v>46112</v>
      </c>
      <c r="AC5" s="78">
        <f t="shared" si="2"/>
        <v>46142</v>
      </c>
      <c r="AD5" s="78">
        <f t="shared" si="2"/>
        <v>46173</v>
      </c>
      <c r="AE5" s="78">
        <f t="shared" si="2"/>
        <v>46203</v>
      </c>
      <c r="AF5" s="78">
        <f t="shared" si="2"/>
        <v>46234</v>
      </c>
      <c r="AG5" s="78">
        <f t="shared" si="2"/>
        <v>46265</v>
      </c>
      <c r="AH5" s="78">
        <f t="shared" si="2"/>
        <v>46295</v>
      </c>
      <c r="AI5" s="78">
        <f t="shared" si="2"/>
        <v>46326</v>
      </c>
      <c r="AJ5" s="78">
        <f t="shared" si="2"/>
        <v>46356</v>
      </c>
      <c r="AK5" s="78">
        <f t="shared" si="2"/>
        <v>46387</v>
      </c>
      <c r="AL5" s="78">
        <f t="shared" si="2"/>
        <v>46418</v>
      </c>
      <c r="AM5" s="78">
        <f t="shared" si="2"/>
        <v>46446</v>
      </c>
      <c r="AN5" s="78">
        <f t="shared" si="2"/>
        <v>46477</v>
      </c>
      <c r="AO5" s="78">
        <f t="shared" si="2"/>
        <v>46507</v>
      </c>
      <c r="AP5" s="78">
        <f t="shared" si="2"/>
        <v>46538</v>
      </c>
      <c r="AQ5" s="78">
        <f t="shared" si="2"/>
        <v>46568</v>
      </c>
      <c r="AR5" s="78">
        <f t="shared" si="2"/>
        <v>46599</v>
      </c>
      <c r="AS5" s="78">
        <f t="shared" si="2"/>
        <v>46630</v>
      </c>
      <c r="AT5" s="78">
        <f t="shared" si="2"/>
        <v>46660</v>
      </c>
      <c r="AU5" s="78">
        <f t="shared" si="2"/>
        <v>46691</v>
      </c>
      <c r="AV5" s="78">
        <f t="shared" si="2"/>
        <v>46721</v>
      </c>
      <c r="AW5" s="78">
        <f t="shared" si="2"/>
        <v>46752</v>
      </c>
      <c r="AX5" s="78">
        <f t="shared" si="2"/>
        <v>46783</v>
      </c>
      <c r="AY5" s="78">
        <f t="shared" si="2"/>
        <v>46812</v>
      </c>
      <c r="AZ5" s="78">
        <f t="shared" si="2"/>
        <v>46843</v>
      </c>
      <c r="BA5" s="78">
        <f t="shared" si="2"/>
        <v>46873</v>
      </c>
      <c r="BB5" s="78">
        <f t="shared" si="2"/>
        <v>46904</v>
      </c>
      <c r="BC5" s="78">
        <f t="shared" si="2"/>
        <v>46934</v>
      </c>
      <c r="BD5" s="78">
        <f t="shared" si="2"/>
        <v>46965</v>
      </c>
      <c r="BE5" s="78">
        <f t="shared" si="2"/>
        <v>46996</v>
      </c>
      <c r="BF5" s="78">
        <f t="shared" si="2"/>
        <v>47026</v>
      </c>
      <c r="BG5" s="78">
        <f t="shared" si="2"/>
        <v>47057</v>
      </c>
      <c r="BH5" s="78">
        <f t="shared" si="2"/>
        <v>47087</v>
      </c>
      <c r="BI5" s="78">
        <f t="shared" si="2"/>
        <v>47118</v>
      </c>
      <c r="BJ5" s="78">
        <f t="shared" si="2"/>
        <v>47149</v>
      </c>
      <c r="BK5" s="78">
        <f t="shared" si="2"/>
        <v>47177</v>
      </c>
      <c r="BL5" s="78">
        <f t="shared" si="2"/>
        <v>47208</v>
      </c>
      <c r="BM5" s="78">
        <f t="shared" si="2"/>
        <v>47238</v>
      </c>
      <c r="BN5" s="78">
        <f t="shared" si="2"/>
        <v>47269</v>
      </c>
      <c r="BO5" s="78">
        <f t="shared" si="2"/>
        <v>47299</v>
      </c>
      <c r="BP5" s="78">
        <f t="shared" si="2"/>
        <v>47330</v>
      </c>
      <c r="BQ5" s="78">
        <f t="shared" ref="BQ5:CD5" si="3">EOMONTH(BQ4,0)</f>
        <v>47361</v>
      </c>
      <c r="BR5" s="78">
        <f t="shared" si="3"/>
        <v>47391</v>
      </c>
      <c r="BS5" s="78">
        <f t="shared" si="3"/>
        <v>47422</v>
      </c>
      <c r="BT5" s="78">
        <f t="shared" si="3"/>
        <v>47452</v>
      </c>
      <c r="BU5" s="78">
        <f t="shared" si="3"/>
        <v>47483</v>
      </c>
      <c r="BV5" s="78">
        <f t="shared" si="3"/>
        <v>47514</v>
      </c>
      <c r="BW5" s="78">
        <f t="shared" si="3"/>
        <v>47542</v>
      </c>
      <c r="BX5" s="78">
        <f t="shared" si="3"/>
        <v>47573</v>
      </c>
      <c r="BY5" s="78">
        <f t="shared" si="3"/>
        <v>47603</v>
      </c>
      <c r="BZ5" s="78">
        <f t="shared" si="3"/>
        <v>47634</v>
      </c>
      <c r="CA5" s="78">
        <f t="shared" si="3"/>
        <v>47664</v>
      </c>
      <c r="CB5" s="78">
        <f t="shared" si="3"/>
        <v>47695</v>
      </c>
      <c r="CC5" s="78">
        <f t="shared" si="3"/>
        <v>47726</v>
      </c>
      <c r="CD5" s="78">
        <f t="shared" si="3"/>
        <v>47756</v>
      </c>
    </row>
    <row r="6" spans="1:88" x14ac:dyDescent="0.3">
      <c r="A6" s="75" t="s">
        <v>418</v>
      </c>
      <c r="B6" s="75"/>
      <c r="C6" s="75"/>
      <c r="D6" s="78">
        <f t="shared" ref="D6:BO6" si="4">DATE((IF(MONTH(D5)&gt;3,YEAR(D5)+1,YEAR(D5))),3,31)</f>
        <v>45382</v>
      </c>
      <c r="E6" s="78">
        <f t="shared" si="4"/>
        <v>45747</v>
      </c>
      <c r="F6" s="78">
        <f t="shared" si="4"/>
        <v>45747</v>
      </c>
      <c r="G6" s="78">
        <f t="shared" si="4"/>
        <v>45747</v>
      </c>
      <c r="H6" s="78">
        <f t="shared" si="4"/>
        <v>45747</v>
      </c>
      <c r="I6" s="78">
        <f t="shared" si="4"/>
        <v>45747</v>
      </c>
      <c r="J6" s="78">
        <f t="shared" si="4"/>
        <v>45747</v>
      </c>
      <c r="K6" s="78">
        <f t="shared" si="4"/>
        <v>45747</v>
      </c>
      <c r="L6" s="78">
        <f t="shared" si="4"/>
        <v>45747</v>
      </c>
      <c r="M6" s="78">
        <f t="shared" si="4"/>
        <v>45747</v>
      </c>
      <c r="N6" s="78">
        <f t="shared" si="4"/>
        <v>45747</v>
      </c>
      <c r="O6" s="78">
        <f t="shared" si="4"/>
        <v>45747</v>
      </c>
      <c r="P6" s="78">
        <f t="shared" si="4"/>
        <v>45747</v>
      </c>
      <c r="Q6" s="78">
        <f t="shared" si="4"/>
        <v>46112</v>
      </c>
      <c r="R6" s="78">
        <f t="shared" si="4"/>
        <v>46112</v>
      </c>
      <c r="S6" s="78">
        <f t="shared" si="4"/>
        <v>46112</v>
      </c>
      <c r="T6" s="78">
        <f t="shared" si="4"/>
        <v>46112</v>
      </c>
      <c r="U6" s="78">
        <f t="shared" si="4"/>
        <v>46112</v>
      </c>
      <c r="V6" s="78">
        <f t="shared" si="4"/>
        <v>46112</v>
      </c>
      <c r="W6" s="78">
        <f t="shared" si="4"/>
        <v>46112</v>
      </c>
      <c r="X6" s="78">
        <f t="shared" si="4"/>
        <v>46112</v>
      </c>
      <c r="Y6" s="78">
        <f t="shared" si="4"/>
        <v>46112</v>
      </c>
      <c r="Z6" s="78">
        <f t="shared" si="4"/>
        <v>46112</v>
      </c>
      <c r="AA6" s="78">
        <f t="shared" si="4"/>
        <v>46112</v>
      </c>
      <c r="AB6" s="78">
        <f t="shared" si="4"/>
        <v>46112</v>
      </c>
      <c r="AC6" s="78">
        <f t="shared" si="4"/>
        <v>46477</v>
      </c>
      <c r="AD6" s="78">
        <f t="shared" si="4"/>
        <v>46477</v>
      </c>
      <c r="AE6" s="78">
        <f t="shared" si="4"/>
        <v>46477</v>
      </c>
      <c r="AF6" s="78">
        <f t="shared" si="4"/>
        <v>46477</v>
      </c>
      <c r="AG6" s="78">
        <f t="shared" si="4"/>
        <v>46477</v>
      </c>
      <c r="AH6" s="78">
        <f t="shared" si="4"/>
        <v>46477</v>
      </c>
      <c r="AI6" s="78">
        <f t="shared" si="4"/>
        <v>46477</v>
      </c>
      <c r="AJ6" s="78">
        <f t="shared" si="4"/>
        <v>46477</v>
      </c>
      <c r="AK6" s="78">
        <f t="shared" si="4"/>
        <v>46477</v>
      </c>
      <c r="AL6" s="78">
        <f t="shared" si="4"/>
        <v>46477</v>
      </c>
      <c r="AM6" s="78">
        <f t="shared" si="4"/>
        <v>46477</v>
      </c>
      <c r="AN6" s="78">
        <f t="shared" si="4"/>
        <v>46477</v>
      </c>
      <c r="AO6" s="78">
        <f t="shared" si="4"/>
        <v>46843</v>
      </c>
      <c r="AP6" s="78">
        <f t="shared" si="4"/>
        <v>46843</v>
      </c>
      <c r="AQ6" s="78">
        <f t="shared" si="4"/>
        <v>46843</v>
      </c>
      <c r="AR6" s="78">
        <f t="shared" si="4"/>
        <v>46843</v>
      </c>
      <c r="AS6" s="78">
        <f t="shared" si="4"/>
        <v>46843</v>
      </c>
      <c r="AT6" s="78">
        <f t="shared" si="4"/>
        <v>46843</v>
      </c>
      <c r="AU6" s="78">
        <f t="shared" si="4"/>
        <v>46843</v>
      </c>
      <c r="AV6" s="78">
        <f t="shared" si="4"/>
        <v>46843</v>
      </c>
      <c r="AW6" s="78">
        <f t="shared" si="4"/>
        <v>46843</v>
      </c>
      <c r="AX6" s="78">
        <f t="shared" si="4"/>
        <v>46843</v>
      </c>
      <c r="AY6" s="78">
        <f t="shared" si="4"/>
        <v>46843</v>
      </c>
      <c r="AZ6" s="78">
        <f t="shared" si="4"/>
        <v>46843</v>
      </c>
      <c r="BA6" s="78">
        <f t="shared" si="4"/>
        <v>47208</v>
      </c>
      <c r="BB6" s="78">
        <f t="shared" si="4"/>
        <v>47208</v>
      </c>
      <c r="BC6" s="78">
        <f t="shared" si="4"/>
        <v>47208</v>
      </c>
      <c r="BD6" s="78">
        <f t="shared" si="4"/>
        <v>47208</v>
      </c>
      <c r="BE6" s="78">
        <f t="shared" si="4"/>
        <v>47208</v>
      </c>
      <c r="BF6" s="78">
        <f t="shared" si="4"/>
        <v>47208</v>
      </c>
      <c r="BG6" s="78">
        <f t="shared" si="4"/>
        <v>47208</v>
      </c>
      <c r="BH6" s="78">
        <f t="shared" si="4"/>
        <v>47208</v>
      </c>
      <c r="BI6" s="78">
        <f t="shared" si="4"/>
        <v>47208</v>
      </c>
      <c r="BJ6" s="78">
        <f t="shared" si="4"/>
        <v>47208</v>
      </c>
      <c r="BK6" s="78">
        <f t="shared" si="4"/>
        <v>47208</v>
      </c>
      <c r="BL6" s="78">
        <f t="shared" si="4"/>
        <v>47208</v>
      </c>
      <c r="BM6" s="78">
        <f t="shared" si="4"/>
        <v>47573</v>
      </c>
      <c r="BN6" s="78">
        <f t="shared" si="4"/>
        <v>47573</v>
      </c>
      <c r="BO6" s="78">
        <f t="shared" si="4"/>
        <v>47573</v>
      </c>
      <c r="BP6" s="78">
        <f t="shared" ref="BP6:CD6" si="5">DATE((IF(MONTH(BP5)&gt;3,YEAR(BP5)+1,YEAR(BP5))),3,31)</f>
        <v>47573</v>
      </c>
      <c r="BQ6" s="78">
        <f t="shared" si="5"/>
        <v>47573</v>
      </c>
      <c r="BR6" s="78">
        <f t="shared" si="5"/>
        <v>47573</v>
      </c>
      <c r="BS6" s="78">
        <f t="shared" si="5"/>
        <v>47573</v>
      </c>
      <c r="BT6" s="78">
        <f t="shared" si="5"/>
        <v>47573</v>
      </c>
      <c r="BU6" s="78">
        <f t="shared" si="5"/>
        <v>47573</v>
      </c>
      <c r="BV6" s="78">
        <f t="shared" si="5"/>
        <v>47573</v>
      </c>
      <c r="BW6" s="78">
        <f t="shared" si="5"/>
        <v>47573</v>
      </c>
      <c r="BX6" s="78">
        <f t="shared" si="5"/>
        <v>47573</v>
      </c>
      <c r="BY6" s="78">
        <f t="shared" si="5"/>
        <v>47938</v>
      </c>
      <c r="BZ6" s="78">
        <f t="shared" si="5"/>
        <v>47938</v>
      </c>
      <c r="CA6" s="78">
        <f t="shared" si="5"/>
        <v>47938</v>
      </c>
      <c r="CB6" s="78">
        <f t="shared" si="5"/>
        <v>47938</v>
      </c>
      <c r="CC6" s="78">
        <f t="shared" si="5"/>
        <v>47938</v>
      </c>
      <c r="CD6" s="78">
        <f t="shared" si="5"/>
        <v>47938</v>
      </c>
    </row>
    <row r="7" spans="1:88" x14ac:dyDescent="0.3">
      <c r="A7" s="75" t="s">
        <v>419</v>
      </c>
      <c r="B7" s="75"/>
      <c r="C7" s="75"/>
      <c r="D7" s="79">
        <f t="shared" ref="D7:BO7" si="6">D5-D4+1</f>
        <v>31</v>
      </c>
      <c r="E7" s="79">
        <f t="shared" si="6"/>
        <v>30</v>
      </c>
      <c r="F7" s="79">
        <f t="shared" si="6"/>
        <v>31</v>
      </c>
      <c r="G7" s="79">
        <f t="shared" si="6"/>
        <v>30</v>
      </c>
      <c r="H7" s="79">
        <f t="shared" si="6"/>
        <v>31</v>
      </c>
      <c r="I7" s="79">
        <f t="shared" si="6"/>
        <v>31</v>
      </c>
      <c r="J7" s="79">
        <f t="shared" si="6"/>
        <v>30</v>
      </c>
      <c r="K7" s="79">
        <f t="shared" si="6"/>
        <v>31</v>
      </c>
      <c r="L7" s="79">
        <f t="shared" si="6"/>
        <v>30</v>
      </c>
      <c r="M7" s="79">
        <f t="shared" si="6"/>
        <v>31</v>
      </c>
      <c r="N7" s="79">
        <f t="shared" si="6"/>
        <v>31</v>
      </c>
      <c r="O7" s="79">
        <f t="shared" si="6"/>
        <v>28</v>
      </c>
      <c r="P7" s="79">
        <f t="shared" si="6"/>
        <v>31</v>
      </c>
      <c r="Q7" s="79">
        <f t="shared" si="6"/>
        <v>30</v>
      </c>
      <c r="R7" s="79">
        <f t="shared" si="6"/>
        <v>31</v>
      </c>
      <c r="S7" s="79">
        <f t="shared" si="6"/>
        <v>30</v>
      </c>
      <c r="T7" s="79">
        <f t="shared" si="6"/>
        <v>31</v>
      </c>
      <c r="U7" s="79">
        <f t="shared" si="6"/>
        <v>31</v>
      </c>
      <c r="V7" s="79">
        <f t="shared" si="6"/>
        <v>30</v>
      </c>
      <c r="W7" s="79">
        <f t="shared" si="6"/>
        <v>31</v>
      </c>
      <c r="X7" s="79">
        <f t="shared" si="6"/>
        <v>30</v>
      </c>
      <c r="Y7" s="79">
        <f t="shared" si="6"/>
        <v>31</v>
      </c>
      <c r="Z7" s="79">
        <f t="shared" si="6"/>
        <v>31</v>
      </c>
      <c r="AA7" s="79">
        <f t="shared" si="6"/>
        <v>28</v>
      </c>
      <c r="AB7" s="79">
        <f t="shared" si="6"/>
        <v>31</v>
      </c>
      <c r="AC7" s="79">
        <f t="shared" si="6"/>
        <v>30</v>
      </c>
      <c r="AD7" s="79">
        <f t="shared" si="6"/>
        <v>31</v>
      </c>
      <c r="AE7" s="79">
        <f t="shared" si="6"/>
        <v>30</v>
      </c>
      <c r="AF7" s="79">
        <f t="shared" si="6"/>
        <v>31</v>
      </c>
      <c r="AG7" s="79">
        <f t="shared" si="6"/>
        <v>31</v>
      </c>
      <c r="AH7" s="79">
        <f t="shared" si="6"/>
        <v>30</v>
      </c>
      <c r="AI7" s="79">
        <f t="shared" si="6"/>
        <v>31</v>
      </c>
      <c r="AJ7" s="79">
        <f t="shared" si="6"/>
        <v>30</v>
      </c>
      <c r="AK7" s="79">
        <f t="shared" si="6"/>
        <v>31</v>
      </c>
      <c r="AL7" s="79">
        <f t="shared" si="6"/>
        <v>31</v>
      </c>
      <c r="AM7" s="79">
        <f t="shared" si="6"/>
        <v>28</v>
      </c>
      <c r="AN7" s="79">
        <f t="shared" si="6"/>
        <v>31</v>
      </c>
      <c r="AO7" s="79">
        <f t="shared" si="6"/>
        <v>30</v>
      </c>
      <c r="AP7" s="79">
        <f t="shared" si="6"/>
        <v>31</v>
      </c>
      <c r="AQ7" s="79">
        <f t="shared" si="6"/>
        <v>30</v>
      </c>
      <c r="AR7" s="79">
        <f t="shared" si="6"/>
        <v>31</v>
      </c>
      <c r="AS7" s="79">
        <f t="shared" si="6"/>
        <v>31</v>
      </c>
      <c r="AT7" s="79">
        <f t="shared" si="6"/>
        <v>30</v>
      </c>
      <c r="AU7" s="79">
        <f t="shared" si="6"/>
        <v>31</v>
      </c>
      <c r="AV7" s="79">
        <f t="shared" si="6"/>
        <v>30</v>
      </c>
      <c r="AW7" s="79">
        <f t="shared" si="6"/>
        <v>31</v>
      </c>
      <c r="AX7" s="79">
        <f t="shared" si="6"/>
        <v>31</v>
      </c>
      <c r="AY7" s="79">
        <f t="shared" si="6"/>
        <v>29</v>
      </c>
      <c r="AZ7" s="79">
        <f t="shared" si="6"/>
        <v>31</v>
      </c>
      <c r="BA7" s="79">
        <f t="shared" si="6"/>
        <v>30</v>
      </c>
      <c r="BB7" s="79">
        <f t="shared" si="6"/>
        <v>31</v>
      </c>
      <c r="BC7" s="79">
        <f t="shared" si="6"/>
        <v>30</v>
      </c>
      <c r="BD7" s="79">
        <f t="shared" si="6"/>
        <v>31</v>
      </c>
      <c r="BE7" s="79">
        <f t="shared" si="6"/>
        <v>31</v>
      </c>
      <c r="BF7" s="79">
        <f t="shared" si="6"/>
        <v>30</v>
      </c>
      <c r="BG7" s="79">
        <f t="shared" si="6"/>
        <v>31</v>
      </c>
      <c r="BH7" s="79">
        <f t="shared" si="6"/>
        <v>30</v>
      </c>
      <c r="BI7" s="79">
        <f t="shared" si="6"/>
        <v>31</v>
      </c>
      <c r="BJ7" s="79">
        <f t="shared" si="6"/>
        <v>31</v>
      </c>
      <c r="BK7" s="79">
        <f t="shared" si="6"/>
        <v>28</v>
      </c>
      <c r="BL7" s="79">
        <f t="shared" si="6"/>
        <v>31</v>
      </c>
      <c r="BM7" s="79">
        <f t="shared" si="6"/>
        <v>30</v>
      </c>
      <c r="BN7" s="79">
        <f t="shared" si="6"/>
        <v>31</v>
      </c>
      <c r="BO7" s="79">
        <f t="shared" si="6"/>
        <v>30</v>
      </c>
      <c r="BP7" s="79">
        <f t="shared" ref="BP7:CD7" si="7">BP5-BP4+1</f>
        <v>31</v>
      </c>
      <c r="BQ7" s="79">
        <f t="shared" si="7"/>
        <v>31</v>
      </c>
      <c r="BR7" s="79">
        <f t="shared" si="7"/>
        <v>30</v>
      </c>
      <c r="BS7" s="79">
        <f t="shared" si="7"/>
        <v>31</v>
      </c>
      <c r="BT7" s="79">
        <f t="shared" si="7"/>
        <v>30</v>
      </c>
      <c r="BU7" s="79">
        <f t="shared" si="7"/>
        <v>31</v>
      </c>
      <c r="BV7" s="79">
        <f t="shared" si="7"/>
        <v>31</v>
      </c>
      <c r="BW7" s="79">
        <f t="shared" si="7"/>
        <v>28</v>
      </c>
      <c r="BX7" s="79">
        <f t="shared" si="7"/>
        <v>31</v>
      </c>
      <c r="BY7" s="79">
        <f t="shared" si="7"/>
        <v>30</v>
      </c>
      <c r="BZ7" s="79">
        <f t="shared" si="7"/>
        <v>31</v>
      </c>
      <c r="CA7" s="79">
        <f t="shared" si="7"/>
        <v>30</v>
      </c>
      <c r="CB7" s="79">
        <f t="shared" si="7"/>
        <v>31</v>
      </c>
      <c r="CC7" s="79">
        <f t="shared" si="7"/>
        <v>31</v>
      </c>
      <c r="CD7" s="79">
        <f t="shared" si="7"/>
        <v>30</v>
      </c>
    </row>
    <row r="8" spans="1:88" x14ac:dyDescent="0.3">
      <c r="A8" s="75" t="s">
        <v>420</v>
      </c>
      <c r="B8" s="75"/>
      <c r="C8" s="75"/>
      <c r="D8" s="79">
        <v>365</v>
      </c>
      <c r="E8" s="79">
        <v>365</v>
      </c>
      <c r="F8" s="79">
        <v>365</v>
      </c>
      <c r="G8" s="79">
        <v>365</v>
      </c>
      <c r="H8" s="79">
        <v>365</v>
      </c>
      <c r="I8" s="79">
        <v>365</v>
      </c>
      <c r="J8" s="79">
        <v>365</v>
      </c>
      <c r="K8" s="79">
        <v>365</v>
      </c>
      <c r="L8" s="79">
        <v>365</v>
      </c>
      <c r="M8" s="79">
        <v>365</v>
      </c>
      <c r="N8" s="79">
        <v>365</v>
      </c>
      <c r="O8" s="79">
        <v>365</v>
      </c>
      <c r="P8" s="79">
        <v>365</v>
      </c>
      <c r="Q8" s="79">
        <v>365</v>
      </c>
      <c r="R8" s="79">
        <v>365</v>
      </c>
      <c r="S8" s="79">
        <v>365</v>
      </c>
      <c r="T8" s="79">
        <v>365</v>
      </c>
      <c r="U8" s="79">
        <v>365</v>
      </c>
      <c r="V8" s="79">
        <v>365</v>
      </c>
      <c r="W8" s="79">
        <v>365</v>
      </c>
      <c r="X8" s="79">
        <v>365</v>
      </c>
      <c r="Y8" s="79">
        <v>365</v>
      </c>
      <c r="Z8" s="79">
        <v>365</v>
      </c>
      <c r="AA8" s="79">
        <v>365</v>
      </c>
      <c r="AB8" s="79">
        <v>365</v>
      </c>
      <c r="AC8" s="79">
        <v>365</v>
      </c>
      <c r="AD8" s="79">
        <v>365</v>
      </c>
      <c r="AE8" s="79">
        <v>365</v>
      </c>
      <c r="AF8" s="79">
        <v>365</v>
      </c>
      <c r="AG8" s="79">
        <v>365</v>
      </c>
      <c r="AH8" s="79">
        <v>365</v>
      </c>
      <c r="AI8" s="79">
        <v>365</v>
      </c>
      <c r="AJ8" s="79">
        <v>365</v>
      </c>
      <c r="AK8" s="79">
        <v>365</v>
      </c>
      <c r="AL8" s="79">
        <v>365</v>
      </c>
      <c r="AM8" s="79">
        <v>365</v>
      </c>
      <c r="AN8" s="79">
        <v>365</v>
      </c>
      <c r="AO8" s="79">
        <v>366</v>
      </c>
      <c r="AP8" s="79">
        <v>366</v>
      </c>
      <c r="AQ8" s="79">
        <v>366</v>
      </c>
      <c r="AR8" s="79">
        <v>366</v>
      </c>
      <c r="AS8" s="79">
        <v>366</v>
      </c>
      <c r="AT8" s="79">
        <v>366</v>
      </c>
      <c r="AU8" s="79">
        <v>366</v>
      </c>
      <c r="AV8" s="79">
        <v>366</v>
      </c>
      <c r="AW8" s="79">
        <v>366</v>
      </c>
      <c r="AX8" s="79">
        <v>366</v>
      </c>
      <c r="AY8" s="79">
        <v>366</v>
      </c>
      <c r="AZ8" s="79">
        <v>366</v>
      </c>
      <c r="BA8" s="79">
        <v>365</v>
      </c>
      <c r="BB8" s="79">
        <v>365</v>
      </c>
      <c r="BC8" s="79">
        <v>365</v>
      </c>
      <c r="BD8" s="79">
        <v>365</v>
      </c>
      <c r="BE8" s="79">
        <v>365</v>
      </c>
      <c r="BF8" s="79">
        <v>365</v>
      </c>
      <c r="BG8" s="79">
        <v>365</v>
      </c>
      <c r="BH8" s="79">
        <v>365</v>
      </c>
      <c r="BI8" s="79">
        <v>365</v>
      </c>
      <c r="BJ8" s="79">
        <v>365</v>
      </c>
      <c r="BK8" s="79">
        <v>365</v>
      </c>
      <c r="BL8" s="79">
        <v>365</v>
      </c>
      <c r="BM8" s="79">
        <v>365</v>
      </c>
      <c r="BN8" s="79">
        <v>365</v>
      </c>
      <c r="BO8" s="79">
        <v>365</v>
      </c>
      <c r="BP8" s="79">
        <v>365</v>
      </c>
      <c r="BQ8" s="79">
        <v>365</v>
      </c>
      <c r="BR8" s="79">
        <v>365</v>
      </c>
      <c r="BS8" s="79">
        <v>365</v>
      </c>
      <c r="BT8" s="79">
        <v>365</v>
      </c>
      <c r="BU8" s="79">
        <v>365</v>
      </c>
      <c r="BV8" s="79">
        <v>365</v>
      </c>
      <c r="BW8" s="79">
        <v>365</v>
      </c>
      <c r="BX8" s="79">
        <v>365</v>
      </c>
      <c r="BY8" s="79">
        <v>365</v>
      </c>
      <c r="BZ8" s="79">
        <v>365</v>
      </c>
      <c r="CA8" s="79">
        <v>365</v>
      </c>
      <c r="CB8" s="79">
        <v>365</v>
      </c>
      <c r="CC8" s="79">
        <v>365</v>
      </c>
      <c r="CD8" s="79">
        <v>365</v>
      </c>
    </row>
    <row r="9" spans="1:88" s="74" customFormat="1" ht="13.8" x14ac:dyDescent="0.3"/>
    <row r="10" spans="1:88" s="74" customFormat="1" ht="13.8" x14ac:dyDescent="0.3">
      <c r="A10" s="136" t="s">
        <v>133</v>
      </c>
    </row>
    <row r="11" spans="1:88" s="74" customFormat="1" ht="13.8" x14ac:dyDescent="0.3">
      <c r="A11" s="140" t="s">
        <v>484</v>
      </c>
      <c r="B11" s="141" t="s">
        <v>485</v>
      </c>
      <c r="C11" s="291">
        <f>Assumptions!C180</f>
        <v>75</v>
      </c>
      <c r="D11" s="139"/>
      <c r="E11" s="139"/>
      <c r="F11" s="139"/>
      <c r="G11" s="139"/>
      <c r="H11" s="139"/>
      <c r="I11" s="139"/>
    </row>
    <row r="12" spans="1:88" s="74" customFormat="1" ht="13.8" x14ac:dyDescent="0.3">
      <c r="A12" s="282" t="s">
        <v>558</v>
      </c>
      <c r="B12" s="87" t="s">
        <v>485</v>
      </c>
      <c r="C12" s="142"/>
      <c r="D12" s="283">
        <f>Assumptions!G180/1</f>
        <v>5</v>
      </c>
      <c r="E12" s="281"/>
      <c r="F12" s="281"/>
      <c r="G12" s="283">
        <f>Assumptions!H180/4</f>
        <v>12.5</v>
      </c>
      <c r="H12" s="281"/>
      <c r="I12" s="281"/>
      <c r="J12" s="283">
        <f>G12</f>
        <v>12.5</v>
      </c>
      <c r="K12" s="154"/>
      <c r="L12" s="154"/>
      <c r="M12" s="283">
        <f>J12</f>
        <v>12.5</v>
      </c>
      <c r="N12" s="154"/>
      <c r="O12" s="154"/>
      <c r="P12" s="283">
        <f>M12</f>
        <v>12.5</v>
      </c>
      <c r="S12" s="146">
        <f>Assumptions!I180/2</f>
        <v>10</v>
      </c>
      <c r="V12" s="283">
        <f>S12</f>
        <v>10</v>
      </c>
      <c r="W12" s="154"/>
      <c r="X12" s="154"/>
      <c r="Y12" s="283">
        <f>V12*0</f>
        <v>0</v>
      </c>
      <c r="Z12" s="154"/>
      <c r="AA12" s="154"/>
      <c r="AB12" s="283">
        <f>Y12</f>
        <v>0</v>
      </c>
      <c r="AE12" s="146">
        <f>Assumptions!J180/4</f>
        <v>0</v>
      </c>
      <c r="AH12" s="283">
        <f>AE12</f>
        <v>0</v>
      </c>
      <c r="AI12" s="154"/>
      <c r="AJ12" s="154"/>
      <c r="AK12" s="283">
        <f>AH12</f>
        <v>0</v>
      </c>
      <c r="AL12" s="154"/>
      <c r="AM12" s="154"/>
      <c r="AN12" s="283">
        <f>AK12</f>
        <v>0</v>
      </c>
      <c r="AQ12" s="146">
        <f>Assumptions!K180/4</f>
        <v>0</v>
      </c>
      <c r="AT12" s="283">
        <f>AQ12</f>
        <v>0</v>
      </c>
      <c r="AU12" s="154"/>
      <c r="AV12" s="154"/>
      <c r="AW12" s="283">
        <f>AT12</f>
        <v>0</v>
      </c>
      <c r="AX12" s="154"/>
      <c r="AY12" s="154"/>
      <c r="AZ12" s="283">
        <f>AW12</f>
        <v>0</v>
      </c>
      <c r="BC12" s="146">
        <f>Assumptions!L180/4</f>
        <v>0</v>
      </c>
      <c r="BF12" s="283">
        <f>BC12</f>
        <v>0</v>
      </c>
      <c r="BG12" s="154"/>
      <c r="BH12" s="154"/>
      <c r="BI12" s="283">
        <f>BF12</f>
        <v>0</v>
      </c>
      <c r="BJ12" s="154"/>
      <c r="BK12" s="154"/>
      <c r="BL12" s="283">
        <f>BI12</f>
        <v>0</v>
      </c>
      <c r="BO12" s="146">
        <f>Assumptions!M180/4</f>
        <v>0</v>
      </c>
      <c r="BR12" s="283">
        <f>BO12</f>
        <v>0</v>
      </c>
      <c r="BS12" s="154"/>
      <c r="BT12" s="154"/>
      <c r="BU12" s="283">
        <f>BR12</f>
        <v>0</v>
      </c>
      <c r="BV12" s="154"/>
      <c r="BW12" s="154"/>
      <c r="BX12" s="283">
        <f>BU12</f>
        <v>0</v>
      </c>
      <c r="BY12" s="283"/>
      <c r="BZ12" s="283"/>
      <c r="CA12" s="146">
        <f>Assumptions!Y180/2</f>
        <v>0</v>
      </c>
      <c r="CD12" s="283">
        <f>CA12</f>
        <v>0</v>
      </c>
      <c r="CE12" s="154"/>
      <c r="CF12" s="154"/>
      <c r="CG12" s="283">
        <f>CD12</f>
        <v>0</v>
      </c>
      <c r="CH12" s="154"/>
      <c r="CI12" s="154"/>
      <c r="CJ12" s="283">
        <f>CG12</f>
        <v>0</v>
      </c>
    </row>
    <row r="13" spans="1:88" s="74" customFormat="1" ht="13.8" x14ac:dyDescent="0.3">
      <c r="A13" s="140"/>
      <c r="B13" s="141"/>
      <c r="C13" s="142"/>
      <c r="D13" s="139"/>
      <c r="E13" s="139"/>
      <c r="F13" s="139"/>
      <c r="H13" s="139"/>
      <c r="I13" s="139"/>
    </row>
    <row r="14" spans="1:88" s="74" customFormat="1" ht="13.8" x14ac:dyDescent="0.3">
      <c r="A14" s="136" t="s">
        <v>332</v>
      </c>
      <c r="B14" s="87"/>
      <c r="C14" s="138"/>
      <c r="D14" s="139"/>
      <c r="E14" s="139"/>
      <c r="F14" s="139"/>
      <c r="H14" s="139"/>
      <c r="I14" s="139"/>
    </row>
    <row r="15" spans="1:88" s="74" customFormat="1" ht="13.8" x14ac:dyDescent="0.3">
      <c r="A15" s="137" t="s">
        <v>484</v>
      </c>
      <c r="B15" s="87" t="s">
        <v>425</v>
      </c>
      <c r="C15" s="143">
        <v>0.12</v>
      </c>
      <c r="D15" s="139"/>
      <c r="E15" s="139"/>
      <c r="F15" s="139"/>
      <c r="H15" s="139"/>
      <c r="I15" s="139"/>
    </row>
    <row r="16" spans="1:88" s="74" customFormat="1" ht="13.8" x14ac:dyDescent="0.3">
      <c r="A16" s="137"/>
      <c r="B16" s="87"/>
      <c r="C16" s="143"/>
      <c r="D16" s="139"/>
      <c r="E16" s="139"/>
      <c r="F16" s="139"/>
      <c r="H16" s="139"/>
      <c r="I16" s="139"/>
    </row>
    <row r="17" spans="1:99" s="74" customFormat="1" ht="13.8" x14ac:dyDescent="0.3">
      <c r="A17" s="136" t="s">
        <v>180</v>
      </c>
      <c r="B17" s="139"/>
      <c r="C17" s="139"/>
      <c r="D17" s="139"/>
      <c r="E17" s="139"/>
      <c r="F17" s="139"/>
      <c r="G17" s="139"/>
      <c r="H17" s="139"/>
      <c r="I17" s="139"/>
    </row>
    <row r="18" spans="1:99" s="74" customFormat="1" ht="13.8" x14ac:dyDescent="0.3">
      <c r="A18" s="137" t="s">
        <v>484</v>
      </c>
      <c r="B18" s="144"/>
      <c r="D18" s="139"/>
      <c r="E18" s="139"/>
      <c r="F18" s="139"/>
      <c r="G18" s="139"/>
      <c r="H18" s="139"/>
      <c r="I18" s="139"/>
      <c r="J18" s="139"/>
      <c r="K18" s="139"/>
    </row>
    <row r="19" spans="1:99" s="88" customFormat="1" ht="13.8" x14ac:dyDescent="0.3">
      <c r="A19" s="282" t="s">
        <v>180</v>
      </c>
      <c r="B19" s="87" t="s">
        <v>331</v>
      </c>
      <c r="C19" s="98"/>
      <c r="G19" s="88">
        <f>IF(Assumptions!$B$183=1,Assumptions!H184/4,0)</f>
        <v>0</v>
      </c>
      <c r="J19" s="88">
        <f>G19</f>
        <v>0</v>
      </c>
      <c r="M19" s="88">
        <f>J19</f>
        <v>0</v>
      </c>
      <c r="P19" s="88">
        <f>M19</f>
        <v>0</v>
      </c>
      <c r="S19" s="88">
        <f>IF(Assumptions!$B$183=1,Assumptions!I184/4,0)</f>
        <v>0</v>
      </c>
      <c r="V19" s="88">
        <f>S19</f>
        <v>0</v>
      </c>
      <c r="Y19" s="88">
        <f>V19</f>
        <v>0</v>
      </c>
      <c r="AB19" s="88">
        <f>Y19</f>
        <v>0</v>
      </c>
      <c r="AE19" s="88">
        <f>IF(Assumptions!$B$183=1,Assumptions!J184/4,0)</f>
        <v>0</v>
      </c>
      <c r="AH19" s="88">
        <f>AE19</f>
        <v>0</v>
      </c>
      <c r="AK19" s="88">
        <f>AH19</f>
        <v>0</v>
      </c>
      <c r="AN19" s="88">
        <f>AK19</f>
        <v>0</v>
      </c>
      <c r="AQ19" s="88">
        <f>IF(Assumptions!$B$183=1,Assumptions!K184/4,0)</f>
        <v>0</v>
      </c>
      <c r="AT19" s="88">
        <f>AQ19</f>
        <v>0</v>
      </c>
      <c r="AW19" s="88">
        <f>AT19</f>
        <v>0</v>
      </c>
      <c r="AZ19" s="88">
        <f>AW19</f>
        <v>0</v>
      </c>
      <c r="BC19" s="88">
        <f>IF(Assumptions!$B$183=1,Assumptions!L184/4,0)</f>
        <v>0</v>
      </c>
      <c r="BF19" s="88">
        <f>BC19</f>
        <v>0</v>
      </c>
      <c r="BI19" s="88">
        <f>BF19</f>
        <v>0</v>
      </c>
      <c r="BL19" s="88">
        <f>BI19</f>
        <v>0</v>
      </c>
      <c r="BO19" s="88">
        <f>IF(Assumptions!$B$183=1,Assumptions!M184/4,0)</f>
        <v>0</v>
      </c>
      <c r="BR19" s="88">
        <f>BO19</f>
        <v>0</v>
      </c>
      <c r="BU19" s="88">
        <f>BR19</f>
        <v>0</v>
      </c>
      <c r="BX19" s="88">
        <f>BU19</f>
        <v>0</v>
      </c>
      <c r="CA19" s="88">
        <f t="shared" ref="CA19:CD20" si="8">BX19</f>
        <v>0</v>
      </c>
      <c r="CD19" s="88">
        <f t="shared" si="8"/>
        <v>0</v>
      </c>
    </row>
    <row r="20" spans="1:99" s="98" customFormat="1" ht="13.8" x14ac:dyDescent="0.3">
      <c r="A20" s="282" t="s">
        <v>180</v>
      </c>
      <c r="B20" s="87" t="s">
        <v>485</v>
      </c>
      <c r="G20" s="98">
        <f>IF(Assumptions!$B$183=1,0,Assumptions!H185/4)</f>
        <v>0</v>
      </c>
      <c r="J20" s="98">
        <f>G20</f>
        <v>0</v>
      </c>
      <c r="M20" s="98">
        <f>J20</f>
        <v>0</v>
      </c>
      <c r="P20" s="98">
        <f>M20</f>
        <v>0</v>
      </c>
      <c r="S20" s="98">
        <f>IF(Assumptions!$B$183=1,0,Assumptions!I185/4)*0</f>
        <v>0</v>
      </c>
      <c r="V20" s="98">
        <f>S20</f>
        <v>0</v>
      </c>
      <c r="Y20" s="98">
        <f>IF(Assumptions!$B$183=1,0,Assumptions!I185/2)</f>
        <v>3</v>
      </c>
      <c r="AB20" s="98">
        <f>Y20</f>
        <v>3</v>
      </c>
      <c r="AE20" s="98">
        <f>IF(Assumptions!$B$183=0,Assumptions!J185/4)</f>
        <v>3</v>
      </c>
      <c r="AH20" s="98">
        <f>AE20</f>
        <v>3</v>
      </c>
      <c r="AK20" s="98">
        <f>AH20</f>
        <v>3</v>
      </c>
      <c r="AN20" s="98">
        <f>AK20</f>
        <v>3</v>
      </c>
      <c r="AQ20" s="98">
        <f>IF(Assumptions!$B$183=1,0,Assumptions!K185/4)</f>
        <v>3.5</v>
      </c>
      <c r="AT20" s="98">
        <f>AQ20</f>
        <v>3.5</v>
      </c>
      <c r="AW20" s="98">
        <f>AT20</f>
        <v>3.5</v>
      </c>
      <c r="AZ20" s="98">
        <f>AW20</f>
        <v>3.5</v>
      </c>
      <c r="BC20" s="98">
        <f>IF(Assumptions!$B$183=1,0,Assumptions!L185/4)</f>
        <v>4</v>
      </c>
      <c r="BF20" s="98">
        <f>BC20</f>
        <v>4</v>
      </c>
      <c r="BI20" s="98">
        <f>BF20</f>
        <v>4</v>
      </c>
      <c r="BL20" s="98">
        <f>BI20</f>
        <v>4</v>
      </c>
      <c r="BO20" s="98">
        <f>IF(Assumptions!$B$183=1,0,Assumptions!M185/4)</f>
        <v>4.5</v>
      </c>
      <c r="BR20" s="98">
        <f>BO20</f>
        <v>4.5</v>
      </c>
      <c r="BU20" s="98">
        <f>BR20</f>
        <v>4.5</v>
      </c>
      <c r="BX20" s="98">
        <f>BU20</f>
        <v>4.5</v>
      </c>
      <c r="CA20" s="98">
        <f>IF(Assumptions!$B$183=1,0,Assumptions!N185/2)</f>
        <v>4.5</v>
      </c>
      <c r="CD20" s="98">
        <f t="shared" si="8"/>
        <v>4.5</v>
      </c>
    </row>
    <row r="21" spans="1:99" s="98" customFormat="1" ht="13.8" x14ac:dyDescent="0.3">
      <c r="A21" s="282"/>
      <c r="B21" s="87"/>
    </row>
    <row r="22" spans="1:99" s="74" customFormat="1" ht="13.8" x14ac:dyDescent="0.3">
      <c r="A22" s="282" t="s">
        <v>66</v>
      </c>
      <c r="B22" s="87" t="s">
        <v>485</v>
      </c>
      <c r="D22" s="98">
        <v>0</v>
      </c>
      <c r="E22" s="98">
        <f>D25</f>
        <v>5</v>
      </c>
      <c r="F22" s="98">
        <f t="shared" ref="F22:BQ22" si="9">E25</f>
        <v>5</v>
      </c>
      <c r="G22" s="98">
        <f t="shared" si="9"/>
        <v>5</v>
      </c>
      <c r="H22" s="98">
        <f t="shared" si="9"/>
        <v>17.5</v>
      </c>
      <c r="I22" s="98">
        <f t="shared" si="9"/>
        <v>17.5</v>
      </c>
      <c r="J22" s="98">
        <f t="shared" si="9"/>
        <v>17.5</v>
      </c>
      <c r="K22" s="98">
        <f t="shared" si="9"/>
        <v>30</v>
      </c>
      <c r="L22" s="98">
        <f t="shared" si="9"/>
        <v>30</v>
      </c>
      <c r="M22" s="98">
        <f t="shared" si="9"/>
        <v>30</v>
      </c>
      <c r="N22" s="98">
        <f t="shared" si="9"/>
        <v>42.5</v>
      </c>
      <c r="O22" s="98">
        <f t="shared" si="9"/>
        <v>42.5</v>
      </c>
      <c r="P22" s="98">
        <f t="shared" si="9"/>
        <v>42.5</v>
      </c>
      <c r="Q22" s="98">
        <f t="shared" si="9"/>
        <v>55</v>
      </c>
      <c r="R22" s="98">
        <f t="shared" si="9"/>
        <v>55</v>
      </c>
      <c r="S22" s="98">
        <f t="shared" si="9"/>
        <v>55</v>
      </c>
      <c r="T22" s="98">
        <f t="shared" si="9"/>
        <v>65</v>
      </c>
      <c r="U22" s="98">
        <f t="shared" si="9"/>
        <v>65</v>
      </c>
      <c r="V22" s="98">
        <f t="shared" si="9"/>
        <v>65</v>
      </c>
      <c r="W22" s="98">
        <f t="shared" si="9"/>
        <v>75</v>
      </c>
      <c r="X22" s="98">
        <f t="shared" si="9"/>
        <v>75</v>
      </c>
      <c r="Y22" s="98">
        <f t="shared" si="9"/>
        <v>75</v>
      </c>
      <c r="Z22" s="98">
        <f t="shared" si="9"/>
        <v>72</v>
      </c>
      <c r="AA22" s="98">
        <f t="shared" si="9"/>
        <v>72</v>
      </c>
      <c r="AB22" s="98">
        <f t="shared" si="9"/>
        <v>72</v>
      </c>
      <c r="AC22" s="98">
        <f t="shared" si="9"/>
        <v>69</v>
      </c>
      <c r="AD22" s="98">
        <f t="shared" si="9"/>
        <v>69</v>
      </c>
      <c r="AE22" s="98">
        <f t="shared" si="9"/>
        <v>69</v>
      </c>
      <c r="AF22" s="98">
        <f t="shared" si="9"/>
        <v>66</v>
      </c>
      <c r="AG22" s="98">
        <f t="shared" si="9"/>
        <v>66</v>
      </c>
      <c r="AH22" s="98">
        <f t="shared" si="9"/>
        <v>66</v>
      </c>
      <c r="AI22" s="98">
        <f t="shared" si="9"/>
        <v>63</v>
      </c>
      <c r="AJ22" s="98">
        <f t="shared" si="9"/>
        <v>63</v>
      </c>
      <c r="AK22" s="98">
        <f t="shared" si="9"/>
        <v>63</v>
      </c>
      <c r="AL22" s="98">
        <f t="shared" si="9"/>
        <v>60</v>
      </c>
      <c r="AM22" s="98">
        <f t="shared" si="9"/>
        <v>60</v>
      </c>
      <c r="AN22" s="98">
        <f t="shared" si="9"/>
        <v>60</v>
      </c>
      <c r="AO22" s="98">
        <f t="shared" si="9"/>
        <v>57</v>
      </c>
      <c r="AP22" s="98">
        <f t="shared" si="9"/>
        <v>57</v>
      </c>
      <c r="AQ22" s="98">
        <f t="shared" si="9"/>
        <v>57</v>
      </c>
      <c r="AR22" s="98">
        <f t="shared" si="9"/>
        <v>53.5</v>
      </c>
      <c r="AS22" s="98">
        <f t="shared" si="9"/>
        <v>53.5</v>
      </c>
      <c r="AT22" s="98">
        <f t="shared" si="9"/>
        <v>53.5</v>
      </c>
      <c r="AU22" s="98">
        <f t="shared" si="9"/>
        <v>50</v>
      </c>
      <c r="AV22" s="98">
        <f t="shared" si="9"/>
        <v>50</v>
      </c>
      <c r="AW22" s="98">
        <f t="shared" si="9"/>
        <v>50</v>
      </c>
      <c r="AX22" s="98">
        <f t="shared" si="9"/>
        <v>46.5</v>
      </c>
      <c r="AY22" s="98">
        <f t="shared" si="9"/>
        <v>46.5</v>
      </c>
      <c r="AZ22" s="98">
        <f t="shared" si="9"/>
        <v>46.5</v>
      </c>
      <c r="BA22" s="98">
        <f t="shared" si="9"/>
        <v>43</v>
      </c>
      <c r="BB22" s="98">
        <f t="shared" si="9"/>
        <v>43</v>
      </c>
      <c r="BC22" s="98">
        <f t="shared" si="9"/>
        <v>43</v>
      </c>
      <c r="BD22" s="98">
        <f t="shared" si="9"/>
        <v>39</v>
      </c>
      <c r="BE22" s="98">
        <f t="shared" si="9"/>
        <v>39</v>
      </c>
      <c r="BF22" s="98">
        <f t="shared" si="9"/>
        <v>39</v>
      </c>
      <c r="BG22" s="98">
        <f t="shared" si="9"/>
        <v>35</v>
      </c>
      <c r="BH22" s="98">
        <f t="shared" si="9"/>
        <v>35</v>
      </c>
      <c r="BI22" s="98">
        <f t="shared" si="9"/>
        <v>35</v>
      </c>
      <c r="BJ22" s="98">
        <f t="shared" si="9"/>
        <v>31</v>
      </c>
      <c r="BK22" s="98">
        <f t="shared" si="9"/>
        <v>31</v>
      </c>
      <c r="BL22" s="98">
        <f t="shared" si="9"/>
        <v>31</v>
      </c>
      <c r="BM22" s="98">
        <f t="shared" si="9"/>
        <v>27</v>
      </c>
      <c r="BN22" s="98">
        <f t="shared" si="9"/>
        <v>27</v>
      </c>
      <c r="BO22" s="98">
        <f t="shared" si="9"/>
        <v>27</v>
      </c>
      <c r="BP22" s="98">
        <f t="shared" si="9"/>
        <v>22.5</v>
      </c>
      <c r="BQ22" s="98">
        <f t="shared" si="9"/>
        <v>22.5</v>
      </c>
      <c r="BR22" s="98">
        <f t="shared" ref="BR22:CD22" si="10">BQ25</f>
        <v>22.5</v>
      </c>
      <c r="BS22" s="98">
        <f t="shared" si="10"/>
        <v>18</v>
      </c>
      <c r="BT22" s="98">
        <f t="shared" si="10"/>
        <v>18</v>
      </c>
      <c r="BU22" s="98">
        <f t="shared" si="10"/>
        <v>18</v>
      </c>
      <c r="BV22" s="98">
        <f t="shared" si="10"/>
        <v>13.5</v>
      </c>
      <c r="BW22" s="98">
        <f t="shared" si="10"/>
        <v>13.5</v>
      </c>
      <c r="BX22" s="98">
        <f t="shared" si="10"/>
        <v>13.5</v>
      </c>
      <c r="BY22" s="98">
        <f t="shared" si="10"/>
        <v>9</v>
      </c>
      <c r="BZ22" s="98">
        <f t="shared" si="10"/>
        <v>9</v>
      </c>
      <c r="CA22" s="98">
        <f t="shared" si="10"/>
        <v>9</v>
      </c>
      <c r="CB22" s="98">
        <f t="shared" si="10"/>
        <v>4.5</v>
      </c>
      <c r="CC22" s="98">
        <f t="shared" si="10"/>
        <v>4.5</v>
      </c>
      <c r="CD22" s="98">
        <f t="shared" si="10"/>
        <v>4.5</v>
      </c>
      <c r="CE22" s="98"/>
      <c r="CF22" s="98"/>
      <c r="CG22" s="98"/>
      <c r="CH22" s="98"/>
      <c r="CI22" s="98"/>
      <c r="CJ22" s="98"/>
      <c r="CK22" s="98"/>
      <c r="CL22" s="98"/>
      <c r="CM22" s="98"/>
      <c r="CN22" s="98"/>
      <c r="CO22" s="98"/>
      <c r="CP22" s="98"/>
      <c r="CQ22" s="98"/>
      <c r="CR22" s="98"/>
      <c r="CS22" s="98"/>
      <c r="CT22" s="98"/>
      <c r="CU22" s="98"/>
    </row>
    <row r="23" spans="1:99" s="74" customFormat="1" ht="13.8" x14ac:dyDescent="0.3">
      <c r="A23" s="282" t="s">
        <v>64</v>
      </c>
      <c r="B23" s="87" t="s">
        <v>485</v>
      </c>
      <c r="D23" s="95">
        <f>D12</f>
        <v>5</v>
      </c>
      <c r="E23" s="95">
        <f t="shared" ref="E23:BP23" si="11">E12</f>
        <v>0</v>
      </c>
      <c r="F23" s="95">
        <f t="shared" si="11"/>
        <v>0</v>
      </c>
      <c r="G23" s="95">
        <f t="shared" si="11"/>
        <v>12.5</v>
      </c>
      <c r="H23" s="95">
        <f t="shared" si="11"/>
        <v>0</v>
      </c>
      <c r="I23" s="95">
        <f t="shared" si="11"/>
        <v>0</v>
      </c>
      <c r="J23" s="95">
        <f t="shared" si="11"/>
        <v>12.5</v>
      </c>
      <c r="K23" s="95">
        <f t="shared" si="11"/>
        <v>0</v>
      </c>
      <c r="L23" s="95">
        <f t="shared" si="11"/>
        <v>0</v>
      </c>
      <c r="M23" s="95">
        <f t="shared" si="11"/>
        <v>12.5</v>
      </c>
      <c r="N23" s="95">
        <f t="shared" si="11"/>
        <v>0</v>
      </c>
      <c r="O23" s="95">
        <f t="shared" si="11"/>
        <v>0</v>
      </c>
      <c r="P23" s="95">
        <f t="shared" si="11"/>
        <v>12.5</v>
      </c>
      <c r="Q23" s="95">
        <f t="shared" si="11"/>
        <v>0</v>
      </c>
      <c r="R23" s="95">
        <f t="shared" si="11"/>
        <v>0</v>
      </c>
      <c r="S23" s="95">
        <f t="shared" si="11"/>
        <v>10</v>
      </c>
      <c r="T23" s="95">
        <f t="shared" si="11"/>
        <v>0</v>
      </c>
      <c r="U23" s="95">
        <f t="shared" si="11"/>
        <v>0</v>
      </c>
      <c r="V23" s="95">
        <f t="shared" si="11"/>
        <v>10</v>
      </c>
      <c r="W23" s="95">
        <f t="shared" si="11"/>
        <v>0</v>
      </c>
      <c r="X23" s="95">
        <f t="shared" si="11"/>
        <v>0</v>
      </c>
      <c r="Y23" s="95">
        <f t="shared" si="11"/>
        <v>0</v>
      </c>
      <c r="Z23" s="95">
        <f t="shared" si="11"/>
        <v>0</v>
      </c>
      <c r="AA23" s="95">
        <f t="shared" si="11"/>
        <v>0</v>
      </c>
      <c r="AB23" s="95">
        <f t="shared" si="11"/>
        <v>0</v>
      </c>
      <c r="AC23" s="95">
        <f t="shared" si="11"/>
        <v>0</v>
      </c>
      <c r="AD23" s="95">
        <f t="shared" si="11"/>
        <v>0</v>
      </c>
      <c r="AE23" s="95">
        <f t="shared" si="11"/>
        <v>0</v>
      </c>
      <c r="AF23" s="95">
        <f t="shared" si="11"/>
        <v>0</v>
      </c>
      <c r="AG23" s="95">
        <f t="shared" si="11"/>
        <v>0</v>
      </c>
      <c r="AH23" s="95">
        <f t="shared" si="11"/>
        <v>0</v>
      </c>
      <c r="AI23" s="95">
        <f t="shared" si="11"/>
        <v>0</v>
      </c>
      <c r="AJ23" s="95">
        <f t="shared" si="11"/>
        <v>0</v>
      </c>
      <c r="AK23" s="95">
        <f t="shared" si="11"/>
        <v>0</v>
      </c>
      <c r="AL23" s="95">
        <f t="shared" si="11"/>
        <v>0</v>
      </c>
      <c r="AM23" s="95">
        <f t="shared" si="11"/>
        <v>0</v>
      </c>
      <c r="AN23" s="95">
        <f t="shared" si="11"/>
        <v>0</v>
      </c>
      <c r="AO23" s="95">
        <f t="shared" si="11"/>
        <v>0</v>
      </c>
      <c r="AP23" s="95">
        <f t="shared" si="11"/>
        <v>0</v>
      </c>
      <c r="AQ23" s="95">
        <f t="shared" si="11"/>
        <v>0</v>
      </c>
      <c r="AR23" s="95">
        <f t="shared" si="11"/>
        <v>0</v>
      </c>
      <c r="AS23" s="95">
        <f t="shared" si="11"/>
        <v>0</v>
      </c>
      <c r="AT23" s="95">
        <f t="shared" si="11"/>
        <v>0</v>
      </c>
      <c r="AU23" s="95">
        <f t="shared" si="11"/>
        <v>0</v>
      </c>
      <c r="AV23" s="95">
        <f t="shared" si="11"/>
        <v>0</v>
      </c>
      <c r="AW23" s="95">
        <f t="shared" si="11"/>
        <v>0</v>
      </c>
      <c r="AX23" s="95">
        <f t="shared" si="11"/>
        <v>0</v>
      </c>
      <c r="AY23" s="95">
        <f t="shared" si="11"/>
        <v>0</v>
      </c>
      <c r="AZ23" s="95">
        <f t="shared" si="11"/>
        <v>0</v>
      </c>
      <c r="BA23" s="95">
        <f t="shared" si="11"/>
        <v>0</v>
      </c>
      <c r="BB23" s="95">
        <f t="shared" si="11"/>
        <v>0</v>
      </c>
      <c r="BC23" s="95">
        <f t="shared" si="11"/>
        <v>0</v>
      </c>
      <c r="BD23" s="95">
        <f t="shared" si="11"/>
        <v>0</v>
      </c>
      <c r="BE23" s="95">
        <f t="shared" si="11"/>
        <v>0</v>
      </c>
      <c r="BF23" s="95">
        <f t="shared" si="11"/>
        <v>0</v>
      </c>
      <c r="BG23" s="95">
        <f t="shared" si="11"/>
        <v>0</v>
      </c>
      <c r="BH23" s="95">
        <f t="shared" si="11"/>
        <v>0</v>
      </c>
      <c r="BI23" s="95">
        <f t="shared" si="11"/>
        <v>0</v>
      </c>
      <c r="BJ23" s="95">
        <f t="shared" si="11"/>
        <v>0</v>
      </c>
      <c r="BK23" s="95">
        <f t="shared" si="11"/>
        <v>0</v>
      </c>
      <c r="BL23" s="95">
        <f t="shared" si="11"/>
        <v>0</v>
      </c>
      <c r="BM23" s="95">
        <f t="shared" si="11"/>
        <v>0</v>
      </c>
      <c r="BN23" s="95">
        <f t="shared" si="11"/>
        <v>0</v>
      </c>
      <c r="BO23" s="95">
        <f t="shared" si="11"/>
        <v>0</v>
      </c>
      <c r="BP23" s="95">
        <f t="shared" si="11"/>
        <v>0</v>
      </c>
      <c r="BQ23" s="95">
        <f t="shared" ref="BQ23:CD23" si="12">BQ12</f>
        <v>0</v>
      </c>
      <c r="BR23" s="95">
        <f t="shared" si="12"/>
        <v>0</v>
      </c>
      <c r="BS23" s="95">
        <f t="shared" si="12"/>
        <v>0</v>
      </c>
      <c r="BT23" s="95">
        <f t="shared" si="12"/>
        <v>0</v>
      </c>
      <c r="BU23" s="95">
        <f t="shared" si="12"/>
        <v>0</v>
      </c>
      <c r="BV23" s="95">
        <f t="shared" si="12"/>
        <v>0</v>
      </c>
      <c r="BW23" s="95">
        <f t="shared" si="12"/>
        <v>0</v>
      </c>
      <c r="BX23" s="95">
        <f t="shared" si="12"/>
        <v>0</v>
      </c>
      <c r="BY23" s="95">
        <f t="shared" si="12"/>
        <v>0</v>
      </c>
      <c r="BZ23" s="95">
        <f t="shared" si="12"/>
        <v>0</v>
      </c>
      <c r="CA23" s="95">
        <f t="shared" si="12"/>
        <v>0</v>
      </c>
      <c r="CB23" s="95">
        <f t="shared" si="12"/>
        <v>0</v>
      </c>
      <c r="CC23" s="95">
        <f t="shared" si="12"/>
        <v>0</v>
      </c>
      <c r="CD23" s="95">
        <f t="shared" si="12"/>
        <v>0</v>
      </c>
      <c r="CE23" s="98"/>
      <c r="CF23" s="98"/>
      <c r="CG23" s="98"/>
      <c r="CH23" s="98"/>
      <c r="CI23" s="98"/>
      <c r="CJ23" s="98"/>
      <c r="CK23" s="98"/>
      <c r="CL23" s="98"/>
      <c r="CM23" s="98"/>
      <c r="CN23" s="98"/>
      <c r="CO23" s="98"/>
      <c r="CP23" s="98"/>
      <c r="CQ23" s="98"/>
      <c r="CR23" s="98"/>
      <c r="CS23" s="98"/>
      <c r="CT23" s="98"/>
      <c r="CU23" s="98"/>
    </row>
    <row r="24" spans="1:99" s="74" customFormat="1" ht="13.8" x14ac:dyDescent="0.3">
      <c r="A24" s="282" t="s">
        <v>486</v>
      </c>
      <c r="B24" s="87" t="s">
        <v>485</v>
      </c>
      <c r="D24" s="98"/>
      <c r="E24" s="98">
        <f t="shared" ref="E24:U24" si="13">$D$25*E19+E20</f>
        <v>0</v>
      </c>
      <c r="F24" s="98">
        <f t="shared" si="13"/>
        <v>0</v>
      </c>
      <c r="G24" s="98">
        <f t="shared" si="13"/>
        <v>0</v>
      </c>
      <c r="H24" s="98">
        <f t="shared" si="13"/>
        <v>0</v>
      </c>
      <c r="I24" s="98">
        <f t="shared" si="13"/>
        <v>0</v>
      </c>
      <c r="J24" s="98">
        <f t="shared" si="13"/>
        <v>0</v>
      </c>
      <c r="K24" s="98">
        <f t="shared" si="13"/>
        <v>0</v>
      </c>
      <c r="L24" s="98">
        <f t="shared" si="13"/>
        <v>0</v>
      </c>
      <c r="M24" s="98">
        <f t="shared" si="13"/>
        <v>0</v>
      </c>
      <c r="N24" s="98">
        <f t="shared" si="13"/>
        <v>0</v>
      </c>
      <c r="O24" s="98">
        <f t="shared" si="13"/>
        <v>0</v>
      </c>
      <c r="P24" s="98">
        <f t="shared" si="13"/>
        <v>0</v>
      </c>
      <c r="Q24" s="98">
        <f t="shared" si="13"/>
        <v>0</v>
      </c>
      <c r="R24" s="98">
        <f t="shared" si="13"/>
        <v>0</v>
      </c>
      <c r="S24" s="98">
        <f t="shared" si="13"/>
        <v>0</v>
      </c>
      <c r="T24" s="98">
        <f t="shared" si="13"/>
        <v>0</v>
      </c>
      <c r="U24" s="98">
        <f t="shared" si="13"/>
        <v>0</v>
      </c>
      <c r="V24" s="98">
        <f>$D$25*V19+V20</f>
        <v>0</v>
      </c>
      <c r="W24" s="98">
        <f t="shared" ref="W24:CD24" si="14">$D$25*W19+W20</f>
        <v>0</v>
      </c>
      <c r="X24" s="98">
        <f t="shared" si="14"/>
        <v>0</v>
      </c>
      <c r="Y24" s="98">
        <f t="shared" si="14"/>
        <v>3</v>
      </c>
      <c r="Z24" s="98">
        <f t="shared" si="14"/>
        <v>0</v>
      </c>
      <c r="AA24" s="98">
        <f t="shared" si="14"/>
        <v>0</v>
      </c>
      <c r="AB24" s="98">
        <f t="shared" si="14"/>
        <v>3</v>
      </c>
      <c r="AC24" s="98">
        <f t="shared" si="14"/>
        <v>0</v>
      </c>
      <c r="AD24" s="98">
        <f t="shared" si="14"/>
        <v>0</v>
      </c>
      <c r="AE24" s="98">
        <f t="shared" si="14"/>
        <v>3</v>
      </c>
      <c r="AF24" s="98">
        <f t="shared" si="14"/>
        <v>0</v>
      </c>
      <c r="AG24" s="98">
        <f t="shared" si="14"/>
        <v>0</v>
      </c>
      <c r="AH24" s="98">
        <f t="shared" si="14"/>
        <v>3</v>
      </c>
      <c r="AI24" s="98">
        <f t="shared" si="14"/>
        <v>0</v>
      </c>
      <c r="AJ24" s="98">
        <f t="shared" si="14"/>
        <v>0</v>
      </c>
      <c r="AK24" s="98">
        <f t="shared" si="14"/>
        <v>3</v>
      </c>
      <c r="AL24" s="98">
        <f t="shared" si="14"/>
        <v>0</v>
      </c>
      <c r="AM24" s="98">
        <f t="shared" si="14"/>
        <v>0</v>
      </c>
      <c r="AN24" s="98">
        <f t="shared" si="14"/>
        <v>3</v>
      </c>
      <c r="AO24" s="98">
        <f t="shared" si="14"/>
        <v>0</v>
      </c>
      <c r="AP24" s="98">
        <f t="shared" si="14"/>
        <v>0</v>
      </c>
      <c r="AQ24" s="98">
        <f t="shared" si="14"/>
        <v>3.5</v>
      </c>
      <c r="AR24" s="98">
        <f t="shared" si="14"/>
        <v>0</v>
      </c>
      <c r="AS24" s="98">
        <f t="shared" si="14"/>
        <v>0</v>
      </c>
      <c r="AT24" s="98">
        <f t="shared" si="14"/>
        <v>3.5</v>
      </c>
      <c r="AU24" s="98">
        <f t="shared" si="14"/>
        <v>0</v>
      </c>
      <c r="AV24" s="98">
        <f t="shared" si="14"/>
        <v>0</v>
      </c>
      <c r="AW24" s="98">
        <f t="shared" si="14"/>
        <v>3.5</v>
      </c>
      <c r="AX24" s="98">
        <f t="shared" si="14"/>
        <v>0</v>
      </c>
      <c r="AY24" s="98">
        <f t="shared" si="14"/>
        <v>0</v>
      </c>
      <c r="AZ24" s="98">
        <f t="shared" si="14"/>
        <v>3.5</v>
      </c>
      <c r="BA24" s="98">
        <f t="shared" si="14"/>
        <v>0</v>
      </c>
      <c r="BB24" s="98">
        <f t="shared" si="14"/>
        <v>0</v>
      </c>
      <c r="BC24" s="98">
        <f t="shared" si="14"/>
        <v>4</v>
      </c>
      <c r="BD24" s="98">
        <f t="shared" si="14"/>
        <v>0</v>
      </c>
      <c r="BE24" s="98">
        <f t="shared" si="14"/>
        <v>0</v>
      </c>
      <c r="BF24" s="98">
        <f t="shared" si="14"/>
        <v>4</v>
      </c>
      <c r="BG24" s="98">
        <f t="shared" si="14"/>
        <v>0</v>
      </c>
      <c r="BH24" s="98">
        <f t="shared" si="14"/>
        <v>0</v>
      </c>
      <c r="BI24" s="98">
        <f t="shared" si="14"/>
        <v>4</v>
      </c>
      <c r="BJ24" s="98">
        <f t="shared" si="14"/>
        <v>0</v>
      </c>
      <c r="BK24" s="98">
        <f t="shared" si="14"/>
        <v>0</v>
      </c>
      <c r="BL24" s="98">
        <f t="shared" si="14"/>
        <v>4</v>
      </c>
      <c r="BM24" s="98">
        <f t="shared" si="14"/>
        <v>0</v>
      </c>
      <c r="BN24" s="98">
        <f t="shared" si="14"/>
        <v>0</v>
      </c>
      <c r="BO24" s="98">
        <f t="shared" si="14"/>
        <v>4.5</v>
      </c>
      <c r="BP24" s="98">
        <f t="shared" si="14"/>
        <v>0</v>
      </c>
      <c r="BQ24" s="98">
        <f t="shared" si="14"/>
        <v>0</v>
      </c>
      <c r="BR24" s="98">
        <f t="shared" si="14"/>
        <v>4.5</v>
      </c>
      <c r="BS24" s="98">
        <f t="shared" si="14"/>
        <v>0</v>
      </c>
      <c r="BT24" s="98">
        <f t="shared" si="14"/>
        <v>0</v>
      </c>
      <c r="BU24" s="98">
        <f t="shared" si="14"/>
        <v>4.5</v>
      </c>
      <c r="BV24" s="98">
        <f t="shared" si="14"/>
        <v>0</v>
      </c>
      <c r="BW24" s="98">
        <f t="shared" si="14"/>
        <v>0</v>
      </c>
      <c r="BX24" s="98">
        <f t="shared" si="14"/>
        <v>4.5</v>
      </c>
      <c r="BY24" s="98">
        <f t="shared" si="14"/>
        <v>0</v>
      </c>
      <c r="BZ24" s="98">
        <f t="shared" si="14"/>
        <v>0</v>
      </c>
      <c r="CA24" s="98">
        <f t="shared" si="14"/>
        <v>4.5</v>
      </c>
      <c r="CB24" s="98">
        <f t="shared" si="14"/>
        <v>0</v>
      </c>
      <c r="CC24" s="98">
        <f t="shared" si="14"/>
        <v>0</v>
      </c>
      <c r="CD24" s="98">
        <f t="shared" si="14"/>
        <v>4.5</v>
      </c>
      <c r="CE24" s="98"/>
      <c r="CF24" s="98"/>
      <c r="CG24" s="98"/>
      <c r="CH24" s="98"/>
      <c r="CI24" s="98"/>
      <c r="CJ24" s="98"/>
      <c r="CK24" s="98"/>
      <c r="CL24" s="98"/>
      <c r="CM24" s="98"/>
      <c r="CN24" s="98"/>
      <c r="CO24" s="98"/>
      <c r="CP24" s="98"/>
      <c r="CQ24" s="98"/>
      <c r="CR24" s="98"/>
      <c r="CS24" s="98"/>
      <c r="CT24" s="98"/>
      <c r="CU24" s="98"/>
    </row>
    <row r="25" spans="1:99" s="74" customFormat="1" ht="13.8" x14ac:dyDescent="0.3">
      <c r="A25" s="282" t="s">
        <v>487</v>
      </c>
      <c r="B25" s="87" t="s">
        <v>485</v>
      </c>
      <c r="D25" s="98">
        <f>D22+D23-D24</f>
        <v>5</v>
      </c>
      <c r="E25" s="98">
        <f t="shared" ref="E25:BP25" si="15">E22+E23-E24</f>
        <v>5</v>
      </c>
      <c r="F25" s="98">
        <f t="shared" si="15"/>
        <v>5</v>
      </c>
      <c r="G25" s="98">
        <f t="shared" si="15"/>
        <v>17.5</v>
      </c>
      <c r="H25" s="98">
        <f t="shared" si="15"/>
        <v>17.5</v>
      </c>
      <c r="I25" s="98">
        <f t="shared" si="15"/>
        <v>17.5</v>
      </c>
      <c r="J25" s="98">
        <f t="shared" si="15"/>
        <v>30</v>
      </c>
      <c r="K25" s="98">
        <f t="shared" si="15"/>
        <v>30</v>
      </c>
      <c r="L25" s="98">
        <f t="shared" si="15"/>
        <v>30</v>
      </c>
      <c r="M25" s="98">
        <f t="shared" si="15"/>
        <v>42.5</v>
      </c>
      <c r="N25" s="98">
        <f t="shared" si="15"/>
        <v>42.5</v>
      </c>
      <c r="O25" s="98">
        <f t="shared" si="15"/>
        <v>42.5</v>
      </c>
      <c r="P25" s="98">
        <f t="shared" si="15"/>
        <v>55</v>
      </c>
      <c r="Q25" s="98">
        <f t="shared" si="15"/>
        <v>55</v>
      </c>
      <c r="R25" s="98">
        <f t="shared" si="15"/>
        <v>55</v>
      </c>
      <c r="S25" s="98">
        <f t="shared" si="15"/>
        <v>65</v>
      </c>
      <c r="T25" s="98">
        <f t="shared" si="15"/>
        <v>65</v>
      </c>
      <c r="U25" s="98">
        <f t="shared" si="15"/>
        <v>65</v>
      </c>
      <c r="V25" s="98">
        <f t="shared" si="15"/>
        <v>75</v>
      </c>
      <c r="W25" s="98">
        <f t="shared" si="15"/>
        <v>75</v>
      </c>
      <c r="X25" s="98">
        <f t="shared" si="15"/>
        <v>75</v>
      </c>
      <c r="Y25" s="98">
        <f t="shared" si="15"/>
        <v>72</v>
      </c>
      <c r="Z25" s="98">
        <f t="shared" si="15"/>
        <v>72</v>
      </c>
      <c r="AA25" s="98">
        <f t="shared" si="15"/>
        <v>72</v>
      </c>
      <c r="AB25" s="98">
        <f t="shared" si="15"/>
        <v>69</v>
      </c>
      <c r="AC25" s="98">
        <f t="shared" si="15"/>
        <v>69</v>
      </c>
      <c r="AD25" s="98">
        <f t="shared" si="15"/>
        <v>69</v>
      </c>
      <c r="AE25" s="98">
        <f t="shared" si="15"/>
        <v>66</v>
      </c>
      <c r="AF25" s="98">
        <f t="shared" si="15"/>
        <v>66</v>
      </c>
      <c r="AG25" s="98">
        <f t="shared" si="15"/>
        <v>66</v>
      </c>
      <c r="AH25" s="98">
        <f t="shared" si="15"/>
        <v>63</v>
      </c>
      <c r="AI25" s="98">
        <f t="shared" si="15"/>
        <v>63</v>
      </c>
      <c r="AJ25" s="98">
        <f t="shared" si="15"/>
        <v>63</v>
      </c>
      <c r="AK25" s="98">
        <f t="shared" si="15"/>
        <v>60</v>
      </c>
      <c r="AL25" s="98">
        <f t="shared" si="15"/>
        <v>60</v>
      </c>
      <c r="AM25" s="98">
        <f t="shared" si="15"/>
        <v>60</v>
      </c>
      <c r="AN25" s="98">
        <f t="shared" si="15"/>
        <v>57</v>
      </c>
      <c r="AO25" s="98">
        <f t="shared" si="15"/>
        <v>57</v>
      </c>
      <c r="AP25" s="98">
        <f t="shared" si="15"/>
        <v>57</v>
      </c>
      <c r="AQ25" s="98">
        <f t="shared" si="15"/>
        <v>53.5</v>
      </c>
      <c r="AR25" s="98">
        <f t="shared" si="15"/>
        <v>53.5</v>
      </c>
      <c r="AS25" s="98">
        <f t="shared" si="15"/>
        <v>53.5</v>
      </c>
      <c r="AT25" s="98">
        <f t="shared" si="15"/>
        <v>50</v>
      </c>
      <c r="AU25" s="98">
        <f t="shared" si="15"/>
        <v>50</v>
      </c>
      <c r="AV25" s="98">
        <f t="shared" si="15"/>
        <v>50</v>
      </c>
      <c r="AW25" s="98">
        <f t="shared" si="15"/>
        <v>46.5</v>
      </c>
      <c r="AX25" s="98">
        <f t="shared" si="15"/>
        <v>46.5</v>
      </c>
      <c r="AY25" s="98">
        <f t="shared" si="15"/>
        <v>46.5</v>
      </c>
      <c r="AZ25" s="98">
        <f t="shared" si="15"/>
        <v>43</v>
      </c>
      <c r="BA25" s="98">
        <f t="shared" si="15"/>
        <v>43</v>
      </c>
      <c r="BB25" s="98">
        <f t="shared" si="15"/>
        <v>43</v>
      </c>
      <c r="BC25" s="98">
        <f t="shared" si="15"/>
        <v>39</v>
      </c>
      <c r="BD25" s="98">
        <f t="shared" si="15"/>
        <v>39</v>
      </c>
      <c r="BE25" s="98">
        <f t="shared" si="15"/>
        <v>39</v>
      </c>
      <c r="BF25" s="98">
        <f t="shared" si="15"/>
        <v>35</v>
      </c>
      <c r="BG25" s="98">
        <f t="shared" si="15"/>
        <v>35</v>
      </c>
      <c r="BH25" s="98">
        <f t="shared" si="15"/>
        <v>35</v>
      </c>
      <c r="BI25" s="98">
        <f t="shared" si="15"/>
        <v>31</v>
      </c>
      <c r="BJ25" s="98">
        <f t="shared" si="15"/>
        <v>31</v>
      </c>
      <c r="BK25" s="98">
        <f t="shared" si="15"/>
        <v>31</v>
      </c>
      <c r="BL25" s="98">
        <f t="shared" si="15"/>
        <v>27</v>
      </c>
      <c r="BM25" s="98">
        <f t="shared" si="15"/>
        <v>27</v>
      </c>
      <c r="BN25" s="98">
        <f t="shared" si="15"/>
        <v>27</v>
      </c>
      <c r="BO25" s="98">
        <f t="shared" si="15"/>
        <v>22.5</v>
      </c>
      <c r="BP25" s="98">
        <f t="shared" si="15"/>
        <v>22.5</v>
      </c>
      <c r="BQ25" s="98">
        <f t="shared" ref="BQ25:CD25" si="16">BQ22+BQ23-BQ24</f>
        <v>22.5</v>
      </c>
      <c r="BR25" s="98">
        <f t="shared" si="16"/>
        <v>18</v>
      </c>
      <c r="BS25" s="98">
        <f t="shared" si="16"/>
        <v>18</v>
      </c>
      <c r="BT25" s="98">
        <f t="shared" si="16"/>
        <v>18</v>
      </c>
      <c r="BU25" s="98">
        <f t="shared" si="16"/>
        <v>13.5</v>
      </c>
      <c r="BV25" s="98">
        <f t="shared" si="16"/>
        <v>13.5</v>
      </c>
      <c r="BW25" s="98">
        <f t="shared" si="16"/>
        <v>13.5</v>
      </c>
      <c r="BX25" s="98">
        <f t="shared" si="16"/>
        <v>9</v>
      </c>
      <c r="BY25" s="98">
        <f t="shared" si="16"/>
        <v>9</v>
      </c>
      <c r="BZ25" s="98">
        <f t="shared" si="16"/>
        <v>9</v>
      </c>
      <c r="CA25" s="98">
        <f t="shared" si="16"/>
        <v>4.5</v>
      </c>
      <c r="CB25" s="98">
        <f t="shared" si="16"/>
        <v>4.5</v>
      </c>
      <c r="CC25" s="98">
        <f t="shared" si="16"/>
        <v>4.5</v>
      </c>
      <c r="CD25" s="98">
        <f t="shared" si="16"/>
        <v>0</v>
      </c>
      <c r="CE25" s="98"/>
      <c r="CF25" s="98"/>
      <c r="CG25" s="98"/>
      <c r="CH25" s="98"/>
      <c r="CI25" s="98"/>
      <c r="CJ25" s="98"/>
      <c r="CK25" s="98"/>
      <c r="CL25" s="98"/>
      <c r="CM25" s="98"/>
      <c r="CN25" s="98"/>
      <c r="CO25" s="98"/>
      <c r="CP25" s="98"/>
      <c r="CQ25" s="98"/>
      <c r="CR25" s="98"/>
      <c r="CS25" s="98"/>
      <c r="CT25" s="98"/>
      <c r="CU25" s="98"/>
    </row>
    <row r="26" spans="1:99" s="74" customFormat="1" ht="13.8" x14ac:dyDescent="0.3">
      <c r="A26" s="282"/>
      <c r="B26" s="139"/>
      <c r="D26" s="139"/>
      <c r="E26" s="139"/>
      <c r="F26" s="139"/>
      <c r="G26" s="139"/>
      <c r="H26" s="139"/>
      <c r="I26" s="139"/>
      <c r="J26" s="139"/>
    </row>
    <row r="27" spans="1:99" s="74" customFormat="1" ht="13.8" x14ac:dyDescent="0.3">
      <c r="A27" s="282" t="s">
        <v>333</v>
      </c>
      <c r="B27" s="87" t="s">
        <v>485</v>
      </c>
      <c r="D27" s="138">
        <f t="shared" ref="D27:BO27" si="17">((D22*$C$15)/D8)*D7</f>
        <v>0</v>
      </c>
      <c r="E27" s="138">
        <f t="shared" si="17"/>
        <v>4.9315068493150684E-2</v>
      </c>
      <c r="F27" s="138">
        <f t="shared" si="17"/>
        <v>5.0958904109589039E-2</v>
      </c>
      <c r="G27" s="138">
        <f t="shared" si="17"/>
        <v>4.9315068493150684E-2</v>
      </c>
      <c r="H27" s="138">
        <f t="shared" si="17"/>
        <v>0.17835616438356164</v>
      </c>
      <c r="I27" s="138">
        <f t="shared" si="17"/>
        <v>0.17835616438356164</v>
      </c>
      <c r="J27" s="138">
        <f t="shared" si="17"/>
        <v>0.17260273972602741</v>
      </c>
      <c r="K27" s="138">
        <f t="shared" si="17"/>
        <v>0.30575342465753425</v>
      </c>
      <c r="L27" s="138">
        <f t="shared" si="17"/>
        <v>0.29589041095890412</v>
      </c>
      <c r="M27" s="138">
        <f t="shared" si="17"/>
        <v>0.30575342465753425</v>
      </c>
      <c r="N27" s="138">
        <f t="shared" si="17"/>
        <v>0.43315068493150682</v>
      </c>
      <c r="O27" s="138">
        <f t="shared" si="17"/>
        <v>0.3912328767123287</v>
      </c>
      <c r="P27" s="138">
        <f t="shared" si="17"/>
        <v>0.43315068493150682</v>
      </c>
      <c r="Q27" s="138">
        <f t="shared" si="17"/>
        <v>0.54246575342465753</v>
      </c>
      <c r="R27" s="138">
        <f t="shared" si="17"/>
        <v>0.56054794520547946</v>
      </c>
      <c r="S27" s="138">
        <f t="shared" si="17"/>
        <v>0.54246575342465753</v>
      </c>
      <c r="T27" s="138">
        <f t="shared" si="17"/>
        <v>0.66246575342465752</v>
      </c>
      <c r="U27" s="138">
        <f t="shared" si="17"/>
        <v>0.66246575342465752</v>
      </c>
      <c r="V27" s="138">
        <f t="shared" si="17"/>
        <v>0.64109589041095882</v>
      </c>
      <c r="W27" s="138">
        <f t="shared" si="17"/>
        <v>0.76438356164383559</v>
      </c>
      <c r="X27" s="138">
        <f t="shared" si="17"/>
        <v>0.73972602739726023</v>
      </c>
      <c r="Y27" s="138">
        <f t="shared" si="17"/>
        <v>0.76438356164383559</v>
      </c>
      <c r="Z27" s="138">
        <f t="shared" si="17"/>
        <v>0.73380821917808225</v>
      </c>
      <c r="AA27" s="138">
        <f t="shared" si="17"/>
        <v>0.6627945205479453</v>
      </c>
      <c r="AB27" s="138">
        <f t="shared" si="17"/>
        <v>0.73380821917808225</v>
      </c>
      <c r="AC27" s="138">
        <f t="shared" si="17"/>
        <v>0.68054794520547945</v>
      </c>
      <c r="AD27" s="138">
        <f t="shared" si="17"/>
        <v>0.7032328767123287</v>
      </c>
      <c r="AE27" s="138">
        <f t="shared" si="17"/>
        <v>0.68054794520547945</v>
      </c>
      <c r="AF27" s="138">
        <f t="shared" si="17"/>
        <v>0.67265753424657537</v>
      </c>
      <c r="AG27" s="138">
        <f t="shared" si="17"/>
        <v>0.67265753424657537</v>
      </c>
      <c r="AH27" s="138">
        <f t="shared" si="17"/>
        <v>0.65095890410958901</v>
      </c>
      <c r="AI27" s="138">
        <f t="shared" si="17"/>
        <v>0.64208219178082193</v>
      </c>
      <c r="AJ27" s="138">
        <f t="shared" si="17"/>
        <v>0.62136986301369856</v>
      </c>
      <c r="AK27" s="138">
        <f t="shared" si="17"/>
        <v>0.64208219178082193</v>
      </c>
      <c r="AL27" s="138">
        <f t="shared" si="17"/>
        <v>0.61150684931506849</v>
      </c>
      <c r="AM27" s="138">
        <f t="shared" si="17"/>
        <v>0.55232876712328771</v>
      </c>
      <c r="AN27" s="138">
        <f t="shared" si="17"/>
        <v>0.61150684931506849</v>
      </c>
      <c r="AO27" s="138">
        <f t="shared" si="17"/>
        <v>0.56065573770491794</v>
      </c>
      <c r="AP27" s="138">
        <f t="shared" si="17"/>
        <v>0.57934426229508196</v>
      </c>
      <c r="AQ27" s="138">
        <f t="shared" si="17"/>
        <v>0.56065573770491794</v>
      </c>
      <c r="AR27" s="138">
        <f t="shared" si="17"/>
        <v>0.54377049180327863</v>
      </c>
      <c r="AS27" s="138">
        <f t="shared" si="17"/>
        <v>0.54377049180327863</v>
      </c>
      <c r="AT27" s="138">
        <f t="shared" si="17"/>
        <v>0.52622950819672132</v>
      </c>
      <c r="AU27" s="138">
        <f t="shared" si="17"/>
        <v>0.50819672131147542</v>
      </c>
      <c r="AV27" s="138">
        <f t="shared" si="17"/>
        <v>0.49180327868852464</v>
      </c>
      <c r="AW27" s="138">
        <f t="shared" si="17"/>
        <v>0.50819672131147542</v>
      </c>
      <c r="AX27" s="138">
        <f t="shared" si="17"/>
        <v>0.47262295081967215</v>
      </c>
      <c r="AY27" s="138">
        <f t="shared" si="17"/>
        <v>0.44213114754098359</v>
      </c>
      <c r="AZ27" s="138">
        <f t="shared" si="17"/>
        <v>0.47262295081967215</v>
      </c>
      <c r="BA27" s="138">
        <f t="shared" si="17"/>
        <v>0.42410958904109591</v>
      </c>
      <c r="BB27" s="138">
        <f t="shared" si="17"/>
        <v>0.43824657534246581</v>
      </c>
      <c r="BC27" s="138">
        <f t="shared" si="17"/>
        <v>0.42410958904109591</v>
      </c>
      <c r="BD27" s="138">
        <f t="shared" si="17"/>
        <v>0.39747945205479451</v>
      </c>
      <c r="BE27" s="138">
        <f t="shared" si="17"/>
        <v>0.39747945205479451</v>
      </c>
      <c r="BF27" s="138">
        <f t="shared" si="17"/>
        <v>0.38465753424657534</v>
      </c>
      <c r="BG27" s="138">
        <f t="shared" si="17"/>
        <v>0.35671232876712328</v>
      </c>
      <c r="BH27" s="138">
        <f t="shared" si="17"/>
        <v>0.34520547945205482</v>
      </c>
      <c r="BI27" s="138">
        <f t="shared" si="17"/>
        <v>0.35671232876712328</v>
      </c>
      <c r="BJ27" s="138">
        <f t="shared" si="17"/>
        <v>0.31594520547945204</v>
      </c>
      <c r="BK27" s="138">
        <f t="shared" si="17"/>
        <v>0.2853698630136986</v>
      </c>
      <c r="BL27" s="138">
        <f t="shared" si="17"/>
        <v>0.31594520547945204</v>
      </c>
      <c r="BM27" s="138">
        <f t="shared" si="17"/>
        <v>0.26630136986301367</v>
      </c>
      <c r="BN27" s="138">
        <f t="shared" si="17"/>
        <v>0.2751780821917808</v>
      </c>
      <c r="BO27" s="138">
        <f t="shared" si="17"/>
        <v>0.26630136986301367</v>
      </c>
      <c r="BP27" s="138">
        <f t="shared" ref="BP27:CD27" si="18">((BP22*$C$15)/BP8)*BP7</f>
        <v>0.22931506849315064</v>
      </c>
      <c r="BQ27" s="138">
        <f t="shared" si="18"/>
        <v>0.22931506849315064</v>
      </c>
      <c r="BR27" s="138">
        <f t="shared" si="18"/>
        <v>0.22191780821917806</v>
      </c>
      <c r="BS27" s="138">
        <f t="shared" si="18"/>
        <v>0.18345205479452056</v>
      </c>
      <c r="BT27" s="138">
        <f t="shared" si="18"/>
        <v>0.17753424657534247</v>
      </c>
      <c r="BU27" s="138">
        <f t="shared" si="18"/>
        <v>0.18345205479452056</v>
      </c>
      <c r="BV27" s="138">
        <f t="shared" si="18"/>
        <v>0.1375890410958904</v>
      </c>
      <c r="BW27" s="138">
        <f t="shared" si="18"/>
        <v>0.12427397260273973</v>
      </c>
      <c r="BX27" s="138">
        <f t="shared" si="18"/>
        <v>0.1375890410958904</v>
      </c>
      <c r="BY27" s="138">
        <f t="shared" si="18"/>
        <v>8.8767123287671237E-2</v>
      </c>
      <c r="BZ27" s="138">
        <f t="shared" si="18"/>
        <v>9.1726027397260282E-2</v>
      </c>
      <c r="CA27" s="138">
        <f t="shared" si="18"/>
        <v>8.8767123287671237E-2</v>
      </c>
      <c r="CB27" s="138">
        <f t="shared" si="18"/>
        <v>4.5863013698630141E-2</v>
      </c>
      <c r="CC27" s="138">
        <f t="shared" si="18"/>
        <v>4.5863013698630141E-2</v>
      </c>
      <c r="CD27" s="138">
        <f t="shared" si="18"/>
        <v>4.4383561643835619E-2</v>
      </c>
    </row>
    <row r="28" spans="1:99" s="74" customFormat="1" ht="13.8" x14ac:dyDescent="0.3">
      <c r="A28" s="139"/>
      <c r="B28" s="139"/>
      <c r="D28" s="139"/>
      <c r="E28" s="138"/>
      <c r="F28" s="139"/>
      <c r="G28" s="139"/>
      <c r="H28" s="139"/>
      <c r="I28" s="139"/>
      <c r="J28" s="139"/>
    </row>
    <row r="29" spans="1:99" s="74" customFormat="1" ht="13.8" x14ac:dyDescent="0.3">
      <c r="A29" s="136" t="s">
        <v>488</v>
      </c>
      <c r="B29" s="87"/>
      <c r="C29" s="143"/>
      <c r="D29" s="139"/>
      <c r="E29" s="139"/>
      <c r="F29" s="139"/>
      <c r="G29" s="139"/>
      <c r="H29" s="139"/>
      <c r="I29" s="139"/>
    </row>
    <row r="30" spans="1:99" s="74" customFormat="1" ht="13.8" x14ac:dyDescent="0.3">
      <c r="A30" s="412" t="s">
        <v>422</v>
      </c>
      <c r="B30" s="412" t="s">
        <v>330</v>
      </c>
      <c r="C30" s="412"/>
      <c r="D30" s="498">
        <f>DATE(2024,3,31)</f>
        <v>45382</v>
      </c>
      <c r="E30" s="498">
        <f>EOMONTH(D30,12)</f>
        <v>45747</v>
      </c>
      <c r="F30" s="498">
        <f t="shared" ref="F30:K30" si="19">EOMONTH(E30,12)</f>
        <v>46112</v>
      </c>
      <c r="G30" s="498">
        <f t="shared" si="19"/>
        <v>46477</v>
      </c>
      <c r="H30" s="498">
        <f t="shared" si="19"/>
        <v>46843</v>
      </c>
      <c r="I30" s="498">
        <f t="shared" si="19"/>
        <v>47208</v>
      </c>
      <c r="J30" s="498">
        <f t="shared" si="19"/>
        <v>47573</v>
      </c>
      <c r="K30" s="498">
        <f t="shared" si="19"/>
        <v>47938</v>
      </c>
      <c r="L30" s="145"/>
    </row>
    <row r="31" spans="1:99" s="74" customFormat="1" ht="13.8" x14ac:dyDescent="0.3">
      <c r="A31" s="288" t="s">
        <v>484</v>
      </c>
      <c r="B31" s="289"/>
      <c r="C31" s="289"/>
      <c r="D31" s="289"/>
      <c r="E31" s="289"/>
      <c r="F31" s="289"/>
      <c r="G31" s="80"/>
      <c r="H31" s="80"/>
      <c r="I31" s="80"/>
      <c r="J31" s="80"/>
      <c r="K31" s="80"/>
    </row>
    <row r="32" spans="1:99" s="74" customFormat="1" ht="13.8" x14ac:dyDescent="0.3">
      <c r="A32" s="289" t="s">
        <v>66</v>
      </c>
      <c r="B32" s="203" t="s">
        <v>485</v>
      </c>
      <c r="C32" s="80"/>
      <c r="D32" s="202">
        <f>C35</f>
        <v>0</v>
      </c>
      <c r="E32" s="202">
        <f>D35</f>
        <v>5</v>
      </c>
      <c r="F32" s="202">
        <f t="shared" ref="F32:K32" si="20">E35</f>
        <v>55</v>
      </c>
      <c r="G32" s="202">
        <f t="shared" si="20"/>
        <v>69</v>
      </c>
      <c r="H32" s="202">
        <f t="shared" si="20"/>
        <v>57</v>
      </c>
      <c r="I32" s="202">
        <f t="shared" si="20"/>
        <v>43</v>
      </c>
      <c r="J32" s="202">
        <f t="shared" si="20"/>
        <v>27</v>
      </c>
      <c r="K32" s="202">
        <f t="shared" si="20"/>
        <v>9</v>
      </c>
    </row>
    <row r="33" spans="1:11" s="74" customFormat="1" ht="13.8" x14ac:dyDescent="0.3">
      <c r="A33" s="289" t="s">
        <v>64</v>
      </c>
      <c r="B33" s="203" t="s">
        <v>485</v>
      </c>
      <c r="C33" s="80"/>
      <c r="D33" s="110">
        <f>SUMIF($D$6:$CD$6,$D$30:$K$30,$D$23:$CD$23)</f>
        <v>5</v>
      </c>
      <c r="E33" s="110">
        <f t="shared" ref="E33:K33" si="21">SUMIF($D$6:$CD$6,$D$30:$K$30,$D$23:$CD$23)</f>
        <v>50</v>
      </c>
      <c r="F33" s="110">
        <f t="shared" si="21"/>
        <v>20</v>
      </c>
      <c r="G33" s="110">
        <f t="shared" si="21"/>
        <v>0</v>
      </c>
      <c r="H33" s="110">
        <f t="shared" si="21"/>
        <v>0</v>
      </c>
      <c r="I33" s="110">
        <f t="shared" si="21"/>
        <v>0</v>
      </c>
      <c r="J33" s="110">
        <f t="shared" si="21"/>
        <v>0</v>
      </c>
      <c r="K33" s="110">
        <f t="shared" si="21"/>
        <v>0</v>
      </c>
    </row>
    <row r="34" spans="1:11" s="74" customFormat="1" ht="13.8" x14ac:dyDescent="0.3">
      <c r="A34" s="289" t="s">
        <v>486</v>
      </c>
      <c r="B34" s="203" t="s">
        <v>485</v>
      </c>
      <c r="C34" s="80"/>
      <c r="D34" s="110">
        <f t="shared" ref="D34:I34" si="22">SUMIF($D$6:$CD$6,$D$30:$K$30,$D$24:$CD$24)</f>
        <v>0</v>
      </c>
      <c r="E34" s="110">
        <f t="shared" si="22"/>
        <v>0</v>
      </c>
      <c r="F34" s="110">
        <f t="shared" si="22"/>
        <v>6</v>
      </c>
      <c r="G34" s="110">
        <f t="shared" si="22"/>
        <v>12</v>
      </c>
      <c r="H34" s="110">
        <f t="shared" si="22"/>
        <v>14</v>
      </c>
      <c r="I34" s="110">
        <f t="shared" si="22"/>
        <v>16</v>
      </c>
      <c r="J34" s="110">
        <f>SUMIF($D$6:$CD$6,$D$30:$K$30,$D$24:$CD$24)</f>
        <v>18</v>
      </c>
      <c r="K34" s="110">
        <f t="shared" ref="K34" si="23">SUMIF($D$6:$CD$6,$D$30:$K$30,$D$24:$CD$24)</f>
        <v>9</v>
      </c>
    </row>
    <row r="35" spans="1:11" s="74" customFormat="1" ht="13.8" x14ac:dyDescent="0.3">
      <c r="A35" s="289" t="s">
        <v>487</v>
      </c>
      <c r="B35" s="203" t="s">
        <v>485</v>
      </c>
      <c r="C35" s="80"/>
      <c r="D35" s="202">
        <f t="shared" ref="D35:K35" si="24">D32+D33-D34</f>
        <v>5</v>
      </c>
      <c r="E35" s="202">
        <f t="shared" si="24"/>
        <v>55</v>
      </c>
      <c r="F35" s="202">
        <f t="shared" si="24"/>
        <v>69</v>
      </c>
      <c r="G35" s="202">
        <f t="shared" si="24"/>
        <v>57</v>
      </c>
      <c r="H35" s="202">
        <f t="shared" si="24"/>
        <v>43</v>
      </c>
      <c r="I35" s="202">
        <f t="shared" si="24"/>
        <v>27</v>
      </c>
      <c r="J35" s="202">
        <f t="shared" si="24"/>
        <v>9</v>
      </c>
      <c r="K35" s="202">
        <f t="shared" si="24"/>
        <v>0</v>
      </c>
    </row>
    <row r="36" spans="1:11" s="74" customFormat="1" ht="13.8" x14ac:dyDescent="0.3">
      <c r="A36" s="289" t="s">
        <v>333</v>
      </c>
      <c r="B36" s="203" t="s">
        <v>485</v>
      </c>
      <c r="C36" s="80"/>
      <c r="D36" s="110">
        <f>SUMIF($D$6:$CD$6,$D$30:$K$30,$D$27:$CD$27)</f>
        <v>0</v>
      </c>
      <c r="E36" s="110">
        <f t="shared" ref="E36:K36" si="25">SUMIF($D$6:$CD$6,$D$30:$K$30,$D$27:$CD$27)</f>
        <v>2.8438356164383563</v>
      </c>
      <c r="F36" s="110">
        <f t="shared" si="25"/>
        <v>8.0104109589041101</v>
      </c>
      <c r="G36" s="110">
        <f t="shared" si="25"/>
        <v>7.7414794520547936</v>
      </c>
      <c r="H36" s="110">
        <f t="shared" si="25"/>
        <v>6.2099999999999991</v>
      </c>
      <c r="I36" s="110">
        <f t="shared" si="25"/>
        <v>4.4419726027397264</v>
      </c>
      <c r="J36" s="110">
        <f t="shared" si="25"/>
        <v>2.432219178082192</v>
      </c>
      <c r="K36" s="110">
        <f t="shared" si="25"/>
        <v>0.40536986301369871</v>
      </c>
    </row>
    <row r="37" spans="1:11" s="74" customFormat="1" ht="13.8" x14ac:dyDescent="0.3">
      <c r="A37" s="139"/>
      <c r="B37" s="139"/>
      <c r="C37" s="139"/>
      <c r="D37" s="139"/>
      <c r="E37" s="139"/>
      <c r="F37" s="139"/>
      <c r="G37" s="139"/>
      <c r="H37" s="139"/>
      <c r="I37" s="139"/>
    </row>
    <row r="38" spans="1:11" s="74" customFormat="1" ht="13.8" x14ac:dyDescent="0.3"/>
    <row r="39" spans="1:11" s="74" customFormat="1" ht="13.8" x14ac:dyDescent="0.3"/>
    <row r="40" spans="1:11" s="74" customFormat="1" ht="13.8" x14ac:dyDescent="0.3">
      <c r="A40" s="74" t="s">
        <v>734</v>
      </c>
      <c r="B40" s="74" t="s">
        <v>330</v>
      </c>
      <c r="D40" s="287">
        <f>DATE(2024,3,31)</f>
        <v>45382</v>
      </c>
      <c r="E40" s="287">
        <f>EOMONTH(D40,12)</f>
        <v>45747</v>
      </c>
      <c r="F40" s="287">
        <f t="shared" ref="F40:K40" si="26">EOMONTH(E40,12)</f>
        <v>46112</v>
      </c>
      <c r="G40" s="287">
        <f t="shared" si="26"/>
        <v>46477</v>
      </c>
      <c r="H40" s="287">
        <f t="shared" si="26"/>
        <v>46843</v>
      </c>
      <c r="I40" s="287">
        <f t="shared" si="26"/>
        <v>47208</v>
      </c>
      <c r="J40" s="287">
        <f t="shared" si="26"/>
        <v>47573</v>
      </c>
      <c r="K40" s="287">
        <f t="shared" si="26"/>
        <v>47938</v>
      </c>
    </row>
    <row r="41" spans="1:11" s="74" customFormat="1" ht="13.8" x14ac:dyDescent="0.3"/>
    <row r="42" spans="1:11" s="74" customFormat="1" ht="13.8" x14ac:dyDescent="0.3">
      <c r="A42" s="74" t="s">
        <v>735</v>
      </c>
      <c r="B42" s="74" t="s">
        <v>331</v>
      </c>
      <c r="D42" s="305">
        <f>$C$15</f>
        <v>0.12</v>
      </c>
      <c r="E42" s="305">
        <f t="shared" ref="E42:K42" si="27">$C$15</f>
        <v>0.12</v>
      </c>
      <c r="F42" s="305">
        <f t="shared" si="27"/>
        <v>0.12</v>
      </c>
      <c r="G42" s="305">
        <f t="shared" si="27"/>
        <v>0.12</v>
      </c>
      <c r="H42" s="305">
        <f t="shared" si="27"/>
        <v>0.12</v>
      </c>
      <c r="I42" s="305">
        <f t="shared" si="27"/>
        <v>0.12</v>
      </c>
      <c r="J42" s="305">
        <f t="shared" si="27"/>
        <v>0.12</v>
      </c>
      <c r="K42" s="305">
        <f t="shared" si="27"/>
        <v>0.12</v>
      </c>
    </row>
    <row r="43" spans="1:11" s="74" customFormat="1" ht="13.8" x14ac:dyDescent="0.3">
      <c r="A43" s="74" t="s">
        <v>736</v>
      </c>
      <c r="D43" s="306"/>
      <c r="E43" s="306"/>
      <c r="F43" s="306"/>
      <c r="G43" s="306"/>
      <c r="H43" s="306"/>
      <c r="I43" s="306"/>
      <c r="J43" s="306"/>
      <c r="K43" s="306"/>
    </row>
    <row r="44" spans="1:11" s="74" customFormat="1" ht="13.8" x14ac:dyDescent="0.3">
      <c r="A44" s="74" t="s">
        <v>427</v>
      </c>
      <c r="B44" s="74" t="s">
        <v>738</v>
      </c>
      <c r="D44" s="307">
        <v>75</v>
      </c>
      <c r="E44" s="307"/>
      <c r="F44" s="307"/>
      <c r="G44" s="307"/>
      <c r="H44" s="307"/>
      <c r="I44" s="307"/>
      <c r="J44" s="307"/>
      <c r="K44" s="307"/>
    </row>
    <row r="45" spans="1:11" s="74" customFormat="1" ht="13.8" x14ac:dyDescent="0.3">
      <c r="A45" s="74" t="s">
        <v>737</v>
      </c>
      <c r="B45" s="74" t="s">
        <v>738</v>
      </c>
      <c r="D45" s="307">
        <v>5</v>
      </c>
      <c r="E45" s="307">
        <v>50</v>
      </c>
      <c r="F45" s="307">
        <v>20</v>
      </c>
      <c r="G45" s="307" t="s">
        <v>739</v>
      </c>
      <c r="H45" s="307" t="s">
        <v>739</v>
      </c>
      <c r="I45" s="307" t="s">
        <v>739</v>
      </c>
      <c r="J45" s="307" t="s">
        <v>739</v>
      </c>
      <c r="K45" s="307" t="s">
        <v>739</v>
      </c>
    </row>
    <row r="46" spans="1:11" s="74" customFormat="1" ht="13.8" x14ac:dyDescent="0.3">
      <c r="A46" s="74" t="s">
        <v>180</v>
      </c>
      <c r="B46" s="74" t="s">
        <v>738</v>
      </c>
      <c r="D46" s="307" t="s">
        <v>739</v>
      </c>
      <c r="E46" s="307" t="s">
        <v>739</v>
      </c>
      <c r="F46" s="307">
        <v>6</v>
      </c>
      <c r="G46" s="307">
        <v>12</v>
      </c>
      <c r="H46" s="307">
        <v>14</v>
      </c>
      <c r="I46" s="307">
        <v>16</v>
      </c>
      <c r="J46" s="307">
        <v>18</v>
      </c>
      <c r="K46" s="307">
        <v>9</v>
      </c>
    </row>
    <row r="47" spans="1:11" s="74" customFormat="1" ht="13.8" x14ac:dyDescent="0.3"/>
    <row r="48" spans="1:11" s="74" customFormat="1" ht="13.8" x14ac:dyDescent="0.3">
      <c r="A48" s="100" t="s">
        <v>740</v>
      </c>
    </row>
    <row r="49" spans="1:1" s="74" customFormat="1" ht="13.8" x14ac:dyDescent="0.3">
      <c r="A49" s="74" t="s">
        <v>741</v>
      </c>
    </row>
    <row r="50" spans="1:1" s="74" customFormat="1" ht="13.8" x14ac:dyDescent="0.3">
      <c r="A50" s="74" t="s">
        <v>742</v>
      </c>
    </row>
    <row r="51" spans="1:1" s="74" customFormat="1" ht="13.8" x14ac:dyDescent="0.3">
      <c r="A51" s="74" t="s">
        <v>743</v>
      </c>
    </row>
    <row r="52" spans="1:1" s="74" customFormat="1" ht="13.8" x14ac:dyDescent="0.3"/>
    <row r="53" spans="1:1" s="74" customFormat="1" ht="13.8" x14ac:dyDescent="0.3"/>
    <row r="54" spans="1:1" s="74" customFormat="1" ht="13.8" x14ac:dyDescent="0.3"/>
    <row r="55" spans="1:1" s="74" customFormat="1" ht="13.8" x14ac:dyDescent="0.3"/>
    <row r="56" spans="1:1" s="74" customFormat="1" ht="13.8" x14ac:dyDescent="0.3"/>
    <row r="57" spans="1:1" s="74" customFormat="1" ht="13.8" x14ac:dyDescent="0.3"/>
    <row r="58" spans="1:1" s="74" customFormat="1" ht="13.8" x14ac:dyDescent="0.3"/>
    <row r="59" spans="1:1" s="74" customFormat="1" ht="13.8" x14ac:dyDescent="0.3"/>
    <row r="60" spans="1:1" s="74" customFormat="1" ht="13.8" x14ac:dyDescent="0.3"/>
    <row r="61" spans="1:1" s="74" customFormat="1" ht="13.8" x14ac:dyDescent="0.3"/>
    <row r="62" spans="1:1" s="74" customFormat="1" ht="13.8" x14ac:dyDescent="0.3"/>
    <row r="63" spans="1:1" s="74" customFormat="1" ht="13.8" x14ac:dyDescent="0.3"/>
    <row r="64" spans="1:1" s="74" customFormat="1" ht="13.8" x14ac:dyDescent="0.3"/>
    <row r="65" s="74" customFormat="1" ht="13.8" x14ac:dyDescent="0.3"/>
    <row r="66" s="74" customFormat="1" ht="13.8" x14ac:dyDescent="0.3"/>
    <row r="67" s="74" customFormat="1" ht="13.8" x14ac:dyDescent="0.3"/>
    <row r="68" s="74" customFormat="1" ht="13.8" x14ac:dyDescent="0.3"/>
    <row r="69" s="74" customFormat="1" ht="13.8" x14ac:dyDescent="0.3"/>
    <row r="70" s="74" customFormat="1" ht="13.8" x14ac:dyDescent="0.3"/>
    <row r="71" s="74" customFormat="1" ht="13.8" x14ac:dyDescent="0.3"/>
    <row r="72" s="74" customFormat="1" ht="13.8" x14ac:dyDescent="0.3"/>
    <row r="73" s="74" customFormat="1" ht="13.8" x14ac:dyDescent="0.3"/>
    <row r="74" s="74" customFormat="1" ht="13.8" x14ac:dyDescent="0.3"/>
    <row r="75" s="74" customFormat="1" ht="13.8" x14ac:dyDescent="0.3"/>
    <row r="76" s="74" customFormat="1" ht="13.8" x14ac:dyDescent="0.3"/>
    <row r="77" s="74" customFormat="1" ht="13.8" x14ac:dyDescent="0.3"/>
    <row r="78" s="74" customFormat="1" ht="13.8" x14ac:dyDescent="0.3"/>
    <row r="79" s="74" customFormat="1" ht="13.8" x14ac:dyDescent="0.3"/>
    <row r="80" s="74" customFormat="1" ht="13.8" x14ac:dyDescent="0.3"/>
    <row r="81" s="74" customFormat="1" ht="13.8" x14ac:dyDescent="0.3"/>
    <row r="82" s="74" customFormat="1" ht="13.8" x14ac:dyDescent="0.3"/>
    <row r="83" s="74" customFormat="1" ht="13.8" x14ac:dyDescent="0.3"/>
    <row r="84" s="74" customFormat="1" ht="13.8" x14ac:dyDescent="0.3"/>
    <row r="85" s="74" customFormat="1" ht="13.8" x14ac:dyDescent="0.3"/>
    <row r="86" s="74" customFormat="1" ht="13.8" x14ac:dyDescent="0.3"/>
    <row r="87" s="74" customFormat="1" ht="13.8" x14ac:dyDescent="0.3"/>
    <row r="88" s="74" customFormat="1" ht="13.8" x14ac:dyDescent="0.3"/>
    <row r="89" s="74" customFormat="1" ht="13.8" x14ac:dyDescent="0.3"/>
    <row r="90" s="74" customFormat="1" ht="13.8" x14ac:dyDescent="0.3"/>
    <row r="91" s="74" customFormat="1" ht="13.8" x14ac:dyDescent="0.3"/>
    <row r="92" s="74" customFormat="1" ht="13.8" x14ac:dyDescent="0.3"/>
    <row r="93" s="74" customFormat="1" ht="13.8" x14ac:dyDescent="0.3"/>
    <row r="94" s="74" customFormat="1" ht="13.8" x14ac:dyDescent="0.3"/>
    <row r="95" s="74" customFormat="1" ht="13.8" x14ac:dyDescent="0.3"/>
    <row r="96" s="74" customFormat="1" ht="13.8" x14ac:dyDescent="0.3"/>
    <row r="97" s="74" customFormat="1" ht="13.8" x14ac:dyDescent="0.3"/>
    <row r="98" s="74" customFormat="1" ht="13.8" x14ac:dyDescent="0.3"/>
    <row r="99" s="74" customFormat="1" ht="13.8" x14ac:dyDescent="0.3"/>
    <row r="100" s="74" customFormat="1" ht="13.8" x14ac:dyDescent="0.3"/>
    <row r="101" s="74" customFormat="1" ht="13.8" x14ac:dyDescent="0.3"/>
    <row r="102" s="74" customFormat="1" ht="13.8" x14ac:dyDescent="0.3"/>
    <row r="103" s="74" customFormat="1" ht="13.8" x14ac:dyDescent="0.3"/>
    <row r="104" s="74" customFormat="1" ht="13.8" x14ac:dyDescent="0.3"/>
    <row r="105" s="74" customFormat="1" ht="13.8" x14ac:dyDescent="0.3"/>
    <row r="106" s="74" customFormat="1" ht="13.8" x14ac:dyDescent="0.3"/>
    <row r="107" s="74" customFormat="1" ht="13.8" x14ac:dyDescent="0.3"/>
    <row r="108" s="74" customFormat="1" ht="13.8" x14ac:dyDescent="0.3"/>
    <row r="109" s="74" customFormat="1" ht="13.8" x14ac:dyDescent="0.3"/>
    <row r="110" s="74" customFormat="1" ht="13.8" x14ac:dyDescent="0.3"/>
    <row r="111" s="74" customFormat="1" ht="13.8" x14ac:dyDescent="0.3"/>
    <row r="112" s="74" customFormat="1" ht="13.8" x14ac:dyDescent="0.3"/>
    <row r="113" s="74" customFormat="1" ht="13.8" x14ac:dyDescent="0.3"/>
    <row r="114" s="74" customFormat="1" ht="13.8" x14ac:dyDescent="0.3"/>
    <row r="115" s="74" customFormat="1" ht="13.8" x14ac:dyDescent="0.3"/>
    <row r="116" s="74" customFormat="1" ht="13.8" x14ac:dyDescent="0.3"/>
    <row r="117" s="74" customFormat="1" ht="13.8" x14ac:dyDescent="0.3"/>
    <row r="118" s="74" customFormat="1" ht="13.8" x14ac:dyDescent="0.3"/>
    <row r="119" s="74" customFormat="1" ht="13.8" x14ac:dyDescent="0.3"/>
    <row r="120" s="74" customFormat="1" ht="13.8" x14ac:dyDescent="0.3"/>
    <row r="121" s="74" customFormat="1" ht="13.8" x14ac:dyDescent="0.3"/>
    <row r="122" s="74" customFormat="1" ht="13.8" x14ac:dyDescent="0.3"/>
    <row r="123" s="74" customFormat="1" ht="13.8" x14ac:dyDescent="0.3"/>
    <row r="124" s="74" customFormat="1" ht="13.8" x14ac:dyDescent="0.3"/>
    <row r="125" s="74" customFormat="1" ht="13.8" x14ac:dyDescent="0.3"/>
    <row r="126" s="74" customFormat="1" ht="13.8" x14ac:dyDescent="0.3"/>
    <row r="127" s="74" customFormat="1" ht="13.8" x14ac:dyDescent="0.3"/>
    <row r="128" s="74" customFormat="1" ht="13.8" x14ac:dyDescent="0.3"/>
    <row r="129" s="74" customFormat="1" ht="13.8" x14ac:dyDescent="0.3"/>
    <row r="130" s="74" customFormat="1" ht="13.8" x14ac:dyDescent="0.3"/>
    <row r="131" s="74" customFormat="1" ht="13.8" x14ac:dyDescent="0.3"/>
    <row r="132" s="74" customFormat="1" ht="13.8" x14ac:dyDescent="0.3"/>
    <row r="133" s="74" customFormat="1" ht="13.8" x14ac:dyDescent="0.3"/>
    <row r="134" s="74" customFormat="1" ht="13.8" x14ac:dyDescent="0.3"/>
    <row r="135" s="74" customFormat="1" ht="13.8" x14ac:dyDescent="0.3"/>
    <row r="136" s="74" customFormat="1" ht="13.8" x14ac:dyDescent="0.3"/>
    <row r="137" s="74" customFormat="1" ht="13.8" x14ac:dyDescent="0.3"/>
    <row r="138" s="74" customFormat="1" ht="13.8" x14ac:dyDescent="0.3"/>
    <row r="139" s="74" customFormat="1" ht="13.8" x14ac:dyDescent="0.3"/>
    <row r="140" s="74" customFormat="1" ht="13.8" x14ac:dyDescent="0.3"/>
    <row r="141" s="74" customFormat="1" ht="13.8" x14ac:dyDescent="0.3"/>
    <row r="142" s="74" customFormat="1" ht="13.8" x14ac:dyDescent="0.3"/>
    <row r="143" s="74" customFormat="1" ht="13.8" x14ac:dyDescent="0.3"/>
    <row r="144" s="74" customFormat="1" ht="13.8" x14ac:dyDescent="0.3"/>
    <row r="145" s="74" customFormat="1" ht="13.8" x14ac:dyDescent="0.3"/>
    <row r="146" s="74" customFormat="1" ht="13.8" x14ac:dyDescent="0.3"/>
    <row r="147" s="74" customFormat="1" ht="13.8" x14ac:dyDescent="0.3"/>
    <row r="148" s="74" customFormat="1" ht="13.8" x14ac:dyDescent="0.3"/>
    <row r="149" s="74" customFormat="1" ht="13.8" x14ac:dyDescent="0.3"/>
    <row r="150" s="74" customFormat="1" ht="13.8" x14ac:dyDescent="0.3"/>
    <row r="151" s="74" customFormat="1" ht="13.8" x14ac:dyDescent="0.3"/>
    <row r="152" s="74" customFormat="1" ht="13.8" x14ac:dyDescent="0.3"/>
    <row r="153" s="74" customFormat="1" ht="13.8" x14ac:dyDescent="0.3"/>
    <row r="154" s="74" customFormat="1" ht="13.8" x14ac:dyDescent="0.3"/>
    <row r="155" s="74" customFormat="1" ht="13.8" x14ac:dyDescent="0.3"/>
    <row r="156" s="74" customFormat="1" ht="13.8" x14ac:dyDescent="0.3"/>
    <row r="157" s="74" customFormat="1" ht="13.8" x14ac:dyDescent="0.3"/>
    <row r="158" s="74" customFormat="1" ht="13.8" x14ac:dyDescent="0.3"/>
    <row r="159" s="74" customFormat="1" ht="13.8" x14ac:dyDescent="0.3"/>
    <row r="160" s="74" customFormat="1" ht="13.8" x14ac:dyDescent="0.3"/>
    <row r="161" s="74" customFormat="1" ht="13.8" x14ac:dyDescent="0.3"/>
    <row r="162" s="74" customFormat="1" ht="13.8" x14ac:dyDescent="0.3"/>
    <row r="163" s="74" customFormat="1" ht="13.8" x14ac:dyDescent="0.3"/>
    <row r="164" s="74" customFormat="1" ht="13.8" x14ac:dyDescent="0.3"/>
    <row r="165" s="74" customFormat="1" ht="13.8" x14ac:dyDescent="0.3"/>
    <row r="166" s="74" customFormat="1" ht="13.8" x14ac:dyDescent="0.3"/>
    <row r="167" s="74" customFormat="1" ht="13.8" x14ac:dyDescent="0.3"/>
    <row r="168" s="74" customFormat="1" ht="13.8" x14ac:dyDescent="0.3"/>
    <row r="169" s="74" customFormat="1" ht="13.8" x14ac:dyDescent="0.3"/>
    <row r="170" s="74" customFormat="1" ht="13.8" x14ac:dyDescent="0.3"/>
    <row r="171" s="74" customFormat="1" ht="13.8" x14ac:dyDescent="0.3"/>
    <row r="172" s="74" customFormat="1" ht="13.8" x14ac:dyDescent="0.3"/>
    <row r="173" s="74" customFormat="1" ht="13.8" x14ac:dyDescent="0.3"/>
    <row r="174" s="74" customFormat="1" ht="13.8" x14ac:dyDescent="0.3"/>
    <row r="175" s="74" customFormat="1" ht="13.8" x14ac:dyDescent="0.3"/>
    <row r="176" s="74" customFormat="1" ht="13.8" x14ac:dyDescent="0.3"/>
    <row r="177" s="74" customFormat="1" ht="13.8" x14ac:dyDescent="0.3"/>
    <row r="178" s="74" customFormat="1" ht="13.8" x14ac:dyDescent="0.3"/>
    <row r="179" s="74" customFormat="1" ht="13.8" x14ac:dyDescent="0.3"/>
    <row r="180" s="74" customFormat="1" ht="13.8" x14ac:dyDescent="0.3"/>
    <row r="181" s="74" customFormat="1" ht="13.8" x14ac:dyDescent="0.3"/>
    <row r="182" s="74" customFormat="1" ht="13.8" x14ac:dyDescent="0.3"/>
    <row r="183" s="74" customFormat="1" ht="13.8" x14ac:dyDescent="0.3"/>
    <row r="184" s="74" customFormat="1" ht="13.8" x14ac:dyDescent="0.3"/>
    <row r="185" s="74" customFormat="1" ht="13.8" x14ac:dyDescent="0.3"/>
    <row r="186" s="74" customFormat="1" ht="13.8" x14ac:dyDescent="0.3"/>
    <row r="187" s="74" customFormat="1" ht="13.8" x14ac:dyDescent="0.3"/>
    <row r="188" s="74" customFormat="1" ht="13.8" x14ac:dyDescent="0.3"/>
    <row r="189" s="74" customFormat="1" ht="13.8" x14ac:dyDescent="0.3"/>
    <row r="190" s="74" customFormat="1" ht="13.8" x14ac:dyDescent="0.3"/>
    <row r="191" s="74" customFormat="1" ht="13.8" x14ac:dyDescent="0.3"/>
    <row r="192" s="74" customFormat="1" ht="13.8" x14ac:dyDescent="0.3"/>
    <row r="193" s="74" customFormat="1" ht="13.8" x14ac:dyDescent="0.3"/>
    <row r="194" s="74" customFormat="1" ht="13.8" x14ac:dyDescent="0.3"/>
    <row r="195" s="74" customFormat="1" ht="13.8" x14ac:dyDescent="0.3"/>
    <row r="196" s="74" customFormat="1" ht="13.8" x14ac:dyDescent="0.3"/>
    <row r="197" s="74" customFormat="1" ht="13.8" x14ac:dyDescent="0.3"/>
  </sheetData>
  <printOptions horizontalCentered="1"/>
  <pageMargins left="0.4" right="0.4" top="0.75" bottom="0.5" header="0.3" footer="0.3"/>
  <pageSetup paperSize="9" scale="7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E2D9D-2751-4DD0-9654-C0BB69519EC8}">
  <dimension ref="B2:P40"/>
  <sheetViews>
    <sheetView workbookViewId="0">
      <selection activeCell="C14" sqref="C14"/>
    </sheetView>
  </sheetViews>
  <sheetFormatPr defaultRowHeight="14.4" x14ac:dyDescent="0.3"/>
  <sheetData>
    <row r="2" spans="2:15" x14ac:dyDescent="0.3">
      <c r="B2" s="443"/>
      <c r="C2" s="444"/>
      <c r="D2" s="444"/>
      <c r="E2" s="444"/>
      <c r="F2" s="444"/>
      <c r="G2" s="444"/>
      <c r="H2" s="444"/>
      <c r="I2" s="444"/>
      <c r="J2" s="444"/>
      <c r="K2" s="444"/>
      <c r="L2" s="444"/>
      <c r="M2" s="445"/>
      <c r="N2" s="446"/>
    </row>
    <row r="3" spans="2:15" x14ac:dyDescent="0.3">
      <c r="B3" s="624"/>
      <c r="C3" s="625"/>
      <c r="D3" s="625"/>
      <c r="E3" s="625"/>
      <c r="F3" s="625"/>
      <c r="G3" s="625"/>
      <c r="H3" s="625"/>
      <c r="I3" s="625"/>
      <c r="J3" s="625"/>
      <c r="K3" s="625"/>
      <c r="L3" s="625"/>
      <c r="M3" s="625"/>
      <c r="N3" s="626"/>
    </row>
    <row r="4" spans="2:15" x14ac:dyDescent="0.3">
      <c r="B4" s="624" t="s">
        <v>839</v>
      </c>
      <c r="C4" s="625"/>
      <c r="D4" s="625"/>
      <c r="E4" s="625"/>
      <c r="F4" s="625"/>
      <c r="G4" s="625"/>
      <c r="H4" s="625"/>
      <c r="I4" s="625"/>
      <c r="J4" s="625"/>
      <c r="K4" s="625"/>
      <c r="L4" s="625"/>
      <c r="M4" s="625"/>
      <c r="N4" s="626"/>
    </row>
    <row r="5" spans="2:15" x14ac:dyDescent="0.3">
      <c r="B5" s="447"/>
      <c r="C5" s="445"/>
      <c r="D5" s="445"/>
      <c r="E5" s="445"/>
      <c r="F5" s="445"/>
      <c r="G5" s="445"/>
      <c r="H5" s="445"/>
      <c r="I5" s="331"/>
      <c r="J5" s="445"/>
      <c r="K5" s="445"/>
      <c r="L5" s="445"/>
      <c r="M5" s="445"/>
      <c r="N5" s="446"/>
    </row>
    <row r="6" spans="2:15" x14ac:dyDescent="0.3">
      <c r="B6" s="448" t="s">
        <v>840</v>
      </c>
      <c r="C6" s="449" t="s">
        <v>758</v>
      </c>
      <c r="D6" s="450"/>
      <c r="E6" s="451">
        <v>2024</v>
      </c>
      <c r="F6" s="451">
        <v>2025</v>
      </c>
      <c r="G6" s="451">
        <v>2026</v>
      </c>
      <c r="H6" s="451">
        <v>2027</v>
      </c>
      <c r="I6" s="451">
        <v>2028</v>
      </c>
      <c r="J6" s="451">
        <v>2029</v>
      </c>
      <c r="K6" s="451">
        <v>2030</v>
      </c>
      <c r="L6" s="451">
        <v>2031</v>
      </c>
      <c r="M6" s="451">
        <v>2032</v>
      </c>
      <c r="N6" s="452"/>
    </row>
    <row r="7" spans="2:15" x14ac:dyDescent="0.3">
      <c r="B7" s="447"/>
      <c r="C7" s="445"/>
      <c r="D7" s="445"/>
      <c r="E7" s="445"/>
      <c r="F7" s="445"/>
      <c r="G7" s="445"/>
      <c r="H7" s="331"/>
      <c r="I7" s="445"/>
      <c r="J7" s="445"/>
      <c r="K7" s="445"/>
      <c r="L7" s="445"/>
      <c r="M7" s="445"/>
      <c r="N7" s="446"/>
    </row>
    <row r="8" spans="2:15" x14ac:dyDescent="0.3">
      <c r="B8" s="453">
        <v>1</v>
      </c>
      <c r="C8" s="454" t="s">
        <v>841</v>
      </c>
      <c r="D8" s="445"/>
      <c r="E8" s="455"/>
      <c r="F8" s="445"/>
      <c r="G8" s="445"/>
      <c r="H8" s="331"/>
      <c r="I8" s="445"/>
      <c r="J8" s="445"/>
      <c r="K8" s="445"/>
      <c r="L8" s="445"/>
      <c r="M8" s="445"/>
      <c r="N8" s="446"/>
    </row>
    <row r="9" spans="2:15" x14ac:dyDescent="0.3">
      <c r="B9" s="447"/>
      <c r="C9" s="445" t="s">
        <v>842</v>
      </c>
      <c r="D9" s="445"/>
      <c r="E9" s="445" t="e">
        <f>#REF!</f>
        <v>#REF!</v>
      </c>
      <c r="F9" s="445" t="e">
        <f t="shared" ref="F9" si="0">#REF!</f>
        <v>#REF!</v>
      </c>
      <c r="G9" s="445" t="e">
        <f t="shared" ref="G9" si="1">#REF!</f>
        <v>#REF!</v>
      </c>
      <c r="H9" s="445" t="e">
        <f t="shared" ref="H9" si="2">#REF!</f>
        <v>#REF!</v>
      </c>
      <c r="I9" s="445" t="e">
        <f t="shared" ref="I9" si="3">#REF!</f>
        <v>#REF!</v>
      </c>
      <c r="J9" s="445" t="e">
        <f t="shared" ref="J9" si="4">#REF!</f>
        <v>#REF!</v>
      </c>
      <c r="K9" s="445" t="e">
        <f t="shared" ref="K9" si="5">#REF!</f>
        <v>#REF!</v>
      </c>
      <c r="L9" s="445" t="e">
        <f t="shared" ref="L9" si="6">#REF!</f>
        <v>#REF!</v>
      </c>
      <c r="M9" s="445" t="e">
        <f t="shared" ref="M9" si="7">#REF!</f>
        <v>#REF!</v>
      </c>
      <c r="N9" s="446"/>
    </row>
    <row r="10" spans="2:15" x14ac:dyDescent="0.3">
      <c r="B10" s="447"/>
      <c r="C10" s="445" t="s">
        <v>843</v>
      </c>
      <c r="D10" s="445"/>
      <c r="E10" s="445" t="e">
        <f>#REF!</f>
        <v>#REF!</v>
      </c>
      <c r="F10" s="445" t="e">
        <f t="shared" ref="F10" si="8">#REF!</f>
        <v>#REF!</v>
      </c>
      <c r="G10" s="445" t="e">
        <f t="shared" ref="G10" si="9">#REF!</f>
        <v>#REF!</v>
      </c>
      <c r="H10" s="445" t="e">
        <f t="shared" ref="H10" si="10">#REF!</f>
        <v>#REF!</v>
      </c>
      <c r="I10" s="445" t="e">
        <f t="shared" ref="I10" si="11">#REF!</f>
        <v>#REF!</v>
      </c>
      <c r="J10" s="445" t="e">
        <f t="shared" ref="J10" si="12">#REF!</f>
        <v>#REF!</v>
      </c>
      <c r="K10" s="445" t="e">
        <f t="shared" ref="K10" si="13">#REF!</f>
        <v>#REF!</v>
      </c>
      <c r="L10" s="445" t="e">
        <f t="shared" ref="L10" si="14">#REF!</f>
        <v>#REF!</v>
      </c>
      <c r="M10" s="445" t="e">
        <f t="shared" ref="M10" si="15">#REF!</f>
        <v>#REF!</v>
      </c>
      <c r="N10" s="446"/>
    </row>
    <row r="11" spans="2:15" x14ac:dyDescent="0.3">
      <c r="B11" s="447"/>
      <c r="C11" s="445" t="s">
        <v>844</v>
      </c>
      <c r="D11" s="445"/>
      <c r="E11" s="445" t="e">
        <f>#REF!</f>
        <v>#REF!</v>
      </c>
      <c r="F11" s="445" t="e">
        <f t="shared" ref="F11" si="16">#REF!</f>
        <v>#REF!</v>
      </c>
      <c r="G11" s="445" t="e">
        <f t="shared" ref="G11" si="17">#REF!</f>
        <v>#REF!</v>
      </c>
      <c r="H11" s="445" t="e">
        <f t="shared" ref="H11" si="18">#REF!</f>
        <v>#REF!</v>
      </c>
      <c r="I11" s="445" t="e">
        <f t="shared" ref="I11" si="19">#REF!</f>
        <v>#REF!</v>
      </c>
      <c r="J11" s="445" t="e">
        <f t="shared" ref="J11" si="20">#REF!</f>
        <v>#REF!</v>
      </c>
      <c r="K11" s="445" t="e">
        <f t="shared" ref="K11" si="21">#REF!</f>
        <v>#REF!</v>
      </c>
      <c r="L11" s="445" t="e">
        <f t="shared" ref="L11" si="22">#REF!</f>
        <v>#REF!</v>
      </c>
      <c r="M11" s="445" t="e">
        <f t="shared" ref="M11" si="23">#REF!</f>
        <v>#REF!</v>
      </c>
      <c r="N11" s="446"/>
    </row>
    <row r="12" spans="2:15" x14ac:dyDescent="0.3">
      <c r="B12" s="447"/>
      <c r="C12" s="445" t="s">
        <v>845</v>
      </c>
      <c r="D12" s="445"/>
      <c r="E12" s="445">
        <v>4.5427417779450009E-2</v>
      </c>
      <c r="F12" s="445">
        <v>4.9970159557395012E-2</v>
      </c>
      <c r="G12" s="445">
        <v>5.4967175513134514E-2</v>
      </c>
      <c r="H12" s="445">
        <v>6.0463893064447966E-2</v>
      </c>
      <c r="I12" s="445">
        <v>6.6510282370892765E-2</v>
      </c>
      <c r="J12" s="445">
        <v>7.3161310607982047E-2</v>
      </c>
      <c r="K12" s="445">
        <v>8.047744166878025E-2</v>
      </c>
      <c r="L12" s="445">
        <v>8.8525185835658271E-2</v>
      </c>
      <c r="M12" s="445">
        <v>9.7377704419224095E-2</v>
      </c>
      <c r="N12" s="446"/>
      <c r="O12">
        <f>E12/P30</f>
        <v>0.25</v>
      </c>
    </row>
    <row r="13" spans="2:15" x14ac:dyDescent="0.3">
      <c r="B13" s="447"/>
      <c r="C13" s="445" t="s">
        <v>846</v>
      </c>
      <c r="D13" s="445"/>
      <c r="E13" s="445" t="e">
        <f>#REF!</f>
        <v>#REF!</v>
      </c>
      <c r="F13" s="445" t="e">
        <f t="shared" ref="F13" si="24">#REF!</f>
        <v>#REF!</v>
      </c>
      <c r="G13" s="445" t="e">
        <f t="shared" ref="G13" si="25">#REF!</f>
        <v>#REF!</v>
      </c>
      <c r="H13" s="445" t="e">
        <f t="shared" ref="H13" si="26">#REF!</f>
        <v>#REF!</v>
      </c>
      <c r="I13" s="445" t="e">
        <f t="shared" ref="I13" si="27">#REF!</f>
        <v>#REF!</v>
      </c>
      <c r="J13" s="445" t="e">
        <f t="shared" ref="J13" si="28">#REF!</f>
        <v>#REF!</v>
      </c>
      <c r="K13" s="445" t="e">
        <f t="shared" ref="K13" si="29">#REF!</f>
        <v>#REF!</v>
      </c>
      <c r="L13" s="445" t="e">
        <f t="shared" ref="L13" si="30">#REF!</f>
        <v>#REF!</v>
      </c>
      <c r="M13" s="445" t="e">
        <f t="shared" ref="M13" si="31">#REF!</f>
        <v>#REF!</v>
      </c>
      <c r="N13" s="446"/>
    </row>
    <row r="14" spans="2:15" x14ac:dyDescent="0.3">
      <c r="B14" s="447"/>
      <c r="C14" s="445" t="s">
        <v>847</v>
      </c>
      <c r="D14" s="445"/>
      <c r="E14" s="445" t="e">
        <f>#REF!</f>
        <v>#REF!</v>
      </c>
      <c r="F14" s="445" t="e">
        <f t="shared" ref="F14" si="32">#REF!</f>
        <v>#REF!</v>
      </c>
      <c r="G14" s="445" t="e">
        <f t="shared" ref="G14" si="33">#REF!</f>
        <v>#REF!</v>
      </c>
      <c r="H14" s="445" t="e">
        <f t="shared" ref="H14" si="34">#REF!</f>
        <v>#REF!</v>
      </c>
      <c r="I14" s="445" t="e">
        <f t="shared" ref="I14" si="35">#REF!</f>
        <v>#REF!</v>
      </c>
      <c r="J14" s="445" t="e">
        <f t="shared" ref="J14" si="36">#REF!</f>
        <v>#REF!</v>
      </c>
      <c r="K14" s="445" t="e">
        <f t="shared" ref="K14" si="37">#REF!</f>
        <v>#REF!</v>
      </c>
      <c r="L14" s="445" t="e">
        <f t="shared" ref="L14" si="38">#REF!</f>
        <v>#REF!</v>
      </c>
      <c r="M14" s="445" t="e">
        <f t="shared" ref="M14" si="39">#REF!</f>
        <v>#REF!</v>
      </c>
      <c r="N14" s="446"/>
    </row>
    <row r="15" spans="2:15" x14ac:dyDescent="0.3">
      <c r="B15" s="447"/>
      <c r="C15" s="456" t="s">
        <v>21</v>
      </c>
      <c r="D15" s="445"/>
      <c r="E15" s="445" t="e">
        <f>#REF!</f>
        <v>#REF!</v>
      </c>
      <c r="F15" s="445" t="e">
        <f t="shared" ref="F15" si="40">#REF!</f>
        <v>#REF!</v>
      </c>
      <c r="G15" s="445" t="e">
        <f t="shared" ref="G15" si="41">#REF!</f>
        <v>#REF!</v>
      </c>
      <c r="H15" s="445" t="e">
        <f t="shared" ref="H15" si="42">#REF!</f>
        <v>#REF!</v>
      </c>
      <c r="I15" s="445" t="e">
        <f t="shared" ref="I15" si="43">#REF!</f>
        <v>#REF!</v>
      </c>
      <c r="J15" s="445" t="e">
        <f t="shared" ref="J15" si="44">#REF!</f>
        <v>#REF!</v>
      </c>
      <c r="K15" s="445" t="e">
        <f t="shared" ref="K15" si="45">#REF!</f>
        <v>#REF!</v>
      </c>
      <c r="L15" s="445" t="e">
        <f t="shared" ref="L15" si="46">#REF!</f>
        <v>#REF!</v>
      </c>
      <c r="M15" s="445" t="e">
        <f t="shared" ref="M15" si="47">#REF!</f>
        <v>#REF!</v>
      </c>
      <c r="N15" s="446"/>
    </row>
    <row r="16" spans="2:15" x14ac:dyDescent="0.3">
      <c r="B16" s="447"/>
      <c r="C16" s="456" t="s">
        <v>848</v>
      </c>
      <c r="D16" s="445"/>
      <c r="E16" s="445" t="e">
        <f>#REF!</f>
        <v>#REF!</v>
      </c>
      <c r="F16" s="445" t="e">
        <f t="shared" ref="F16" si="48">#REF!</f>
        <v>#REF!</v>
      </c>
      <c r="G16" s="445" t="e">
        <f t="shared" ref="G16" si="49">#REF!</f>
        <v>#REF!</v>
      </c>
      <c r="H16" s="445" t="e">
        <f t="shared" ref="H16" si="50">#REF!</f>
        <v>#REF!</v>
      </c>
      <c r="I16" s="445" t="e">
        <f t="shared" ref="I16" si="51">#REF!</f>
        <v>#REF!</v>
      </c>
      <c r="J16" s="445" t="e">
        <f t="shared" ref="J16" si="52">#REF!</f>
        <v>#REF!</v>
      </c>
      <c r="K16" s="445" t="e">
        <f t="shared" ref="K16" si="53">#REF!</f>
        <v>#REF!</v>
      </c>
      <c r="L16" s="445" t="e">
        <f t="shared" ref="L16" si="54">#REF!</f>
        <v>#REF!</v>
      </c>
      <c r="M16" s="445" t="e">
        <f t="shared" ref="M16" si="55">#REF!</f>
        <v>#REF!</v>
      </c>
      <c r="N16" s="446"/>
    </row>
    <row r="17" spans="2:16" x14ac:dyDescent="0.3">
      <c r="B17" s="447"/>
      <c r="C17" s="445"/>
      <c r="D17" s="445"/>
      <c r="E17" s="450" t="e">
        <f>SUM(E9:E16)</f>
        <v>#REF!</v>
      </c>
      <c r="F17" s="450" t="e">
        <f t="shared" ref="F17:M17" si="56">SUM(F9:F16)</f>
        <v>#REF!</v>
      </c>
      <c r="G17" s="450" t="e">
        <f t="shared" si="56"/>
        <v>#REF!</v>
      </c>
      <c r="H17" s="450" t="e">
        <f t="shared" si="56"/>
        <v>#REF!</v>
      </c>
      <c r="I17" s="450" t="e">
        <f t="shared" si="56"/>
        <v>#REF!</v>
      </c>
      <c r="J17" s="450" t="e">
        <f t="shared" si="56"/>
        <v>#REF!</v>
      </c>
      <c r="K17" s="450" t="e">
        <f t="shared" si="56"/>
        <v>#REF!</v>
      </c>
      <c r="L17" s="450" t="e">
        <f t="shared" si="56"/>
        <v>#REF!</v>
      </c>
      <c r="M17" s="450" t="e">
        <f t="shared" si="56"/>
        <v>#REF!</v>
      </c>
      <c r="N17" s="457"/>
    </row>
    <row r="18" spans="2:16" x14ac:dyDescent="0.3">
      <c r="B18" s="458"/>
      <c r="C18" s="445"/>
      <c r="D18" s="445"/>
      <c r="E18" s="445"/>
      <c r="F18" s="445"/>
      <c r="G18" s="445"/>
      <c r="H18" s="331"/>
      <c r="I18" s="459"/>
      <c r="J18" s="459"/>
      <c r="K18" s="459"/>
      <c r="L18" s="445"/>
      <c r="M18" s="445"/>
      <c r="N18" s="446"/>
    </row>
    <row r="19" spans="2:16" x14ac:dyDescent="0.3">
      <c r="B19" s="453">
        <v>2</v>
      </c>
      <c r="C19" s="454" t="s">
        <v>849</v>
      </c>
      <c r="D19" s="445"/>
      <c r="E19" s="450" t="e">
        <f>#REF!+#REF!-#REF!+#REF!-#REF!</f>
        <v>#REF!</v>
      </c>
      <c r="F19" s="450" t="e">
        <f t="shared" ref="F19" si="57">#REF!+#REF!-#REF!+#REF!-#REF!</f>
        <v>#REF!</v>
      </c>
      <c r="G19" s="450" t="e">
        <f t="shared" ref="G19" si="58">#REF!+#REF!-#REF!+#REF!-#REF!</f>
        <v>#REF!</v>
      </c>
      <c r="H19" s="450" t="e">
        <f t="shared" ref="H19" si="59">#REF!+#REF!-#REF!+#REF!-#REF!</f>
        <v>#REF!</v>
      </c>
      <c r="I19" s="450" t="e">
        <f t="shared" ref="I19" si="60">#REF!+#REF!-#REF!+#REF!-#REF!</f>
        <v>#REF!</v>
      </c>
      <c r="J19" s="450" t="e">
        <f t="shared" ref="J19" si="61">#REF!+#REF!-#REF!+#REF!-#REF!</f>
        <v>#REF!</v>
      </c>
      <c r="K19" s="450" t="e">
        <f t="shared" ref="K19" si="62">#REF!+#REF!-#REF!+#REF!-#REF!</f>
        <v>#REF!</v>
      </c>
      <c r="L19" s="450" t="e">
        <f t="shared" ref="L19" si="63">#REF!+#REF!-#REF!+#REF!-#REF!</f>
        <v>#REF!</v>
      </c>
      <c r="M19" s="450" t="e">
        <f t="shared" ref="M19" si="64">#REF!+#REF!-#REF!+#REF!-#REF!</f>
        <v>#REF!</v>
      </c>
      <c r="N19" s="457"/>
    </row>
    <row r="20" spans="2:16" x14ac:dyDescent="0.3">
      <c r="B20" s="453"/>
      <c r="C20" s="454"/>
      <c r="D20" s="445"/>
      <c r="E20" s="445"/>
      <c r="F20" s="445"/>
      <c r="G20" s="445"/>
      <c r="H20" s="331"/>
      <c r="I20" s="459"/>
      <c r="J20" s="445"/>
      <c r="K20" s="445"/>
      <c r="L20" s="445"/>
      <c r="M20" s="445"/>
      <c r="N20" s="446"/>
    </row>
    <row r="21" spans="2:16" x14ac:dyDescent="0.3">
      <c r="B21" s="453">
        <v>3</v>
      </c>
      <c r="C21" s="454" t="s">
        <v>850</v>
      </c>
      <c r="D21" s="445"/>
      <c r="E21" s="445"/>
      <c r="F21" s="445"/>
      <c r="G21" s="445"/>
      <c r="H21" s="331"/>
      <c r="I21" s="459"/>
      <c r="J21" s="445"/>
      <c r="K21" s="445"/>
      <c r="L21" s="445"/>
      <c r="M21" s="445"/>
      <c r="N21" s="446"/>
    </row>
    <row r="22" spans="2:16" x14ac:dyDescent="0.3">
      <c r="B22" s="447"/>
      <c r="C22" s="456" t="s">
        <v>851</v>
      </c>
      <c r="D22" s="445"/>
      <c r="E22" s="445" t="e">
        <f>#REF!</f>
        <v>#REF!</v>
      </c>
      <c r="F22" s="445" t="e">
        <f t="shared" ref="F22" si="65">#REF!</f>
        <v>#REF!</v>
      </c>
      <c r="G22" s="445" t="e">
        <f t="shared" ref="G22" si="66">#REF!</f>
        <v>#REF!</v>
      </c>
      <c r="H22" s="445" t="e">
        <f t="shared" ref="H22" si="67">#REF!</f>
        <v>#REF!</v>
      </c>
      <c r="I22" s="445" t="e">
        <f t="shared" ref="I22" si="68">#REF!</f>
        <v>#REF!</v>
      </c>
      <c r="J22" s="445" t="e">
        <f t="shared" ref="J22" si="69">#REF!</f>
        <v>#REF!</v>
      </c>
      <c r="K22" s="445" t="e">
        <f t="shared" ref="K22" si="70">#REF!</f>
        <v>#REF!</v>
      </c>
      <c r="L22" s="445" t="e">
        <f t="shared" ref="L22" si="71">#REF!</f>
        <v>#REF!</v>
      </c>
      <c r="M22" s="445" t="e">
        <f t="shared" ref="M22" si="72">#REF!</f>
        <v>#REF!</v>
      </c>
      <c r="N22" s="446"/>
    </row>
    <row r="23" spans="2:16" x14ac:dyDescent="0.3">
      <c r="B23" s="447"/>
      <c r="C23" s="456" t="s">
        <v>852</v>
      </c>
      <c r="D23" s="445"/>
      <c r="E23" s="445" t="e">
        <f>#REF!</f>
        <v>#REF!</v>
      </c>
      <c r="F23" s="445" t="e">
        <f t="shared" ref="F23" si="73">#REF!</f>
        <v>#REF!</v>
      </c>
      <c r="G23" s="445" t="e">
        <f t="shared" ref="G23" si="74">#REF!</f>
        <v>#REF!</v>
      </c>
      <c r="H23" s="445" t="e">
        <f t="shared" ref="H23" si="75">#REF!</f>
        <v>#REF!</v>
      </c>
      <c r="I23" s="445" t="e">
        <f t="shared" ref="I23" si="76">#REF!</f>
        <v>#REF!</v>
      </c>
      <c r="J23" s="445" t="e">
        <f t="shared" ref="J23" si="77">#REF!</f>
        <v>#REF!</v>
      </c>
      <c r="K23" s="445" t="e">
        <f t="shared" ref="K23" si="78">#REF!</f>
        <v>#REF!</v>
      </c>
      <c r="L23" s="445" t="e">
        <f t="shared" ref="L23" si="79">#REF!</f>
        <v>#REF!</v>
      </c>
      <c r="M23" s="445" t="e">
        <f t="shared" ref="M23" si="80">#REF!</f>
        <v>#REF!</v>
      </c>
      <c r="N23" s="446"/>
    </row>
    <row r="24" spans="2:16" x14ac:dyDescent="0.3">
      <c r="B24" s="447"/>
      <c r="C24" s="445" t="s">
        <v>853</v>
      </c>
      <c r="D24" s="445"/>
      <c r="E24" s="445" t="e">
        <f>#REF!+#REF!</f>
        <v>#REF!</v>
      </c>
      <c r="F24" s="445" t="e">
        <f t="shared" ref="F24" si="81">#REF!+#REF!</f>
        <v>#REF!</v>
      </c>
      <c r="G24" s="445" t="e">
        <f t="shared" ref="G24" si="82">#REF!+#REF!</f>
        <v>#REF!</v>
      </c>
      <c r="H24" s="445" t="e">
        <f t="shared" ref="H24" si="83">#REF!+#REF!</f>
        <v>#REF!</v>
      </c>
      <c r="I24" s="445" t="e">
        <f t="shared" ref="I24" si="84">#REF!+#REF!</f>
        <v>#REF!</v>
      </c>
      <c r="J24" s="445" t="e">
        <f t="shared" ref="J24" si="85">#REF!+#REF!</f>
        <v>#REF!</v>
      </c>
      <c r="K24" s="445" t="e">
        <f t="shared" ref="K24" si="86">#REF!+#REF!</f>
        <v>#REF!</v>
      </c>
      <c r="L24" s="445" t="e">
        <f t="shared" ref="L24" si="87">#REF!+#REF!</f>
        <v>#REF!</v>
      </c>
      <c r="M24" s="445" t="e">
        <f t="shared" ref="M24" si="88">#REF!+#REF!</f>
        <v>#REF!</v>
      </c>
      <c r="N24" s="446"/>
    </row>
    <row r="25" spans="2:16" x14ac:dyDescent="0.3">
      <c r="B25" s="447"/>
      <c r="C25" s="445" t="s">
        <v>854</v>
      </c>
      <c r="D25" s="445"/>
      <c r="E25" s="445" t="e">
        <f>#REF!</f>
        <v>#REF!</v>
      </c>
      <c r="F25" s="445" t="e">
        <f t="shared" ref="F25" si="89">#REF!</f>
        <v>#REF!</v>
      </c>
      <c r="G25" s="445" t="e">
        <f t="shared" ref="G25" si="90">#REF!</f>
        <v>#REF!</v>
      </c>
      <c r="H25" s="445" t="e">
        <f t="shared" ref="H25" si="91">#REF!</f>
        <v>#REF!</v>
      </c>
      <c r="I25" s="445" t="e">
        <f t="shared" ref="I25" si="92">#REF!</f>
        <v>#REF!</v>
      </c>
      <c r="J25" s="445" t="e">
        <f t="shared" ref="J25" si="93">#REF!</f>
        <v>#REF!</v>
      </c>
      <c r="K25" s="445" t="e">
        <f t="shared" ref="K25" si="94">#REF!</f>
        <v>#REF!</v>
      </c>
      <c r="L25" s="445" t="e">
        <f t="shared" ref="L25" si="95">#REF!</f>
        <v>#REF!</v>
      </c>
      <c r="M25" s="445" t="e">
        <f t="shared" ref="M25" si="96">#REF!</f>
        <v>#REF!</v>
      </c>
      <c r="N25" s="446"/>
    </row>
    <row r="26" spans="2:16" x14ac:dyDescent="0.3">
      <c r="B26" s="447"/>
      <c r="C26" s="456" t="s">
        <v>855</v>
      </c>
      <c r="D26" s="445"/>
      <c r="E26" s="445" t="e">
        <f>#REF!</f>
        <v>#REF!</v>
      </c>
      <c r="F26" s="445" t="e">
        <f t="shared" ref="F26" si="97">#REF!</f>
        <v>#REF!</v>
      </c>
      <c r="G26" s="445" t="e">
        <f t="shared" ref="G26" si="98">#REF!</f>
        <v>#REF!</v>
      </c>
      <c r="H26" s="445" t="e">
        <f t="shared" ref="H26" si="99">#REF!</f>
        <v>#REF!</v>
      </c>
      <c r="I26" s="445" t="e">
        <f t="shared" ref="I26" si="100">#REF!</f>
        <v>#REF!</v>
      </c>
      <c r="J26" s="445" t="e">
        <f t="shared" ref="J26" si="101">#REF!</f>
        <v>#REF!</v>
      </c>
      <c r="K26" s="445" t="e">
        <f t="shared" ref="K26" si="102">#REF!</f>
        <v>#REF!</v>
      </c>
      <c r="L26" s="445" t="e">
        <f t="shared" ref="L26" si="103">#REF!</f>
        <v>#REF!</v>
      </c>
      <c r="M26" s="445" t="e">
        <f t="shared" ref="M26" si="104">#REF!</f>
        <v>#REF!</v>
      </c>
      <c r="N26" s="446"/>
    </row>
    <row r="27" spans="2:16" x14ac:dyDescent="0.3">
      <c r="B27" s="447"/>
      <c r="C27" s="445" t="s">
        <v>18</v>
      </c>
      <c r="D27" s="445"/>
      <c r="E27" s="445" t="e">
        <f>#REF!</f>
        <v>#REF!</v>
      </c>
      <c r="F27" s="445" t="e">
        <f t="shared" ref="F27" si="105">#REF!</f>
        <v>#REF!</v>
      </c>
      <c r="G27" s="445" t="e">
        <f t="shared" ref="G27" si="106">#REF!</f>
        <v>#REF!</v>
      </c>
      <c r="H27" s="445" t="e">
        <f t="shared" ref="H27" si="107">#REF!</f>
        <v>#REF!</v>
      </c>
      <c r="I27" s="445" t="e">
        <f t="shared" ref="I27" si="108">#REF!</f>
        <v>#REF!</v>
      </c>
      <c r="J27" s="445" t="e">
        <f t="shared" ref="J27" si="109">#REF!</f>
        <v>#REF!</v>
      </c>
      <c r="K27" s="445" t="e">
        <f t="shared" ref="K27" si="110">#REF!</f>
        <v>#REF!</v>
      </c>
      <c r="L27" s="445" t="e">
        <f t="shared" ref="L27" si="111">#REF!</f>
        <v>#REF!</v>
      </c>
      <c r="M27" s="445" t="e">
        <f t="shared" ref="M27" si="112">#REF!</f>
        <v>#REF!</v>
      </c>
      <c r="N27" s="446"/>
    </row>
    <row r="28" spans="2:16" x14ac:dyDescent="0.3">
      <c r="B28" s="447"/>
      <c r="C28" s="456" t="s">
        <v>856</v>
      </c>
      <c r="D28" s="445"/>
      <c r="E28" s="445" t="e">
        <f>#REF!</f>
        <v>#REF!</v>
      </c>
      <c r="F28" s="445" t="e">
        <f t="shared" ref="F28" si="113">#REF!</f>
        <v>#REF!</v>
      </c>
      <c r="G28" s="445" t="e">
        <f t="shared" ref="G28" si="114">#REF!</f>
        <v>#REF!</v>
      </c>
      <c r="H28" s="445" t="e">
        <f t="shared" ref="H28" si="115">#REF!</f>
        <v>#REF!</v>
      </c>
      <c r="I28" s="445" t="e">
        <f t="shared" ref="I28" si="116">#REF!</f>
        <v>#REF!</v>
      </c>
      <c r="J28" s="445" t="e">
        <f t="shared" ref="J28" si="117">#REF!</f>
        <v>#REF!</v>
      </c>
      <c r="K28" s="445" t="e">
        <f t="shared" ref="K28" si="118">#REF!</f>
        <v>#REF!</v>
      </c>
      <c r="L28" s="445" t="e">
        <f t="shared" ref="L28" si="119">#REF!</f>
        <v>#REF!</v>
      </c>
      <c r="M28" s="445" t="e">
        <f t="shared" ref="M28" si="120">#REF!</f>
        <v>#REF!</v>
      </c>
      <c r="N28" s="446"/>
    </row>
    <row r="29" spans="2:16" x14ac:dyDescent="0.3">
      <c r="B29" s="447"/>
      <c r="C29" s="445" t="s">
        <v>845</v>
      </c>
      <c r="D29" s="445"/>
      <c r="E29" s="445">
        <v>0.13628225333835003</v>
      </c>
      <c r="F29" s="445">
        <v>0.14991047867218504</v>
      </c>
      <c r="G29" s="445">
        <v>0.16490152653940354</v>
      </c>
      <c r="H29" s="445">
        <v>0.1813916791933439</v>
      </c>
      <c r="I29" s="445">
        <v>0.19953084711267829</v>
      </c>
      <c r="J29" s="445">
        <v>0.21948393182394615</v>
      </c>
      <c r="K29" s="445">
        <v>0.24143232500634076</v>
      </c>
      <c r="L29" s="445">
        <v>0.26557555750697481</v>
      </c>
      <c r="M29" s="445">
        <v>0.29213311325767227</v>
      </c>
      <c r="N29" s="446"/>
    </row>
    <row r="30" spans="2:16" x14ac:dyDescent="0.3">
      <c r="B30" s="447"/>
      <c r="C30" s="456"/>
      <c r="D30" s="445"/>
      <c r="E30" s="450" t="e">
        <f>SUM(E22:E29)</f>
        <v>#REF!</v>
      </c>
      <c r="F30" s="450" t="e">
        <f t="shared" ref="F30:M30" si="121">SUM(F22:F29)</f>
        <v>#REF!</v>
      </c>
      <c r="G30" s="450" t="e">
        <f t="shared" si="121"/>
        <v>#REF!</v>
      </c>
      <c r="H30" s="450" t="e">
        <f t="shared" si="121"/>
        <v>#REF!</v>
      </c>
      <c r="I30" s="450" t="e">
        <f t="shared" si="121"/>
        <v>#REF!</v>
      </c>
      <c r="J30" s="450" t="e">
        <f t="shared" si="121"/>
        <v>#REF!</v>
      </c>
      <c r="K30" s="450" t="e">
        <f t="shared" si="121"/>
        <v>#REF!</v>
      </c>
      <c r="L30" s="450" t="e">
        <f t="shared" si="121"/>
        <v>#REF!</v>
      </c>
      <c r="M30" s="450" t="e">
        <f t="shared" si="121"/>
        <v>#REF!</v>
      </c>
      <c r="N30" s="457"/>
      <c r="O30" s="461">
        <f>E29/P30</f>
        <v>0.75</v>
      </c>
      <c r="P30">
        <f>E29+E12</f>
        <v>0.18170967111780004</v>
      </c>
    </row>
    <row r="31" spans="2:16" x14ac:dyDescent="0.3">
      <c r="B31" s="447"/>
      <c r="C31" s="456"/>
      <c r="D31" s="445"/>
      <c r="E31" s="445"/>
      <c r="F31" s="445"/>
      <c r="G31" s="445"/>
      <c r="H31" s="445"/>
      <c r="I31" s="445"/>
      <c r="J31" s="445"/>
      <c r="K31" s="445"/>
      <c r="L31" s="445"/>
      <c r="M31" s="445"/>
      <c r="N31" s="446"/>
    </row>
    <row r="32" spans="2:16" x14ac:dyDescent="0.3">
      <c r="B32" s="460">
        <v>4</v>
      </c>
      <c r="C32" s="461" t="s">
        <v>857</v>
      </c>
      <c r="D32" s="445"/>
      <c r="E32" s="461" t="e">
        <f>E19-E30</f>
        <v>#REF!</v>
      </c>
      <c r="F32" s="461" t="e">
        <f t="shared" ref="F32:M32" si="122">F19-F30</f>
        <v>#REF!</v>
      </c>
      <c r="G32" s="461" t="e">
        <f t="shared" si="122"/>
        <v>#REF!</v>
      </c>
      <c r="H32" s="461" t="e">
        <f t="shared" si="122"/>
        <v>#REF!</v>
      </c>
      <c r="I32" s="461" t="e">
        <f t="shared" si="122"/>
        <v>#REF!</v>
      </c>
      <c r="J32" s="461" t="e">
        <f t="shared" si="122"/>
        <v>#REF!</v>
      </c>
      <c r="K32" s="461" t="e">
        <f t="shared" si="122"/>
        <v>#REF!</v>
      </c>
      <c r="L32" s="461" t="e">
        <f t="shared" si="122"/>
        <v>#REF!</v>
      </c>
      <c r="M32" s="461" t="e">
        <f t="shared" si="122"/>
        <v>#REF!</v>
      </c>
      <c r="N32" s="457"/>
    </row>
    <row r="33" spans="2:14" x14ac:dyDescent="0.3">
      <c r="B33" s="447"/>
      <c r="C33" s="445"/>
      <c r="D33" s="445"/>
      <c r="E33" s="461"/>
      <c r="F33" s="445"/>
      <c r="G33" s="445"/>
      <c r="H33" s="331"/>
      <c r="I33" s="461"/>
      <c r="J33" s="461"/>
      <c r="K33" s="461"/>
      <c r="L33" s="445"/>
      <c r="M33" s="445"/>
      <c r="N33" s="446"/>
    </row>
    <row r="34" spans="2:14" x14ac:dyDescent="0.3">
      <c r="B34" s="460">
        <v>5</v>
      </c>
      <c r="C34" s="461" t="s">
        <v>858</v>
      </c>
      <c r="D34" s="445"/>
      <c r="E34" s="462" t="e">
        <f>E17/E32*#REF!</f>
        <v>#REF!</v>
      </c>
      <c r="F34" s="462" t="e">
        <f t="shared" ref="F34" si="123">F17/F32*#REF!</f>
        <v>#REF!</v>
      </c>
      <c r="G34" s="462" t="e">
        <f t="shared" ref="G34" si="124">G17/G32*#REF!</f>
        <v>#REF!</v>
      </c>
      <c r="H34" s="462" t="e">
        <f t="shared" ref="H34" si="125">H17/H32*#REF!</f>
        <v>#REF!</v>
      </c>
      <c r="I34" s="462" t="e">
        <f t="shared" ref="I34" si="126">I17/I32*#REF!</f>
        <v>#REF!</v>
      </c>
      <c r="J34" s="462" t="e">
        <f t="shared" ref="J34" si="127">J17/J32*#REF!</f>
        <v>#REF!</v>
      </c>
      <c r="K34" s="462" t="e">
        <f t="shared" ref="K34" si="128">K17/K32*#REF!</f>
        <v>#REF!</v>
      </c>
      <c r="L34" s="462" t="e">
        <f t="shared" ref="L34" si="129">L17/L32*#REF!</f>
        <v>#REF!</v>
      </c>
      <c r="M34" s="462" t="e">
        <f t="shared" ref="M34" si="130">M17/M32*#REF!</f>
        <v>#REF!</v>
      </c>
      <c r="N34" s="463"/>
    </row>
    <row r="35" spans="2:14" x14ac:dyDescent="0.3">
      <c r="B35" s="460"/>
      <c r="C35" s="454"/>
      <c r="D35" s="445"/>
      <c r="E35" s="464"/>
      <c r="F35" s="464"/>
      <c r="G35" s="464"/>
      <c r="H35" s="464"/>
      <c r="I35" s="464"/>
      <c r="J35" s="464"/>
      <c r="K35" s="464"/>
      <c r="L35" s="464"/>
      <c r="M35" s="464"/>
      <c r="N35" s="446"/>
    </row>
    <row r="36" spans="2:14" x14ac:dyDescent="0.3">
      <c r="B36" s="460">
        <v>6</v>
      </c>
      <c r="C36" s="461" t="s">
        <v>859</v>
      </c>
      <c r="D36" s="445"/>
      <c r="E36" s="462" t="e">
        <f>(E17-E15-E16)/E32*#REF!</f>
        <v>#REF!</v>
      </c>
      <c r="F36" s="462" t="e">
        <f t="shared" ref="F36" si="131">(F17-F15-F16)/F32*#REF!</f>
        <v>#REF!</v>
      </c>
      <c r="G36" s="462" t="e">
        <f t="shared" ref="G36" si="132">(G17-G15-G16)/G32*#REF!</f>
        <v>#REF!</v>
      </c>
      <c r="H36" s="462" t="e">
        <f t="shared" ref="H36" si="133">(H17-H15-H16)/H32*#REF!</f>
        <v>#REF!</v>
      </c>
      <c r="I36" s="462" t="e">
        <f t="shared" ref="I36" si="134">(I17-I15-I16)/I32*#REF!</f>
        <v>#REF!</v>
      </c>
      <c r="J36" s="462" t="e">
        <f t="shared" ref="J36" si="135">(J17-J15-J16)/J32*#REF!</f>
        <v>#REF!</v>
      </c>
      <c r="K36" s="462" t="e">
        <f t="shared" ref="K36" si="136">(K17-K15-K16)/K32*#REF!</f>
        <v>#REF!</v>
      </c>
      <c r="L36" s="462" t="e">
        <f t="shared" ref="L36" si="137">(L17-L15-L16)/L32*#REF!</f>
        <v>#REF!</v>
      </c>
      <c r="M36" s="462" t="e">
        <f t="shared" ref="M36" si="138">(M17-M15-M16)/M32*#REF!</f>
        <v>#REF!</v>
      </c>
      <c r="N36" s="463"/>
    </row>
    <row r="37" spans="2:14" x14ac:dyDescent="0.3">
      <c r="B37" s="447"/>
      <c r="C37" s="461"/>
      <c r="D37" s="445"/>
      <c r="E37" s="445"/>
      <c r="F37" s="461"/>
      <c r="G37" s="445"/>
      <c r="H37" s="445"/>
      <c r="I37" s="465"/>
      <c r="J37" s="445"/>
      <c r="K37" s="445"/>
      <c r="L37" s="445"/>
      <c r="M37" s="445"/>
      <c r="N37" s="446"/>
    </row>
    <row r="38" spans="2:14" x14ac:dyDescent="0.3">
      <c r="B38" s="447"/>
      <c r="C38" s="445"/>
      <c r="D38" s="445"/>
      <c r="E38" s="445"/>
      <c r="F38" s="445"/>
      <c r="G38" s="445"/>
      <c r="H38" s="445"/>
      <c r="I38" s="445"/>
      <c r="J38" s="445"/>
      <c r="K38" s="445"/>
      <c r="L38" s="445"/>
      <c r="M38" s="445"/>
      <c r="N38" s="446"/>
    </row>
    <row r="39" spans="2:14" x14ac:dyDescent="0.3">
      <c r="B39" s="447"/>
      <c r="C39" s="454"/>
      <c r="D39" s="445"/>
      <c r="E39" s="445"/>
      <c r="F39" s="466"/>
      <c r="G39" s="445"/>
      <c r="H39" s="445"/>
      <c r="I39" s="465"/>
      <c r="J39" s="445"/>
      <c r="K39" s="445"/>
      <c r="L39" s="445"/>
      <c r="M39" s="445"/>
      <c r="N39" s="446"/>
    </row>
    <row r="40" spans="2:14" x14ac:dyDescent="0.3">
      <c r="B40" s="447"/>
      <c r="C40" s="445"/>
      <c r="D40" s="445"/>
      <c r="E40" s="445"/>
      <c r="F40" s="445"/>
      <c r="G40" s="445"/>
      <c r="H40" s="445"/>
      <c r="I40" s="465"/>
      <c r="J40" s="445"/>
      <c r="K40" s="445"/>
      <c r="L40" s="445"/>
      <c r="M40" s="445"/>
      <c r="N40" s="446"/>
    </row>
  </sheetData>
  <mergeCells count="2">
    <mergeCell ref="B3:N3"/>
    <mergeCell ref="B4:N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M40"/>
  <sheetViews>
    <sheetView workbookViewId="0">
      <selection activeCell="H38" sqref="H38"/>
    </sheetView>
  </sheetViews>
  <sheetFormatPr defaultRowHeight="14.4" x14ac:dyDescent="0.3"/>
  <cols>
    <col min="3" max="3" width="22.6640625" customWidth="1"/>
    <col min="4" max="4" width="20.44140625" customWidth="1"/>
    <col min="5" max="5" width="26" customWidth="1"/>
    <col min="11" max="11" width="19.109375" customWidth="1"/>
    <col min="12" max="12" width="15.88671875" customWidth="1"/>
  </cols>
  <sheetData>
    <row r="2" spans="2:12" x14ac:dyDescent="0.3">
      <c r="B2" s="304" t="s">
        <v>674</v>
      </c>
      <c r="C2" s="304" t="s">
        <v>675</v>
      </c>
      <c r="D2" s="304" t="s">
        <v>676</v>
      </c>
      <c r="E2" s="304" t="s">
        <v>677</v>
      </c>
      <c r="F2" s="304" t="s">
        <v>678</v>
      </c>
      <c r="H2" s="410" t="s">
        <v>811</v>
      </c>
      <c r="I2" s="410" t="s">
        <v>812</v>
      </c>
      <c r="J2" s="410" t="s">
        <v>813</v>
      </c>
    </row>
    <row r="3" spans="2:12" x14ac:dyDescent="0.3">
      <c r="B3" s="633">
        <v>1</v>
      </c>
      <c r="C3" s="633" t="s">
        <v>72</v>
      </c>
      <c r="D3" s="1" t="s">
        <v>679</v>
      </c>
      <c r="E3" s="1"/>
      <c r="F3" s="1"/>
      <c r="H3" t="s">
        <v>814</v>
      </c>
      <c r="I3">
        <v>148.97</v>
      </c>
      <c r="J3">
        <v>114.86</v>
      </c>
    </row>
    <row r="4" spans="2:12" x14ac:dyDescent="0.3">
      <c r="B4" s="633"/>
      <c r="C4" s="633"/>
      <c r="D4" s="1" t="s">
        <v>680</v>
      </c>
      <c r="E4" s="1"/>
      <c r="F4" s="1"/>
      <c r="H4" t="s">
        <v>815</v>
      </c>
      <c r="I4">
        <v>74.22</v>
      </c>
      <c r="J4">
        <v>58.02</v>
      </c>
    </row>
    <row r="5" spans="2:12" x14ac:dyDescent="0.3">
      <c r="B5" s="59">
        <v>2</v>
      </c>
      <c r="C5" s="1" t="s">
        <v>681</v>
      </c>
      <c r="D5" s="1" t="s">
        <v>681</v>
      </c>
      <c r="E5" s="1"/>
      <c r="F5" s="1"/>
      <c r="H5" t="s">
        <v>435</v>
      </c>
      <c r="I5">
        <v>57.97</v>
      </c>
      <c r="J5">
        <v>43.62</v>
      </c>
    </row>
    <row r="6" spans="2:12" x14ac:dyDescent="0.3">
      <c r="B6" s="633">
        <v>3</v>
      </c>
      <c r="C6" s="634" t="s">
        <v>687</v>
      </c>
      <c r="D6" s="1" t="s">
        <v>682</v>
      </c>
      <c r="E6" s="1"/>
      <c r="F6" s="1"/>
    </row>
    <row r="7" spans="2:12" x14ac:dyDescent="0.3">
      <c r="B7" s="633"/>
      <c r="C7" s="633"/>
      <c r="D7" s="1" t="s">
        <v>683</v>
      </c>
      <c r="E7" s="1"/>
      <c r="F7" s="1"/>
    </row>
    <row r="8" spans="2:12" x14ac:dyDescent="0.3">
      <c r="B8" s="633"/>
      <c r="C8" s="633"/>
      <c r="D8" s="1" t="s">
        <v>684</v>
      </c>
      <c r="E8" s="1"/>
      <c r="F8" s="1"/>
    </row>
    <row r="9" spans="2:12" ht="15" thickBot="1" x14ac:dyDescent="0.35">
      <c r="B9" s="633"/>
      <c r="C9" s="633"/>
      <c r="D9" s="1" t="s">
        <v>685</v>
      </c>
      <c r="E9" s="1"/>
      <c r="F9" s="1"/>
    </row>
    <row r="10" spans="2:12" ht="15" thickBot="1" x14ac:dyDescent="0.35">
      <c r="B10" s="633"/>
      <c r="C10" s="633"/>
      <c r="D10" s="1" t="s">
        <v>686</v>
      </c>
      <c r="E10" s="1"/>
      <c r="F10" s="1"/>
      <c r="J10" s="627" t="s">
        <v>802</v>
      </c>
      <c r="K10" s="628"/>
      <c r="L10" s="428"/>
    </row>
    <row r="11" spans="2:12" ht="15" thickBot="1" x14ac:dyDescent="0.35">
      <c r="B11" s="633">
        <v>4</v>
      </c>
      <c r="C11" s="634" t="s">
        <v>693</v>
      </c>
      <c r="D11" s="1" t="s">
        <v>688</v>
      </c>
      <c r="E11" s="1"/>
      <c r="F11" s="1"/>
      <c r="J11" s="429"/>
      <c r="K11" s="430" t="s">
        <v>758</v>
      </c>
      <c r="L11" s="431" t="s">
        <v>829</v>
      </c>
    </row>
    <row r="12" spans="2:12" ht="15" thickBot="1" x14ac:dyDescent="0.35">
      <c r="B12" s="633"/>
      <c r="C12" s="633"/>
      <c r="D12" s="1" t="s">
        <v>689</v>
      </c>
      <c r="E12" s="1"/>
      <c r="F12" s="1"/>
      <c r="J12" s="432">
        <v>1</v>
      </c>
      <c r="K12" s="433" t="s">
        <v>736</v>
      </c>
      <c r="L12" s="431">
        <v>75</v>
      </c>
    </row>
    <row r="13" spans="2:12" ht="15" thickBot="1" x14ac:dyDescent="0.35">
      <c r="B13" s="633"/>
      <c r="C13" s="633"/>
      <c r="D13" s="1" t="s">
        <v>690</v>
      </c>
      <c r="E13" s="1"/>
      <c r="F13" s="1"/>
      <c r="J13" s="432">
        <v>2</v>
      </c>
      <c r="K13" s="433" t="s">
        <v>804</v>
      </c>
      <c r="L13" s="431">
        <v>76.97</v>
      </c>
    </row>
    <row r="14" spans="2:12" ht="15" thickBot="1" x14ac:dyDescent="0.35">
      <c r="B14" s="633"/>
      <c r="C14" s="633"/>
      <c r="D14" s="1" t="s">
        <v>691</v>
      </c>
      <c r="E14" s="1"/>
      <c r="F14" s="1"/>
      <c r="J14" s="629" t="s">
        <v>830</v>
      </c>
      <c r="K14" s="630"/>
      <c r="L14" s="434">
        <v>151.97</v>
      </c>
    </row>
    <row r="15" spans="2:12" ht="15" thickBot="1" x14ac:dyDescent="0.35">
      <c r="B15" s="633"/>
      <c r="C15" s="633"/>
      <c r="D15" s="1" t="s">
        <v>692</v>
      </c>
      <c r="E15" s="1"/>
      <c r="F15" s="1"/>
    </row>
    <row r="16" spans="2:12" ht="15" thickBot="1" x14ac:dyDescent="0.35">
      <c r="B16" s="59">
        <v>5</v>
      </c>
      <c r="C16" s="1" t="s">
        <v>694</v>
      </c>
      <c r="D16" s="1" t="s">
        <v>695</v>
      </c>
      <c r="E16" s="1"/>
      <c r="F16" s="1"/>
      <c r="K16" s="631" t="s">
        <v>831</v>
      </c>
      <c r="L16" s="632"/>
    </row>
    <row r="17" spans="2:13" ht="15" thickBot="1" x14ac:dyDescent="0.35">
      <c r="B17" s="59">
        <v>6</v>
      </c>
      <c r="C17" s="1" t="s">
        <v>696</v>
      </c>
      <c r="D17" s="1" t="s">
        <v>697</v>
      </c>
      <c r="E17" s="1"/>
      <c r="F17" s="1"/>
      <c r="K17" s="435" t="s">
        <v>758</v>
      </c>
      <c r="L17" s="434" t="s">
        <v>832</v>
      </c>
    </row>
    <row r="18" spans="2:13" ht="15" thickBot="1" x14ac:dyDescent="0.35">
      <c r="B18" s="59">
        <v>7</v>
      </c>
      <c r="C18" s="1" t="s">
        <v>698</v>
      </c>
      <c r="D18" s="1" t="s">
        <v>697</v>
      </c>
      <c r="E18" s="1"/>
      <c r="F18" s="1"/>
      <c r="K18" s="429" t="s">
        <v>72</v>
      </c>
      <c r="L18" s="431">
        <v>0</v>
      </c>
    </row>
    <row r="19" spans="2:13" ht="15" thickBot="1" x14ac:dyDescent="0.35">
      <c r="K19" s="429" t="s">
        <v>77</v>
      </c>
      <c r="L19" s="431">
        <v>68.89</v>
      </c>
    </row>
    <row r="20" spans="2:13" ht="15" thickBot="1" x14ac:dyDescent="0.35">
      <c r="K20" s="429" t="s">
        <v>833</v>
      </c>
      <c r="L20" s="431">
        <v>63.26</v>
      </c>
    </row>
    <row r="21" spans="2:13" ht="15" thickBot="1" x14ac:dyDescent="0.35">
      <c r="B21" s="304" t="s">
        <v>699</v>
      </c>
      <c r="C21" s="304" t="s">
        <v>700</v>
      </c>
      <c r="D21" s="304" t="s">
        <v>701</v>
      </c>
      <c r="E21" s="304" t="s">
        <v>702</v>
      </c>
      <c r="K21" s="429" t="s">
        <v>834</v>
      </c>
      <c r="L21" s="431">
        <v>19.82</v>
      </c>
    </row>
    <row r="22" spans="2:13" ht="15" thickBot="1" x14ac:dyDescent="0.35">
      <c r="B22" s="59">
        <v>1</v>
      </c>
      <c r="C22" s="1" t="s">
        <v>731</v>
      </c>
      <c r="D22" s="1"/>
      <c r="E22" s="1"/>
      <c r="K22" s="436" t="s">
        <v>214</v>
      </c>
      <c r="L22" s="437">
        <v>151.97</v>
      </c>
      <c r="M22" t="s">
        <v>703</v>
      </c>
    </row>
    <row r="23" spans="2:13" x14ac:dyDescent="0.3">
      <c r="B23" s="59">
        <v>2</v>
      </c>
      <c r="C23" s="1" t="s">
        <v>730</v>
      </c>
      <c r="D23" s="1"/>
      <c r="E23" s="1"/>
      <c r="M23" t="s">
        <v>704</v>
      </c>
    </row>
    <row r="24" spans="2:13" x14ac:dyDescent="0.3">
      <c r="B24" s="59">
        <v>3</v>
      </c>
      <c r="C24" s="1" t="s">
        <v>729</v>
      </c>
      <c r="D24" s="1"/>
      <c r="E24" s="1"/>
      <c r="M24" t="s">
        <v>705</v>
      </c>
    </row>
    <row r="25" spans="2:13" ht="15" x14ac:dyDescent="0.35">
      <c r="B25" s="59">
        <v>4</v>
      </c>
      <c r="C25" s="1" t="s">
        <v>713</v>
      </c>
      <c r="D25" s="1"/>
      <c r="E25" s="1"/>
      <c r="M25" t="s">
        <v>706</v>
      </c>
    </row>
    <row r="26" spans="2:13" ht="15" x14ac:dyDescent="0.35">
      <c r="B26" s="59">
        <v>5</v>
      </c>
      <c r="C26" s="1" t="s">
        <v>714</v>
      </c>
      <c r="D26" s="1"/>
      <c r="E26" s="1"/>
      <c r="M26" t="s">
        <v>707</v>
      </c>
    </row>
    <row r="27" spans="2:13" ht="15" x14ac:dyDescent="0.35">
      <c r="B27" s="59">
        <v>6</v>
      </c>
      <c r="C27" s="1" t="s">
        <v>715</v>
      </c>
      <c r="D27" s="1"/>
      <c r="E27" s="1"/>
      <c r="M27" t="s">
        <v>708</v>
      </c>
    </row>
    <row r="28" spans="2:13" ht="15" x14ac:dyDescent="0.35">
      <c r="B28" s="59">
        <v>7</v>
      </c>
      <c r="C28" s="1" t="s">
        <v>716</v>
      </c>
      <c r="D28" s="1"/>
      <c r="E28" s="1"/>
      <c r="M28" t="s">
        <v>709</v>
      </c>
    </row>
    <row r="29" spans="2:13" ht="15" x14ac:dyDescent="0.35">
      <c r="B29" s="59">
        <v>8</v>
      </c>
      <c r="C29" s="1" t="s">
        <v>717</v>
      </c>
      <c r="D29" s="1"/>
      <c r="E29" s="1"/>
      <c r="M29" t="s">
        <v>710</v>
      </c>
    </row>
    <row r="30" spans="2:13" x14ac:dyDescent="0.3">
      <c r="B30" s="59">
        <v>9</v>
      </c>
      <c r="C30" s="1" t="s">
        <v>728</v>
      </c>
      <c r="D30" s="1"/>
      <c r="E30" s="1"/>
      <c r="M30" t="s">
        <v>711</v>
      </c>
    </row>
    <row r="31" spans="2:13" ht="15" x14ac:dyDescent="0.35">
      <c r="B31" s="59">
        <v>10</v>
      </c>
      <c r="C31" s="1" t="s">
        <v>718</v>
      </c>
      <c r="D31" s="1"/>
      <c r="E31" s="1"/>
      <c r="M31" t="s">
        <v>712</v>
      </c>
    </row>
    <row r="32" spans="2:13" ht="15" x14ac:dyDescent="0.35">
      <c r="B32" s="59">
        <v>11</v>
      </c>
      <c r="C32" s="1" t="s">
        <v>719</v>
      </c>
      <c r="D32" s="1"/>
      <c r="E32" s="1"/>
    </row>
    <row r="33" spans="2:5" ht="15" x14ac:dyDescent="0.35">
      <c r="B33" s="59">
        <v>12</v>
      </c>
      <c r="C33" s="1" t="s">
        <v>720</v>
      </c>
      <c r="D33" s="1"/>
      <c r="E33" s="1"/>
    </row>
    <row r="34" spans="2:5" ht="15" x14ac:dyDescent="0.35">
      <c r="B34" s="59">
        <v>13</v>
      </c>
      <c r="C34" s="1" t="s">
        <v>721</v>
      </c>
      <c r="D34" s="1"/>
      <c r="E34" s="1"/>
    </row>
    <row r="35" spans="2:5" ht="15" x14ac:dyDescent="0.35">
      <c r="B35" s="59">
        <v>14</v>
      </c>
      <c r="C35" s="1" t="s">
        <v>722</v>
      </c>
      <c r="D35" s="1"/>
      <c r="E35" s="1"/>
    </row>
    <row r="36" spans="2:5" ht="15" x14ac:dyDescent="0.35">
      <c r="B36" s="59">
        <v>15</v>
      </c>
      <c r="C36" s="1" t="s">
        <v>723</v>
      </c>
      <c r="D36" s="1"/>
      <c r="E36" s="1"/>
    </row>
    <row r="37" spans="2:5" ht="15" x14ac:dyDescent="0.35">
      <c r="B37" s="59">
        <v>16</v>
      </c>
      <c r="C37" s="1" t="s">
        <v>724</v>
      </c>
      <c r="D37" s="1"/>
      <c r="E37" s="1"/>
    </row>
    <row r="38" spans="2:5" ht="15" x14ac:dyDescent="0.35">
      <c r="B38" s="59">
        <v>17</v>
      </c>
      <c r="C38" s="1" t="s">
        <v>725</v>
      </c>
      <c r="D38" s="1"/>
      <c r="E38" s="1"/>
    </row>
    <row r="39" spans="2:5" ht="15" x14ac:dyDescent="0.35">
      <c r="B39" s="59">
        <v>18</v>
      </c>
      <c r="C39" s="1" t="s">
        <v>726</v>
      </c>
      <c r="D39" s="1"/>
      <c r="E39" s="1"/>
    </row>
    <row r="40" spans="2:5" ht="15" x14ac:dyDescent="0.35">
      <c r="B40" s="59">
        <v>19</v>
      </c>
      <c r="C40" s="1" t="s">
        <v>727</v>
      </c>
      <c r="D40" s="1"/>
      <c r="E40" s="1"/>
    </row>
  </sheetData>
  <mergeCells count="9">
    <mergeCell ref="J10:K10"/>
    <mergeCell ref="J14:K14"/>
    <mergeCell ref="K16:L16"/>
    <mergeCell ref="C3:C4"/>
    <mergeCell ref="B3:B4"/>
    <mergeCell ref="C6:C10"/>
    <mergeCell ref="C11:C15"/>
    <mergeCell ref="B6:B10"/>
    <mergeCell ref="B11:B1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76"/>
  <sheetViews>
    <sheetView topLeftCell="A61" zoomScale="93" zoomScaleNormal="93" workbookViewId="0">
      <selection activeCell="J52" sqref="J52"/>
    </sheetView>
  </sheetViews>
  <sheetFormatPr defaultColWidth="9.109375" defaultRowHeight="14.4" x14ac:dyDescent="0.3"/>
  <cols>
    <col min="1" max="1" width="6.88671875" style="242" customWidth="1"/>
    <col min="2" max="2" width="41" style="242" customWidth="1"/>
    <col min="3" max="3" width="13.33203125" style="242" customWidth="1"/>
    <col min="4" max="4" width="7.44140625" style="255" customWidth="1"/>
    <col min="5" max="5" width="13.88671875" style="255" bestFit="1" customWidth="1"/>
    <col min="6" max="6" width="13.88671875" style="255" customWidth="1"/>
    <col min="7" max="7" width="19.44140625" style="242" bestFit="1" customWidth="1"/>
    <col min="8" max="16384" width="9.109375" style="242"/>
  </cols>
  <sheetData>
    <row r="1" spans="1:7" ht="22.8" x14ac:dyDescent="0.3">
      <c r="A1" s="635" t="s">
        <v>559</v>
      </c>
      <c r="B1" s="635"/>
      <c r="C1" s="635"/>
      <c r="D1" s="635"/>
      <c r="E1" s="635"/>
      <c r="F1" s="257"/>
    </row>
    <row r="2" spans="1:7" ht="17.399999999999999" x14ac:dyDescent="0.3">
      <c r="A2" s="243"/>
      <c r="B2" s="610" t="s">
        <v>560</v>
      </c>
      <c r="C2" s="611"/>
      <c r="D2" s="611"/>
      <c r="E2" s="612"/>
      <c r="F2" s="258"/>
    </row>
    <row r="3" spans="1:7" x14ac:dyDescent="0.3">
      <c r="A3" s="57" t="s">
        <v>561</v>
      </c>
      <c r="B3" s="57" t="s">
        <v>562</v>
      </c>
      <c r="C3" s="243" t="s">
        <v>563</v>
      </c>
      <c r="D3" s="57" t="s">
        <v>223</v>
      </c>
      <c r="E3" s="57" t="s">
        <v>564</v>
      </c>
      <c r="F3" s="279" t="s">
        <v>652</v>
      </c>
    </row>
    <row r="4" spans="1:7" x14ac:dyDescent="0.3">
      <c r="A4" s="244">
        <v>1</v>
      </c>
      <c r="B4" s="245" t="s">
        <v>565</v>
      </c>
      <c r="C4" s="246" t="s">
        <v>566</v>
      </c>
      <c r="D4" s="264">
        <v>4</v>
      </c>
      <c r="E4" s="247">
        <f>52*D4</f>
        <v>208</v>
      </c>
      <c r="F4" s="259" t="s">
        <v>653</v>
      </c>
      <c r="G4" s="242" t="s">
        <v>567</v>
      </c>
    </row>
    <row r="5" spans="1:7" x14ac:dyDescent="0.3">
      <c r="A5" s="244">
        <v>2</v>
      </c>
      <c r="B5" s="245" t="s">
        <v>568</v>
      </c>
      <c r="C5" s="246" t="s">
        <v>569</v>
      </c>
      <c r="D5" s="264">
        <v>4</v>
      </c>
      <c r="E5" s="247">
        <f>60*D5</f>
        <v>240</v>
      </c>
      <c r="F5" s="259" t="s">
        <v>653</v>
      </c>
      <c r="G5" s="242" t="s">
        <v>567</v>
      </c>
    </row>
    <row r="6" spans="1:7" x14ac:dyDescent="0.3">
      <c r="A6" s="244">
        <v>3</v>
      </c>
      <c r="B6" s="245" t="s">
        <v>570</v>
      </c>
      <c r="C6" s="246" t="s">
        <v>571</v>
      </c>
      <c r="D6" s="59">
        <v>9</v>
      </c>
      <c r="E6" s="247">
        <v>1100</v>
      </c>
      <c r="F6" s="259" t="s">
        <v>653</v>
      </c>
      <c r="G6" s="242" t="s">
        <v>567</v>
      </c>
    </row>
    <row r="7" spans="1:7" x14ac:dyDescent="0.3">
      <c r="A7" s="244">
        <v>4</v>
      </c>
      <c r="B7" s="265" t="s">
        <v>656</v>
      </c>
      <c r="C7" s="256" t="s">
        <v>657</v>
      </c>
      <c r="D7" s="264">
        <v>15</v>
      </c>
      <c r="E7" s="266">
        <v>500</v>
      </c>
      <c r="F7" s="267" t="s">
        <v>653</v>
      </c>
    </row>
    <row r="8" spans="1:7" x14ac:dyDescent="0.3">
      <c r="A8" s="244">
        <v>5</v>
      </c>
      <c r="B8" s="245" t="s">
        <v>572</v>
      </c>
      <c r="C8" s="246" t="s">
        <v>573</v>
      </c>
      <c r="D8" s="59">
        <v>1</v>
      </c>
      <c r="E8" s="266">
        <v>30</v>
      </c>
      <c r="F8" s="259" t="s">
        <v>653</v>
      </c>
    </row>
    <row r="9" spans="1:7" x14ac:dyDescent="0.3">
      <c r="A9" s="244">
        <v>6</v>
      </c>
      <c r="B9" s="245" t="s">
        <v>574</v>
      </c>
      <c r="C9" s="246" t="s">
        <v>575</v>
      </c>
      <c r="D9" s="59">
        <v>1</v>
      </c>
      <c r="E9" s="266">
        <v>15</v>
      </c>
      <c r="F9" s="259" t="s">
        <v>653</v>
      </c>
    </row>
    <row r="10" spans="1:7" x14ac:dyDescent="0.3">
      <c r="A10" s="244">
        <v>7</v>
      </c>
      <c r="B10" s="245" t="s">
        <v>576</v>
      </c>
      <c r="C10" s="246" t="s">
        <v>577</v>
      </c>
      <c r="D10" s="59">
        <v>1</v>
      </c>
      <c r="E10" s="266">
        <v>15</v>
      </c>
      <c r="F10" s="259" t="s">
        <v>653</v>
      </c>
    </row>
    <row r="11" spans="1:7" x14ac:dyDescent="0.3">
      <c r="A11" s="244">
        <v>8</v>
      </c>
      <c r="B11" s="245" t="s">
        <v>578</v>
      </c>
      <c r="C11" s="246" t="s">
        <v>579</v>
      </c>
      <c r="D11" s="59">
        <v>2</v>
      </c>
      <c r="E11" s="266">
        <v>90</v>
      </c>
      <c r="F11" s="259" t="s">
        <v>653</v>
      </c>
      <c r="G11" s="242" t="s">
        <v>567</v>
      </c>
    </row>
    <row r="12" spans="1:7" x14ac:dyDescent="0.3">
      <c r="A12" s="244">
        <v>9</v>
      </c>
      <c r="B12" s="245" t="s">
        <v>580</v>
      </c>
      <c r="C12" s="246" t="s">
        <v>581</v>
      </c>
      <c r="D12" s="59">
        <v>1</v>
      </c>
      <c r="E12" s="266">
        <v>50</v>
      </c>
      <c r="F12" s="259" t="s">
        <v>653</v>
      </c>
      <c r="G12" s="242" t="s">
        <v>567</v>
      </c>
    </row>
    <row r="13" spans="1:7" x14ac:dyDescent="0.3">
      <c r="A13" s="244">
        <v>10</v>
      </c>
      <c r="B13" s="245" t="s">
        <v>580</v>
      </c>
      <c r="C13" s="246" t="s">
        <v>582</v>
      </c>
      <c r="D13" s="264">
        <v>4</v>
      </c>
      <c r="E13" s="266">
        <v>100</v>
      </c>
      <c r="F13" s="259" t="s">
        <v>653</v>
      </c>
    </row>
    <row r="14" spans="1:7" x14ac:dyDescent="0.3">
      <c r="A14" s="244">
        <v>11</v>
      </c>
      <c r="B14" s="246" t="s">
        <v>583</v>
      </c>
      <c r="C14" s="246" t="s">
        <v>584</v>
      </c>
      <c r="D14" s="59">
        <v>1</v>
      </c>
      <c r="E14" s="247">
        <v>30</v>
      </c>
      <c r="F14" s="259" t="s">
        <v>653</v>
      </c>
      <c r="G14" s="242" t="s">
        <v>567</v>
      </c>
    </row>
    <row r="15" spans="1:7" x14ac:dyDescent="0.3">
      <c r="A15" s="244">
        <v>12</v>
      </c>
      <c r="B15" s="246" t="s">
        <v>585</v>
      </c>
      <c r="C15" s="242" t="s">
        <v>586</v>
      </c>
      <c r="D15" s="59">
        <v>3</v>
      </c>
      <c r="E15" s="266">
        <v>225</v>
      </c>
      <c r="F15" s="259" t="s">
        <v>653</v>
      </c>
      <c r="G15" s="242" t="s">
        <v>567</v>
      </c>
    </row>
    <row r="16" spans="1:7" x14ac:dyDescent="0.3">
      <c r="A16" s="244">
        <v>13</v>
      </c>
      <c r="B16" s="246" t="s">
        <v>587</v>
      </c>
      <c r="C16" s="246" t="s">
        <v>571</v>
      </c>
      <c r="D16" s="59">
        <v>3</v>
      </c>
      <c r="E16" s="247">
        <v>120</v>
      </c>
      <c r="F16" s="259" t="s">
        <v>653</v>
      </c>
      <c r="G16" s="242" t="s">
        <v>567</v>
      </c>
    </row>
    <row r="17" spans="1:7" x14ac:dyDescent="0.3">
      <c r="A17" s="244">
        <v>14</v>
      </c>
      <c r="B17" s="246" t="s">
        <v>588</v>
      </c>
      <c r="C17" s="248" t="s">
        <v>582</v>
      </c>
      <c r="D17" s="59">
        <v>1</v>
      </c>
      <c r="E17" s="247">
        <v>15</v>
      </c>
      <c r="F17" s="259" t="s">
        <v>653</v>
      </c>
    </row>
    <row r="18" spans="1:7" x14ac:dyDescent="0.3">
      <c r="A18" s="244">
        <v>15</v>
      </c>
      <c r="B18" s="246" t="s">
        <v>589</v>
      </c>
      <c r="C18" s="246" t="s">
        <v>590</v>
      </c>
      <c r="D18" s="59">
        <v>1</v>
      </c>
      <c r="E18" s="247">
        <v>15</v>
      </c>
      <c r="F18" s="259" t="s">
        <v>653</v>
      </c>
    </row>
    <row r="19" spans="1:7" x14ac:dyDescent="0.3">
      <c r="A19" s="244">
        <v>16</v>
      </c>
      <c r="B19" s="246" t="s">
        <v>591</v>
      </c>
      <c r="C19" s="246" t="s">
        <v>592</v>
      </c>
      <c r="D19" s="59">
        <v>1</v>
      </c>
      <c r="E19" s="247">
        <v>15</v>
      </c>
      <c r="F19" s="259" t="s">
        <v>653</v>
      </c>
    </row>
    <row r="20" spans="1:7" x14ac:dyDescent="0.3">
      <c r="A20" s="244">
        <v>17</v>
      </c>
      <c r="B20" s="246" t="s">
        <v>593</v>
      </c>
      <c r="C20" s="246" t="s">
        <v>594</v>
      </c>
      <c r="D20" s="59">
        <v>2</v>
      </c>
      <c r="E20" s="247">
        <v>4</v>
      </c>
      <c r="F20" s="259" t="s">
        <v>653</v>
      </c>
    </row>
    <row r="21" spans="1:7" x14ac:dyDescent="0.3">
      <c r="A21" s="244">
        <v>18</v>
      </c>
      <c r="B21" s="246" t="s">
        <v>595</v>
      </c>
      <c r="C21" s="246" t="s">
        <v>596</v>
      </c>
      <c r="D21" s="59">
        <v>1</v>
      </c>
      <c r="E21" s="247">
        <v>8</v>
      </c>
      <c r="F21" s="259" t="s">
        <v>653</v>
      </c>
    </row>
    <row r="22" spans="1:7" x14ac:dyDescent="0.3">
      <c r="A22" s="244">
        <v>19</v>
      </c>
      <c r="B22" s="246" t="s">
        <v>597</v>
      </c>
      <c r="C22" s="246" t="s">
        <v>596</v>
      </c>
      <c r="D22" s="59">
        <v>1</v>
      </c>
      <c r="E22" s="247">
        <v>12</v>
      </c>
      <c r="F22" s="259" t="s">
        <v>653</v>
      </c>
    </row>
    <row r="23" spans="1:7" x14ac:dyDescent="0.3">
      <c r="A23" s="244">
        <v>20</v>
      </c>
      <c r="B23" s="246" t="s">
        <v>598</v>
      </c>
      <c r="C23" s="246" t="s">
        <v>596</v>
      </c>
      <c r="D23" s="59">
        <v>1</v>
      </c>
      <c r="E23" s="247">
        <v>5</v>
      </c>
      <c r="F23" s="259" t="s">
        <v>653</v>
      </c>
    </row>
    <row r="24" spans="1:7" x14ac:dyDescent="0.3">
      <c r="A24" s="244">
        <v>21</v>
      </c>
      <c r="B24" s="246" t="s">
        <v>599</v>
      </c>
      <c r="C24" s="256" t="s">
        <v>579</v>
      </c>
      <c r="D24" s="59">
        <v>1</v>
      </c>
      <c r="E24" s="266">
        <v>50</v>
      </c>
      <c r="F24" s="259" t="s">
        <v>653</v>
      </c>
      <c r="G24" s="242" t="s">
        <v>567</v>
      </c>
    </row>
    <row r="25" spans="1:7" x14ac:dyDescent="0.3">
      <c r="A25" s="244">
        <v>22</v>
      </c>
      <c r="B25" s="246" t="s">
        <v>600</v>
      </c>
      <c r="C25" s="246" t="s">
        <v>596</v>
      </c>
      <c r="D25" s="59">
        <v>2</v>
      </c>
      <c r="E25" s="266">
        <v>20</v>
      </c>
      <c r="F25" s="259" t="s">
        <v>653</v>
      </c>
    </row>
    <row r="26" spans="1:7" x14ac:dyDescent="0.3">
      <c r="A26" s="244">
        <v>23</v>
      </c>
      <c r="B26" s="246" t="s">
        <v>601</v>
      </c>
      <c r="C26" s="246" t="s">
        <v>602</v>
      </c>
      <c r="D26" s="59">
        <v>2</v>
      </c>
      <c r="E26" s="266">
        <v>50</v>
      </c>
      <c r="F26" s="259" t="s">
        <v>653</v>
      </c>
      <c r="G26" s="242" t="s">
        <v>567</v>
      </c>
    </row>
    <row r="27" spans="1:7" x14ac:dyDescent="0.3">
      <c r="A27" s="244">
        <v>24</v>
      </c>
      <c r="B27" s="246" t="s">
        <v>603</v>
      </c>
      <c r="C27" s="246" t="s">
        <v>596</v>
      </c>
      <c r="D27" s="59">
        <v>2</v>
      </c>
      <c r="E27" s="266">
        <v>50</v>
      </c>
      <c r="F27" s="259" t="s">
        <v>653</v>
      </c>
      <c r="G27" s="242" t="s">
        <v>567</v>
      </c>
    </row>
    <row r="28" spans="1:7" x14ac:dyDescent="0.3">
      <c r="A28" s="244">
        <v>25</v>
      </c>
      <c r="B28" s="246" t="s">
        <v>604</v>
      </c>
      <c r="C28" s="246" t="s">
        <v>605</v>
      </c>
      <c r="D28" s="59">
        <v>2</v>
      </c>
      <c r="E28" s="266">
        <v>150</v>
      </c>
      <c r="F28" s="259" t="s">
        <v>653</v>
      </c>
      <c r="G28" s="242" t="s">
        <v>567</v>
      </c>
    </row>
    <row r="29" spans="1:7" x14ac:dyDescent="0.3">
      <c r="A29" s="244">
        <v>26</v>
      </c>
      <c r="B29" s="246" t="s">
        <v>606</v>
      </c>
      <c r="C29" s="246" t="s">
        <v>607</v>
      </c>
      <c r="D29" s="59">
        <v>1</v>
      </c>
      <c r="E29" s="247">
        <v>2</v>
      </c>
      <c r="F29" s="259" t="s">
        <v>653</v>
      </c>
    </row>
    <row r="30" spans="1:7" x14ac:dyDescent="0.3">
      <c r="A30" s="244">
        <v>27</v>
      </c>
      <c r="B30" s="246" t="s">
        <v>608</v>
      </c>
      <c r="C30" s="246" t="s">
        <v>609</v>
      </c>
      <c r="D30" s="59">
        <v>1</v>
      </c>
      <c r="E30" s="247">
        <v>2</v>
      </c>
      <c r="F30" s="259" t="s">
        <v>653</v>
      </c>
    </row>
    <row r="31" spans="1:7" x14ac:dyDescent="0.3">
      <c r="A31" s="244">
        <v>28</v>
      </c>
      <c r="B31" s="246" t="s">
        <v>610</v>
      </c>
      <c r="C31" s="246" t="s">
        <v>611</v>
      </c>
      <c r="D31" s="59">
        <v>3</v>
      </c>
      <c r="E31" s="266">
        <v>100</v>
      </c>
      <c r="F31" s="259" t="s">
        <v>653</v>
      </c>
    </row>
    <row r="32" spans="1:7" x14ac:dyDescent="0.3">
      <c r="A32" s="244">
        <v>29</v>
      </c>
      <c r="B32" s="246" t="s">
        <v>612</v>
      </c>
      <c r="C32" s="246" t="s">
        <v>611</v>
      </c>
      <c r="D32" s="59">
        <v>1</v>
      </c>
      <c r="E32" s="266">
        <v>100</v>
      </c>
      <c r="F32" s="259" t="s">
        <v>653</v>
      </c>
      <c r="G32" s="242" t="s">
        <v>567</v>
      </c>
    </row>
    <row r="33" spans="1:10" x14ac:dyDescent="0.3">
      <c r="A33" s="244">
        <v>30</v>
      </c>
      <c r="B33" s="246" t="s">
        <v>613</v>
      </c>
      <c r="C33" s="246" t="s">
        <v>614</v>
      </c>
      <c r="D33" s="59">
        <v>4</v>
      </c>
      <c r="E33" s="266">
        <v>120</v>
      </c>
      <c r="F33" s="259" t="s">
        <v>653</v>
      </c>
    </row>
    <row r="34" spans="1:10" x14ac:dyDescent="0.3">
      <c r="A34" s="244">
        <v>31</v>
      </c>
      <c r="B34" s="246" t="s">
        <v>615</v>
      </c>
      <c r="C34" s="246" t="s">
        <v>614</v>
      </c>
      <c r="D34" s="59">
        <v>2</v>
      </c>
      <c r="E34" s="266">
        <v>50</v>
      </c>
      <c r="F34" s="259" t="s">
        <v>653</v>
      </c>
    </row>
    <row r="35" spans="1:10" x14ac:dyDescent="0.3">
      <c r="A35" s="244">
        <v>32</v>
      </c>
      <c r="B35" s="246" t="s">
        <v>616</v>
      </c>
      <c r="C35" s="246" t="s">
        <v>658</v>
      </c>
      <c r="D35" s="59">
        <v>9</v>
      </c>
      <c r="E35" s="247">
        <v>45</v>
      </c>
      <c r="F35" s="259" t="s">
        <v>653</v>
      </c>
      <c r="G35" s="242" t="s">
        <v>567</v>
      </c>
    </row>
    <row r="36" spans="1:10" x14ac:dyDescent="0.3">
      <c r="A36" s="244">
        <v>33</v>
      </c>
      <c r="B36" s="246" t="s">
        <v>617</v>
      </c>
      <c r="C36" s="242" t="s">
        <v>618</v>
      </c>
      <c r="D36" s="59">
        <v>12</v>
      </c>
      <c r="E36" s="247">
        <v>60</v>
      </c>
      <c r="F36" s="259" t="s">
        <v>653</v>
      </c>
      <c r="G36" s="242" t="s">
        <v>567</v>
      </c>
    </row>
    <row r="37" spans="1:10" x14ac:dyDescent="0.3">
      <c r="A37" s="244">
        <v>34</v>
      </c>
      <c r="B37" s="249" t="s">
        <v>619</v>
      </c>
      <c r="C37" s="246" t="s">
        <v>620</v>
      </c>
      <c r="D37" s="264">
        <v>2</v>
      </c>
      <c r="E37" s="266">
        <v>400</v>
      </c>
      <c r="F37" s="259" t="s">
        <v>653</v>
      </c>
      <c r="G37" s="242" t="s">
        <v>567</v>
      </c>
    </row>
    <row r="38" spans="1:10" x14ac:dyDescent="0.3">
      <c r="A38" s="244">
        <v>35</v>
      </c>
      <c r="B38" s="246" t="s">
        <v>621</v>
      </c>
      <c r="C38" s="246" t="s">
        <v>622</v>
      </c>
      <c r="D38" s="264">
        <v>2</v>
      </c>
      <c r="E38" s="266">
        <v>200</v>
      </c>
      <c r="F38" s="259" t="s">
        <v>653</v>
      </c>
      <c r="G38" s="242" t="s">
        <v>567</v>
      </c>
    </row>
    <row r="39" spans="1:10" x14ac:dyDescent="0.3">
      <c r="A39" s="244">
        <v>36</v>
      </c>
      <c r="B39" s="246" t="s">
        <v>623</v>
      </c>
      <c r="C39" s="246" t="s">
        <v>624</v>
      </c>
      <c r="D39" s="264">
        <v>1</v>
      </c>
      <c r="E39" s="266">
        <v>400</v>
      </c>
      <c r="F39" s="259" t="s">
        <v>653</v>
      </c>
      <c r="G39" s="242" t="s">
        <v>567</v>
      </c>
    </row>
    <row r="40" spans="1:10" x14ac:dyDescent="0.3">
      <c r="A40" s="244">
        <v>37</v>
      </c>
      <c r="B40" s="246" t="s">
        <v>625</v>
      </c>
      <c r="C40" s="280">
        <v>240</v>
      </c>
      <c r="D40" s="59">
        <v>6</v>
      </c>
      <c r="E40" s="266">
        <v>60</v>
      </c>
      <c r="F40" s="259" t="s">
        <v>653</v>
      </c>
      <c r="G40" s="242" t="s">
        <v>567</v>
      </c>
    </row>
    <row r="41" spans="1:10" x14ac:dyDescent="0.3">
      <c r="A41" s="244">
        <v>38</v>
      </c>
      <c r="B41" s="246" t="s">
        <v>626</v>
      </c>
      <c r="C41" s="280">
        <v>150</v>
      </c>
      <c r="D41" s="264">
        <v>4</v>
      </c>
      <c r="E41" s="266">
        <v>25</v>
      </c>
      <c r="F41" s="259" t="s">
        <v>653</v>
      </c>
    </row>
    <row r="42" spans="1:10" x14ac:dyDescent="0.3">
      <c r="A42" s="244">
        <v>39</v>
      </c>
      <c r="B42" s="249" t="s">
        <v>627</v>
      </c>
      <c r="C42" s="280">
        <f>60*1</f>
        <v>60</v>
      </c>
      <c r="D42" s="59">
        <v>1</v>
      </c>
      <c r="E42" s="266">
        <v>100</v>
      </c>
      <c r="F42" s="259" t="s">
        <v>653</v>
      </c>
      <c r="G42" s="242" t="s">
        <v>567</v>
      </c>
    </row>
    <row r="43" spans="1:10" x14ac:dyDescent="0.3">
      <c r="A43" s="244">
        <v>40</v>
      </c>
      <c r="B43" s="246" t="s">
        <v>628</v>
      </c>
      <c r="C43" s="280">
        <v>200</v>
      </c>
      <c r="D43" s="250">
        <v>2</v>
      </c>
      <c r="E43" s="266">
        <v>30</v>
      </c>
      <c r="F43" s="259" t="s">
        <v>653</v>
      </c>
    </row>
    <row r="44" spans="1:10" x14ac:dyDescent="0.3">
      <c r="A44" s="244">
        <v>41</v>
      </c>
      <c r="B44" s="246" t="s">
        <v>629</v>
      </c>
      <c r="C44" s="280">
        <v>100</v>
      </c>
      <c r="D44" s="268">
        <v>100</v>
      </c>
      <c r="E44" s="266">
        <v>300</v>
      </c>
      <c r="F44" s="259" t="s">
        <v>653</v>
      </c>
    </row>
    <row r="45" spans="1:10" x14ac:dyDescent="0.3">
      <c r="A45" s="244"/>
      <c r="B45" s="243" t="s">
        <v>659</v>
      </c>
      <c r="C45" s="246"/>
      <c r="D45" s="251">
        <f>SUM(D4:D44)</f>
        <v>217</v>
      </c>
      <c r="E45" s="251">
        <f>SUM(E4:E44)</f>
        <v>5111</v>
      </c>
      <c r="F45" s="260"/>
    </row>
    <row r="46" spans="1:10" x14ac:dyDescent="0.3">
      <c r="A46" s="270" t="s">
        <v>225</v>
      </c>
      <c r="B46" s="252" t="s">
        <v>630</v>
      </c>
      <c r="C46" s="1"/>
      <c r="D46" s="250"/>
      <c r="E46" s="247"/>
      <c r="F46" s="259"/>
    </row>
    <row r="47" spans="1:10" x14ac:dyDescent="0.3">
      <c r="A47" s="244">
        <v>42</v>
      </c>
      <c r="B47" s="246" t="s">
        <v>631</v>
      </c>
      <c r="C47" s="1"/>
      <c r="D47" s="250">
        <v>1</v>
      </c>
      <c r="E47" s="253">
        <v>700</v>
      </c>
      <c r="F47" s="259" t="s">
        <v>653</v>
      </c>
      <c r="G47" s="242" t="s">
        <v>567</v>
      </c>
      <c r="J47" s="254"/>
    </row>
    <row r="48" spans="1:10" x14ac:dyDescent="0.3">
      <c r="A48" s="244">
        <v>43</v>
      </c>
      <c r="B48" s="246" t="s">
        <v>632</v>
      </c>
      <c r="C48" s="1"/>
      <c r="D48" s="250">
        <v>1</v>
      </c>
      <c r="E48" s="253">
        <v>30</v>
      </c>
      <c r="F48" s="259" t="s">
        <v>653</v>
      </c>
      <c r="G48" s="242" t="s">
        <v>567</v>
      </c>
    </row>
    <row r="49" spans="1:7" x14ac:dyDescent="0.3">
      <c r="A49" s="244">
        <v>44</v>
      </c>
      <c r="B49" s="246" t="s">
        <v>633</v>
      </c>
      <c r="C49" s="1"/>
      <c r="D49" s="250">
        <v>1</v>
      </c>
      <c r="E49" s="253">
        <v>75</v>
      </c>
      <c r="F49" s="259" t="s">
        <v>653</v>
      </c>
      <c r="G49" s="242" t="s">
        <v>567</v>
      </c>
    </row>
    <row r="50" spans="1:7" x14ac:dyDescent="0.3">
      <c r="A50" s="244">
        <v>45</v>
      </c>
      <c r="B50" s="246" t="s">
        <v>634</v>
      </c>
      <c r="C50" s="1"/>
      <c r="D50" s="250">
        <v>2</v>
      </c>
      <c r="E50" s="253">
        <v>100</v>
      </c>
      <c r="F50" s="259" t="s">
        <v>653</v>
      </c>
      <c r="G50" s="242" t="s">
        <v>567</v>
      </c>
    </row>
    <row r="51" spans="1:7" x14ac:dyDescent="0.3">
      <c r="A51" s="244">
        <v>46</v>
      </c>
      <c r="B51" s="246" t="s">
        <v>635</v>
      </c>
      <c r="C51" s="1"/>
      <c r="D51" s="250">
        <v>2</v>
      </c>
      <c r="E51" s="253">
        <v>50</v>
      </c>
      <c r="F51" s="259" t="s">
        <v>653</v>
      </c>
      <c r="G51" s="242" t="s">
        <v>567</v>
      </c>
    </row>
    <row r="52" spans="1:7" x14ac:dyDescent="0.3">
      <c r="A52" s="244">
        <v>47</v>
      </c>
      <c r="B52" s="246" t="s">
        <v>636</v>
      </c>
      <c r="C52" s="1"/>
      <c r="D52" s="250">
        <v>2</v>
      </c>
      <c r="E52" s="253">
        <v>10</v>
      </c>
      <c r="F52" s="259" t="s">
        <v>653</v>
      </c>
    </row>
    <row r="53" spans="1:7" ht="28.8" x14ac:dyDescent="0.3">
      <c r="A53" s="244">
        <v>48</v>
      </c>
      <c r="B53" s="249" t="s">
        <v>637</v>
      </c>
      <c r="C53" s="1"/>
      <c r="D53" s="250">
        <v>1</v>
      </c>
      <c r="E53" s="253">
        <v>250</v>
      </c>
      <c r="F53" s="259" t="s">
        <v>653</v>
      </c>
      <c r="G53" s="242" t="s">
        <v>567</v>
      </c>
    </row>
    <row r="54" spans="1:7" x14ac:dyDescent="0.3">
      <c r="A54" s="244">
        <v>49</v>
      </c>
      <c r="B54" s="246" t="s">
        <v>638</v>
      </c>
      <c r="C54" s="1"/>
      <c r="D54" s="250">
        <v>1</v>
      </c>
      <c r="E54" s="266">
        <v>4500</v>
      </c>
      <c r="F54" s="259" t="s">
        <v>654</v>
      </c>
      <c r="G54" s="242" t="s">
        <v>567</v>
      </c>
    </row>
    <row r="55" spans="1:7" x14ac:dyDescent="0.3">
      <c r="A55" s="244">
        <v>50</v>
      </c>
      <c r="B55" s="246" t="s">
        <v>639</v>
      </c>
      <c r="C55" s="1"/>
      <c r="D55" s="250">
        <v>1</v>
      </c>
      <c r="E55" s="247">
        <f>(E45)*0.2</f>
        <v>1022.2</v>
      </c>
      <c r="F55" s="259" t="s">
        <v>653</v>
      </c>
      <c r="G55" s="242" t="s">
        <v>567</v>
      </c>
    </row>
    <row r="56" spans="1:7" x14ac:dyDescent="0.3">
      <c r="A56" s="244">
        <v>51</v>
      </c>
      <c r="B56" s="246" t="s">
        <v>640</v>
      </c>
      <c r="C56" s="1"/>
      <c r="D56" s="250">
        <v>2</v>
      </c>
      <c r="E56" s="269">
        <f>E45*0.15</f>
        <v>766.65</v>
      </c>
      <c r="F56" s="259" t="s">
        <v>653</v>
      </c>
      <c r="G56" s="242" t="s">
        <v>567</v>
      </c>
    </row>
    <row r="57" spans="1:7" x14ac:dyDescent="0.3">
      <c r="A57" s="244">
        <v>52</v>
      </c>
      <c r="B57" s="246" t="s">
        <v>641</v>
      </c>
      <c r="C57" s="1"/>
      <c r="D57" s="250">
        <v>10</v>
      </c>
      <c r="E57" s="247">
        <v>600</v>
      </c>
      <c r="F57" s="259" t="s">
        <v>653</v>
      </c>
      <c r="G57" s="242" t="s">
        <v>567</v>
      </c>
    </row>
    <row r="58" spans="1:7" x14ac:dyDescent="0.3">
      <c r="A58" s="244"/>
      <c r="B58" s="243" t="s">
        <v>660</v>
      </c>
      <c r="C58" s="1"/>
      <c r="D58" s="250"/>
      <c r="E58" s="251">
        <f>SUM(E47:E57)</f>
        <v>8103.8499999999995</v>
      </c>
      <c r="F58" s="259"/>
    </row>
    <row r="59" spans="1:7" x14ac:dyDescent="0.3">
      <c r="A59" s="270" t="s">
        <v>664</v>
      </c>
      <c r="B59" s="243" t="s">
        <v>661</v>
      </c>
      <c r="C59" s="1"/>
      <c r="D59" s="250"/>
      <c r="E59" s="251">
        <f>E45+E58</f>
        <v>13214.849999999999</v>
      </c>
      <c r="F59" s="260">
        <f>SUM(E45:E57)</f>
        <v>13214.85</v>
      </c>
    </row>
    <row r="60" spans="1:7" x14ac:dyDescent="0.3">
      <c r="A60" s="244" t="s">
        <v>662</v>
      </c>
      <c r="B60" s="246" t="s">
        <v>642</v>
      </c>
      <c r="C60" s="246"/>
      <c r="D60" s="59"/>
      <c r="E60" s="247">
        <f>E59*15%</f>
        <v>1982.2274999999997</v>
      </c>
      <c r="F60" s="247">
        <f>F59*15%</f>
        <v>1982.2275</v>
      </c>
    </row>
    <row r="61" spans="1:7" s="276" customFormat="1" ht="18" x14ac:dyDescent="0.3">
      <c r="A61" s="271" t="s">
        <v>663</v>
      </c>
      <c r="B61" s="272" t="s">
        <v>665</v>
      </c>
      <c r="C61" s="273"/>
      <c r="D61" s="34"/>
      <c r="E61" s="274">
        <f>E59+E60</f>
        <v>15197.077499999998</v>
      </c>
      <c r="F61" s="275">
        <f>SUM(F59:F60)</f>
        <v>15197.077499999999</v>
      </c>
    </row>
    <row r="63" spans="1:7" x14ac:dyDescent="0.3">
      <c r="E63" s="277">
        <f>SUMIF($F$4:$F$57,F63,$E$4:$E$57)*1.15</f>
        <v>10022.077499999998</v>
      </c>
      <c r="F63" s="259" t="s">
        <v>653</v>
      </c>
    </row>
    <row r="64" spans="1:7" x14ac:dyDescent="0.3">
      <c r="E64" s="277">
        <f>SUMIF($F$4:$F$57,F64,$E$4:$E$57)*1.15</f>
        <v>5175</v>
      </c>
      <c r="F64" s="259" t="s">
        <v>654</v>
      </c>
    </row>
    <row r="65" spans="2:6" x14ac:dyDescent="0.3">
      <c r="E65" s="278">
        <f>SUM(E63:E64)</f>
        <v>15197.077499999998</v>
      </c>
      <c r="F65" s="279" t="s">
        <v>123</v>
      </c>
    </row>
    <row r="66" spans="2:6" x14ac:dyDescent="0.3">
      <c r="E66" s="242"/>
    </row>
    <row r="67" spans="2:6" x14ac:dyDescent="0.3">
      <c r="B67" s="246" t="s">
        <v>499</v>
      </c>
      <c r="C67" s="246"/>
      <c r="F67" s="242"/>
    </row>
    <row r="68" spans="2:6" x14ac:dyDescent="0.3">
      <c r="B68" s="246" t="s">
        <v>643</v>
      </c>
      <c r="C68" s="247">
        <v>6641.5</v>
      </c>
      <c r="F68" s="242"/>
    </row>
    <row r="69" spans="2:6" x14ac:dyDescent="0.3">
      <c r="B69" s="246" t="s">
        <v>644</v>
      </c>
      <c r="C69" s="247">
        <v>8902.8150134048265</v>
      </c>
      <c r="F69" s="242"/>
    </row>
    <row r="70" spans="2:6" x14ac:dyDescent="0.3">
      <c r="B70" s="246" t="s">
        <v>645</v>
      </c>
      <c r="C70" s="247">
        <v>3115.9852546916891</v>
      </c>
      <c r="F70" s="242"/>
    </row>
    <row r="71" spans="2:6" x14ac:dyDescent="0.3">
      <c r="B71" s="246" t="s">
        <v>646</v>
      </c>
      <c r="C71" s="247">
        <v>2905.6562499999995</v>
      </c>
    </row>
    <row r="72" spans="2:6" x14ac:dyDescent="0.3">
      <c r="B72" s="246" t="s">
        <v>647</v>
      </c>
      <c r="C72" s="247">
        <v>2800</v>
      </c>
    </row>
    <row r="73" spans="2:6" x14ac:dyDescent="0.3">
      <c r="B73" s="246" t="s">
        <v>648</v>
      </c>
      <c r="C73" s="247">
        <v>512.75</v>
      </c>
    </row>
    <row r="74" spans="2:6" x14ac:dyDescent="0.3">
      <c r="B74" s="246" t="s">
        <v>649</v>
      </c>
      <c r="C74" s="247">
        <v>6218.40625</v>
      </c>
    </row>
    <row r="75" spans="2:6" x14ac:dyDescent="0.3">
      <c r="B75" s="246" t="s">
        <v>650</v>
      </c>
      <c r="C75" s="247">
        <v>3300</v>
      </c>
    </row>
    <row r="76" spans="2:6" ht="28.8" x14ac:dyDescent="0.3">
      <c r="B76" s="249" t="s">
        <v>651</v>
      </c>
      <c r="C76" s="247">
        <v>2918.40625</v>
      </c>
    </row>
  </sheetData>
  <mergeCells count="2">
    <mergeCell ref="A1:E1"/>
    <mergeCell ref="B2:E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C1:J20"/>
  <sheetViews>
    <sheetView workbookViewId="0"/>
  </sheetViews>
  <sheetFormatPr defaultRowHeight="14.4" x14ac:dyDescent="0.3"/>
  <cols>
    <col min="3" max="3" width="8.44140625" bestFit="1" customWidth="1"/>
    <col min="4" max="4" width="41.5546875" customWidth="1"/>
    <col min="5" max="5" width="32.5546875" bestFit="1" customWidth="1"/>
    <col min="6" max="7" width="14.5546875" customWidth="1"/>
    <col min="8" max="8" width="16.5546875" bestFit="1" customWidth="1"/>
    <col min="9" max="9" width="10.6640625" customWidth="1"/>
    <col min="10" max="10" width="12.6640625" customWidth="1"/>
    <col min="12" max="12" width="11" bestFit="1" customWidth="1"/>
  </cols>
  <sheetData>
    <row r="1" spans="3:10" x14ac:dyDescent="0.3">
      <c r="C1" t="s">
        <v>312</v>
      </c>
    </row>
    <row r="2" spans="3:10" ht="18" x14ac:dyDescent="0.35">
      <c r="H2" s="35" t="s">
        <v>182</v>
      </c>
    </row>
    <row r="3" spans="3:10" ht="54" x14ac:dyDescent="0.3">
      <c r="C3" s="33" t="s">
        <v>183</v>
      </c>
      <c r="D3" s="33" t="s">
        <v>184</v>
      </c>
      <c r="E3" s="43" t="s">
        <v>185</v>
      </c>
      <c r="F3" s="43" t="s">
        <v>186</v>
      </c>
      <c r="G3" s="43" t="s">
        <v>187</v>
      </c>
      <c r="H3" s="43" t="s">
        <v>188</v>
      </c>
      <c r="I3" s="43" t="s">
        <v>186</v>
      </c>
      <c r="J3" s="33" t="s">
        <v>189</v>
      </c>
    </row>
    <row r="4" spans="3:10" ht="7.5" customHeight="1" x14ac:dyDescent="0.35">
      <c r="C4" s="42"/>
      <c r="D4" s="42"/>
      <c r="E4" s="42"/>
      <c r="F4" s="42"/>
      <c r="G4" s="42"/>
      <c r="H4" s="1"/>
      <c r="I4" s="1"/>
      <c r="J4" s="1"/>
    </row>
    <row r="5" spans="3:10" ht="18" x14ac:dyDescent="0.35">
      <c r="C5" s="34">
        <v>1</v>
      </c>
      <c r="D5" s="35" t="s">
        <v>190</v>
      </c>
      <c r="E5" s="35" t="s">
        <v>191</v>
      </c>
      <c r="F5" s="46">
        <v>41.27</v>
      </c>
      <c r="G5" s="46" t="s">
        <v>192</v>
      </c>
      <c r="H5" s="46">
        <f>7500/100</f>
        <v>75</v>
      </c>
      <c r="I5" s="47">
        <v>41.27</v>
      </c>
      <c r="J5" s="1"/>
    </row>
    <row r="6" spans="3:10" ht="18" x14ac:dyDescent="0.35">
      <c r="C6" s="34">
        <v>2</v>
      </c>
      <c r="D6" s="35" t="s">
        <v>193</v>
      </c>
      <c r="E6" s="35" t="s">
        <v>194</v>
      </c>
      <c r="F6" s="46">
        <v>11.48</v>
      </c>
      <c r="G6" s="46" t="s">
        <v>192</v>
      </c>
      <c r="H6" s="46">
        <f>2388.11/100</f>
        <v>23.8811</v>
      </c>
      <c r="I6" s="47">
        <v>11.48</v>
      </c>
      <c r="J6" s="1"/>
    </row>
    <row r="7" spans="3:10" ht="18" x14ac:dyDescent="0.35">
      <c r="C7" s="34">
        <v>3</v>
      </c>
      <c r="D7" s="35" t="s">
        <v>195</v>
      </c>
      <c r="E7" s="35" t="s">
        <v>191</v>
      </c>
      <c r="F7" s="46">
        <v>3.38</v>
      </c>
      <c r="G7" s="46" t="s">
        <v>192</v>
      </c>
      <c r="H7" s="46">
        <f>2000/100</f>
        <v>20</v>
      </c>
      <c r="I7" s="47">
        <v>3.38</v>
      </c>
      <c r="J7" s="1"/>
    </row>
    <row r="8" spans="3:10" ht="18" x14ac:dyDescent="0.35">
      <c r="C8" s="34">
        <v>4</v>
      </c>
      <c r="D8" s="35" t="s">
        <v>196</v>
      </c>
      <c r="E8" s="35" t="s">
        <v>194</v>
      </c>
      <c r="F8" s="46"/>
      <c r="G8" s="46"/>
      <c r="H8" s="46">
        <f>1625.35/100</f>
        <v>16.253499999999999</v>
      </c>
      <c r="I8" s="47"/>
      <c r="J8" s="1"/>
    </row>
    <row r="9" spans="3:10" ht="18" x14ac:dyDescent="0.35">
      <c r="C9" s="34">
        <v>5</v>
      </c>
      <c r="D9" s="35" t="s">
        <v>197</v>
      </c>
      <c r="E9" s="35" t="s">
        <v>191</v>
      </c>
      <c r="F9" s="46"/>
      <c r="G9" s="46"/>
      <c r="H9" s="46">
        <f>1100/100</f>
        <v>11</v>
      </c>
      <c r="I9" s="47"/>
      <c r="J9" s="1"/>
    </row>
    <row r="10" spans="3:10" ht="18" x14ac:dyDescent="0.35">
      <c r="C10" s="34">
        <v>6</v>
      </c>
      <c r="D10" s="36" t="s">
        <v>198</v>
      </c>
      <c r="E10" s="35" t="s">
        <v>191</v>
      </c>
      <c r="F10" s="46">
        <v>4.28</v>
      </c>
      <c r="G10" s="46" t="s">
        <v>192</v>
      </c>
      <c r="H10" s="46">
        <f>15000/100</f>
        <v>150</v>
      </c>
      <c r="I10" s="47">
        <v>4.28</v>
      </c>
      <c r="J10" s="1"/>
    </row>
    <row r="11" spans="3:10" ht="18" x14ac:dyDescent="0.35">
      <c r="C11" s="34">
        <v>7</v>
      </c>
      <c r="D11" s="36" t="s">
        <v>199</v>
      </c>
      <c r="E11" s="35" t="s">
        <v>191</v>
      </c>
      <c r="F11" s="46"/>
      <c r="G11" s="46"/>
      <c r="H11" s="46">
        <f>10000/100</f>
        <v>100</v>
      </c>
      <c r="I11" s="47"/>
      <c r="J11" s="1"/>
    </row>
    <row r="12" spans="3:10" ht="18" x14ac:dyDescent="0.35">
      <c r="C12" s="34">
        <v>8</v>
      </c>
      <c r="D12" s="36" t="s">
        <v>199</v>
      </c>
      <c r="E12" s="35" t="s">
        <v>191</v>
      </c>
      <c r="F12" s="46"/>
      <c r="G12" s="46"/>
      <c r="H12" s="46">
        <f>10000/100</f>
        <v>100</v>
      </c>
      <c r="I12" s="47"/>
      <c r="J12" s="1"/>
    </row>
    <row r="13" spans="3:10" ht="18" x14ac:dyDescent="0.35">
      <c r="C13" s="34">
        <v>9</v>
      </c>
      <c r="D13" s="35" t="s">
        <v>200</v>
      </c>
      <c r="E13" s="35" t="s">
        <v>191</v>
      </c>
      <c r="F13" s="46"/>
      <c r="G13" s="46"/>
      <c r="H13" s="46">
        <f>1000/100</f>
        <v>10</v>
      </c>
      <c r="I13" s="47"/>
      <c r="J13" s="1"/>
    </row>
    <row r="14" spans="3:10" ht="18" x14ac:dyDescent="0.35">
      <c r="C14" s="34">
        <v>10</v>
      </c>
      <c r="D14" s="35" t="s">
        <v>201</v>
      </c>
      <c r="E14" s="35" t="s">
        <v>191</v>
      </c>
      <c r="F14" s="46">
        <v>1.31</v>
      </c>
      <c r="G14" s="46" t="s">
        <v>192</v>
      </c>
      <c r="H14" s="46">
        <f>2000/100</f>
        <v>20</v>
      </c>
      <c r="I14" s="47">
        <v>1.31</v>
      </c>
      <c r="J14" s="1"/>
    </row>
    <row r="15" spans="3:10" ht="18" x14ac:dyDescent="0.35">
      <c r="C15" s="34">
        <v>11</v>
      </c>
      <c r="D15" s="35" t="s">
        <v>202</v>
      </c>
      <c r="E15" s="35" t="s">
        <v>194</v>
      </c>
      <c r="F15" s="46"/>
      <c r="G15" s="46"/>
      <c r="H15" s="46">
        <f>259.56/100</f>
        <v>2.5956000000000001</v>
      </c>
      <c r="I15" s="47"/>
      <c r="J15" s="1"/>
    </row>
    <row r="16" spans="3:10" ht="18" x14ac:dyDescent="0.35">
      <c r="C16" s="37"/>
      <c r="D16" s="38"/>
      <c r="E16" s="38"/>
      <c r="F16" s="46"/>
      <c r="G16" s="48"/>
      <c r="H16" s="48"/>
      <c r="I16" s="47"/>
      <c r="J16" s="1"/>
    </row>
    <row r="17" spans="3:10" ht="18.600000000000001" thickBot="1" x14ac:dyDescent="0.4">
      <c r="C17" s="45"/>
      <c r="D17" s="39" t="s">
        <v>203</v>
      </c>
      <c r="E17" s="39"/>
      <c r="F17" s="49">
        <f>SUM(F5:F16)</f>
        <v>61.720000000000006</v>
      </c>
      <c r="G17" s="49"/>
      <c r="H17" s="49">
        <f>SUM(H5:H16)</f>
        <v>528.73019999999997</v>
      </c>
      <c r="I17" s="49">
        <f>SUM(I5:I16)</f>
        <v>61.720000000000006</v>
      </c>
      <c r="J17" s="1"/>
    </row>
    <row r="18" spans="3:10" ht="19.2" thickTop="1" thickBot="1" x14ac:dyDescent="0.4">
      <c r="C18" s="40">
        <v>12</v>
      </c>
      <c r="D18" s="41" t="s">
        <v>204</v>
      </c>
      <c r="E18" s="41"/>
      <c r="F18" s="50">
        <v>0</v>
      </c>
      <c r="G18" s="50"/>
      <c r="H18" s="50">
        <f>+H17*5%</f>
        <v>26.436509999999998</v>
      </c>
      <c r="I18" s="51">
        <v>0</v>
      </c>
      <c r="J18" s="1"/>
    </row>
    <row r="19" spans="3:10" ht="19.2" thickTop="1" thickBot="1" x14ac:dyDescent="0.4">
      <c r="C19" s="44"/>
      <c r="D19" s="39" t="s">
        <v>203</v>
      </c>
      <c r="E19" s="39"/>
      <c r="F19" s="49">
        <f>+F17+F18</f>
        <v>61.720000000000006</v>
      </c>
      <c r="G19" s="49"/>
      <c r="H19" s="49">
        <f>+H17+H18</f>
        <v>555.16670999999997</v>
      </c>
      <c r="I19" s="49">
        <f>+I17+I18</f>
        <v>61.720000000000006</v>
      </c>
      <c r="J19" s="1"/>
    </row>
    <row r="20" spans="3:10" ht="15" thickTop="1" x14ac:dyDescent="0.3"/>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7"/>
  <sheetViews>
    <sheetView workbookViewId="0">
      <selection activeCell="F17" sqref="F17"/>
    </sheetView>
  </sheetViews>
  <sheetFormatPr defaultRowHeight="14.4" x14ac:dyDescent="0.3"/>
  <cols>
    <col min="4" max="12" width="9.33203125" bestFit="1" customWidth="1"/>
    <col min="15" max="15" width="16.88671875" bestFit="1" customWidth="1"/>
    <col min="18" max="18" width="14.88671875" bestFit="1" customWidth="1"/>
  </cols>
  <sheetData>
    <row r="1" spans="1:18" s="470" customFormat="1" x14ac:dyDescent="0.3">
      <c r="A1" s="470" t="s">
        <v>415</v>
      </c>
    </row>
    <row r="2" spans="1:18" x14ac:dyDescent="0.3">
      <c r="A2" t="s">
        <v>423</v>
      </c>
      <c r="C2" s="74" t="s">
        <v>330</v>
      </c>
      <c r="D2" s="287">
        <f>DATE(2024,3,31)</f>
        <v>45382</v>
      </c>
      <c r="E2" s="287">
        <f>EOMONTH(D2,12)</f>
        <v>45747</v>
      </c>
      <c r="F2" s="287">
        <f t="shared" ref="F2:K2" si="0">EOMONTH(E2,12)</f>
        <v>46112</v>
      </c>
      <c r="G2" s="287">
        <f t="shared" si="0"/>
        <v>46477</v>
      </c>
      <c r="H2" s="287">
        <f t="shared" si="0"/>
        <v>46843</v>
      </c>
      <c r="I2" s="287">
        <f t="shared" si="0"/>
        <v>47208</v>
      </c>
      <c r="J2" s="287">
        <f t="shared" si="0"/>
        <v>47573</v>
      </c>
      <c r="K2" s="287">
        <f t="shared" si="0"/>
        <v>47938</v>
      </c>
    </row>
    <row r="3" spans="1:18" x14ac:dyDescent="0.3">
      <c r="A3" t="s">
        <v>655</v>
      </c>
      <c r="C3" t="s">
        <v>744</v>
      </c>
      <c r="D3" s="308">
        <v>10</v>
      </c>
      <c r="E3" s="308">
        <v>100</v>
      </c>
      <c r="F3" s="308">
        <v>41.97</v>
      </c>
    </row>
    <row r="4" spans="1:18" x14ac:dyDescent="0.3">
      <c r="A4" t="s">
        <v>509</v>
      </c>
    </row>
    <row r="5" spans="1:18" x14ac:dyDescent="0.3">
      <c r="A5" t="s">
        <v>77</v>
      </c>
      <c r="F5">
        <v>51.75</v>
      </c>
    </row>
    <row r="6" spans="1:18" x14ac:dyDescent="0.3">
      <c r="A6" t="s">
        <v>510</v>
      </c>
      <c r="F6">
        <v>100.22</v>
      </c>
    </row>
    <row r="7" spans="1:18" x14ac:dyDescent="0.3">
      <c r="A7" t="s">
        <v>123</v>
      </c>
      <c r="D7" s="309" t="s">
        <v>739</v>
      </c>
      <c r="E7" s="309" t="s">
        <v>739</v>
      </c>
      <c r="F7">
        <f>SUM(F5:F6)</f>
        <v>151.97</v>
      </c>
      <c r="G7" s="309" t="s">
        <v>739</v>
      </c>
      <c r="H7" s="309" t="s">
        <v>739</v>
      </c>
      <c r="I7" s="309" t="s">
        <v>739</v>
      </c>
      <c r="J7" s="309" t="s">
        <v>739</v>
      </c>
      <c r="K7" s="309" t="s">
        <v>739</v>
      </c>
    </row>
    <row r="9" spans="1:18" x14ac:dyDescent="0.3">
      <c r="A9" t="s">
        <v>745</v>
      </c>
    </row>
    <row r="10" spans="1:18" x14ac:dyDescent="0.3">
      <c r="A10" t="s">
        <v>861</v>
      </c>
    </row>
    <row r="11" spans="1:18" x14ac:dyDescent="0.3">
      <c r="A11" t="s">
        <v>746</v>
      </c>
    </row>
    <row r="15" spans="1:18" x14ac:dyDescent="0.3">
      <c r="R15" s="179"/>
    </row>
    <row r="16" spans="1:18" x14ac:dyDescent="0.3">
      <c r="D16" t="s">
        <v>40</v>
      </c>
      <c r="E16">
        <f>F7-75</f>
        <v>76.97</v>
      </c>
      <c r="M16">
        <v>7626</v>
      </c>
      <c r="O16" s="179">
        <v>510000000</v>
      </c>
    </row>
    <row r="17" spans="4:18" x14ac:dyDescent="0.3">
      <c r="D17" t="s">
        <v>70</v>
      </c>
      <c r="E17">
        <v>75</v>
      </c>
      <c r="F17">
        <f>E17/E16</f>
        <v>0.97440561257632841</v>
      </c>
      <c r="M17">
        <f>M16*10.764</f>
        <v>82086.263999999996</v>
      </c>
      <c r="O17">
        <f>O16/M17</f>
        <v>6212.9761442182344</v>
      </c>
      <c r="R17" s="24"/>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C2:E10"/>
  <sheetViews>
    <sheetView workbookViewId="0"/>
  </sheetViews>
  <sheetFormatPr defaultRowHeight="14.4" x14ac:dyDescent="0.3"/>
  <cols>
    <col min="4" max="4" width="18.44140625" bestFit="1" customWidth="1"/>
  </cols>
  <sheetData>
    <row r="2" spans="3:5" x14ac:dyDescent="0.3">
      <c r="C2" t="s">
        <v>312</v>
      </c>
    </row>
    <row r="4" spans="3:5" ht="18" x14ac:dyDescent="0.35">
      <c r="C4" s="52" t="s">
        <v>205</v>
      </c>
    </row>
    <row r="6" spans="3:5" x14ac:dyDescent="0.3">
      <c r="C6" t="s">
        <v>206</v>
      </c>
      <c r="D6" t="s">
        <v>207</v>
      </c>
      <c r="E6" t="s">
        <v>208</v>
      </c>
    </row>
    <row r="8" spans="3:5" x14ac:dyDescent="0.3">
      <c r="C8" t="s">
        <v>209</v>
      </c>
      <c r="D8" t="s">
        <v>210</v>
      </c>
      <c r="E8" s="20">
        <v>32.880000000000003</v>
      </c>
    </row>
    <row r="9" spans="3:5" x14ac:dyDescent="0.3">
      <c r="C9" t="s">
        <v>211</v>
      </c>
      <c r="D9" t="s">
        <v>210</v>
      </c>
      <c r="E9" s="20">
        <v>58</v>
      </c>
    </row>
    <row r="10" spans="3:5" x14ac:dyDescent="0.3">
      <c r="C10" t="s">
        <v>212</v>
      </c>
      <c r="D10" t="s">
        <v>210</v>
      </c>
      <c r="E10" s="20">
        <v>144.65</v>
      </c>
    </row>
  </sheetData>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C2:K12"/>
  <sheetViews>
    <sheetView workbookViewId="0"/>
  </sheetViews>
  <sheetFormatPr defaultRowHeight="14.4" x14ac:dyDescent="0.3"/>
  <cols>
    <col min="3" max="3" width="12.33203125" customWidth="1"/>
    <col min="4" max="4" width="10.88671875" bestFit="1" customWidth="1"/>
    <col min="5" max="5" width="14.5546875" bestFit="1" customWidth="1"/>
    <col min="6" max="6" width="10.88671875" bestFit="1" customWidth="1"/>
    <col min="7" max="7" width="13" bestFit="1" customWidth="1"/>
    <col min="8" max="8" width="10.88671875" bestFit="1" customWidth="1"/>
    <col min="9" max="9" width="14.5546875" bestFit="1" customWidth="1"/>
    <col min="10" max="10" width="10.88671875" bestFit="1" customWidth="1"/>
    <col min="11" max="11" width="14.5546875" bestFit="1" customWidth="1"/>
  </cols>
  <sheetData>
    <row r="2" spans="3:11" x14ac:dyDescent="0.3">
      <c r="C2" t="s">
        <v>312</v>
      </c>
    </row>
    <row r="4" spans="3:11" ht="16.2" x14ac:dyDescent="0.35">
      <c r="C4" s="56" t="s">
        <v>218</v>
      </c>
    </row>
    <row r="6" spans="3:11" ht="18" x14ac:dyDescent="0.35">
      <c r="C6" s="35"/>
      <c r="D6" s="636" t="s">
        <v>217</v>
      </c>
      <c r="E6" s="636"/>
      <c r="F6" s="636" t="s">
        <v>216</v>
      </c>
      <c r="G6" s="636"/>
      <c r="H6" s="637" t="s">
        <v>215</v>
      </c>
      <c r="I6" s="638"/>
      <c r="J6" s="636" t="s">
        <v>214</v>
      </c>
      <c r="K6" s="636"/>
    </row>
    <row r="7" spans="3:11" ht="54" x14ac:dyDescent="0.3">
      <c r="C7" s="55" t="s">
        <v>206</v>
      </c>
      <c r="D7" s="54" t="s">
        <v>208</v>
      </c>
      <c r="E7" s="54" t="s">
        <v>213</v>
      </c>
      <c r="F7" s="54" t="s">
        <v>208</v>
      </c>
      <c r="G7" s="54" t="s">
        <v>213</v>
      </c>
      <c r="H7" s="54" t="s">
        <v>208</v>
      </c>
      <c r="I7" s="54" t="s">
        <v>213</v>
      </c>
      <c r="J7" s="54" t="s">
        <v>208</v>
      </c>
      <c r="K7" s="54" t="s">
        <v>213</v>
      </c>
    </row>
    <row r="8" spans="3:11" ht="18" x14ac:dyDescent="0.35">
      <c r="C8" s="42"/>
      <c r="D8" s="42"/>
      <c r="E8" s="42"/>
      <c r="F8" s="42"/>
      <c r="G8" s="42"/>
      <c r="H8" s="42"/>
      <c r="I8" s="42"/>
      <c r="J8" s="42"/>
      <c r="K8" s="42"/>
    </row>
    <row r="9" spans="3:11" ht="18" x14ac:dyDescent="0.35">
      <c r="C9" s="42" t="s">
        <v>209</v>
      </c>
      <c r="D9" s="53">
        <v>70</v>
      </c>
      <c r="E9" s="53">
        <v>5250</v>
      </c>
      <c r="F9" s="53">
        <v>81</v>
      </c>
      <c r="G9" s="53">
        <v>6069.6</v>
      </c>
      <c r="H9" s="53">
        <v>32.880000000000003</v>
      </c>
      <c r="I9" s="53">
        <v>12280.68</v>
      </c>
      <c r="J9" s="53">
        <f t="shared" ref="J9:K11" si="0">+D9+F9+H9</f>
        <v>183.88</v>
      </c>
      <c r="K9" s="53">
        <f t="shared" si="0"/>
        <v>23600.28</v>
      </c>
    </row>
    <row r="10" spans="3:11" ht="18" x14ac:dyDescent="0.35">
      <c r="C10" s="42" t="s">
        <v>211</v>
      </c>
      <c r="D10" s="53">
        <v>70</v>
      </c>
      <c r="E10" s="53">
        <v>5250</v>
      </c>
      <c r="F10" s="53">
        <v>90</v>
      </c>
      <c r="G10" s="53">
        <v>6930</v>
      </c>
      <c r="H10" s="53">
        <v>58</v>
      </c>
      <c r="I10" s="53">
        <v>21663</v>
      </c>
      <c r="J10" s="53">
        <f t="shared" si="0"/>
        <v>218</v>
      </c>
      <c r="K10" s="53">
        <f t="shared" si="0"/>
        <v>33843</v>
      </c>
    </row>
    <row r="11" spans="3:11" ht="18" x14ac:dyDescent="0.35">
      <c r="C11" s="42" t="s">
        <v>212</v>
      </c>
      <c r="D11" s="53">
        <v>70</v>
      </c>
      <c r="E11" s="53">
        <v>5250</v>
      </c>
      <c r="F11" s="53">
        <v>90</v>
      </c>
      <c r="G11" s="53">
        <v>7110</v>
      </c>
      <c r="H11" s="53">
        <v>144.648</v>
      </c>
      <c r="I11" s="53">
        <v>54026.027999999998</v>
      </c>
      <c r="J11" s="53">
        <f t="shared" si="0"/>
        <v>304.64800000000002</v>
      </c>
      <c r="K11" s="53">
        <f t="shared" si="0"/>
        <v>66386.027999999991</v>
      </c>
    </row>
    <row r="12" spans="3:11" ht="18" x14ac:dyDescent="0.35">
      <c r="C12" s="42"/>
      <c r="D12" s="42"/>
      <c r="E12" s="42"/>
      <c r="F12" s="42"/>
      <c r="G12" s="42"/>
      <c r="H12" s="42"/>
      <c r="I12" s="42"/>
      <c r="J12" s="42"/>
      <c r="K12" s="42"/>
    </row>
  </sheetData>
  <mergeCells count="4">
    <mergeCell ref="D6:E6"/>
    <mergeCell ref="F6:G6"/>
    <mergeCell ref="H6:I6"/>
    <mergeCell ref="J6:K6"/>
  </mergeCell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K17"/>
  <sheetViews>
    <sheetView workbookViewId="0"/>
  </sheetViews>
  <sheetFormatPr defaultRowHeight="14.4" x14ac:dyDescent="0.3"/>
  <sheetData>
    <row r="2" spans="2:11" x14ac:dyDescent="0.3">
      <c r="C2" t="s">
        <v>312</v>
      </c>
    </row>
    <row r="4" spans="2:11" ht="16.2" x14ac:dyDescent="0.35">
      <c r="B4" s="56" t="s">
        <v>219</v>
      </c>
      <c r="C4" s="2"/>
      <c r="D4" s="2"/>
      <c r="E4" s="2"/>
      <c r="F4" s="2"/>
      <c r="G4" s="2"/>
      <c r="H4" s="2"/>
      <c r="I4" s="2"/>
      <c r="J4" s="2"/>
      <c r="K4" s="2"/>
    </row>
    <row r="6" spans="2:11" x14ac:dyDescent="0.3">
      <c r="B6" s="2" t="s">
        <v>220</v>
      </c>
      <c r="C6" s="2" t="s">
        <v>221</v>
      </c>
      <c r="D6" s="2"/>
    </row>
    <row r="7" spans="2:11" x14ac:dyDescent="0.3">
      <c r="C7" s="639" t="s">
        <v>217</v>
      </c>
      <c r="D7" s="639"/>
      <c r="E7" s="639" t="s">
        <v>216</v>
      </c>
      <c r="F7" s="639"/>
      <c r="K7" s="2" t="s">
        <v>222</v>
      </c>
    </row>
    <row r="8" spans="2:11" x14ac:dyDescent="0.3">
      <c r="C8" t="s">
        <v>223</v>
      </c>
      <c r="D8" t="s">
        <v>224</v>
      </c>
      <c r="E8" t="s">
        <v>223</v>
      </c>
      <c r="F8" t="s">
        <v>224</v>
      </c>
    </row>
    <row r="9" spans="2:11" x14ac:dyDescent="0.3">
      <c r="C9">
        <v>137.27000000000001</v>
      </c>
      <c r="D9">
        <v>103.01</v>
      </c>
      <c r="E9">
        <v>79.319999999999993</v>
      </c>
      <c r="F9">
        <v>58.37</v>
      </c>
      <c r="K9">
        <f>+D9+F9</f>
        <v>161.38</v>
      </c>
    </row>
    <row r="11" spans="2:11" x14ac:dyDescent="0.3">
      <c r="B11" s="2" t="s">
        <v>225</v>
      </c>
      <c r="C11" s="2" t="s">
        <v>226</v>
      </c>
      <c r="D11" s="2"/>
      <c r="E11" s="2"/>
    </row>
    <row r="12" spans="2:11" x14ac:dyDescent="0.3">
      <c r="C12" t="s">
        <v>206</v>
      </c>
      <c r="D12" s="639" t="s">
        <v>217</v>
      </c>
      <c r="E12" s="639"/>
      <c r="F12" s="639" t="s">
        <v>216</v>
      </c>
      <c r="G12" s="639"/>
      <c r="H12" s="639" t="s">
        <v>215</v>
      </c>
      <c r="I12" s="639"/>
    </row>
    <row r="13" spans="2:11" x14ac:dyDescent="0.3">
      <c r="D13" t="s">
        <v>223</v>
      </c>
      <c r="E13" t="s">
        <v>224</v>
      </c>
      <c r="F13" t="s">
        <v>223</v>
      </c>
      <c r="G13" t="s">
        <v>224</v>
      </c>
      <c r="H13" t="s">
        <v>223</v>
      </c>
      <c r="I13" t="s">
        <v>224</v>
      </c>
    </row>
    <row r="14" spans="2:11" x14ac:dyDescent="0.3">
      <c r="C14" t="s">
        <v>209</v>
      </c>
      <c r="D14">
        <v>70</v>
      </c>
      <c r="E14" s="20">
        <v>52.5</v>
      </c>
      <c r="F14">
        <v>81</v>
      </c>
      <c r="G14" s="20">
        <v>60.7</v>
      </c>
      <c r="H14">
        <v>32.880000000000003</v>
      </c>
      <c r="I14">
        <v>122.81</v>
      </c>
      <c r="K14">
        <f>+E14+G14+I14</f>
        <v>236.01</v>
      </c>
    </row>
    <row r="15" spans="2:11" x14ac:dyDescent="0.3">
      <c r="C15" t="s">
        <v>211</v>
      </c>
      <c r="D15">
        <v>70</v>
      </c>
      <c r="E15" s="20">
        <v>52.5</v>
      </c>
      <c r="F15">
        <v>90</v>
      </c>
      <c r="G15" s="20">
        <v>69.3</v>
      </c>
      <c r="H15">
        <v>58</v>
      </c>
      <c r="I15">
        <v>216.63</v>
      </c>
      <c r="K15">
        <f t="shared" ref="K15:K16" si="0">+E15+G15+I15</f>
        <v>338.43</v>
      </c>
    </row>
    <row r="16" spans="2:11" x14ac:dyDescent="0.3">
      <c r="C16" t="s">
        <v>212</v>
      </c>
      <c r="D16">
        <v>70</v>
      </c>
      <c r="E16" s="20">
        <v>52.5</v>
      </c>
      <c r="F16">
        <v>90</v>
      </c>
      <c r="G16" s="20">
        <v>69.3</v>
      </c>
      <c r="H16">
        <v>144.65</v>
      </c>
      <c r="I16">
        <v>540.26</v>
      </c>
      <c r="K16">
        <f t="shared" si="0"/>
        <v>662.06</v>
      </c>
    </row>
    <row r="17" spans="7:7" x14ac:dyDescent="0.3">
      <c r="G17" s="20"/>
    </row>
  </sheetData>
  <mergeCells count="5">
    <mergeCell ref="C7:D7"/>
    <mergeCell ref="E7:F7"/>
    <mergeCell ref="D12:E12"/>
    <mergeCell ref="F12:G12"/>
    <mergeCell ref="H12:I12"/>
  </mergeCells>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C2:M21"/>
  <sheetViews>
    <sheetView workbookViewId="0"/>
  </sheetViews>
  <sheetFormatPr defaultRowHeight="14.4" x14ac:dyDescent="0.3"/>
  <cols>
    <col min="4" max="6" width="9.5546875" bestFit="1" customWidth="1"/>
    <col min="7" max="7" width="7.5546875" bestFit="1" customWidth="1"/>
    <col min="10" max="10" width="9.5546875" bestFit="1" customWidth="1"/>
  </cols>
  <sheetData>
    <row r="2" spans="3:9" x14ac:dyDescent="0.3">
      <c r="C2" t="s">
        <v>312</v>
      </c>
    </row>
    <row r="4" spans="3:9" ht="15.6" x14ac:dyDescent="0.3">
      <c r="C4" s="640" t="s">
        <v>232</v>
      </c>
      <c r="D4" s="640"/>
      <c r="E4" s="640"/>
      <c r="F4" s="640"/>
    </row>
    <row r="6" spans="3:9" x14ac:dyDescent="0.3">
      <c r="C6" s="57" t="s">
        <v>206</v>
      </c>
      <c r="D6" s="57" t="s">
        <v>217</v>
      </c>
      <c r="E6" s="57" t="s">
        <v>216</v>
      </c>
      <c r="F6" s="57" t="s">
        <v>203</v>
      </c>
    </row>
    <row r="7" spans="3:9" x14ac:dyDescent="0.3">
      <c r="C7" s="1"/>
      <c r="D7" s="57" t="s">
        <v>233</v>
      </c>
      <c r="E7" s="57" t="s">
        <v>233</v>
      </c>
      <c r="F7" s="57" t="s">
        <v>233</v>
      </c>
    </row>
    <row r="8" spans="3:9" x14ac:dyDescent="0.3">
      <c r="C8" s="1" t="s">
        <v>229</v>
      </c>
      <c r="D8" s="58">
        <v>86631.6</v>
      </c>
      <c r="E8" s="58">
        <v>111257.4</v>
      </c>
      <c r="F8" s="58">
        <f>+D8+E8</f>
        <v>197889</v>
      </c>
    </row>
    <row r="9" spans="3:9" x14ac:dyDescent="0.3">
      <c r="C9" s="1" t="s">
        <v>230</v>
      </c>
      <c r="D9" s="58">
        <v>96530.2</v>
      </c>
      <c r="E9" s="58">
        <v>108301.6</v>
      </c>
      <c r="F9" s="58">
        <f>+D9+E9</f>
        <v>204831.8</v>
      </c>
    </row>
    <row r="10" spans="3:9" ht="28.8" x14ac:dyDescent="0.3">
      <c r="C10" s="59" t="s">
        <v>231</v>
      </c>
      <c r="D10" s="60">
        <v>100086.1</v>
      </c>
      <c r="E10" s="60">
        <v>50746.32</v>
      </c>
      <c r="F10" s="60">
        <f>+D10+E10</f>
        <v>150832.42000000001</v>
      </c>
      <c r="G10" s="61" t="s">
        <v>234</v>
      </c>
    </row>
    <row r="16" spans="3:9" ht="15.6" x14ac:dyDescent="0.3">
      <c r="C16" s="62"/>
      <c r="D16" s="641" t="s">
        <v>207</v>
      </c>
      <c r="E16" s="641"/>
      <c r="F16" s="641"/>
      <c r="G16" s="641"/>
      <c r="H16" s="641" t="s">
        <v>235</v>
      </c>
      <c r="I16" s="641"/>
    </row>
    <row r="17" spans="3:13" ht="43.2" x14ac:dyDescent="0.3">
      <c r="C17" s="57" t="s">
        <v>206</v>
      </c>
      <c r="D17" s="642" t="s">
        <v>217</v>
      </c>
      <c r="E17" s="642"/>
      <c r="F17" s="642" t="s">
        <v>216</v>
      </c>
      <c r="G17" s="642"/>
      <c r="H17" s="57" t="s">
        <v>236</v>
      </c>
      <c r="I17" s="63" t="s">
        <v>237</v>
      </c>
    </row>
    <row r="18" spans="3:13" ht="28.8" x14ac:dyDescent="0.3">
      <c r="C18" s="1"/>
      <c r="D18" s="57" t="s">
        <v>233</v>
      </c>
      <c r="E18" s="63" t="s">
        <v>235</v>
      </c>
      <c r="F18" s="57" t="s">
        <v>233</v>
      </c>
      <c r="G18" s="63" t="s">
        <v>235</v>
      </c>
      <c r="H18" s="63" t="s">
        <v>238</v>
      </c>
      <c r="I18" s="1"/>
      <c r="M18">
        <f>18000*12</f>
        <v>216000</v>
      </c>
    </row>
    <row r="19" spans="3:13" x14ac:dyDescent="0.3">
      <c r="C19" s="1" t="s">
        <v>229</v>
      </c>
      <c r="D19" s="58">
        <v>89003.199999999997</v>
      </c>
      <c r="E19" s="58">
        <v>5137.01</v>
      </c>
      <c r="F19" s="58">
        <v>92091.5</v>
      </c>
      <c r="G19" s="58">
        <v>6282.06</v>
      </c>
      <c r="H19" s="58">
        <v>66.22</v>
      </c>
      <c r="I19" s="58">
        <f>+E19+G19+H19</f>
        <v>11485.289999999999</v>
      </c>
      <c r="J19" s="20">
        <f>F19+D19</f>
        <v>181094.7</v>
      </c>
      <c r="K19">
        <f>J19/1000</f>
        <v>181.09470000000002</v>
      </c>
    </row>
    <row r="20" spans="3:13" x14ac:dyDescent="0.3">
      <c r="C20" s="1" t="s">
        <v>230</v>
      </c>
      <c r="D20" s="58">
        <v>87235.1</v>
      </c>
      <c r="E20" s="58">
        <v>7499.83</v>
      </c>
      <c r="F20" s="58">
        <v>112474.5</v>
      </c>
      <c r="G20" s="58">
        <v>7353.22</v>
      </c>
      <c r="H20" s="58">
        <v>84.32</v>
      </c>
      <c r="I20" s="58">
        <f>+E20+G20+H20</f>
        <v>14937.369999999999</v>
      </c>
      <c r="J20" s="20">
        <f t="shared" ref="J20:J21" si="0">F20+D20</f>
        <v>199709.6</v>
      </c>
      <c r="K20">
        <f t="shared" ref="K20:K21" si="1">J20/1000</f>
        <v>199.70959999999999</v>
      </c>
    </row>
    <row r="21" spans="3:13" x14ac:dyDescent="0.3">
      <c r="C21" s="1" t="s">
        <v>231</v>
      </c>
      <c r="D21" s="58">
        <v>110072.6</v>
      </c>
      <c r="E21" s="58">
        <v>8308.86</v>
      </c>
      <c r="F21" s="58">
        <v>62154.41</v>
      </c>
      <c r="G21" s="58">
        <v>4471.32</v>
      </c>
      <c r="H21" s="58">
        <v>29.85</v>
      </c>
      <c r="I21" s="58">
        <f>+E21+G21+H21</f>
        <v>12810.03</v>
      </c>
      <c r="J21" s="20">
        <f t="shared" si="0"/>
        <v>172227.01</v>
      </c>
      <c r="K21">
        <f t="shared" si="1"/>
        <v>172.22701000000001</v>
      </c>
    </row>
  </sheetData>
  <mergeCells count="5">
    <mergeCell ref="C4:F4"/>
    <mergeCell ref="D16:G16"/>
    <mergeCell ref="H16:I16"/>
    <mergeCell ref="D17:E17"/>
    <mergeCell ref="F17:G1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D47"/>
  <sheetViews>
    <sheetView workbookViewId="0"/>
  </sheetViews>
  <sheetFormatPr defaultRowHeight="14.4" x14ac:dyDescent="0.3"/>
  <cols>
    <col min="3" max="3" width="35.44140625" customWidth="1"/>
    <col min="4" max="4" width="12.109375" customWidth="1"/>
  </cols>
  <sheetData>
    <row r="1" spans="2:4" x14ac:dyDescent="0.3">
      <c r="C1" t="s">
        <v>312</v>
      </c>
    </row>
    <row r="3" spans="2:4" x14ac:dyDescent="0.3">
      <c r="B3" s="64" t="s">
        <v>239</v>
      </c>
      <c r="C3" s="64" t="s">
        <v>240</v>
      </c>
      <c r="D3" s="64" t="s">
        <v>241</v>
      </c>
    </row>
    <row r="4" spans="2:4" x14ac:dyDescent="0.3">
      <c r="B4" s="1"/>
      <c r="C4" s="64" t="s">
        <v>242</v>
      </c>
      <c r="D4" s="64"/>
    </row>
    <row r="5" spans="2:4" x14ac:dyDescent="0.3">
      <c r="B5" s="1">
        <v>1</v>
      </c>
      <c r="C5" s="1" t="s">
        <v>243</v>
      </c>
      <c r="D5" s="1" t="s">
        <v>244</v>
      </c>
    </row>
    <row r="6" spans="2:4" x14ac:dyDescent="0.3">
      <c r="B6" s="1">
        <v>2</v>
      </c>
      <c r="C6" s="1" t="s">
        <v>245</v>
      </c>
      <c r="D6" s="1" t="s">
        <v>246</v>
      </c>
    </row>
    <row r="7" spans="2:4" x14ac:dyDescent="0.3">
      <c r="B7" s="1">
        <v>3</v>
      </c>
      <c r="C7" s="1" t="s">
        <v>247</v>
      </c>
      <c r="D7" s="1" t="s">
        <v>248</v>
      </c>
    </row>
    <row r="8" spans="2:4" x14ac:dyDescent="0.3">
      <c r="B8" s="1">
        <v>4</v>
      </c>
      <c r="C8" s="1" t="s">
        <v>249</v>
      </c>
      <c r="D8" s="1" t="s">
        <v>250</v>
      </c>
    </row>
    <row r="9" spans="2:4" x14ac:dyDescent="0.3">
      <c r="B9" s="1">
        <v>5</v>
      </c>
      <c r="C9" s="1" t="s">
        <v>251</v>
      </c>
      <c r="D9" s="1" t="s">
        <v>252</v>
      </c>
    </row>
    <row r="10" spans="2:4" x14ac:dyDescent="0.3">
      <c r="B10" s="1">
        <v>6</v>
      </c>
      <c r="C10" s="1" t="s">
        <v>253</v>
      </c>
      <c r="D10" s="1" t="s">
        <v>254</v>
      </c>
    </row>
    <row r="11" spans="2:4" x14ac:dyDescent="0.3">
      <c r="B11" s="1">
        <v>7</v>
      </c>
      <c r="C11" s="1" t="s">
        <v>255</v>
      </c>
      <c r="D11" s="1" t="s">
        <v>254</v>
      </c>
    </row>
    <row r="12" spans="2:4" x14ac:dyDescent="0.3">
      <c r="B12" s="1">
        <v>8</v>
      </c>
      <c r="C12" s="1" t="s">
        <v>256</v>
      </c>
      <c r="D12" s="1" t="s">
        <v>257</v>
      </c>
    </row>
    <row r="13" spans="2:4" x14ac:dyDescent="0.3">
      <c r="B13" s="1">
        <v>9</v>
      </c>
      <c r="C13" s="1" t="s">
        <v>258</v>
      </c>
      <c r="D13" s="1" t="s">
        <v>257</v>
      </c>
    </row>
    <row r="14" spans="2:4" x14ac:dyDescent="0.3">
      <c r="B14" s="1">
        <v>10</v>
      </c>
      <c r="C14" s="1" t="s">
        <v>259</v>
      </c>
      <c r="D14" s="1" t="s">
        <v>260</v>
      </c>
    </row>
    <row r="15" spans="2:4" x14ac:dyDescent="0.3">
      <c r="B15" s="1">
        <v>11</v>
      </c>
      <c r="C15" s="1" t="s">
        <v>261</v>
      </c>
      <c r="D15" s="1" t="s">
        <v>257</v>
      </c>
    </row>
    <row r="16" spans="2:4" x14ac:dyDescent="0.3">
      <c r="B16" s="1"/>
      <c r="C16" s="64" t="s">
        <v>262</v>
      </c>
      <c r="D16" s="1"/>
    </row>
    <row r="17" spans="2:4" x14ac:dyDescent="0.3">
      <c r="B17" s="1">
        <v>12</v>
      </c>
      <c r="C17" s="1" t="s">
        <v>263</v>
      </c>
      <c r="D17" s="1" t="s">
        <v>264</v>
      </c>
    </row>
    <row r="18" spans="2:4" x14ac:dyDescent="0.3">
      <c r="B18" s="1">
        <v>13</v>
      </c>
      <c r="C18" s="1" t="s">
        <v>265</v>
      </c>
      <c r="D18" s="1" t="s">
        <v>266</v>
      </c>
    </row>
    <row r="19" spans="2:4" x14ac:dyDescent="0.3">
      <c r="B19" s="1">
        <v>14</v>
      </c>
      <c r="C19" s="1" t="s">
        <v>267</v>
      </c>
      <c r="D19" s="1" t="s">
        <v>268</v>
      </c>
    </row>
    <row r="20" spans="2:4" x14ac:dyDescent="0.3">
      <c r="B20" s="1">
        <v>15</v>
      </c>
      <c r="C20" s="1" t="s">
        <v>269</v>
      </c>
      <c r="D20" s="1" t="s">
        <v>270</v>
      </c>
    </row>
    <row r="21" spans="2:4" x14ac:dyDescent="0.3">
      <c r="B21" s="1">
        <v>16</v>
      </c>
      <c r="C21" s="1" t="s">
        <v>271</v>
      </c>
      <c r="D21" s="1" t="s">
        <v>272</v>
      </c>
    </row>
    <row r="22" spans="2:4" x14ac:dyDescent="0.3">
      <c r="B22" s="1">
        <v>17</v>
      </c>
      <c r="C22" s="1" t="s">
        <v>273</v>
      </c>
      <c r="D22" s="1" t="s">
        <v>274</v>
      </c>
    </row>
    <row r="23" spans="2:4" x14ac:dyDescent="0.3">
      <c r="B23" s="1">
        <v>18</v>
      </c>
      <c r="C23" s="1" t="s">
        <v>275</v>
      </c>
      <c r="D23" s="1" t="s">
        <v>244</v>
      </c>
    </row>
    <row r="24" spans="2:4" x14ac:dyDescent="0.3">
      <c r="B24" s="1">
        <v>19</v>
      </c>
      <c r="C24" s="1" t="s">
        <v>276</v>
      </c>
      <c r="D24" s="1" t="s">
        <v>277</v>
      </c>
    </row>
    <row r="25" spans="2:4" x14ac:dyDescent="0.3">
      <c r="B25" s="1"/>
      <c r="C25" s="64" t="s">
        <v>278</v>
      </c>
      <c r="D25" s="1"/>
    </row>
    <row r="26" spans="2:4" x14ac:dyDescent="0.3">
      <c r="B26" s="1">
        <v>20</v>
      </c>
      <c r="C26" s="1" t="s">
        <v>279</v>
      </c>
      <c r="D26" s="1" t="s">
        <v>280</v>
      </c>
    </row>
    <row r="27" spans="2:4" x14ac:dyDescent="0.3">
      <c r="B27" s="1">
        <v>21</v>
      </c>
      <c r="C27" s="1" t="s">
        <v>281</v>
      </c>
      <c r="D27" s="1" t="s">
        <v>280</v>
      </c>
    </row>
    <row r="28" spans="2:4" x14ac:dyDescent="0.3">
      <c r="B28" s="1">
        <v>22</v>
      </c>
      <c r="C28" s="1" t="s">
        <v>282</v>
      </c>
      <c r="D28" s="1" t="s">
        <v>257</v>
      </c>
    </row>
    <row r="29" spans="2:4" x14ac:dyDescent="0.3">
      <c r="B29" s="1">
        <v>23</v>
      </c>
      <c r="C29" s="1" t="s">
        <v>283</v>
      </c>
      <c r="D29" s="1" t="s">
        <v>257</v>
      </c>
    </row>
    <row r="30" spans="2:4" x14ac:dyDescent="0.3">
      <c r="B30" s="1">
        <v>24</v>
      </c>
      <c r="C30" s="1" t="s">
        <v>284</v>
      </c>
      <c r="D30" s="1" t="s">
        <v>285</v>
      </c>
    </row>
    <row r="31" spans="2:4" x14ac:dyDescent="0.3">
      <c r="B31" s="1">
        <v>25</v>
      </c>
      <c r="C31" s="1" t="s">
        <v>286</v>
      </c>
      <c r="D31" s="1" t="s">
        <v>287</v>
      </c>
    </row>
    <row r="32" spans="2:4" x14ac:dyDescent="0.3">
      <c r="B32" s="1">
        <v>26</v>
      </c>
      <c r="C32" s="1" t="s">
        <v>288</v>
      </c>
      <c r="D32" s="1" t="s">
        <v>289</v>
      </c>
    </row>
    <row r="33" spans="2:4" x14ac:dyDescent="0.3">
      <c r="B33" s="1">
        <v>27</v>
      </c>
      <c r="C33" s="1" t="s">
        <v>290</v>
      </c>
      <c r="D33" s="1" t="s">
        <v>272</v>
      </c>
    </row>
    <row r="34" spans="2:4" x14ac:dyDescent="0.3">
      <c r="B34" s="1">
        <v>28</v>
      </c>
      <c r="C34" s="1" t="s">
        <v>291</v>
      </c>
      <c r="D34" s="1" t="s">
        <v>292</v>
      </c>
    </row>
    <row r="35" spans="2:4" x14ac:dyDescent="0.3">
      <c r="B35" s="1">
        <v>29</v>
      </c>
      <c r="C35" s="1" t="s">
        <v>293</v>
      </c>
      <c r="D35" s="1" t="s">
        <v>287</v>
      </c>
    </row>
    <row r="36" spans="2:4" x14ac:dyDescent="0.3">
      <c r="B36" s="1"/>
      <c r="C36" s="64" t="s">
        <v>294</v>
      </c>
      <c r="D36" s="1"/>
    </row>
    <row r="37" spans="2:4" x14ac:dyDescent="0.3">
      <c r="B37" s="1">
        <v>30</v>
      </c>
      <c r="C37" s="1" t="s">
        <v>295</v>
      </c>
      <c r="D37" s="1" t="s">
        <v>296</v>
      </c>
    </row>
    <row r="38" spans="2:4" x14ac:dyDescent="0.3">
      <c r="B38" s="1">
        <v>31</v>
      </c>
      <c r="C38" s="1" t="s">
        <v>297</v>
      </c>
      <c r="D38" s="1" t="s">
        <v>298</v>
      </c>
    </row>
    <row r="39" spans="2:4" x14ac:dyDescent="0.3">
      <c r="B39" s="1">
        <v>32</v>
      </c>
      <c r="C39" s="1" t="s">
        <v>299</v>
      </c>
      <c r="D39" s="1" t="s">
        <v>300</v>
      </c>
    </row>
    <row r="40" spans="2:4" x14ac:dyDescent="0.3">
      <c r="B40" s="1">
        <v>33</v>
      </c>
      <c r="C40" s="1" t="s">
        <v>301</v>
      </c>
      <c r="D40" s="1" t="s">
        <v>302</v>
      </c>
    </row>
    <row r="41" spans="2:4" x14ac:dyDescent="0.3">
      <c r="B41" s="1">
        <v>34</v>
      </c>
      <c r="C41" s="1" t="s">
        <v>303</v>
      </c>
      <c r="D41" s="1" t="s">
        <v>304</v>
      </c>
    </row>
    <row r="42" spans="2:4" x14ac:dyDescent="0.3">
      <c r="B42" s="1">
        <v>35</v>
      </c>
      <c r="C42" s="1" t="s">
        <v>305</v>
      </c>
      <c r="D42" s="1" t="s">
        <v>272</v>
      </c>
    </row>
    <row r="43" spans="2:4" x14ac:dyDescent="0.3">
      <c r="B43" s="1">
        <v>36</v>
      </c>
      <c r="C43" s="1" t="s">
        <v>306</v>
      </c>
      <c r="D43" s="1" t="s">
        <v>272</v>
      </c>
    </row>
    <row r="44" spans="2:4" x14ac:dyDescent="0.3">
      <c r="B44" s="1"/>
      <c r="C44" s="64" t="s">
        <v>307</v>
      </c>
      <c r="D44" s="1"/>
    </row>
    <row r="45" spans="2:4" x14ac:dyDescent="0.3">
      <c r="B45" s="1">
        <v>37</v>
      </c>
      <c r="C45" s="1" t="s">
        <v>283</v>
      </c>
      <c r="D45" s="1" t="s">
        <v>308</v>
      </c>
    </row>
    <row r="46" spans="2:4" x14ac:dyDescent="0.3">
      <c r="B46" s="1">
        <v>38</v>
      </c>
      <c r="C46" s="1" t="s">
        <v>309</v>
      </c>
      <c r="D46" s="1" t="s">
        <v>308</v>
      </c>
    </row>
    <row r="47" spans="2:4" x14ac:dyDescent="0.3">
      <c r="B47" s="64">
        <v>39</v>
      </c>
      <c r="C47" s="64" t="s">
        <v>310</v>
      </c>
      <c r="D47" s="64" t="s">
        <v>311</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9"/>
  <sheetViews>
    <sheetView zoomScale="93" zoomScaleNormal="93" workbookViewId="0">
      <selection activeCell="C79" sqref="C79"/>
    </sheetView>
  </sheetViews>
  <sheetFormatPr defaultColWidth="9.109375" defaultRowHeight="14.4" x14ac:dyDescent="0.3"/>
  <cols>
    <col min="1" max="1" width="6.88671875" style="242" customWidth="1"/>
    <col min="2" max="2" width="41" style="242" customWidth="1"/>
    <col min="3" max="3" width="13.33203125" style="242" customWidth="1"/>
    <col min="4" max="4" width="7.44140625" style="255" customWidth="1"/>
    <col min="5" max="5" width="13.88671875" style="255" bestFit="1" customWidth="1"/>
    <col min="6" max="6" width="85.5546875" style="242" bestFit="1" customWidth="1"/>
    <col min="7" max="7" width="86.33203125" style="242" bestFit="1" customWidth="1"/>
    <col min="8" max="8" width="24.44140625" style="242" customWidth="1"/>
    <col min="9" max="9" width="37.6640625" style="242" bestFit="1" customWidth="1"/>
    <col min="10" max="10" width="10.33203125" style="242" bestFit="1" customWidth="1"/>
    <col min="11" max="16384" width="9.109375" style="242"/>
  </cols>
  <sheetData>
    <row r="1" spans="1:11" s="471" customFormat="1" x14ac:dyDescent="0.3">
      <c r="A1" s="473" t="s">
        <v>415</v>
      </c>
      <c r="D1" s="472"/>
      <c r="E1" s="472"/>
    </row>
    <row r="2" spans="1:11" ht="21" x14ac:dyDescent="0.3">
      <c r="A2" s="609" t="s">
        <v>559</v>
      </c>
      <c r="B2" s="609"/>
      <c r="C2" s="609"/>
      <c r="D2" s="609"/>
      <c r="E2" s="609"/>
    </row>
    <row r="3" spans="1:11" ht="17.399999999999999" x14ac:dyDescent="0.3">
      <c r="A3" s="243"/>
      <c r="B3" s="610" t="s">
        <v>560</v>
      </c>
      <c r="C3" s="611"/>
      <c r="D3" s="611"/>
      <c r="E3" s="612"/>
    </row>
    <row r="4" spans="1:11" x14ac:dyDescent="0.3">
      <c r="A4" s="57" t="s">
        <v>561</v>
      </c>
      <c r="B4" s="57" t="s">
        <v>562</v>
      </c>
      <c r="C4" s="243" t="s">
        <v>563</v>
      </c>
      <c r="D4" s="57" t="s">
        <v>223</v>
      </c>
      <c r="E4" s="57" t="s">
        <v>564</v>
      </c>
      <c r="H4" s="4" t="s">
        <v>798</v>
      </c>
      <c r="I4" s="4"/>
      <c r="J4" s="4" t="s">
        <v>822</v>
      </c>
      <c r="K4" s="3"/>
    </row>
    <row r="5" spans="1:11" x14ac:dyDescent="0.3">
      <c r="A5" s="244">
        <v>1</v>
      </c>
      <c r="B5" s="245" t="s">
        <v>565</v>
      </c>
      <c r="C5" s="246" t="s">
        <v>566</v>
      </c>
      <c r="D5" s="59">
        <v>4</v>
      </c>
      <c r="E5" s="247">
        <f>52*D5</f>
        <v>208</v>
      </c>
      <c r="H5" s="4"/>
      <c r="I5" s="4"/>
      <c r="J5" s="385"/>
      <c r="K5" s="3"/>
    </row>
    <row r="6" spans="1:11" x14ac:dyDescent="0.3">
      <c r="A6" s="244">
        <v>2</v>
      </c>
      <c r="B6" s="245" t="s">
        <v>568</v>
      </c>
      <c r="C6" s="246" t="s">
        <v>569</v>
      </c>
      <c r="D6" s="59">
        <v>4</v>
      </c>
      <c r="E6" s="247">
        <f>60*D6</f>
        <v>240</v>
      </c>
      <c r="H6" s="386"/>
      <c r="I6" s="387" t="s">
        <v>10</v>
      </c>
      <c r="J6" s="388" t="s">
        <v>799</v>
      </c>
      <c r="K6" s="3"/>
    </row>
    <row r="7" spans="1:11" x14ac:dyDescent="0.3">
      <c r="A7" s="244">
        <v>3</v>
      </c>
      <c r="B7" s="245" t="s">
        <v>570</v>
      </c>
      <c r="C7" s="246" t="s">
        <v>571</v>
      </c>
      <c r="D7" s="59">
        <v>9</v>
      </c>
      <c r="E7" s="247">
        <v>1100</v>
      </c>
      <c r="H7" s="389"/>
      <c r="I7" s="390"/>
      <c r="J7" s="391"/>
      <c r="K7" s="3"/>
    </row>
    <row r="8" spans="1:11" x14ac:dyDescent="0.3">
      <c r="A8" s="244">
        <v>4</v>
      </c>
      <c r="B8" s="245" t="s">
        <v>656</v>
      </c>
      <c r="C8" s="246" t="s">
        <v>657</v>
      </c>
      <c r="D8" s="59">
        <v>15</v>
      </c>
      <c r="E8" s="247">
        <v>500</v>
      </c>
      <c r="H8" s="392">
        <v>1</v>
      </c>
      <c r="I8" s="393" t="s">
        <v>800</v>
      </c>
      <c r="J8" s="394">
        <f>SUM(E56:E58)/10^2</f>
        <v>58.666499999999999</v>
      </c>
      <c r="K8" s="3"/>
    </row>
    <row r="9" spans="1:11" x14ac:dyDescent="0.3">
      <c r="A9" s="244">
        <v>5</v>
      </c>
      <c r="B9" s="245" t="s">
        <v>572</v>
      </c>
      <c r="C9" s="246" t="s">
        <v>573</v>
      </c>
      <c r="D9" s="59">
        <v>1</v>
      </c>
      <c r="E9" s="247">
        <v>30</v>
      </c>
      <c r="H9" s="392"/>
      <c r="I9" s="393" t="s">
        <v>801</v>
      </c>
      <c r="J9" s="394" t="s">
        <v>801</v>
      </c>
      <c r="K9" s="3"/>
    </row>
    <row r="10" spans="1:11" x14ac:dyDescent="0.3">
      <c r="A10" s="244">
        <v>6</v>
      </c>
      <c r="B10" s="245" t="s">
        <v>574</v>
      </c>
      <c r="C10" s="246" t="s">
        <v>575</v>
      </c>
      <c r="D10" s="59">
        <v>1</v>
      </c>
      <c r="E10" s="247">
        <v>15</v>
      </c>
      <c r="H10" s="392">
        <v>2</v>
      </c>
      <c r="I10" s="242" t="s">
        <v>821</v>
      </c>
      <c r="J10" s="394">
        <f>(E46+SUM(E48:E54))/10^2</f>
        <v>63.26</v>
      </c>
      <c r="K10" s="3"/>
    </row>
    <row r="11" spans="1:11" x14ac:dyDescent="0.3">
      <c r="A11" s="244">
        <v>7</v>
      </c>
      <c r="B11" s="245" t="s">
        <v>576</v>
      </c>
      <c r="C11" s="246" t="s">
        <v>577</v>
      </c>
      <c r="D11" s="59">
        <v>1</v>
      </c>
      <c r="E11" s="247">
        <v>15</v>
      </c>
      <c r="H11" s="392"/>
      <c r="I11" s="393"/>
      <c r="J11" s="393"/>
      <c r="K11" s="3"/>
    </row>
    <row r="12" spans="1:11" x14ac:dyDescent="0.3">
      <c r="A12" s="244">
        <v>8</v>
      </c>
      <c r="B12" s="245" t="s">
        <v>578</v>
      </c>
      <c r="C12" s="246" t="s">
        <v>579</v>
      </c>
      <c r="D12" s="59">
        <v>2</v>
      </c>
      <c r="E12" s="247">
        <v>90</v>
      </c>
      <c r="H12" s="392">
        <v>3</v>
      </c>
      <c r="I12" s="393" t="s">
        <v>823</v>
      </c>
      <c r="J12" s="394">
        <f>E61/10^2</f>
        <v>19.822274999999998</v>
      </c>
      <c r="K12" s="3"/>
    </row>
    <row r="13" spans="1:11" x14ac:dyDescent="0.3">
      <c r="A13" s="244">
        <v>9</v>
      </c>
      <c r="B13" s="245" t="s">
        <v>580</v>
      </c>
      <c r="C13" s="246" t="s">
        <v>581</v>
      </c>
      <c r="D13" s="59">
        <v>1</v>
      </c>
      <c r="E13" s="247">
        <v>50</v>
      </c>
      <c r="H13" s="392"/>
      <c r="I13" s="393"/>
      <c r="J13" s="394"/>
      <c r="K13" s="3"/>
    </row>
    <row r="14" spans="1:11" x14ac:dyDescent="0.3">
      <c r="A14" s="244">
        <v>10</v>
      </c>
      <c r="B14" s="245" t="s">
        <v>580</v>
      </c>
      <c r="C14" s="246" t="s">
        <v>582</v>
      </c>
      <c r="D14" s="59">
        <v>4</v>
      </c>
      <c r="E14" s="247">
        <v>100</v>
      </c>
      <c r="H14" s="395"/>
      <c r="I14" s="396" t="s">
        <v>214</v>
      </c>
      <c r="J14" s="397">
        <f>SUM(J8:J12)</f>
        <v>141.74877499999999</v>
      </c>
      <c r="K14" s="3"/>
    </row>
    <row r="15" spans="1:11" x14ac:dyDescent="0.3">
      <c r="A15" s="244">
        <v>11</v>
      </c>
      <c r="B15" s="246" t="s">
        <v>583</v>
      </c>
      <c r="C15" s="246" t="s">
        <v>584</v>
      </c>
      <c r="D15" s="59">
        <v>1</v>
      </c>
      <c r="E15" s="247">
        <v>30</v>
      </c>
      <c r="H15" s="391"/>
      <c r="I15" s="185"/>
      <c r="J15" s="391"/>
      <c r="K15" s="3"/>
    </row>
    <row r="16" spans="1:11" x14ac:dyDescent="0.3">
      <c r="A16" s="244">
        <v>12</v>
      </c>
      <c r="B16" s="246" t="s">
        <v>585</v>
      </c>
      <c r="C16" s="242" t="s">
        <v>586</v>
      </c>
      <c r="D16" s="59">
        <v>3</v>
      </c>
      <c r="E16" s="247">
        <v>225</v>
      </c>
      <c r="H16" s="391"/>
      <c r="I16" s="398" t="s">
        <v>802</v>
      </c>
      <c r="J16" s="399"/>
      <c r="K16" s="3"/>
    </row>
    <row r="17" spans="1:12" x14ac:dyDescent="0.3">
      <c r="A17" s="244">
        <v>13</v>
      </c>
      <c r="B17" s="246" t="s">
        <v>587</v>
      </c>
      <c r="C17" s="246" t="s">
        <v>571</v>
      </c>
      <c r="D17" s="59">
        <v>3</v>
      </c>
      <c r="E17" s="247">
        <v>120</v>
      </c>
      <c r="H17" s="391"/>
      <c r="I17" s="3"/>
      <c r="J17" s="391" t="s">
        <v>778</v>
      </c>
      <c r="K17" s="3"/>
    </row>
    <row r="18" spans="1:12" x14ac:dyDescent="0.3">
      <c r="A18" s="244">
        <v>14</v>
      </c>
      <c r="B18" s="246" t="s">
        <v>588</v>
      </c>
      <c r="C18" s="248" t="s">
        <v>582</v>
      </c>
      <c r="D18" s="59">
        <v>1</v>
      </c>
      <c r="E18" s="247">
        <v>15</v>
      </c>
      <c r="H18" s="392">
        <v>1</v>
      </c>
      <c r="I18" s="393" t="s">
        <v>803</v>
      </c>
      <c r="J18" s="394">
        <v>75</v>
      </c>
      <c r="K18" s="421">
        <f>J18/J21</f>
        <v>0.49351845759031387</v>
      </c>
      <c r="L18" s="242">
        <f>J18/J20</f>
        <v>0.97440561257632841</v>
      </c>
    </row>
    <row r="19" spans="1:12" x14ac:dyDescent="0.3">
      <c r="A19" s="244">
        <v>15</v>
      </c>
      <c r="B19" s="246" t="s">
        <v>589</v>
      </c>
      <c r="C19" s="246" t="s">
        <v>590</v>
      </c>
      <c r="D19" s="59">
        <v>1</v>
      </c>
      <c r="E19" s="247">
        <v>15</v>
      </c>
      <c r="H19" s="392"/>
      <c r="I19" s="393"/>
      <c r="J19" s="393"/>
      <c r="K19" s="3"/>
    </row>
    <row r="20" spans="1:12" x14ac:dyDescent="0.3">
      <c r="A20" s="244">
        <v>16</v>
      </c>
      <c r="B20" s="246" t="s">
        <v>591</v>
      </c>
      <c r="C20" s="246" t="s">
        <v>592</v>
      </c>
      <c r="D20" s="59">
        <v>1</v>
      </c>
      <c r="E20" s="247">
        <v>15</v>
      </c>
      <c r="H20" s="392">
        <v>2</v>
      </c>
      <c r="I20" s="393" t="s">
        <v>804</v>
      </c>
      <c r="J20" s="394">
        <v>76.97</v>
      </c>
      <c r="K20" s="421">
        <f>J20/J21</f>
        <v>0.50648154240968613</v>
      </c>
    </row>
    <row r="21" spans="1:12" x14ac:dyDescent="0.3">
      <c r="A21" s="244">
        <v>17</v>
      </c>
      <c r="B21" s="246" t="s">
        <v>593</v>
      </c>
      <c r="C21" s="246" t="s">
        <v>594</v>
      </c>
      <c r="D21" s="59">
        <v>2</v>
      </c>
      <c r="E21" s="247">
        <v>4</v>
      </c>
      <c r="H21" s="401"/>
      <c r="I21" s="402" t="s">
        <v>214</v>
      </c>
      <c r="J21" s="397">
        <f>SUM(J15:J20)</f>
        <v>151.97</v>
      </c>
      <c r="K21" s="3"/>
    </row>
    <row r="22" spans="1:12" x14ac:dyDescent="0.3">
      <c r="A22" s="244">
        <v>18</v>
      </c>
      <c r="B22" s="246" t="s">
        <v>595</v>
      </c>
      <c r="C22" s="246" t="s">
        <v>596</v>
      </c>
      <c r="D22" s="59">
        <v>1</v>
      </c>
      <c r="E22" s="247">
        <v>8</v>
      </c>
      <c r="H22" s="4"/>
      <c r="I22" s="4"/>
      <c r="J22" s="403">
        <f>J14-J21</f>
        <v>-10.221225000000004</v>
      </c>
      <c r="K22" s="400"/>
    </row>
    <row r="23" spans="1:12" x14ac:dyDescent="0.3">
      <c r="A23" s="244">
        <v>19</v>
      </c>
      <c r="B23" s="246" t="s">
        <v>597</v>
      </c>
      <c r="C23" s="246" t="s">
        <v>596</v>
      </c>
      <c r="D23" s="59">
        <v>1</v>
      </c>
      <c r="E23" s="247">
        <v>12</v>
      </c>
      <c r="K23" s="400"/>
    </row>
    <row r="24" spans="1:12" x14ac:dyDescent="0.3">
      <c r="A24" s="244">
        <v>20</v>
      </c>
      <c r="B24" s="246" t="s">
        <v>598</v>
      </c>
      <c r="C24" s="246" t="s">
        <v>596</v>
      </c>
      <c r="D24" s="59">
        <v>1</v>
      </c>
      <c r="E24" s="247">
        <v>5</v>
      </c>
      <c r="K24" s="400"/>
    </row>
    <row r="25" spans="1:12" x14ac:dyDescent="0.3">
      <c r="A25" s="244">
        <v>21</v>
      </c>
      <c r="B25" s="246" t="s">
        <v>599</v>
      </c>
      <c r="C25" s="246" t="s">
        <v>579</v>
      </c>
      <c r="D25" s="59">
        <v>1</v>
      </c>
      <c r="E25" s="247">
        <v>50</v>
      </c>
      <c r="K25" s="400"/>
    </row>
    <row r="26" spans="1:12" x14ac:dyDescent="0.3">
      <c r="A26" s="244">
        <v>22</v>
      </c>
      <c r="B26" s="246" t="s">
        <v>600</v>
      </c>
      <c r="C26" s="246" t="s">
        <v>596</v>
      </c>
      <c r="D26" s="59">
        <v>2</v>
      </c>
      <c r="E26" s="247">
        <v>20</v>
      </c>
      <c r="K26" s="400"/>
    </row>
    <row r="27" spans="1:12" x14ac:dyDescent="0.3">
      <c r="A27" s="244">
        <v>23</v>
      </c>
      <c r="B27" s="246" t="s">
        <v>601</v>
      </c>
      <c r="C27" s="246" t="s">
        <v>602</v>
      </c>
      <c r="D27" s="59">
        <v>2</v>
      </c>
      <c r="E27" s="247">
        <v>50</v>
      </c>
      <c r="K27" s="400"/>
    </row>
    <row r="28" spans="1:12" x14ac:dyDescent="0.3">
      <c r="A28" s="244">
        <v>24</v>
      </c>
      <c r="B28" s="246" t="s">
        <v>603</v>
      </c>
      <c r="C28" s="246" t="s">
        <v>596</v>
      </c>
      <c r="D28" s="59">
        <v>2</v>
      </c>
      <c r="E28" s="247">
        <v>50</v>
      </c>
      <c r="K28" s="3"/>
    </row>
    <row r="29" spans="1:12" x14ac:dyDescent="0.3">
      <c r="A29" s="244">
        <v>25</v>
      </c>
      <c r="B29" s="246" t="s">
        <v>817</v>
      </c>
      <c r="C29" s="246" t="s">
        <v>605</v>
      </c>
      <c r="D29" s="59">
        <v>2</v>
      </c>
      <c r="E29" s="247">
        <v>150</v>
      </c>
      <c r="H29" s="613"/>
      <c r="I29" s="613"/>
      <c r="J29" s="613"/>
      <c r="K29" s="613"/>
    </row>
    <row r="30" spans="1:12" x14ac:dyDescent="0.3">
      <c r="A30" s="244">
        <v>26</v>
      </c>
      <c r="B30" s="246" t="s">
        <v>606</v>
      </c>
      <c r="C30" s="246" t="s">
        <v>607</v>
      </c>
      <c r="D30" s="59">
        <v>1</v>
      </c>
      <c r="E30" s="247">
        <v>2</v>
      </c>
    </row>
    <row r="31" spans="1:12" x14ac:dyDescent="0.3">
      <c r="A31" s="244">
        <v>27</v>
      </c>
      <c r="B31" s="246" t="s">
        <v>608</v>
      </c>
      <c r="C31" s="246" t="s">
        <v>609</v>
      </c>
      <c r="D31" s="59">
        <v>1</v>
      </c>
      <c r="E31" s="247">
        <v>2</v>
      </c>
    </row>
    <row r="32" spans="1:12" x14ac:dyDescent="0.3">
      <c r="A32" s="244">
        <v>28</v>
      </c>
      <c r="B32" s="246" t="s">
        <v>610</v>
      </c>
      <c r="C32" s="246" t="s">
        <v>611</v>
      </c>
      <c r="D32" s="59">
        <v>3</v>
      </c>
      <c r="E32" s="247">
        <v>100</v>
      </c>
    </row>
    <row r="33" spans="1:9" x14ac:dyDescent="0.3">
      <c r="A33" s="244">
        <v>29</v>
      </c>
      <c r="B33" s="246" t="s">
        <v>612</v>
      </c>
      <c r="C33" s="246" t="s">
        <v>611</v>
      </c>
      <c r="D33" s="59">
        <v>1</v>
      </c>
      <c r="E33" s="247">
        <v>100</v>
      </c>
    </row>
    <row r="34" spans="1:9" x14ac:dyDescent="0.3">
      <c r="A34" s="244">
        <v>30</v>
      </c>
      <c r="B34" s="246" t="s">
        <v>613</v>
      </c>
      <c r="C34" s="246" t="s">
        <v>614</v>
      </c>
      <c r="D34" s="59">
        <v>4</v>
      </c>
      <c r="E34" s="247">
        <v>120</v>
      </c>
    </row>
    <row r="35" spans="1:9" x14ac:dyDescent="0.3">
      <c r="A35" s="244">
        <v>31</v>
      </c>
      <c r="B35" s="246" t="s">
        <v>615</v>
      </c>
      <c r="C35" s="246" t="s">
        <v>614</v>
      </c>
      <c r="D35" s="59">
        <v>2</v>
      </c>
      <c r="E35" s="247">
        <v>50</v>
      </c>
    </row>
    <row r="36" spans="1:9" x14ac:dyDescent="0.3">
      <c r="A36" s="244">
        <v>32</v>
      </c>
      <c r="B36" s="246" t="s">
        <v>616</v>
      </c>
      <c r="C36" s="246" t="s">
        <v>818</v>
      </c>
      <c r="D36" s="59">
        <v>9</v>
      </c>
      <c r="E36" s="247">
        <v>45</v>
      </c>
    </row>
    <row r="37" spans="1:9" x14ac:dyDescent="0.3">
      <c r="A37" s="244">
        <v>33</v>
      </c>
      <c r="B37" s="246" t="s">
        <v>617</v>
      </c>
      <c r="C37" s="242" t="s">
        <v>618</v>
      </c>
      <c r="D37" s="59">
        <v>12</v>
      </c>
      <c r="E37" s="247">
        <v>60</v>
      </c>
    </row>
    <row r="38" spans="1:9" x14ac:dyDescent="0.3">
      <c r="A38" s="244">
        <v>34</v>
      </c>
      <c r="B38" s="249" t="s">
        <v>619</v>
      </c>
      <c r="C38" s="246" t="s">
        <v>620</v>
      </c>
      <c r="D38" s="59">
        <v>2</v>
      </c>
      <c r="E38" s="247">
        <v>400</v>
      </c>
    </row>
    <row r="39" spans="1:9" x14ac:dyDescent="0.3">
      <c r="A39" s="244">
        <v>35</v>
      </c>
      <c r="B39" s="246" t="s">
        <v>621</v>
      </c>
      <c r="C39" s="246" t="s">
        <v>622</v>
      </c>
      <c r="D39" s="59">
        <v>2</v>
      </c>
      <c r="E39" s="247">
        <v>200</v>
      </c>
    </row>
    <row r="40" spans="1:9" x14ac:dyDescent="0.3">
      <c r="A40" s="244">
        <v>36</v>
      </c>
      <c r="B40" s="246" t="s">
        <v>819</v>
      </c>
      <c r="C40" s="246" t="s">
        <v>624</v>
      </c>
      <c r="D40" s="59">
        <v>1</v>
      </c>
      <c r="E40" s="247">
        <v>400</v>
      </c>
    </row>
    <row r="41" spans="1:9" x14ac:dyDescent="0.3">
      <c r="A41" s="244">
        <v>37</v>
      </c>
      <c r="B41" s="246" t="s">
        <v>625</v>
      </c>
      <c r="C41" s="246">
        <v>240</v>
      </c>
      <c r="D41" s="59">
        <v>6</v>
      </c>
      <c r="E41" s="247">
        <v>60</v>
      </c>
    </row>
    <row r="42" spans="1:9" x14ac:dyDescent="0.3">
      <c r="A42" s="244">
        <v>38</v>
      </c>
      <c r="B42" s="246" t="s">
        <v>626</v>
      </c>
      <c r="C42" s="246">
        <v>150</v>
      </c>
      <c r="D42" s="59">
        <v>4</v>
      </c>
      <c r="E42" s="247">
        <v>25</v>
      </c>
    </row>
    <row r="43" spans="1:9" x14ac:dyDescent="0.3">
      <c r="A43" s="244">
        <v>39</v>
      </c>
      <c r="B43" s="249" t="s">
        <v>627</v>
      </c>
      <c r="C43" s="246">
        <f>60*1</f>
        <v>60</v>
      </c>
      <c r="D43" s="59">
        <v>1</v>
      </c>
      <c r="E43" s="247">
        <v>100</v>
      </c>
    </row>
    <row r="44" spans="1:9" x14ac:dyDescent="0.3">
      <c r="A44" s="244">
        <v>40</v>
      </c>
      <c r="B44" s="246" t="s">
        <v>628</v>
      </c>
      <c r="C44" s="246">
        <v>200</v>
      </c>
      <c r="D44" s="250">
        <v>2</v>
      </c>
      <c r="E44" s="247">
        <v>30</v>
      </c>
    </row>
    <row r="45" spans="1:9" x14ac:dyDescent="0.3">
      <c r="A45" s="244">
        <v>41</v>
      </c>
      <c r="B45" s="246" t="s">
        <v>629</v>
      </c>
      <c r="C45" s="246">
        <v>100</v>
      </c>
      <c r="D45" s="250">
        <v>100</v>
      </c>
      <c r="E45" s="247">
        <v>300</v>
      </c>
    </row>
    <row r="46" spans="1:9" x14ac:dyDescent="0.3">
      <c r="A46" s="244"/>
      <c r="B46" s="246"/>
      <c r="C46" s="1"/>
      <c r="D46" s="250"/>
      <c r="E46" s="251">
        <f>SUM(E5:E45)</f>
        <v>5111</v>
      </c>
      <c r="F46" s="416"/>
    </row>
    <row r="47" spans="1:9" x14ac:dyDescent="0.3">
      <c r="A47" s="244">
        <v>42</v>
      </c>
      <c r="B47" s="252" t="s">
        <v>630</v>
      </c>
      <c r="C47" s="1"/>
      <c r="D47" s="250">
        <v>1</v>
      </c>
      <c r="E47" s="247"/>
    </row>
    <row r="48" spans="1:9" x14ac:dyDescent="0.3">
      <c r="A48" s="244">
        <v>43</v>
      </c>
      <c r="B48" s="246" t="s">
        <v>631</v>
      </c>
      <c r="C48" s="1"/>
      <c r="D48" s="250">
        <v>1</v>
      </c>
      <c r="E48" s="253">
        <v>700</v>
      </c>
      <c r="I48" s="254"/>
    </row>
    <row r="49" spans="1:8" x14ac:dyDescent="0.3">
      <c r="A49" s="244">
        <v>44</v>
      </c>
      <c r="B49" s="246" t="s">
        <v>632</v>
      </c>
      <c r="C49" s="1"/>
      <c r="D49" s="250">
        <v>1</v>
      </c>
      <c r="E49" s="253">
        <v>30</v>
      </c>
    </row>
    <row r="50" spans="1:8" x14ac:dyDescent="0.3">
      <c r="A50" s="244">
        <v>45</v>
      </c>
      <c r="B50" s="246" t="s">
        <v>633</v>
      </c>
      <c r="C50" s="1"/>
      <c r="D50" s="250">
        <v>1</v>
      </c>
      <c r="E50" s="253">
        <v>75</v>
      </c>
    </row>
    <row r="51" spans="1:8" x14ac:dyDescent="0.3">
      <c r="A51" s="244">
        <v>46</v>
      </c>
      <c r="B51" s="246" t="s">
        <v>634</v>
      </c>
      <c r="C51" s="1"/>
      <c r="D51" s="250">
        <v>2</v>
      </c>
      <c r="E51" s="253">
        <v>100</v>
      </c>
    </row>
    <row r="52" spans="1:8" x14ac:dyDescent="0.3">
      <c r="A52" s="244">
        <v>47</v>
      </c>
      <c r="B52" s="246" t="s">
        <v>635</v>
      </c>
      <c r="C52" s="1"/>
      <c r="D52" s="250">
        <v>2</v>
      </c>
      <c r="E52" s="253">
        <v>50</v>
      </c>
    </row>
    <row r="53" spans="1:8" x14ac:dyDescent="0.3">
      <c r="A53" s="244">
        <v>48</v>
      </c>
      <c r="B53" s="246" t="s">
        <v>636</v>
      </c>
      <c r="C53" s="1"/>
      <c r="D53" s="250">
        <v>2</v>
      </c>
      <c r="E53" s="253">
        <v>10</v>
      </c>
    </row>
    <row r="54" spans="1:8" ht="28.8" x14ac:dyDescent="0.3">
      <c r="A54" s="244">
        <v>49</v>
      </c>
      <c r="B54" s="249" t="s">
        <v>637</v>
      </c>
      <c r="C54" s="1"/>
      <c r="D54" s="250">
        <v>1</v>
      </c>
      <c r="E54" s="253">
        <v>250</v>
      </c>
    </row>
    <row r="55" spans="1:8" x14ac:dyDescent="0.3">
      <c r="A55" s="244">
        <v>50</v>
      </c>
      <c r="B55" s="246" t="s">
        <v>639</v>
      </c>
      <c r="C55" s="1"/>
      <c r="D55" s="250">
        <v>1</v>
      </c>
      <c r="E55" s="247">
        <f>SUM(E5:E45)*0.2</f>
        <v>1022.2</v>
      </c>
      <c r="F55" s="423" t="s">
        <v>824</v>
      </c>
      <c r="G55" s="422" t="s">
        <v>826</v>
      </c>
      <c r="H55" s="422"/>
    </row>
    <row r="56" spans="1:8" ht="15" customHeight="1" x14ac:dyDescent="0.3">
      <c r="A56" s="244">
        <v>51</v>
      </c>
      <c r="B56" s="246" t="s">
        <v>638</v>
      </c>
      <c r="C56" s="1"/>
      <c r="D56" s="250">
        <v>1</v>
      </c>
      <c r="E56" s="247">
        <v>4500</v>
      </c>
      <c r="F56" s="614" t="s">
        <v>825</v>
      </c>
      <c r="G56" s="422"/>
      <c r="H56" s="422"/>
    </row>
    <row r="57" spans="1:8" x14ac:dyDescent="0.3">
      <c r="A57" s="244">
        <v>52</v>
      </c>
      <c r="B57" s="246" t="s">
        <v>640</v>
      </c>
      <c r="C57" s="1"/>
      <c r="D57" s="250">
        <v>2</v>
      </c>
      <c r="E57" s="269">
        <f>SUM(E5:E45)*0.15</f>
        <v>766.65</v>
      </c>
      <c r="F57" s="614"/>
    </row>
    <row r="58" spans="1:8" x14ac:dyDescent="0.3">
      <c r="A58" s="244">
        <v>53</v>
      </c>
      <c r="B58" s="246" t="s">
        <v>641</v>
      </c>
      <c r="C58" s="1"/>
      <c r="D58" s="250">
        <v>10</v>
      </c>
      <c r="E58" s="247">
        <v>600</v>
      </c>
      <c r="F58" s="614"/>
    </row>
    <row r="59" spans="1:8" x14ac:dyDescent="0.3">
      <c r="A59" s="244"/>
      <c r="B59" s="246"/>
      <c r="C59" s="1"/>
      <c r="D59" s="250"/>
      <c r="E59" s="251">
        <f>SUM(E48:E58)</f>
        <v>8103.8499999999995</v>
      </c>
      <c r="F59" s="416"/>
    </row>
    <row r="60" spans="1:8" x14ac:dyDescent="0.3">
      <c r="A60" s="244"/>
      <c r="B60" s="243" t="s">
        <v>820</v>
      </c>
      <c r="C60" s="1"/>
      <c r="D60" s="250"/>
      <c r="E60" s="251">
        <f>E59+E46</f>
        <v>13214.849999999999</v>
      </c>
      <c r="F60" s="416"/>
    </row>
    <row r="61" spans="1:8" x14ac:dyDescent="0.3">
      <c r="A61" s="244"/>
      <c r="B61" s="246" t="s">
        <v>642</v>
      </c>
      <c r="C61" s="246"/>
      <c r="D61" s="59"/>
      <c r="E61" s="247">
        <f>E60*15%</f>
        <v>1982.2274999999997</v>
      </c>
      <c r="F61" s="416"/>
    </row>
    <row r="62" spans="1:8" ht="21" x14ac:dyDescent="0.3">
      <c r="A62" s="246"/>
      <c r="B62" s="417" t="s">
        <v>123</v>
      </c>
      <c r="C62" s="246"/>
      <c r="D62" s="59"/>
      <c r="E62" s="418">
        <f>SUM(E60:E61)</f>
        <v>15197.077499999998</v>
      </c>
      <c r="F62" s="416"/>
    </row>
    <row r="63" spans="1:8" x14ac:dyDescent="0.3">
      <c r="E63" s="419"/>
      <c r="F63" s="416"/>
    </row>
    <row r="64" spans="1:8" x14ac:dyDescent="0.3">
      <c r="B64" s="243" t="s">
        <v>499</v>
      </c>
      <c r="C64" s="246"/>
    </row>
    <row r="65" spans="2:12" x14ac:dyDescent="0.3">
      <c r="B65" s="246" t="s">
        <v>643</v>
      </c>
      <c r="C65" s="247">
        <v>6641.5</v>
      </c>
    </row>
    <row r="66" spans="2:12" x14ac:dyDescent="0.3">
      <c r="B66" s="246" t="s">
        <v>644</v>
      </c>
      <c r="C66" s="247">
        <v>8902.8150134048265</v>
      </c>
    </row>
    <row r="67" spans="2:12" x14ac:dyDescent="0.3">
      <c r="B67" s="246" t="s">
        <v>645</v>
      </c>
      <c r="C67" s="247">
        <v>3115.9852546916891</v>
      </c>
      <c r="E67" s="255">
        <v>68.89</v>
      </c>
    </row>
    <row r="68" spans="2:12" x14ac:dyDescent="0.3">
      <c r="B68" s="246" t="s">
        <v>646</v>
      </c>
      <c r="C68" s="247">
        <v>2905.6562499999995</v>
      </c>
      <c r="E68" s="255">
        <v>63.26</v>
      </c>
    </row>
    <row r="69" spans="2:12" x14ac:dyDescent="0.3">
      <c r="B69" s="246" t="s">
        <v>647</v>
      </c>
      <c r="C69" s="247">
        <v>2800</v>
      </c>
    </row>
    <row r="70" spans="2:12" x14ac:dyDescent="0.3">
      <c r="B70" s="246" t="s">
        <v>648</v>
      </c>
      <c r="C70" s="247">
        <v>512.75</v>
      </c>
    </row>
    <row r="71" spans="2:12" x14ac:dyDescent="0.3">
      <c r="B71" s="246" t="s">
        <v>649</v>
      </c>
      <c r="C71" s="247">
        <v>6218.40625</v>
      </c>
    </row>
    <row r="72" spans="2:12" x14ac:dyDescent="0.3">
      <c r="B72" s="246" t="s">
        <v>650</v>
      </c>
      <c r="C72" s="247">
        <v>3300</v>
      </c>
    </row>
    <row r="73" spans="2:12" ht="28.8" x14ac:dyDescent="0.3">
      <c r="B73" s="249" t="s">
        <v>651</v>
      </c>
      <c r="C73" s="247">
        <v>2918.40625</v>
      </c>
    </row>
    <row r="74" spans="2:12" x14ac:dyDescent="0.3">
      <c r="B74" s="246"/>
      <c r="C74" s="246"/>
      <c r="K74" s="420"/>
      <c r="L74" s="420"/>
    </row>
    <row r="78" spans="2:12" x14ac:dyDescent="0.25">
      <c r="C78" s="424" t="s">
        <v>827</v>
      </c>
      <c r="D78" s="255" t="s">
        <v>828</v>
      </c>
    </row>
    <row r="79" spans="2:12" x14ac:dyDescent="0.3">
      <c r="C79" s="242">
        <v>53869</v>
      </c>
      <c r="D79" s="255">
        <f>C79/10.764</f>
        <v>5004.5522110739503</v>
      </c>
      <c r="E79" s="255">
        <f>D79*6340</f>
        <v>31728861.018208846</v>
      </c>
    </row>
  </sheetData>
  <mergeCells count="4">
    <mergeCell ref="A2:E2"/>
    <mergeCell ref="B3:E3"/>
    <mergeCell ref="H29:K29"/>
    <mergeCell ref="F56:F5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50"/>
  <sheetViews>
    <sheetView topLeftCell="F28" workbookViewId="0">
      <selection activeCell="Q42" sqref="Q42"/>
    </sheetView>
  </sheetViews>
  <sheetFormatPr defaultRowHeight="14.4" x14ac:dyDescent="0.3"/>
  <cols>
    <col min="1" max="1" width="31.33203125" customWidth="1"/>
    <col min="2" max="2" width="10.88671875" bestFit="1" customWidth="1"/>
    <col min="3" max="3" width="14.5546875" bestFit="1" customWidth="1"/>
    <col min="4" max="5" width="14.5546875" customWidth="1"/>
    <col min="6" max="6" width="10.88671875" bestFit="1" customWidth="1"/>
    <col min="7" max="7" width="13" bestFit="1" customWidth="1"/>
    <col min="8" max="9" width="13" customWidth="1"/>
    <col min="10" max="10" width="10.88671875" bestFit="1" customWidth="1"/>
    <col min="11" max="11" width="14.5546875" bestFit="1" customWidth="1"/>
    <col min="12" max="13" width="14.5546875" customWidth="1"/>
    <col min="14" max="14" width="16.33203125" bestFit="1" customWidth="1"/>
    <col min="15" max="15" width="14.5546875" customWidth="1"/>
    <col min="16" max="16" width="10.88671875" bestFit="1" customWidth="1"/>
    <col min="17" max="17" width="14.5546875" bestFit="1" customWidth="1"/>
    <col min="18" max="18" width="14.5546875" customWidth="1"/>
    <col min="19" max="19" width="10.33203125" customWidth="1"/>
    <col min="20" max="20" width="14.109375" customWidth="1"/>
  </cols>
  <sheetData>
    <row r="1" spans="1:20" s="469" customFormat="1" x14ac:dyDescent="0.3">
      <c r="A1" s="470" t="s">
        <v>415</v>
      </c>
    </row>
    <row r="3" spans="1:20" x14ac:dyDescent="0.3">
      <c r="A3" s="474" t="s">
        <v>312</v>
      </c>
    </row>
    <row r="5" spans="1:20" x14ac:dyDescent="0.3">
      <c r="A5" s="616" t="s">
        <v>227</v>
      </c>
      <c r="B5" s="618"/>
      <c r="C5" s="618"/>
      <c r="D5" s="618"/>
      <c r="E5" s="618"/>
      <c r="F5" s="618"/>
      <c r="G5" s="618"/>
      <c r="H5" s="618"/>
      <c r="I5" s="618"/>
      <c r="J5" s="618"/>
      <c r="K5" s="618"/>
      <c r="L5" s="618"/>
      <c r="M5" s="618"/>
      <c r="N5" s="618"/>
      <c r="O5" s="618"/>
      <c r="P5" s="618"/>
      <c r="Q5" s="617"/>
      <c r="R5" s="297"/>
    </row>
    <row r="6" spans="1:20" x14ac:dyDescent="0.3">
      <c r="A6" s="64"/>
      <c r="B6" s="615" t="s">
        <v>217</v>
      </c>
      <c r="C6" s="615"/>
      <c r="D6" s="427"/>
      <c r="E6" s="427"/>
      <c r="F6" s="615" t="s">
        <v>216</v>
      </c>
      <c r="G6" s="615"/>
      <c r="H6" s="425"/>
      <c r="I6" s="425"/>
      <c r="J6" s="616" t="s">
        <v>215</v>
      </c>
      <c r="K6" s="617"/>
      <c r="L6" s="426"/>
      <c r="M6" s="426"/>
      <c r="N6" s="616" t="s">
        <v>669</v>
      </c>
      <c r="O6" s="617"/>
      <c r="P6" s="615" t="s">
        <v>214</v>
      </c>
      <c r="Q6" s="615"/>
      <c r="R6" s="297"/>
    </row>
    <row r="7" spans="1:20" ht="28.8" x14ac:dyDescent="0.3">
      <c r="A7" s="57" t="s">
        <v>206</v>
      </c>
      <c r="B7" s="63" t="s">
        <v>208</v>
      </c>
      <c r="C7" s="63" t="s">
        <v>213</v>
      </c>
      <c r="D7" s="63" t="s">
        <v>835</v>
      </c>
      <c r="E7" s="63" t="s">
        <v>917</v>
      </c>
      <c r="F7" s="63" t="s">
        <v>208</v>
      </c>
      <c r="G7" s="63" t="s">
        <v>213</v>
      </c>
      <c r="H7" s="63" t="s">
        <v>835</v>
      </c>
      <c r="I7" s="63" t="s">
        <v>917</v>
      </c>
      <c r="J7" s="63" t="s">
        <v>208</v>
      </c>
      <c r="K7" s="63" t="s">
        <v>213</v>
      </c>
      <c r="L7" s="63" t="s">
        <v>835</v>
      </c>
      <c r="M7" s="63" t="s">
        <v>917</v>
      </c>
      <c r="N7" s="63" t="s">
        <v>208</v>
      </c>
      <c r="O7" s="63" t="s">
        <v>213</v>
      </c>
      <c r="P7" s="63" t="s">
        <v>208</v>
      </c>
      <c r="Q7" s="63" t="s">
        <v>213</v>
      </c>
      <c r="R7" s="61"/>
      <c r="S7" s="63" t="s">
        <v>671</v>
      </c>
      <c r="T7" s="63" t="s">
        <v>670</v>
      </c>
    </row>
    <row r="8" spans="1:20" x14ac:dyDescent="0.3">
      <c r="A8" s="1"/>
      <c r="B8" s="1"/>
      <c r="C8" s="1"/>
      <c r="D8" s="1"/>
      <c r="E8" s="1"/>
      <c r="F8" s="1"/>
      <c r="G8" s="1"/>
      <c r="H8" s="1"/>
      <c r="I8" s="1"/>
      <c r="J8" s="1"/>
      <c r="K8" s="1"/>
      <c r="L8" s="1"/>
      <c r="M8" s="1"/>
      <c r="N8" s="1"/>
      <c r="O8" s="1"/>
      <c r="P8" s="1"/>
      <c r="Q8" s="1"/>
      <c r="S8" s="1"/>
      <c r="T8" s="1"/>
    </row>
    <row r="9" spans="1:20" x14ac:dyDescent="0.3">
      <c r="A9" s="304" t="s">
        <v>228</v>
      </c>
      <c r="B9" s="301">
        <v>101.867</v>
      </c>
      <c r="C9" s="301">
        <v>6285.46</v>
      </c>
      <c r="D9" s="301">
        <f>C9/B9</f>
        <v>61.70261222967202</v>
      </c>
      <c r="E9" s="301"/>
      <c r="F9" s="301">
        <v>37.268000000000001</v>
      </c>
      <c r="G9" s="301">
        <v>2594.04</v>
      </c>
      <c r="H9" s="301">
        <f>G9/F9</f>
        <v>69.605023076097453</v>
      </c>
      <c r="I9" s="438"/>
      <c r="J9" s="301"/>
      <c r="K9" s="301"/>
      <c r="L9" s="301"/>
      <c r="M9" s="301"/>
      <c r="N9" s="301"/>
      <c r="O9" s="301"/>
      <c r="P9" s="301">
        <f t="shared" ref="P9:P19" si="0">+B9+F9+J9+N9</f>
        <v>139.13499999999999</v>
      </c>
      <c r="Q9" s="301">
        <f t="shared" ref="Q9:Q19" si="1">+C9+G9+K9+O9</f>
        <v>8879.5</v>
      </c>
      <c r="R9" s="302"/>
      <c r="S9" s="1">
        <v>216</v>
      </c>
      <c r="T9" s="300">
        <f>P9/S9</f>
        <v>0.64414351851851848</v>
      </c>
    </row>
    <row r="10" spans="1:20" x14ac:dyDescent="0.3">
      <c r="A10" s="304" t="s">
        <v>229</v>
      </c>
      <c r="B10" s="301">
        <v>81.012</v>
      </c>
      <c r="C10" s="301">
        <v>5137</v>
      </c>
      <c r="D10" s="301">
        <f t="shared" ref="D10:D19" si="2">C10/B10</f>
        <v>63.410358959166544</v>
      </c>
      <c r="E10" s="438">
        <f>D10/D9-1</f>
        <v>2.7677057223085999E-2</v>
      </c>
      <c r="F10" s="301">
        <v>110.521</v>
      </c>
      <c r="G10" s="301">
        <v>6282.06</v>
      </c>
      <c r="H10" s="301">
        <f t="shared" ref="H10:H19" si="3">G10/F10</f>
        <v>56.840419467793453</v>
      </c>
      <c r="I10" s="438">
        <f t="shared" ref="I10:I19" si="4">H10/H9-1</f>
        <v>-0.18338624202952669</v>
      </c>
      <c r="J10" s="301"/>
      <c r="K10" s="301"/>
      <c r="L10" s="301"/>
      <c r="M10" s="301"/>
      <c r="N10" s="301"/>
      <c r="O10" s="301"/>
      <c r="P10" s="301">
        <f t="shared" si="0"/>
        <v>191.53300000000002</v>
      </c>
      <c r="Q10" s="301">
        <f t="shared" si="1"/>
        <v>11419.060000000001</v>
      </c>
      <c r="R10" s="404">
        <f>P10/P9-1</f>
        <v>0.37659826786933581</v>
      </c>
      <c r="S10" s="1">
        <f>S9</f>
        <v>216</v>
      </c>
      <c r="T10" s="300">
        <f t="shared" ref="T10:T19" si="5">P10/S10</f>
        <v>0.88672685185185196</v>
      </c>
    </row>
    <row r="11" spans="1:20" x14ac:dyDescent="0.3">
      <c r="A11" s="304" t="s">
        <v>230</v>
      </c>
      <c r="B11" s="301">
        <v>95.882000000000005</v>
      </c>
      <c r="C11" s="301">
        <v>6542.49</v>
      </c>
      <c r="D11" s="301">
        <f t="shared" si="2"/>
        <v>68.234809453286331</v>
      </c>
      <c r="E11" s="438">
        <f t="shared" ref="E11:E19" si="6">D11/D10-1</f>
        <v>7.608300241962862E-2</v>
      </c>
      <c r="F11" s="301">
        <v>108.301</v>
      </c>
      <c r="G11" s="301">
        <v>8270.48</v>
      </c>
      <c r="H11" s="301">
        <f t="shared" si="3"/>
        <v>76.365684527382015</v>
      </c>
      <c r="I11" s="438">
        <f t="shared" si="4"/>
        <v>0.34351022111390006</v>
      </c>
      <c r="J11" s="301"/>
      <c r="K11" s="301"/>
      <c r="L11" s="301"/>
      <c r="M11" s="301"/>
      <c r="N11" s="301"/>
      <c r="O11" s="301"/>
      <c r="P11" s="301">
        <f t="shared" si="0"/>
        <v>204.18299999999999</v>
      </c>
      <c r="Q11" s="301">
        <f t="shared" si="1"/>
        <v>14812.97</v>
      </c>
      <c r="R11" s="404">
        <f t="shared" ref="R11:R19" si="7">P11/P10-1</f>
        <v>6.6046059947894031E-2</v>
      </c>
      <c r="S11" s="1">
        <f>S10</f>
        <v>216</v>
      </c>
      <c r="T11" s="300">
        <f t="shared" si="5"/>
        <v>0.94529166666666664</v>
      </c>
    </row>
    <row r="12" spans="1:20" x14ac:dyDescent="0.3">
      <c r="A12" s="304" t="s">
        <v>231</v>
      </c>
      <c r="B12" s="301">
        <v>137.27000000000001</v>
      </c>
      <c r="C12" s="301">
        <v>10300.77</v>
      </c>
      <c r="D12" s="301">
        <f t="shared" si="2"/>
        <v>75.040212719457998</v>
      </c>
      <c r="E12" s="438">
        <f t="shared" si="6"/>
        <v>9.9735066613334089E-2</v>
      </c>
      <c r="F12" s="301">
        <v>79.319999999999993</v>
      </c>
      <c r="G12" s="301">
        <v>5837.78</v>
      </c>
      <c r="H12" s="301">
        <f t="shared" si="3"/>
        <v>73.597831568330818</v>
      </c>
      <c r="I12" s="438">
        <f t="shared" si="4"/>
        <v>-3.6244721384756873E-2</v>
      </c>
      <c r="J12" s="301"/>
      <c r="K12" s="301"/>
      <c r="L12" s="301"/>
      <c r="M12" s="301"/>
      <c r="N12" s="301"/>
      <c r="O12" s="301"/>
      <c r="P12" s="301">
        <f t="shared" si="0"/>
        <v>216.59</v>
      </c>
      <c r="Q12" s="301">
        <f t="shared" si="1"/>
        <v>16138.55</v>
      </c>
      <c r="R12" s="404">
        <f t="shared" si="7"/>
        <v>6.076411846235974E-2</v>
      </c>
      <c r="S12" s="1">
        <f>S11</f>
        <v>216</v>
      </c>
      <c r="T12" s="300">
        <f t="shared" si="5"/>
        <v>1.0027314814814814</v>
      </c>
    </row>
    <row r="13" spans="1:20" x14ac:dyDescent="0.3">
      <c r="A13" s="304" t="s">
        <v>209</v>
      </c>
      <c r="B13" s="301">
        <v>70</v>
      </c>
      <c r="C13" s="301">
        <v>5250</v>
      </c>
      <c r="D13" s="301">
        <f t="shared" si="2"/>
        <v>75</v>
      </c>
      <c r="E13" s="438">
        <f t="shared" si="6"/>
        <v>-5.3588226899536906E-4</v>
      </c>
      <c r="F13" s="301">
        <v>81</v>
      </c>
      <c r="G13" s="301">
        <v>6069.6</v>
      </c>
      <c r="H13" s="301">
        <f t="shared" si="3"/>
        <v>74.933333333333337</v>
      </c>
      <c r="I13" s="438">
        <f t="shared" si="4"/>
        <v>1.8145939038470171E-2</v>
      </c>
      <c r="J13" s="301">
        <v>32.880000000000003</v>
      </c>
      <c r="K13" s="301">
        <v>12280.68</v>
      </c>
      <c r="L13" s="301">
        <f t="shared" ref="L13:L19" si="8">K13/J13</f>
        <v>373.5</v>
      </c>
      <c r="M13" s="438"/>
      <c r="N13" s="301"/>
      <c r="O13" s="301"/>
      <c r="P13" s="301">
        <f t="shared" si="0"/>
        <v>183.88</v>
      </c>
      <c r="Q13" s="301">
        <f t="shared" si="1"/>
        <v>23600.28</v>
      </c>
      <c r="R13" s="404">
        <f t="shared" si="7"/>
        <v>-0.15102266955999821</v>
      </c>
      <c r="S13" s="1">
        <f>S12+216</f>
        <v>432</v>
      </c>
      <c r="T13" s="300">
        <f t="shared" si="5"/>
        <v>0.42564814814814816</v>
      </c>
    </row>
    <row r="14" spans="1:20" x14ac:dyDescent="0.3">
      <c r="A14" s="304" t="s">
        <v>211</v>
      </c>
      <c r="B14" s="301">
        <v>70</v>
      </c>
      <c r="C14" s="301">
        <v>5250</v>
      </c>
      <c r="D14" s="301">
        <f t="shared" si="2"/>
        <v>75</v>
      </c>
      <c r="E14" s="438">
        <f t="shared" si="6"/>
        <v>0</v>
      </c>
      <c r="F14" s="301">
        <v>90</v>
      </c>
      <c r="G14" s="301">
        <v>6930</v>
      </c>
      <c r="H14" s="301">
        <f t="shared" si="3"/>
        <v>77</v>
      </c>
      <c r="I14" s="438">
        <f t="shared" si="4"/>
        <v>2.7580071174377219E-2</v>
      </c>
      <c r="J14" s="301">
        <v>58</v>
      </c>
      <c r="K14" s="301">
        <v>21663</v>
      </c>
      <c r="L14" s="301">
        <f t="shared" si="8"/>
        <v>373.5</v>
      </c>
      <c r="M14" s="438">
        <f t="shared" ref="M14:M19" si="9">L14/L13-1</f>
        <v>0</v>
      </c>
      <c r="N14" s="301"/>
      <c r="O14" s="301"/>
      <c r="P14" s="301">
        <f t="shared" si="0"/>
        <v>218</v>
      </c>
      <c r="Q14" s="301">
        <f t="shared" si="1"/>
        <v>33843</v>
      </c>
      <c r="R14" s="404">
        <f t="shared" si="7"/>
        <v>0.185555797259082</v>
      </c>
      <c r="S14" s="1">
        <f>S13</f>
        <v>432</v>
      </c>
      <c r="T14" s="300">
        <f t="shared" si="5"/>
        <v>0.50462962962962965</v>
      </c>
    </row>
    <row r="15" spans="1:20" x14ac:dyDescent="0.3">
      <c r="A15" s="304" t="s">
        <v>212</v>
      </c>
      <c r="B15" s="301">
        <v>70</v>
      </c>
      <c r="C15" s="301">
        <v>5250</v>
      </c>
      <c r="D15" s="301">
        <f t="shared" si="2"/>
        <v>75</v>
      </c>
      <c r="E15" s="438">
        <f t="shared" si="6"/>
        <v>0</v>
      </c>
      <c r="F15" s="301">
        <v>90</v>
      </c>
      <c r="G15" s="301">
        <v>7110</v>
      </c>
      <c r="H15" s="301">
        <f t="shared" si="3"/>
        <v>79</v>
      </c>
      <c r="I15" s="438">
        <f t="shared" si="4"/>
        <v>2.5974025974025983E-2</v>
      </c>
      <c r="J15" s="301">
        <v>144.648</v>
      </c>
      <c r="K15" s="301">
        <v>54026.027999999998</v>
      </c>
      <c r="L15" s="301">
        <f t="shared" si="8"/>
        <v>373.5</v>
      </c>
      <c r="M15" s="438">
        <f t="shared" si="9"/>
        <v>0</v>
      </c>
      <c r="N15" s="301"/>
      <c r="O15" s="301"/>
      <c r="P15" s="301">
        <f t="shared" si="0"/>
        <v>304.64800000000002</v>
      </c>
      <c r="Q15" s="301">
        <f t="shared" si="1"/>
        <v>66386.027999999991</v>
      </c>
      <c r="R15" s="404">
        <f t="shared" si="7"/>
        <v>0.3974678899082571</v>
      </c>
      <c r="S15" s="1">
        <f>S14</f>
        <v>432</v>
      </c>
      <c r="T15" s="300">
        <f t="shared" si="5"/>
        <v>0.70520370370370378</v>
      </c>
    </row>
    <row r="16" spans="1:20" x14ac:dyDescent="0.3">
      <c r="A16" s="304" t="s">
        <v>805</v>
      </c>
      <c r="B16" s="409">
        <f t="shared" ref="B16:K19" si="10">B23</f>
        <v>74.748219612641137</v>
      </c>
      <c r="C16" s="409">
        <f t="shared" si="10"/>
        <v>5986.3889306353167</v>
      </c>
      <c r="D16" s="301">
        <f t="shared" si="2"/>
        <v>80.087378156401215</v>
      </c>
      <c r="E16" s="438">
        <f t="shared" si="6"/>
        <v>6.7831708752016162E-2</v>
      </c>
      <c r="F16" s="409">
        <f t="shared" si="10"/>
        <v>93.716377730988498</v>
      </c>
      <c r="G16" s="409">
        <f t="shared" si="10"/>
        <v>7709.3110771818665</v>
      </c>
      <c r="H16" s="301">
        <f t="shared" si="3"/>
        <v>82.262153786089897</v>
      </c>
      <c r="I16" s="438">
        <f t="shared" si="4"/>
        <v>4.1293085899872128E-2</v>
      </c>
      <c r="J16" s="409">
        <f>J23</f>
        <v>152.87847119999998</v>
      </c>
      <c r="K16" s="409">
        <f>K23</f>
        <v>60349.105194913063</v>
      </c>
      <c r="L16" s="301">
        <f t="shared" si="8"/>
        <v>394.75214999999997</v>
      </c>
      <c r="M16" s="438">
        <f t="shared" si="9"/>
        <v>5.6899999999999951E-2</v>
      </c>
      <c r="N16" s="1"/>
      <c r="O16" s="1"/>
      <c r="P16" s="301">
        <f t="shared" si="0"/>
        <v>321.34306854362961</v>
      </c>
      <c r="Q16" s="301">
        <f t="shared" si="1"/>
        <v>74044.805202730247</v>
      </c>
      <c r="R16" s="404">
        <f t="shared" si="7"/>
        <v>5.4801175598164331E-2</v>
      </c>
      <c r="S16" s="1">
        <f t="shared" ref="S16:S18" si="11">S15</f>
        <v>432</v>
      </c>
      <c r="T16" s="300">
        <f t="shared" si="5"/>
        <v>0.74384969570284631</v>
      </c>
    </row>
    <row r="17" spans="1:20" x14ac:dyDescent="0.3">
      <c r="A17" s="304" t="s">
        <v>806</v>
      </c>
      <c r="B17" s="409">
        <f t="shared" si="10"/>
        <v>79.818519075137559</v>
      </c>
      <c r="C17" s="409">
        <f t="shared" si="10"/>
        <v>6392.4559210544649</v>
      </c>
      <c r="D17" s="301">
        <f t="shared" si="2"/>
        <v>80.087378156401215</v>
      </c>
      <c r="E17" s="438">
        <f t="shared" si="6"/>
        <v>0</v>
      </c>
      <c r="F17" s="409">
        <f t="shared" si="10"/>
        <v>97.586216166859074</v>
      </c>
      <c r="G17" s="409">
        <f t="shared" si="10"/>
        <v>8027.6523217207732</v>
      </c>
      <c r="H17" s="301">
        <f t="shared" si="3"/>
        <v>82.262153786089897</v>
      </c>
      <c r="I17" s="438">
        <f t="shared" si="4"/>
        <v>0</v>
      </c>
      <c r="J17" s="409">
        <f t="shared" si="10"/>
        <v>161.57725621127997</v>
      </c>
      <c r="K17" s="409">
        <f t="shared" si="10"/>
        <v>63782.969280503625</v>
      </c>
      <c r="L17" s="301">
        <f t="shared" si="8"/>
        <v>394.75215000000003</v>
      </c>
      <c r="M17" s="438">
        <f t="shared" si="9"/>
        <v>0</v>
      </c>
      <c r="N17" s="1"/>
      <c r="O17" s="1"/>
      <c r="P17" s="301">
        <f t="shared" si="0"/>
        <v>338.98199145327658</v>
      </c>
      <c r="Q17" s="301">
        <f t="shared" si="1"/>
        <v>78203.077523278858</v>
      </c>
      <c r="R17" s="404">
        <f t="shared" si="7"/>
        <v>5.4891250617568721E-2</v>
      </c>
      <c r="S17" s="1">
        <f t="shared" si="11"/>
        <v>432</v>
      </c>
      <c r="T17" s="300">
        <f t="shared" si="5"/>
        <v>0.78468053577147356</v>
      </c>
    </row>
    <row r="18" spans="1:20" x14ac:dyDescent="0.3">
      <c r="A18" s="304" t="s">
        <v>807</v>
      </c>
      <c r="B18" s="409">
        <f t="shared" si="10"/>
        <v>85.232745614059539</v>
      </c>
      <c r="C18" s="409">
        <f t="shared" si="10"/>
        <v>6826.0671293015339</v>
      </c>
      <c r="D18" s="301">
        <f t="shared" si="2"/>
        <v>80.087378156401215</v>
      </c>
      <c r="E18" s="438">
        <f t="shared" si="6"/>
        <v>0</v>
      </c>
      <c r="F18" s="409">
        <f t="shared" si="10"/>
        <v>101.61585217368068</v>
      </c>
      <c r="G18" s="409">
        <f t="shared" si="10"/>
        <v>8359.1388586158973</v>
      </c>
      <c r="H18" s="301">
        <f t="shared" si="3"/>
        <v>82.262153786089897</v>
      </c>
      <c r="I18" s="438">
        <f t="shared" si="4"/>
        <v>0</v>
      </c>
      <c r="J18" s="409">
        <f t="shared" si="10"/>
        <v>170.7710020897018</v>
      </c>
      <c r="K18" s="409">
        <f t="shared" si="10"/>
        <v>67412.220232564272</v>
      </c>
      <c r="L18" s="301">
        <f t="shared" si="8"/>
        <v>394.75214999999997</v>
      </c>
      <c r="M18" s="438">
        <f t="shared" si="9"/>
        <v>0</v>
      </c>
      <c r="N18" s="1"/>
      <c r="O18" s="1"/>
      <c r="P18" s="301">
        <f t="shared" si="0"/>
        <v>357.61959987744206</v>
      </c>
      <c r="Q18" s="301">
        <f t="shared" si="1"/>
        <v>82597.426220481706</v>
      </c>
      <c r="R18" s="404">
        <f t="shared" si="7"/>
        <v>5.4981116678979536E-2</v>
      </c>
      <c r="S18" s="1">
        <f t="shared" si="11"/>
        <v>432</v>
      </c>
      <c r="T18" s="300">
        <f t="shared" si="5"/>
        <v>0.82782314786444922</v>
      </c>
    </row>
    <row r="19" spans="1:20" x14ac:dyDescent="0.3">
      <c r="A19" s="304" t="s">
        <v>808</v>
      </c>
      <c r="B19" s="409">
        <f t="shared" si="10"/>
        <v>91.014228390687109</v>
      </c>
      <c r="C19" s="409">
        <f t="shared" si="10"/>
        <v>7289.0909267380257</v>
      </c>
      <c r="D19" s="301">
        <f t="shared" si="2"/>
        <v>80.087378156401215</v>
      </c>
      <c r="E19" s="438">
        <f t="shared" si="6"/>
        <v>0</v>
      </c>
      <c r="F19" s="409">
        <f t="shared" si="10"/>
        <v>105.81188428627718</v>
      </c>
      <c r="G19" s="409">
        <f t="shared" si="10"/>
        <v>8704.3134975536832</v>
      </c>
      <c r="H19" s="301">
        <f t="shared" si="3"/>
        <v>82.262153786089911</v>
      </c>
      <c r="I19" s="438">
        <f t="shared" si="4"/>
        <v>0</v>
      </c>
      <c r="J19" s="409">
        <f t="shared" si="10"/>
        <v>180.48787210860581</v>
      </c>
      <c r="K19" s="409">
        <f t="shared" si="10"/>
        <v>71247.975563797183</v>
      </c>
      <c r="L19" s="301">
        <f t="shared" si="8"/>
        <v>394.75215000000003</v>
      </c>
      <c r="M19" s="438">
        <f t="shared" si="9"/>
        <v>0</v>
      </c>
      <c r="N19" s="1"/>
      <c r="O19" s="1"/>
      <c r="P19" s="301">
        <f t="shared" si="0"/>
        <v>377.31398478557009</v>
      </c>
      <c r="Q19" s="301">
        <f t="shared" si="1"/>
        <v>87241.379988088884</v>
      </c>
      <c r="R19" s="404">
        <f t="shared" si="7"/>
        <v>5.5070764899008307E-2</v>
      </c>
      <c r="S19" s="1">
        <f>S18</f>
        <v>432</v>
      </c>
      <c r="T19" s="300">
        <f t="shared" si="5"/>
        <v>0.87341200181844925</v>
      </c>
    </row>
    <row r="20" spans="1:20" x14ac:dyDescent="0.3">
      <c r="D20" s="301"/>
      <c r="E20" s="302"/>
    </row>
    <row r="22" spans="1:20" x14ac:dyDescent="0.3">
      <c r="A22" s="1" t="s">
        <v>212</v>
      </c>
      <c r="C22">
        <f>C15/B15</f>
        <v>75</v>
      </c>
      <c r="G22">
        <f>G15/F15</f>
        <v>79</v>
      </c>
      <c r="K22">
        <f>K15/J15</f>
        <v>373.5</v>
      </c>
    </row>
    <row r="23" spans="1:20" x14ac:dyDescent="0.3">
      <c r="A23" s="1" t="s">
        <v>805</v>
      </c>
      <c r="B23" s="24">
        <f>B15*(1+E23)</f>
        <v>74.748219612641137</v>
      </c>
      <c r="C23" s="24">
        <f>B23*C22*(1+$E$23)</f>
        <v>5986.3889306353167</v>
      </c>
      <c r="E23" s="405">
        <f>AVERAGE(E10:E12)</f>
        <v>6.7831708752016232E-2</v>
      </c>
      <c r="F23" s="24">
        <f>F15*(1+I23)</f>
        <v>93.716377730988498</v>
      </c>
      <c r="G23" s="24">
        <f>F23*G22*(1+$I$23)</f>
        <v>7709.3110771818665</v>
      </c>
      <c r="H23" s="24"/>
      <c r="I23" s="405">
        <f>AVERAGE(I10:I12)</f>
        <v>4.1293085899872163E-2</v>
      </c>
      <c r="J23" s="24">
        <f>J15*(1+L23)</f>
        <v>152.87847119999998</v>
      </c>
      <c r="K23" s="24">
        <f>J23*K22*(1+$L$23)</f>
        <v>60349.105194913063</v>
      </c>
      <c r="L23" s="439">
        <v>5.6899999999999999E-2</v>
      </c>
      <c r="M23" s="24"/>
    </row>
    <row r="24" spans="1:20" x14ac:dyDescent="0.3">
      <c r="A24" s="1" t="s">
        <v>806</v>
      </c>
      <c r="B24" s="24">
        <f>B16*(1+E24)</f>
        <v>79.818519075137559</v>
      </c>
      <c r="C24" s="24">
        <f>B24*C22*(1+$E$24)</f>
        <v>6392.4559210544649</v>
      </c>
      <c r="E24" s="405">
        <f>E23</f>
        <v>6.7831708752016232E-2</v>
      </c>
      <c r="F24" s="24">
        <f>F16*(1+I24)</f>
        <v>97.586216166859074</v>
      </c>
      <c r="G24" s="24">
        <f>F24*G22*(1+$I$24)</f>
        <v>8027.6523217207732</v>
      </c>
      <c r="H24" s="24"/>
      <c r="I24" s="405">
        <f>I23</f>
        <v>4.1293085899872163E-2</v>
      </c>
      <c r="J24" s="24">
        <f>J16*(1+L24)</f>
        <v>161.57725621127997</v>
      </c>
      <c r="K24" s="24">
        <f>J24*K22*(1+$L$24)</f>
        <v>63782.969280503625</v>
      </c>
      <c r="L24" s="439">
        <v>5.6899999999999999E-2</v>
      </c>
      <c r="M24" s="24"/>
    </row>
    <row r="25" spans="1:20" x14ac:dyDescent="0.3">
      <c r="A25" s="1" t="s">
        <v>807</v>
      </c>
      <c r="B25" s="24">
        <f>B17*(1+E25)</f>
        <v>85.232745614059539</v>
      </c>
      <c r="C25" s="24">
        <f>B25*C22*(1+$E$25)</f>
        <v>6826.0671293015339</v>
      </c>
      <c r="E25" s="405">
        <f>E24</f>
        <v>6.7831708752016232E-2</v>
      </c>
      <c r="F25" s="24">
        <f>F17*(1+I25)</f>
        <v>101.61585217368068</v>
      </c>
      <c r="G25" s="24">
        <f>F25*G22*(1+$I$25)</f>
        <v>8359.1388586158973</v>
      </c>
      <c r="H25" s="24"/>
      <c r="I25" s="405">
        <f>I24</f>
        <v>4.1293085899872163E-2</v>
      </c>
      <c r="J25" s="24">
        <f>J17*(1+L25)</f>
        <v>170.7710020897018</v>
      </c>
      <c r="K25" s="24">
        <f>J25*K22*(1+$L$25)</f>
        <v>67412.220232564272</v>
      </c>
      <c r="L25" s="439">
        <v>5.6899999999999999E-2</v>
      </c>
      <c r="M25" s="24"/>
    </row>
    <row r="26" spans="1:20" x14ac:dyDescent="0.3">
      <c r="A26" s="1" t="s">
        <v>808</v>
      </c>
      <c r="B26" s="24">
        <f>B18*(1+E26)</f>
        <v>91.014228390687109</v>
      </c>
      <c r="C26" s="24">
        <f>B26*C22*(1+$E$26)</f>
        <v>7289.0909267380257</v>
      </c>
      <c r="E26" s="405">
        <f>E25</f>
        <v>6.7831708752016232E-2</v>
      </c>
      <c r="F26" s="24">
        <f>F18*(1+I26)</f>
        <v>105.81188428627718</v>
      </c>
      <c r="G26" s="24">
        <f>F26*G22*(1+$I$26)</f>
        <v>8704.3134975536832</v>
      </c>
      <c r="H26" s="24"/>
      <c r="I26" s="405">
        <f>I25</f>
        <v>4.1293085899872163E-2</v>
      </c>
      <c r="J26" s="24">
        <f>J18*(1+L26)</f>
        <v>180.48787210860581</v>
      </c>
      <c r="K26" s="24">
        <f>J26*K22*(1+$L$26)</f>
        <v>71247.975563797183</v>
      </c>
      <c r="L26" s="439">
        <v>5.6899999999999999E-2</v>
      </c>
      <c r="M26" s="24"/>
    </row>
    <row r="29" spans="1:20" x14ac:dyDescent="0.3">
      <c r="B29" s="20">
        <f>C12/B12</f>
        <v>75.040212719457998</v>
      </c>
      <c r="C29" s="24">
        <f>B29*B13</f>
        <v>5252.8148903620595</v>
      </c>
      <c r="D29" s="24"/>
      <c r="E29" s="24"/>
      <c r="F29" s="20">
        <f>G12/F12</f>
        <v>73.597831568330818</v>
      </c>
      <c r="G29" s="24">
        <f>F13*F29</f>
        <v>5961.4243570347962</v>
      </c>
      <c r="H29" s="24"/>
      <c r="I29" s="24"/>
    </row>
    <row r="30" spans="1:20" x14ac:dyDescent="0.3">
      <c r="B30" t="s">
        <v>733</v>
      </c>
      <c r="C30" s="24">
        <f>C13/B13</f>
        <v>75</v>
      </c>
      <c r="D30" s="24"/>
      <c r="E30" s="24"/>
      <c r="G30" s="24">
        <f>G13/F13</f>
        <v>74.933333333333337</v>
      </c>
      <c r="H30" s="24"/>
      <c r="I30" s="24"/>
      <c r="K30" s="24">
        <f>K13/J13</f>
        <v>373.5</v>
      </c>
      <c r="L30" s="24"/>
      <c r="M30" s="24"/>
    </row>
    <row r="33" spans="1:17" x14ac:dyDescent="0.3">
      <c r="A33" s="64"/>
      <c r="B33" s="615" t="s">
        <v>217</v>
      </c>
      <c r="C33" s="615"/>
      <c r="D33" s="615" t="s">
        <v>216</v>
      </c>
      <c r="E33" s="615"/>
      <c r="F33" s="616" t="s">
        <v>215</v>
      </c>
      <c r="G33" s="617"/>
      <c r="H33" s="615" t="s">
        <v>214</v>
      </c>
      <c r="I33" s="615"/>
      <c r="L33" s="426"/>
    </row>
    <row r="34" spans="1:17" ht="28.8" x14ac:dyDescent="0.3">
      <c r="A34" s="57" t="s">
        <v>206</v>
      </c>
      <c r="B34" s="63" t="s">
        <v>208</v>
      </c>
      <c r="C34" s="63" t="s">
        <v>213</v>
      </c>
      <c r="D34" s="63" t="s">
        <v>208</v>
      </c>
      <c r="E34" s="63" t="s">
        <v>213</v>
      </c>
      <c r="F34" s="63" t="s">
        <v>208</v>
      </c>
      <c r="G34" s="63" t="s">
        <v>213</v>
      </c>
      <c r="H34" s="63" t="s">
        <v>208</v>
      </c>
      <c r="I34" s="63" t="s">
        <v>213</v>
      </c>
      <c r="L34" s="63"/>
      <c r="O34" s="616" t="s">
        <v>925</v>
      </c>
      <c r="P34" s="617"/>
    </row>
    <row r="35" spans="1:17" x14ac:dyDescent="0.3">
      <c r="A35" s="1"/>
      <c r="B35" s="1"/>
      <c r="C35" s="1"/>
      <c r="D35" s="1"/>
      <c r="E35" s="1"/>
      <c r="F35" s="1"/>
      <c r="G35" s="1"/>
      <c r="H35" s="1"/>
      <c r="I35" s="1"/>
      <c r="L35" s="1"/>
      <c r="O35" t="s">
        <v>926</v>
      </c>
    </row>
    <row r="36" spans="1:17" x14ac:dyDescent="0.3">
      <c r="A36" s="304" t="s">
        <v>228</v>
      </c>
      <c r="B36" s="301">
        <v>101.867</v>
      </c>
      <c r="C36" s="301">
        <v>6285.46</v>
      </c>
      <c r="D36" s="301">
        <v>37.268000000000001</v>
      </c>
      <c r="E36" s="301">
        <v>2594.04</v>
      </c>
      <c r="F36" s="301"/>
      <c r="G36" s="301"/>
      <c r="H36" s="301">
        <v>139.13499999999999</v>
      </c>
      <c r="I36" s="301">
        <v>8879.5</v>
      </c>
      <c r="L36" s="301"/>
      <c r="O36">
        <f>150*10</f>
        <v>1500</v>
      </c>
      <c r="P36" t="s">
        <v>919</v>
      </c>
    </row>
    <row r="37" spans="1:17" x14ac:dyDescent="0.3">
      <c r="A37" s="304" t="s">
        <v>229</v>
      </c>
      <c r="B37" s="301">
        <v>81.012</v>
      </c>
      <c r="C37" s="301">
        <v>5137</v>
      </c>
      <c r="D37" s="301">
        <v>110.521</v>
      </c>
      <c r="E37" s="301">
        <v>6282.06</v>
      </c>
      <c r="F37" s="301"/>
      <c r="G37" s="301"/>
      <c r="H37" s="301">
        <v>191.53300000000002</v>
      </c>
      <c r="I37" s="301">
        <v>11419.060000000001</v>
      </c>
      <c r="L37" s="301"/>
      <c r="O37">
        <f>O36/1000</f>
        <v>1.5</v>
      </c>
      <c r="P37" t="s">
        <v>920</v>
      </c>
    </row>
    <row r="38" spans="1:17" x14ac:dyDescent="0.3">
      <c r="A38" s="304" t="s">
        <v>230</v>
      </c>
      <c r="B38" s="301">
        <v>95.882000000000005</v>
      </c>
      <c r="C38" s="301">
        <v>6542.49</v>
      </c>
      <c r="D38" s="301">
        <v>108.301</v>
      </c>
      <c r="E38" s="301">
        <v>8270.48</v>
      </c>
      <c r="F38" s="301"/>
      <c r="G38" s="301"/>
      <c r="H38" s="301">
        <v>204.18299999999999</v>
      </c>
      <c r="I38" s="301">
        <v>14812.97</v>
      </c>
      <c r="L38" s="301"/>
      <c r="O38">
        <f>O37/1000</f>
        <v>1.5E-3</v>
      </c>
      <c r="P38" t="s">
        <v>921</v>
      </c>
      <c r="Q38" t="s">
        <v>924</v>
      </c>
    </row>
    <row r="39" spans="1:17" x14ac:dyDescent="0.3">
      <c r="A39" s="304" t="s">
        <v>231</v>
      </c>
      <c r="B39" s="301">
        <v>137.27000000000001</v>
      </c>
      <c r="C39" s="301">
        <v>10300.77</v>
      </c>
      <c r="D39" s="301">
        <v>79.319999999999993</v>
      </c>
      <c r="E39" s="301">
        <v>5837.78</v>
      </c>
      <c r="F39" s="301"/>
      <c r="G39" s="301"/>
      <c r="H39" s="301">
        <v>216.59</v>
      </c>
      <c r="I39" s="301">
        <v>16138.55</v>
      </c>
      <c r="L39" s="301"/>
      <c r="M39" t="s">
        <v>923</v>
      </c>
      <c r="N39">
        <v>65</v>
      </c>
      <c r="O39">
        <f>O38/1000</f>
        <v>1.5E-6</v>
      </c>
      <c r="P39" t="s">
        <v>922</v>
      </c>
      <c r="Q39">
        <f>N39/O39</f>
        <v>43333333.333333336</v>
      </c>
    </row>
    <row r="40" spans="1:17" x14ac:dyDescent="0.3">
      <c r="A40" s="304" t="s">
        <v>209</v>
      </c>
      <c r="B40" s="301">
        <v>70</v>
      </c>
      <c r="C40" s="301">
        <v>5250</v>
      </c>
      <c r="D40" s="301">
        <v>81</v>
      </c>
      <c r="E40" s="301">
        <v>6069.6</v>
      </c>
      <c r="F40" s="301">
        <v>32.880000000000003</v>
      </c>
      <c r="G40" s="301">
        <v>12280.68</v>
      </c>
      <c r="H40" s="301">
        <v>183.88</v>
      </c>
      <c r="I40" s="301">
        <v>23600.28</v>
      </c>
      <c r="L40" s="301">
        <f>G40/F40</f>
        <v>373.5</v>
      </c>
      <c r="N40" s="24">
        <f>G40*10^5</f>
        <v>1228068000</v>
      </c>
      <c r="O40" s="608">
        <f>F40</f>
        <v>32.880000000000003</v>
      </c>
      <c r="P40" t="s">
        <v>922</v>
      </c>
    </row>
    <row r="41" spans="1:17" x14ac:dyDescent="0.3">
      <c r="A41" s="304" t="s">
        <v>211</v>
      </c>
      <c r="B41" s="301">
        <v>70</v>
      </c>
      <c r="C41" s="301">
        <v>5250</v>
      </c>
      <c r="D41" s="301">
        <v>90</v>
      </c>
      <c r="E41" s="301">
        <v>6930</v>
      </c>
      <c r="F41" s="301">
        <v>58</v>
      </c>
      <c r="G41" s="301">
        <v>21663</v>
      </c>
      <c r="H41" s="301">
        <v>218</v>
      </c>
      <c r="I41" s="301">
        <v>33843</v>
      </c>
      <c r="L41" s="301">
        <f>G41/F41</f>
        <v>373.5</v>
      </c>
      <c r="O41">
        <f>N40/O40</f>
        <v>37350000</v>
      </c>
      <c r="P41" t="s">
        <v>924</v>
      </c>
      <c r="Q41">
        <f>O41/Q39</f>
        <v>0.8619230769230769</v>
      </c>
    </row>
    <row r="42" spans="1:17" x14ac:dyDescent="0.3">
      <c r="A42" s="304" t="s">
        <v>212</v>
      </c>
      <c r="B42" s="301">
        <v>70</v>
      </c>
      <c r="C42" s="301">
        <v>5250</v>
      </c>
      <c r="D42" s="301">
        <v>90</v>
      </c>
      <c r="E42" s="301">
        <v>7110</v>
      </c>
      <c r="F42" s="301">
        <v>144.648</v>
      </c>
      <c r="G42" s="301">
        <v>54026.027999999998</v>
      </c>
      <c r="H42" s="301">
        <v>304.64800000000002</v>
      </c>
      <c r="I42" s="301">
        <v>66386.027999999991</v>
      </c>
      <c r="L42" s="301">
        <f>G42/F42</f>
        <v>373.5</v>
      </c>
      <c r="Q42" s="170">
        <f>1-Q41</f>
        <v>0.1380769230769231</v>
      </c>
    </row>
    <row r="43" spans="1:17" x14ac:dyDescent="0.3">
      <c r="I43" s="301"/>
    </row>
    <row r="44" spans="1:17" x14ac:dyDescent="0.3">
      <c r="A44" s="64"/>
      <c r="B44" s="615" t="s">
        <v>217</v>
      </c>
      <c r="C44" s="615"/>
      <c r="D44" s="615" t="s">
        <v>216</v>
      </c>
      <c r="E44" s="615"/>
      <c r="F44" s="616" t="s">
        <v>215</v>
      </c>
      <c r="G44" s="617"/>
      <c r="H44" s="615" t="s">
        <v>214</v>
      </c>
      <c r="I44" s="615"/>
    </row>
    <row r="45" spans="1:17" ht="28.8" x14ac:dyDescent="0.3">
      <c r="A45" s="57" t="s">
        <v>206</v>
      </c>
      <c r="B45" s="63" t="s">
        <v>208</v>
      </c>
      <c r="C45" s="63" t="s">
        <v>213</v>
      </c>
      <c r="D45" s="63" t="s">
        <v>208</v>
      </c>
      <c r="E45" s="63" t="s">
        <v>213</v>
      </c>
      <c r="F45" s="63" t="s">
        <v>208</v>
      </c>
      <c r="G45" s="63" t="s">
        <v>213</v>
      </c>
      <c r="H45" s="63" t="s">
        <v>208</v>
      </c>
      <c r="I45" s="63" t="s">
        <v>213</v>
      </c>
    </row>
    <row r="46" spans="1:17" x14ac:dyDescent="0.3">
      <c r="A46" s="304" t="s">
        <v>805</v>
      </c>
      <c r="B46" s="301">
        <v>74.748219612641137</v>
      </c>
      <c r="C46" s="301">
        <v>5986.3889306353167</v>
      </c>
      <c r="D46" s="301">
        <v>93.716377730988498</v>
      </c>
      <c r="E46" s="301">
        <v>7709.3110771818665</v>
      </c>
      <c r="F46" s="301">
        <v>152.87847119999998</v>
      </c>
      <c r="G46" s="301">
        <v>60349.105194913063</v>
      </c>
    </row>
    <row r="47" spans="1:17" x14ac:dyDescent="0.3">
      <c r="A47" s="304" t="s">
        <v>806</v>
      </c>
      <c r="B47" s="301">
        <v>79.818519075137559</v>
      </c>
      <c r="C47" s="301">
        <v>6392.4559210544649</v>
      </c>
      <c r="D47" s="301">
        <v>97.586216166859074</v>
      </c>
      <c r="E47" s="301">
        <v>8027.6523217207732</v>
      </c>
      <c r="F47" s="301">
        <v>161.57725621127997</v>
      </c>
      <c r="G47" s="301">
        <v>63782.969280503625</v>
      </c>
    </row>
    <row r="48" spans="1:17" x14ac:dyDescent="0.3">
      <c r="A48" s="304" t="s">
        <v>807</v>
      </c>
      <c r="B48" s="301">
        <v>85.232745614059539</v>
      </c>
      <c r="C48" s="301">
        <v>6826.0671293015339</v>
      </c>
      <c r="D48" s="301">
        <v>101.61585217368068</v>
      </c>
      <c r="E48" s="301">
        <v>8359.1388586158973</v>
      </c>
      <c r="F48" s="301">
        <v>170.7710020897018</v>
      </c>
      <c r="G48" s="301">
        <v>67412.220232564272</v>
      </c>
    </row>
    <row r="49" spans="1:7" x14ac:dyDescent="0.3">
      <c r="A49" s="304" t="s">
        <v>808</v>
      </c>
      <c r="B49" s="301">
        <v>91.014228390687109</v>
      </c>
      <c r="C49" s="301">
        <v>7289.0909267380257</v>
      </c>
      <c r="D49" s="301">
        <v>105.81188428627718</v>
      </c>
      <c r="E49" s="301">
        <v>8704.3134975536832</v>
      </c>
      <c r="F49" s="301">
        <v>180.48787210860581</v>
      </c>
      <c r="G49" s="301">
        <v>71247.975563797183</v>
      </c>
    </row>
    <row r="50" spans="1:7" x14ac:dyDescent="0.3">
      <c r="D50" s="301"/>
      <c r="E50" s="301"/>
    </row>
  </sheetData>
  <mergeCells count="15">
    <mergeCell ref="O34:P34"/>
    <mergeCell ref="A5:Q5"/>
    <mergeCell ref="B6:C6"/>
    <mergeCell ref="F6:G6"/>
    <mergeCell ref="J6:K6"/>
    <mergeCell ref="P6:Q6"/>
    <mergeCell ref="N6:O6"/>
    <mergeCell ref="B44:C44"/>
    <mergeCell ref="D44:E44"/>
    <mergeCell ref="F44:G44"/>
    <mergeCell ref="H44:I44"/>
    <mergeCell ref="B33:C33"/>
    <mergeCell ref="D33:E33"/>
    <mergeCell ref="F33:G33"/>
    <mergeCell ref="H33:I33"/>
  </mergeCells>
  <phoneticPr fontId="7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98"/>
  <sheetViews>
    <sheetView topLeftCell="A58" zoomScaleNormal="100" zoomScaleSheetLayoutView="100" workbookViewId="0">
      <selection activeCell="K64" sqref="K64"/>
    </sheetView>
  </sheetViews>
  <sheetFormatPr defaultRowHeight="14.4" x14ac:dyDescent="0.3"/>
  <cols>
    <col min="1" max="1" width="23" customWidth="1"/>
    <col min="2" max="2" width="43.6640625" customWidth="1"/>
    <col min="3" max="9" width="8.88671875" hidden="1" customWidth="1"/>
    <col min="10" max="15" width="8.88671875" customWidth="1"/>
  </cols>
  <sheetData>
    <row r="1" spans="2:16" ht="21" x14ac:dyDescent="0.4">
      <c r="B1" s="492" t="s">
        <v>415</v>
      </c>
      <c r="C1" s="492"/>
      <c r="D1" s="492"/>
      <c r="E1" s="492"/>
      <c r="F1" s="492"/>
      <c r="G1" s="492"/>
      <c r="H1" s="492"/>
      <c r="I1" s="492"/>
      <c r="J1" s="492"/>
      <c r="K1" s="492"/>
      <c r="L1" s="492"/>
      <c r="M1" s="492"/>
      <c r="N1" s="492"/>
      <c r="O1" s="492"/>
      <c r="P1" s="492"/>
    </row>
    <row r="2" spans="2:16" s="184" customFormat="1" ht="15.6" x14ac:dyDescent="0.3">
      <c r="B2" s="493" t="s">
        <v>527</v>
      </c>
      <c r="C2" s="493"/>
      <c r="D2" s="493"/>
      <c r="E2" s="493"/>
      <c r="F2" s="493"/>
      <c r="G2" s="494"/>
      <c r="H2" s="494"/>
      <c r="I2" s="494"/>
      <c r="J2" s="494"/>
      <c r="K2" s="494"/>
      <c r="L2" s="494"/>
      <c r="M2" s="494"/>
      <c r="N2" s="494"/>
      <c r="O2" s="494"/>
      <c r="P2" s="494"/>
    </row>
    <row r="3" spans="2:16" x14ac:dyDescent="0.3">
      <c r="B3" s="495" t="s">
        <v>417</v>
      </c>
      <c r="C3" s="495"/>
      <c r="D3" s="495"/>
      <c r="E3" s="495"/>
      <c r="F3" s="495"/>
      <c r="G3" s="496"/>
      <c r="H3" s="496"/>
      <c r="I3" s="496"/>
      <c r="J3" s="496"/>
      <c r="K3" s="496"/>
      <c r="L3" s="496"/>
      <c r="M3" s="496"/>
      <c r="N3" s="496"/>
      <c r="O3" s="496"/>
      <c r="P3" s="496"/>
    </row>
    <row r="4" spans="2:16" x14ac:dyDescent="0.3">
      <c r="B4" s="75" t="s">
        <v>525</v>
      </c>
      <c r="C4" s="75"/>
      <c r="D4" s="75"/>
      <c r="E4" s="76">
        <f>DATE(2020,4,1)</f>
        <v>43922</v>
      </c>
      <c r="F4" s="76">
        <f>E5+1</f>
        <v>44287</v>
      </c>
      <c r="G4" s="76">
        <f t="shared" ref="G4:P4" si="0">F5+1</f>
        <v>44652</v>
      </c>
      <c r="H4" s="76">
        <f t="shared" si="0"/>
        <v>45017</v>
      </c>
      <c r="I4" s="209">
        <f>G5+1</f>
        <v>45017</v>
      </c>
      <c r="J4" s="76">
        <f t="shared" si="0"/>
        <v>45383</v>
      </c>
      <c r="K4" s="76">
        <f t="shared" si="0"/>
        <v>45748</v>
      </c>
      <c r="L4" s="76">
        <f t="shared" si="0"/>
        <v>46113</v>
      </c>
      <c r="M4" s="76">
        <f t="shared" si="0"/>
        <v>46478</v>
      </c>
      <c r="N4" s="76">
        <f t="shared" si="0"/>
        <v>46844</v>
      </c>
      <c r="O4" s="76">
        <f t="shared" si="0"/>
        <v>47209</v>
      </c>
      <c r="P4" s="76">
        <f t="shared" si="0"/>
        <v>47574</v>
      </c>
    </row>
    <row r="5" spans="2:16" x14ac:dyDescent="0.3">
      <c r="B5" s="75" t="s">
        <v>418</v>
      </c>
      <c r="C5" s="75"/>
      <c r="D5" s="75"/>
      <c r="E5" s="78">
        <f>DATE((IF(MONTH(E4)&gt;3,YEAR(E4)+1,YEAR(E4))),3,31)</f>
        <v>44286</v>
      </c>
      <c r="F5" s="78">
        <f>DATE((IF(MONTH(F4)&gt;3,YEAR(F4)+1,YEAR(F4))),3,31)</f>
        <v>44651</v>
      </c>
      <c r="G5" s="78">
        <f t="shared" ref="G5:O5" si="1">DATE((IF(MONTH(G4)&gt;3,YEAR(G4)+1,YEAR(G4))),3,31)</f>
        <v>45016</v>
      </c>
      <c r="H5" s="78">
        <f>EOMONTH(G5,9)</f>
        <v>45291</v>
      </c>
      <c r="I5" s="78">
        <f t="shared" si="1"/>
        <v>45382</v>
      </c>
      <c r="J5" s="78">
        <f t="shared" si="1"/>
        <v>45747</v>
      </c>
      <c r="K5" s="78">
        <f t="shared" si="1"/>
        <v>46112</v>
      </c>
      <c r="L5" s="78">
        <f t="shared" si="1"/>
        <v>46477</v>
      </c>
      <c r="M5" s="78">
        <f t="shared" si="1"/>
        <v>46843</v>
      </c>
      <c r="N5" s="78">
        <f t="shared" si="1"/>
        <v>47208</v>
      </c>
      <c r="O5" s="78">
        <f t="shared" si="1"/>
        <v>47573</v>
      </c>
      <c r="P5" s="78">
        <f t="shared" ref="P5" si="2">DATE((IF(MONTH(P4)&gt;3,YEAR(P4)+1,YEAR(P4))),3,31)</f>
        <v>47938</v>
      </c>
    </row>
    <row r="6" spans="2:16" x14ac:dyDescent="0.3">
      <c r="B6" s="75" t="s">
        <v>420</v>
      </c>
      <c r="C6" s="75"/>
      <c r="D6" s="75"/>
      <c r="E6" s="79">
        <f>E5-E4+1</f>
        <v>365</v>
      </c>
      <c r="F6" s="79">
        <f>F5-F4+1</f>
        <v>365</v>
      </c>
      <c r="G6" s="79">
        <f t="shared" ref="G6:O6" si="3">G5-G4+1</f>
        <v>365</v>
      </c>
      <c r="H6" s="79">
        <f t="shared" si="3"/>
        <v>275</v>
      </c>
      <c r="I6" s="79">
        <f t="shared" si="3"/>
        <v>366</v>
      </c>
      <c r="J6" s="79">
        <f t="shared" si="3"/>
        <v>365</v>
      </c>
      <c r="K6" s="79">
        <f t="shared" si="3"/>
        <v>365</v>
      </c>
      <c r="L6" s="79">
        <f t="shared" si="3"/>
        <v>365</v>
      </c>
      <c r="M6" s="79">
        <f t="shared" si="3"/>
        <v>366</v>
      </c>
      <c r="N6" s="79">
        <f t="shared" si="3"/>
        <v>365</v>
      </c>
      <c r="O6" s="79">
        <f t="shared" si="3"/>
        <v>365</v>
      </c>
      <c r="P6" s="79">
        <f t="shared" ref="P6" si="4">P5-P4+1</f>
        <v>365</v>
      </c>
    </row>
    <row r="7" spans="2:16" x14ac:dyDescent="0.3">
      <c r="B7" s="182"/>
      <c r="C7" s="182"/>
      <c r="D7" s="182"/>
      <c r="E7" s="183"/>
      <c r="F7" s="183"/>
      <c r="G7" s="183"/>
      <c r="H7" s="183"/>
      <c r="I7" s="183"/>
      <c r="J7" s="183"/>
      <c r="K7" s="183"/>
      <c r="L7" s="183"/>
      <c r="M7" s="183"/>
      <c r="N7" s="183"/>
    </row>
    <row r="8" spans="2:16" x14ac:dyDescent="0.3">
      <c r="B8" s="475" t="s">
        <v>10</v>
      </c>
      <c r="C8" s="476"/>
      <c r="D8" s="476"/>
      <c r="E8" s="476">
        <f>Assumptions!D141</f>
        <v>44286</v>
      </c>
      <c r="F8" s="476">
        <f>Assumptions!E141</f>
        <v>44651</v>
      </c>
      <c r="G8" s="476">
        <f>Assumptions!F141</f>
        <v>45016</v>
      </c>
      <c r="H8" s="476">
        <f>EOMONTH(G8,9)</f>
        <v>45291</v>
      </c>
      <c r="I8" s="476">
        <f>Assumptions!G141</f>
        <v>45382</v>
      </c>
      <c r="J8" s="476">
        <f>Assumptions!H141</f>
        <v>45747</v>
      </c>
      <c r="K8" s="476">
        <f>Assumptions!I141</f>
        <v>46112</v>
      </c>
      <c r="L8" s="476">
        <f>Assumptions!J141</f>
        <v>46477</v>
      </c>
      <c r="M8" s="476">
        <f>Assumptions!K141</f>
        <v>46843</v>
      </c>
      <c r="N8" s="476">
        <f>Assumptions!L141</f>
        <v>47208</v>
      </c>
      <c r="O8" s="476">
        <f>Assumptions!M141</f>
        <v>47573</v>
      </c>
      <c r="P8" s="476">
        <f>Assumptions!N141</f>
        <v>47938</v>
      </c>
    </row>
    <row r="9" spans="2:16" x14ac:dyDescent="0.3">
      <c r="B9" s="1"/>
      <c r="C9" s="1"/>
      <c r="D9" s="1"/>
      <c r="E9" s="207"/>
      <c r="F9" s="207"/>
      <c r="G9" s="207"/>
      <c r="H9" s="477"/>
      <c r="I9" s="207"/>
      <c r="J9" s="207"/>
      <c r="K9" s="207"/>
      <c r="L9" s="207"/>
      <c r="M9" s="207"/>
      <c r="N9" s="207"/>
      <c r="O9" s="207"/>
      <c r="P9" s="207"/>
    </row>
    <row r="10" spans="2:16" x14ac:dyDescent="0.3">
      <c r="B10" s="478" t="s">
        <v>11</v>
      </c>
      <c r="C10" s="479"/>
      <c r="D10" s="479"/>
      <c r="E10" s="207"/>
      <c r="F10" s="207"/>
      <c r="G10" s="207"/>
      <c r="H10" s="477"/>
      <c r="I10" s="207"/>
      <c r="J10" s="207"/>
      <c r="K10" s="207"/>
      <c r="L10" s="207"/>
      <c r="M10" s="207"/>
      <c r="N10" s="207"/>
      <c r="O10" s="207"/>
      <c r="P10" s="207"/>
    </row>
    <row r="11" spans="2:16" x14ac:dyDescent="0.3">
      <c r="B11" s="480" t="s">
        <v>31</v>
      </c>
      <c r="C11" s="480"/>
      <c r="D11" s="480"/>
      <c r="E11" s="207">
        <v>90.424999999999997</v>
      </c>
      <c r="F11" s="207">
        <v>114.1917</v>
      </c>
      <c r="G11" s="207">
        <v>148.12969999999999</v>
      </c>
      <c r="H11" s="477">
        <v>127.8018</v>
      </c>
      <c r="I11" s="207">
        <f>Assumptions!G106</f>
        <v>161.38550000000001</v>
      </c>
      <c r="J11" s="207">
        <f>Assumptions!H106</f>
        <v>236.00280000000001</v>
      </c>
      <c r="K11" s="207">
        <f>Assumptions!I106</f>
        <v>338.43</v>
      </c>
      <c r="L11" s="207">
        <f>Assumptions!J106</f>
        <v>663.86027999999999</v>
      </c>
      <c r="M11" s="207">
        <f>Assumptions!K101</f>
        <v>740.44805202730254</v>
      </c>
      <c r="N11" s="207">
        <f>Assumptions!L101</f>
        <v>782.03077523278876</v>
      </c>
      <c r="O11" s="207">
        <f>Assumptions!M101</f>
        <v>825.97426220481702</v>
      </c>
      <c r="P11" s="207">
        <f>Assumptions!N101</f>
        <v>872.41379988088897</v>
      </c>
    </row>
    <row r="12" spans="2:16" x14ac:dyDescent="0.3">
      <c r="B12" s="481" t="s">
        <v>7</v>
      </c>
      <c r="C12" s="481"/>
      <c r="D12" s="481"/>
      <c r="E12" s="207"/>
      <c r="F12" s="207"/>
      <c r="G12" s="207"/>
      <c r="H12" s="477"/>
      <c r="I12" s="207"/>
      <c r="J12" s="207"/>
      <c r="K12" s="207"/>
      <c r="L12" s="207"/>
      <c r="M12" s="207"/>
      <c r="N12" s="207"/>
      <c r="O12" s="207"/>
      <c r="P12" s="207"/>
    </row>
    <row r="13" spans="2:16" x14ac:dyDescent="0.3">
      <c r="B13" s="481" t="s">
        <v>8</v>
      </c>
      <c r="C13" s="481"/>
      <c r="D13" s="481"/>
      <c r="E13" s="207"/>
      <c r="F13" s="207"/>
      <c r="G13" s="207"/>
      <c r="H13" s="477"/>
      <c r="I13" s="207"/>
      <c r="J13" s="207"/>
      <c r="K13" s="207"/>
      <c r="L13" s="207"/>
      <c r="M13" s="207"/>
      <c r="N13" s="207"/>
      <c r="O13" s="207"/>
      <c r="P13" s="207"/>
    </row>
    <row r="14" spans="2:16" x14ac:dyDescent="0.3">
      <c r="B14" s="480" t="s">
        <v>32</v>
      </c>
      <c r="C14" s="480"/>
      <c r="D14" s="480"/>
      <c r="E14" s="207">
        <v>0.13769999999999999</v>
      </c>
      <c r="F14" s="207">
        <v>0.66220000000000001</v>
      </c>
      <c r="G14" s="207">
        <v>0.84319999999999995</v>
      </c>
      <c r="H14" s="477">
        <v>0.29859999999999998</v>
      </c>
      <c r="I14" s="207">
        <f>H14*12/9</f>
        <v>0.39813333333333328</v>
      </c>
      <c r="J14" s="207">
        <f t="shared" ref="J14:P16" si="5">I14*(1+Inflation)</f>
        <v>0.4207871199999999</v>
      </c>
      <c r="K14" s="207">
        <f t="shared" si="5"/>
        <v>0.44472990712799987</v>
      </c>
      <c r="L14" s="207">
        <f t="shared" si="5"/>
        <v>0.47003503884358305</v>
      </c>
      <c r="M14" s="207">
        <f t="shared" si="5"/>
        <v>0.49678003255378289</v>
      </c>
      <c r="N14" s="207">
        <f t="shared" si="5"/>
        <v>0.52504681640609308</v>
      </c>
      <c r="O14" s="207">
        <f t="shared" si="5"/>
        <v>0.55492198025959971</v>
      </c>
      <c r="P14" s="207">
        <f t="shared" si="5"/>
        <v>0.58649704093637089</v>
      </c>
    </row>
    <row r="15" spans="2:16" x14ac:dyDescent="0.3">
      <c r="B15" s="480"/>
      <c r="C15" s="480"/>
      <c r="D15" s="480"/>
      <c r="E15" s="207"/>
      <c r="F15" s="207"/>
      <c r="G15" s="207"/>
      <c r="H15" s="477"/>
      <c r="I15" s="207"/>
      <c r="J15" s="207"/>
      <c r="K15" s="207"/>
      <c r="L15" s="207"/>
      <c r="M15" s="207"/>
      <c r="N15" s="207"/>
      <c r="O15" s="207"/>
      <c r="P15" s="207"/>
    </row>
    <row r="16" spans="2:16" x14ac:dyDescent="0.3">
      <c r="B16" s="393" t="s">
        <v>12</v>
      </c>
      <c r="C16" s="393"/>
      <c r="D16" s="393"/>
      <c r="E16" s="207">
        <v>3.2665000000000006</v>
      </c>
      <c r="F16" s="207">
        <v>4.0500999999999996</v>
      </c>
      <c r="G16" s="207">
        <v>6.0240000000000009</v>
      </c>
      <c r="H16" s="477">
        <v>3.08</v>
      </c>
      <c r="I16" s="207">
        <f>H16*12/9</f>
        <v>4.1066666666666665</v>
      </c>
      <c r="J16" s="207">
        <f t="shared" si="5"/>
        <v>4.3403359999999997</v>
      </c>
      <c r="K16" s="207">
        <f t="shared" si="5"/>
        <v>4.5873011183999992</v>
      </c>
      <c r="L16" s="207">
        <f t="shared" si="5"/>
        <v>4.8483185520369592</v>
      </c>
      <c r="M16" s="207">
        <f t="shared" si="5"/>
        <v>5.124187877647862</v>
      </c>
      <c r="N16" s="207">
        <f t="shared" si="5"/>
        <v>5.4157541678860248</v>
      </c>
      <c r="O16" s="207">
        <f t="shared" si="5"/>
        <v>5.7239105800387398</v>
      </c>
      <c r="P16" s="207">
        <f t="shared" si="5"/>
        <v>6.0496010920429439</v>
      </c>
    </row>
    <row r="17" spans="1:16" x14ac:dyDescent="0.3">
      <c r="B17" s="482" t="s">
        <v>13</v>
      </c>
      <c r="C17" s="482"/>
      <c r="D17" s="482"/>
      <c r="E17" s="483">
        <f>E11+E14+E16</f>
        <v>93.829199999999986</v>
      </c>
      <c r="F17" s="483">
        <f t="shared" ref="F17:O17" si="6">F11+F14+F16</f>
        <v>118.904</v>
      </c>
      <c r="G17" s="483">
        <f t="shared" si="6"/>
        <v>154.99689999999998</v>
      </c>
      <c r="H17" s="483">
        <f t="shared" si="6"/>
        <v>131.18040000000002</v>
      </c>
      <c r="I17" s="483">
        <f t="shared" si="6"/>
        <v>165.8903</v>
      </c>
      <c r="J17" s="483">
        <f t="shared" si="6"/>
        <v>240.76392312000002</v>
      </c>
      <c r="K17" s="483">
        <f t="shared" si="6"/>
        <v>343.46203102552801</v>
      </c>
      <c r="L17" s="483">
        <f t="shared" si="6"/>
        <v>669.17863359088051</v>
      </c>
      <c r="M17" s="483">
        <f t="shared" si="6"/>
        <v>746.06901993750421</v>
      </c>
      <c r="N17" s="483">
        <f t="shared" si="6"/>
        <v>787.97157621708084</v>
      </c>
      <c r="O17" s="483">
        <f t="shared" si="6"/>
        <v>832.25309476511529</v>
      </c>
      <c r="P17" s="483">
        <f t="shared" ref="P17" si="7">P11+P14+P16</f>
        <v>879.0498980138683</v>
      </c>
    </row>
    <row r="18" spans="1:16" x14ac:dyDescent="0.3">
      <c r="B18" s="401"/>
      <c r="C18" s="401"/>
      <c r="D18" s="401"/>
      <c r="E18" s="207"/>
      <c r="F18" s="207"/>
      <c r="G18" s="207"/>
      <c r="H18" s="477"/>
      <c r="I18" s="207"/>
      <c r="J18" s="207"/>
      <c r="K18" s="207"/>
      <c r="L18" s="207"/>
      <c r="M18" s="207"/>
      <c r="N18" s="207"/>
      <c r="O18" s="207"/>
      <c r="P18" s="207"/>
    </row>
    <row r="19" spans="1:16" x14ac:dyDescent="0.3">
      <c r="B19" s="401" t="s">
        <v>14</v>
      </c>
      <c r="C19" s="401"/>
      <c r="D19" s="401"/>
      <c r="E19" s="135"/>
      <c r="F19" s="135"/>
      <c r="G19" s="135"/>
      <c r="H19" s="484"/>
      <c r="I19" s="207"/>
      <c r="J19" s="207"/>
      <c r="K19" s="207"/>
      <c r="L19" s="207"/>
      <c r="M19" s="207"/>
      <c r="N19" s="207"/>
      <c r="O19" s="207"/>
      <c r="P19" s="207"/>
    </row>
    <row r="20" spans="1:16" x14ac:dyDescent="0.3">
      <c r="A20" t="s">
        <v>809</v>
      </c>
      <c r="B20" s="393" t="s">
        <v>62</v>
      </c>
      <c r="C20" s="393"/>
      <c r="D20" s="393"/>
      <c r="E20" s="207">
        <v>15.752800000000001</v>
      </c>
      <c r="F20" s="207">
        <v>21.746400000000001</v>
      </c>
      <c r="G20" s="207">
        <v>29.730399999999999</v>
      </c>
      <c r="H20" s="477">
        <v>19.528300000000002</v>
      </c>
      <c r="I20" s="207">
        <f>H20*12/9</f>
        <v>26.037733333333335</v>
      </c>
      <c r="J20" s="207">
        <f>Assumptions!H143</f>
        <v>43.462400907979386</v>
      </c>
      <c r="K20" s="207">
        <f>Assumptions!I143</f>
        <v>62.325448423863882</v>
      </c>
      <c r="L20" s="207">
        <f>Assumptions!J143</f>
        <v>122.25686151284413</v>
      </c>
      <c r="M20" s="207">
        <f>Assumptions!K143</f>
        <v>136.36130625883678</v>
      </c>
      <c r="N20" s="207">
        <f>Assumptions!L143</f>
        <v>144.01920263465257</v>
      </c>
      <c r="O20" s="207">
        <f>Assumptions!M143</f>
        <v>152.11185851870505</v>
      </c>
      <c r="P20" s="207">
        <f>Assumptions!N143</f>
        <v>160.66418842520892</v>
      </c>
    </row>
    <row r="21" spans="1:16" x14ac:dyDescent="0.3">
      <c r="A21" t="s">
        <v>809</v>
      </c>
      <c r="B21" s="485" t="s">
        <v>490</v>
      </c>
      <c r="C21" s="485"/>
      <c r="D21" s="485"/>
      <c r="E21" s="207">
        <v>-0.38109999999999999</v>
      </c>
      <c r="F21" s="207">
        <v>-5.1306999999999992</v>
      </c>
      <c r="G21" s="207">
        <v>-3.2353000000000023</v>
      </c>
      <c r="H21" s="477">
        <v>8.8958000000000013</v>
      </c>
      <c r="I21" s="207">
        <f>H21*12/9</f>
        <v>11.861066666666668</v>
      </c>
      <c r="J21" s="207">
        <f>WC!I14-WC!H14</f>
        <v>7.1470244518379626</v>
      </c>
      <c r="K21" s="207">
        <f>WC!J14-WC!I14</f>
        <v>7.7370005054427153</v>
      </c>
      <c r="L21" s="207">
        <f>WC!K14-WC!J14</f>
        <v>24.581890756033221</v>
      </c>
      <c r="M21" s="207">
        <f>WC!L14-WC!K14</f>
        <v>5.7851784573430862</v>
      </c>
      <c r="N21" s="207">
        <f>WC!M14-WC!L14</f>
        <v>3.1410167461234053</v>
      </c>
      <c r="O21" s="207">
        <f>WC!N14-WC!M14</f>
        <v>3.3193407699663595</v>
      </c>
      <c r="P21" s="207">
        <f>WC!O14-WC!N14</f>
        <v>3.5078839065433272</v>
      </c>
    </row>
    <row r="22" spans="1:16" x14ac:dyDescent="0.3">
      <c r="B22" s="485" t="s">
        <v>491</v>
      </c>
      <c r="C22" s="485"/>
      <c r="D22" s="485"/>
      <c r="E22" s="207">
        <v>0</v>
      </c>
      <c r="F22" s="207">
        <v>0</v>
      </c>
      <c r="G22" s="207">
        <v>0</v>
      </c>
      <c r="H22" s="477">
        <v>0</v>
      </c>
      <c r="I22" s="207">
        <f>H22*12/9</f>
        <v>0</v>
      </c>
      <c r="J22" s="207">
        <f>J$11*Assumptions!H145</f>
        <v>0</v>
      </c>
      <c r="K22" s="207">
        <f>K$11*Assumptions!I145</f>
        <v>0</v>
      </c>
      <c r="L22" s="207">
        <f>L$11*Assumptions!J145</f>
        <v>0</v>
      </c>
      <c r="M22" s="207">
        <f>M$11*Assumptions!K145</f>
        <v>0</v>
      </c>
      <c r="N22" s="207">
        <f>N$11*Assumptions!L145</f>
        <v>0</v>
      </c>
      <c r="O22" s="207">
        <f>O$11*Assumptions!M145</f>
        <v>0</v>
      </c>
      <c r="P22" s="207">
        <f>P$11*Assumptions!N145</f>
        <v>0</v>
      </c>
    </row>
    <row r="23" spans="1:16" x14ac:dyDescent="0.3">
      <c r="A23" t="s">
        <v>809</v>
      </c>
      <c r="B23" s="393" t="s">
        <v>15</v>
      </c>
      <c r="C23" s="393"/>
      <c r="D23" s="393"/>
      <c r="E23" s="207">
        <v>7.1126999999999994</v>
      </c>
      <c r="F23" s="207">
        <v>7.0835999999999997</v>
      </c>
      <c r="G23" s="207">
        <v>7.7472000000000003</v>
      </c>
      <c r="H23" s="477">
        <v>7.2577000000000007</v>
      </c>
      <c r="I23" s="207">
        <f>H23*12/9</f>
        <v>9.6769333333333343</v>
      </c>
      <c r="J23" s="207">
        <f>Assumptions!H151</f>
        <v>12.291827156330276</v>
      </c>
      <c r="K23" s="207">
        <f>Assumptions!I151</f>
        <v>17.553038820687082</v>
      </c>
      <c r="L23" s="207">
        <f>Assumptions!J151</f>
        <v>18.551806729584179</v>
      </c>
      <c r="M23" s="207">
        <f>Assumptions!K151</f>
        <v>19.607404532497515</v>
      </c>
      <c r="N23" s="207">
        <f>Assumptions!L151</f>
        <v>20.723065850396623</v>
      </c>
      <c r="O23" s="207">
        <f>Assumptions!M151</f>
        <v>21.902208297284194</v>
      </c>
      <c r="P23" s="207">
        <f>Assumptions!N151</f>
        <v>23.148443949399663</v>
      </c>
    </row>
    <row r="24" spans="1:16" x14ac:dyDescent="0.3">
      <c r="B24" s="479" t="s">
        <v>71</v>
      </c>
      <c r="C24" s="479"/>
      <c r="D24" s="479"/>
      <c r="E24" s="207">
        <f>SUM(E25:E27)</f>
        <v>27.748900000000003</v>
      </c>
      <c r="F24" s="207">
        <f t="shared" ref="F24:J24" si="8">SUM(F25:F27)</f>
        <v>33.109399999999994</v>
      </c>
      <c r="G24" s="207">
        <f t="shared" si="8"/>
        <v>40.513400000000004</v>
      </c>
      <c r="H24" s="477">
        <f t="shared" si="8"/>
        <v>34.346800000000002</v>
      </c>
      <c r="I24" s="207">
        <f t="shared" si="8"/>
        <v>45.795733333333338</v>
      </c>
      <c r="J24" s="207">
        <f t="shared" si="8"/>
        <v>68.440812000000008</v>
      </c>
      <c r="K24" s="207">
        <f t="shared" ref="K24:O24" si="9">SUM(K25:K27)</f>
        <v>98.144700000000014</v>
      </c>
      <c r="L24" s="207">
        <f t="shared" si="9"/>
        <v>192.5194812</v>
      </c>
      <c r="M24" s="207">
        <f t="shared" si="9"/>
        <v>214.72993508791777</v>
      </c>
      <c r="N24" s="207">
        <f t="shared" si="9"/>
        <v>226.78892481750876</v>
      </c>
      <c r="O24" s="207">
        <f t="shared" si="9"/>
        <v>239.53253603939694</v>
      </c>
      <c r="P24" s="207">
        <f t="shared" ref="P24" si="10">SUM(P25:P27)</f>
        <v>253.00000196545781</v>
      </c>
    </row>
    <row r="25" spans="1:16" x14ac:dyDescent="0.3">
      <c r="A25" t="s">
        <v>809</v>
      </c>
      <c r="B25" s="480" t="s">
        <v>16</v>
      </c>
      <c r="C25" s="480"/>
      <c r="D25" s="480"/>
      <c r="E25" s="207">
        <f t="shared" ref="E25:H27" si="11">SUMIF($A$47:$A$84,$B25,E$47:E$84)</f>
        <v>23.597900000000003</v>
      </c>
      <c r="F25" s="207">
        <f t="shared" si="11"/>
        <v>27.366899999999998</v>
      </c>
      <c r="G25" s="207">
        <f t="shared" si="11"/>
        <v>31.850400000000004</v>
      </c>
      <c r="H25" s="477">
        <f t="shared" si="11"/>
        <v>24.5457</v>
      </c>
      <c r="I25" s="207">
        <f>H25*12/9</f>
        <v>32.727600000000002</v>
      </c>
      <c r="J25" s="207">
        <f>Assumptions!H154</f>
        <v>51.920616000000003</v>
      </c>
      <c r="K25" s="207">
        <f>Assumptions!I154</f>
        <v>74.454599999999999</v>
      </c>
      <c r="L25" s="207">
        <f>Assumptions!J154</f>
        <v>146.04926159999999</v>
      </c>
      <c r="M25" s="207">
        <f>Assumptions!K154</f>
        <v>162.89857144600657</v>
      </c>
      <c r="N25" s="207">
        <f>Assumptions!L154</f>
        <v>172.04677055121354</v>
      </c>
      <c r="O25" s="207">
        <f>Assumptions!M154</f>
        <v>181.71433768505975</v>
      </c>
      <c r="P25" s="207">
        <f>Assumptions!N154</f>
        <v>191.93103597379559</v>
      </c>
    </row>
    <row r="26" spans="1:16" x14ac:dyDescent="0.3">
      <c r="A26" t="s">
        <v>810</v>
      </c>
      <c r="B26" s="480" t="s">
        <v>17</v>
      </c>
      <c r="C26" s="480"/>
      <c r="D26" s="480"/>
      <c r="E26" s="207">
        <f t="shared" si="11"/>
        <v>2.2100000000000004</v>
      </c>
      <c r="F26" s="207">
        <f t="shared" si="11"/>
        <v>3.2459000000000002</v>
      </c>
      <c r="G26" s="207">
        <f t="shared" si="11"/>
        <v>6.169999999999999</v>
      </c>
      <c r="H26" s="477">
        <f t="shared" si="11"/>
        <v>7.5772000000000004</v>
      </c>
      <c r="I26" s="207">
        <f t="shared" ref="I26:I27" si="12">H26*12/9</f>
        <v>10.102933333333333</v>
      </c>
      <c r="J26" s="207">
        <f>Assumptions!H157</f>
        <v>11.800140000000001</v>
      </c>
      <c r="K26" s="207">
        <f>Assumptions!I157</f>
        <v>16.921500000000002</v>
      </c>
      <c r="L26" s="207">
        <f>Assumptions!J157</f>
        <v>33.193013999999998</v>
      </c>
      <c r="M26" s="207">
        <f>Assumptions!K157</f>
        <v>37.02240260136513</v>
      </c>
      <c r="N26" s="207">
        <f>Assumptions!L157</f>
        <v>39.101538761639439</v>
      </c>
      <c r="O26" s="207">
        <f>Assumptions!M157</f>
        <v>41.298713110240854</v>
      </c>
      <c r="P26" s="207">
        <f>Assumptions!N157</f>
        <v>43.620689994044454</v>
      </c>
    </row>
    <row r="27" spans="1:16" x14ac:dyDescent="0.3">
      <c r="A27" t="s">
        <v>809</v>
      </c>
      <c r="B27" s="480" t="s">
        <v>18</v>
      </c>
      <c r="C27" s="480"/>
      <c r="D27" s="480"/>
      <c r="E27" s="207">
        <f t="shared" si="11"/>
        <v>1.9410000000000001</v>
      </c>
      <c r="F27" s="207">
        <f t="shared" si="11"/>
        <v>2.4965999999999999</v>
      </c>
      <c r="G27" s="207">
        <f t="shared" si="11"/>
        <v>2.4930000000000003</v>
      </c>
      <c r="H27" s="477">
        <f t="shared" si="11"/>
        <v>2.2239</v>
      </c>
      <c r="I27" s="207">
        <f t="shared" si="12"/>
        <v>2.9651999999999998</v>
      </c>
      <c r="J27" s="207">
        <f>Assumptions!H160</f>
        <v>4.7200560000000005</v>
      </c>
      <c r="K27" s="207">
        <f>Assumptions!I160</f>
        <v>6.7686000000000002</v>
      </c>
      <c r="L27" s="207">
        <f>Assumptions!J160</f>
        <v>13.2772056</v>
      </c>
      <c r="M27" s="207">
        <f>Assumptions!K160</f>
        <v>14.808961040546052</v>
      </c>
      <c r="N27" s="207">
        <f>Assumptions!L160</f>
        <v>15.640615504655775</v>
      </c>
      <c r="O27" s="207">
        <f>Assumptions!M160</f>
        <v>16.519485244096341</v>
      </c>
      <c r="P27" s="207">
        <f>Assumptions!N160</f>
        <v>17.448275997617781</v>
      </c>
    </row>
    <row r="28" spans="1:16" x14ac:dyDescent="0.3">
      <c r="B28" s="482" t="s">
        <v>19</v>
      </c>
      <c r="C28" s="482"/>
      <c r="D28" s="482"/>
      <c r="E28" s="483">
        <f t="shared" ref="E28:O28" si="13">SUM(E20:E24)</f>
        <v>50.2333</v>
      </c>
      <c r="F28" s="483">
        <f t="shared" si="13"/>
        <v>56.808700000000002</v>
      </c>
      <c r="G28" s="483">
        <f t="shared" si="13"/>
        <v>74.755700000000004</v>
      </c>
      <c r="H28" s="483">
        <f t="shared" si="13"/>
        <v>70.028600000000012</v>
      </c>
      <c r="I28" s="483">
        <f t="shared" si="13"/>
        <v>93.371466666666663</v>
      </c>
      <c r="J28" s="483">
        <f t="shared" si="13"/>
        <v>131.34206451614764</v>
      </c>
      <c r="K28" s="483">
        <f t="shared" si="13"/>
        <v>185.76018774999369</v>
      </c>
      <c r="L28" s="483">
        <f t="shared" si="13"/>
        <v>357.9100401984615</v>
      </c>
      <c r="M28" s="483">
        <f t="shared" si="13"/>
        <v>376.48382433659515</v>
      </c>
      <c r="N28" s="483">
        <f t="shared" si="13"/>
        <v>394.67221004868134</v>
      </c>
      <c r="O28" s="483">
        <f t="shared" si="13"/>
        <v>416.86594362535254</v>
      </c>
      <c r="P28" s="483">
        <f t="shared" ref="P28" si="14">SUM(P20:P24)</f>
        <v>440.32051824660971</v>
      </c>
    </row>
    <row r="29" spans="1:16" x14ac:dyDescent="0.3">
      <c r="B29" s="393"/>
      <c r="C29" s="393"/>
      <c r="D29" s="393"/>
      <c r="E29" s="207"/>
      <c r="F29" s="207"/>
      <c r="G29" s="207"/>
      <c r="H29" s="477"/>
      <c r="I29" s="207"/>
      <c r="J29" s="207"/>
      <c r="K29" s="207"/>
      <c r="L29" s="207"/>
      <c r="M29" s="207"/>
      <c r="N29" s="207"/>
      <c r="O29" s="207"/>
      <c r="P29" s="207"/>
    </row>
    <row r="30" spans="1:16" x14ac:dyDescent="0.3">
      <c r="B30" s="482" t="s">
        <v>20</v>
      </c>
      <c r="C30" s="482"/>
      <c r="D30" s="482"/>
      <c r="E30" s="483">
        <f>E17-E28</f>
        <v>43.595899999999986</v>
      </c>
      <c r="F30" s="483">
        <f t="shared" ref="F30:P30" si="15">F17-F28</f>
        <v>62.095299999999995</v>
      </c>
      <c r="G30" s="483">
        <f t="shared" si="15"/>
        <v>80.241199999999978</v>
      </c>
      <c r="H30" s="483">
        <f t="shared" si="15"/>
        <v>61.151800000000009</v>
      </c>
      <c r="I30" s="483">
        <f t="shared" si="15"/>
        <v>72.518833333333333</v>
      </c>
      <c r="J30" s="483">
        <f t="shared" si="15"/>
        <v>109.42185860385237</v>
      </c>
      <c r="K30" s="483">
        <f t="shared" si="15"/>
        <v>157.70184327553432</v>
      </c>
      <c r="L30" s="483">
        <f t="shared" si="15"/>
        <v>311.26859339241901</v>
      </c>
      <c r="M30" s="483">
        <f t="shared" si="15"/>
        <v>369.58519560090906</v>
      </c>
      <c r="N30" s="483">
        <f t="shared" si="15"/>
        <v>393.2993661683995</v>
      </c>
      <c r="O30" s="483">
        <f t="shared" si="15"/>
        <v>415.38715113976275</v>
      </c>
      <c r="P30" s="483">
        <f t="shared" si="15"/>
        <v>438.72937976725859</v>
      </c>
    </row>
    <row r="31" spans="1:16" x14ac:dyDescent="0.3">
      <c r="A31" t="s">
        <v>810</v>
      </c>
      <c r="B31" s="393" t="s">
        <v>21</v>
      </c>
      <c r="C31" s="393"/>
      <c r="D31" s="393"/>
      <c r="E31" s="207">
        <v>1.7324999999999999</v>
      </c>
      <c r="F31" s="207">
        <v>2.2330000000000001</v>
      </c>
      <c r="G31" s="207">
        <v>2.5756999999999999</v>
      </c>
      <c r="H31" s="477">
        <v>2.6111</v>
      </c>
      <c r="I31" s="207">
        <f>BS!I135+BS!I166</f>
        <v>3.6664550649999992</v>
      </c>
      <c r="J31" s="207">
        <f>BS!J135+BS!J166</f>
        <v>4.3262995899999996</v>
      </c>
      <c r="K31" s="207">
        <f>BS!K135+BS!K166</f>
        <v>8.4972548024999988</v>
      </c>
      <c r="L31" s="207">
        <f>BS!L135+BS!L166</f>
        <v>13.805052064999996</v>
      </c>
      <c r="M31" s="207">
        <f>BS!M135+BS!M166</f>
        <v>13.789279514999997</v>
      </c>
      <c r="N31" s="207">
        <f>BS!N135+BS!N166</f>
        <v>13.774522764999997</v>
      </c>
      <c r="O31" s="207">
        <f>BS!O135+BS!O166</f>
        <v>13.774522764999997</v>
      </c>
      <c r="P31" s="207">
        <f>BS!P135+BS!P166</f>
        <v>13.774522764999997</v>
      </c>
    </row>
    <row r="32" spans="1:16" x14ac:dyDescent="0.3">
      <c r="B32" s="482" t="s">
        <v>22</v>
      </c>
      <c r="C32" s="482"/>
      <c r="D32" s="482"/>
      <c r="E32" s="483">
        <f>E30-E31</f>
        <v>41.863399999999984</v>
      </c>
      <c r="F32" s="483">
        <f t="shared" ref="F32:P32" si="16">F30-F31</f>
        <v>59.862299999999998</v>
      </c>
      <c r="G32" s="483">
        <f t="shared" si="16"/>
        <v>77.66549999999998</v>
      </c>
      <c r="H32" s="483">
        <f t="shared" si="16"/>
        <v>58.540700000000008</v>
      </c>
      <c r="I32" s="483">
        <f t="shared" si="16"/>
        <v>68.852378268333339</v>
      </c>
      <c r="J32" s="483">
        <f t="shared" si="16"/>
        <v>105.09555901385237</v>
      </c>
      <c r="K32" s="483">
        <f t="shared" si="16"/>
        <v>149.20458847303431</v>
      </c>
      <c r="L32" s="483">
        <f t="shared" si="16"/>
        <v>297.46354132741902</v>
      </c>
      <c r="M32" s="483">
        <f t="shared" si="16"/>
        <v>355.79591608590908</v>
      </c>
      <c r="N32" s="483">
        <f t="shared" si="16"/>
        <v>379.52484340339953</v>
      </c>
      <c r="O32" s="483">
        <f t="shared" si="16"/>
        <v>401.61262837476278</v>
      </c>
      <c r="P32" s="483">
        <f t="shared" si="16"/>
        <v>424.95485700225862</v>
      </c>
    </row>
    <row r="33" spans="1:16" x14ac:dyDescent="0.3">
      <c r="A33" t="s">
        <v>810</v>
      </c>
      <c r="B33" s="393" t="s">
        <v>23</v>
      </c>
      <c r="C33" s="393"/>
      <c r="D33" s="393"/>
      <c r="E33" s="207">
        <f>E97</f>
        <v>0.98140000000000005</v>
      </c>
      <c r="F33" s="207">
        <f t="shared" ref="F33:O33" si="17">F97</f>
        <v>0.82779999999999987</v>
      </c>
      <c r="G33" s="207">
        <f t="shared" si="17"/>
        <v>0.20069999999999999</v>
      </c>
      <c r="H33" s="477">
        <f t="shared" si="17"/>
        <v>0.15460000000000002</v>
      </c>
      <c r="I33" s="207">
        <f t="shared" si="17"/>
        <v>0.20613333333333334</v>
      </c>
      <c r="J33" s="207">
        <f t="shared" si="17"/>
        <v>2.8129826484018263</v>
      </c>
      <c r="K33" s="207">
        <f t="shared" si="17"/>
        <v>7.5490100456620999</v>
      </c>
      <c r="L33" s="207">
        <f t="shared" si="17"/>
        <v>7.3024894977168948</v>
      </c>
      <c r="M33" s="207">
        <f t="shared" si="17"/>
        <v>5.8986333333333327</v>
      </c>
      <c r="N33" s="207">
        <f t="shared" si="17"/>
        <v>4.2779415525114155</v>
      </c>
      <c r="O33" s="207">
        <f t="shared" si="17"/>
        <v>2.4356675799086758</v>
      </c>
      <c r="P33" s="207">
        <f t="shared" ref="P33" si="18">P97</f>
        <v>0.20613333333333334</v>
      </c>
    </row>
    <row r="34" spans="1:16" x14ac:dyDescent="0.3">
      <c r="B34" s="486" t="s">
        <v>24</v>
      </c>
      <c r="C34" s="486"/>
      <c r="D34" s="486"/>
      <c r="E34" s="483">
        <f>E32-E33</f>
        <v>40.881999999999984</v>
      </c>
      <c r="F34" s="483">
        <f t="shared" ref="F34:O34" si="19">F32-F33</f>
        <v>59.034499999999994</v>
      </c>
      <c r="G34" s="483">
        <f t="shared" si="19"/>
        <v>77.464799999999983</v>
      </c>
      <c r="H34" s="483">
        <f t="shared" si="19"/>
        <v>58.386100000000006</v>
      </c>
      <c r="I34" s="483">
        <f t="shared" si="19"/>
        <v>68.646244935000013</v>
      </c>
      <c r="J34" s="483">
        <f t="shared" si="19"/>
        <v>102.28257636545054</v>
      </c>
      <c r="K34" s="483">
        <f t="shared" si="19"/>
        <v>141.65557842737221</v>
      </c>
      <c r="L34" s="483">
        <f t="shared" si="19"/>
        <v>290.1610518297021</v>
      </c>
      <c r="M34" s="483">
        <f t="shared" si="19"/>
        <v>349.89728275257573</v>
      </c>
      <c r="N34" s="483">
        <f t="shared" si="19"/>
        <v>375.24690185088809</v>
      </c>
      <c r="O34" s="483">
        <f t="shared" si="19"/>
        <v>399.1769607948541</v>
      </c>
      <c r="P34" s="483">
        <f t="shared" ref="P34" si="20">P32-P33</f>
        <v>424.74872366892527</v>
      </c>
    </row>
    <row r="35" spans="1:16" x14ac:dyDescent="0.3">
      <c r="B35" s="487" t="s">
        <v>25</v>
      </c>
      <c r="C35" s="487"/>
      <c r="D35" s="487"/>
      <c r="E35" s="207">
        <f>[53]Detailed!$E$84</f>
        <v>10.702300000000001</v>
      </c>
      <c r="F35" s="207">
        <f>[53]Detailed!$F$84</f>
        <v>15.410299999999999</v>
      </c>
      <c r="G35" s="207">
        <f>[53]Detailed!$G$84</f>
        <v>19.496000000000002</v>
      </c>
      <c r="H35" s="477">
        <v>14.9665</v>
      </c>
      <c r="I35" s="207">
        <f>I34*Assumptions!G195</f>
        <v>19.097385340917004</v>
      </c>
      <c r="J35" s="207">
        <f>J34*Assumptions!H195</f>
        <v>29.784686237619198</v>
      </c>
      <c r="K35" s="207">
        <f>K34*Assumptions!I195</f>
        <v>41.250104438050791</v>
      </c>
      <c r="L35" s="207">
        <f>L34*Assumptions!J195</f>
        <v>101.39387795137111</v>
      </c>
      <c r="M35" s="207">
        <f>M34*Assumptions!K195</f>
        <v>122.26810648506007</v>
      </c>
      <c r="N35" s="207">
        <f>N34*Assumptions!L195</f>
        <v>131.12627738277433</v>
      </c>
      <c r="O35" s="207">
        <f>O34*Assumptions!M195</f>
        <v>139.48839718015384</v>
      </c>
      <c r="P35" s="207">
        <f>P34*Assumptions!N195</f>
        <v>148.42419399886927</v>
      </c>
    </row>
    <row r="36" spans="1:16" x14ac:dyDescent="0.3">
      <c r="B36" s="486" t="s">
        <v>26</v>
      </c>
      <c r="C36" s="486"/>
      <c r="D36" s="486"/>
      <c r="E36" s="483">
        <f>E34-E35</f>
        <v>30.179699999999983</v>
      </c>
      <c r="F36" s="483">
        <f t="shared" ref="F36:O36" si="21">F34-F35</f>
        <v>43.624199999999995</v>
      </c>
      <c r="G36" s="483">
        <f t="shared" si="21"/>
        <v>57.96879999999998</v>
      </c>
      <c r="H36" s="483">
        <f t="shared" si="21"/>
        <v>43.419600000000003</v>
      </c>
      <c r="I36" s="483">
        <f t="shared" si="21"/>
        <v>49.548859594083012</v>
      </c>
      <c r="J36" s="483">
        <f t="shared" si="21"/>
        <v>72.49789012783134</v>
      </c>
      <c r="K36" s="483">
        <f t="shared" si="21"/>
        <v>100.40547398932142</v>
      </c>
      <c r="L36" s="483">
        <f t="shared" si="21"/>
        <v>188.76717387833099</v>
      </c>
      <c r="M36" s="483">
        <f t="shared" si="21"/>
        <v>227.62917626751567</v>
      </c>
      <c r="N36" s="483">
        <f t="shared" si="21"/>
        <v>244.12062446811376</v>
      </c>
      <c r="O36" s="483">
        <f t="shared" si="21"/>
        <v>259.68856361470023</v>
      </c>
      <c r="P36" s="483">
        <f t="shared" ref="P36" si="22">P34-P35</f>
        <v>276.32452967005599</v>
      </c>
    </row>
    <row r="37" spans="1:16" x14ac:dyDescent="0.3">
      <c r="B37" s="1"/>
      <c r="C37" s="1"/>
      <c r="D37" s="1"/>
      <c r="E37" s="1"/>
      <c r="F37" s="1"/>
      <c r="G37" s="1"/>
      <c r="H37" s="1"/>
      <c r="I37" s="1"/>
      <c r="J37" s="1"/>
      <c r="K37" s="1"/>
      <c r="L37" s="1"/>
      <c r="M37" s="1"/>
      <c r="N37" s="1"/>
      <c r="O37" s="1"/>
      <c r="P37" s="1"/>
    </row>
    <row r="38" spans="1:16" x14ac:dyDescent="0.3">
      <c r="B38" s="64" t="s">
        <v>541</v>
      </c>
      <c r="C38" s="1"/>
      <c r="D38" s="1"/>
      <c r="E38" s="1"/>
      <c r="F38" s="1"/>
      <c r="G38" s="1"/>
      <c r="H38" s="1"/>
      <c r="I38" s="1"/>
      <c r="J38" s="1"/>
      <c r="K38" s="1"/>
      <c r="L38" s="1"/>
      <c r="M38" s="1"/>
      <c r="N38" s="1"/>
      <c r="O38" s="1"/>
      <c r="P38" s="1"/>
    </row>
    <row r="39" spans="1:16" x14ac:dyDescent="0.3">
      <c r="B39" s="488" t="s">
        <v>27</v>
      </c>
      <c r="C39" s="488"/>
      <c r="D39" s="488"/>
      <c r="E39" s="489">
        <f>E30/(E17-E16)</f>
        <v>0.48138913702882086</v>
      </c>
      <c r="F39" s="490">
        <f t="shared" ref="F39:N39" si="23">F30/(F17-F16)</f>
        <v>0.54064598590034818</v>
      </c>
      <c r="G39" s="490">
        <f t="shared" si="23"/>
        <v>0.53862950912548513</v>
      </c>
      <c r="H39" s="489">
        <f t="shared" si="23"/>
        <v>0.47737399727089069</v>
      </c>
      <c r="I39" s="489">
        <f t="shared" si="23"/>
        <v>0.4482457949495921</v>
      </c>
      <c r="J39" s="489">
        <f t="shared" si="23"/>
        <v>0.46282124358562338</v>
      </c>
      <c r="K39" s="489">
        <f t="shared" si="23"/>
        <v>0.46536914487177627</v>
      </c>
      <c r="L39" s="489">
        <f t="shared" si="23"/>
        <v>0.46854491861359521</v>
      </c>
      <c r="M39" s="489">
        <f t="shared" si="23"/>
        <v>0.4988025823372671</v>
      </c>
      <c r="N39" s="489">
        <f t="shared" si="23"/>
        <v>0.50258314498064649</v>
      </c>
      <c r="O39" s="489">
        <f t="shared" ref="O39:P39" si="24">O30/(O17-O16)</f>
        <v>0.50256803883981083</v>
      </c>
      <c r="P39" s="489">
        <f t="shared" si="24"/>
        <v>0.50255352869203607</v>
      </c>
    </row>
    <row r="40" spans="1:16" x14ac:dyDescent="0.3">
      <c r="B40" s="488" t="s">
        <v>28</v>
      </c>
      <c r="C40" s="488"/>
      <c r="D40" s="488"/>
      <c r="E40" s="489">
        <f t="shared" ref="E40:N40" si="25">E32/E17</f>
        <v>0.44616601228615388</v>
      </c>
      <c r="F40" s="489">
        <f t="shared" si="25"/>
        <v>0.5034506829038552</v>
      </c>
      <c r="G40" s="489">
        <f t="shared" si="25"/>
        <v>0.50107776349075361</v>
      </c>
      <c r="H40" s="489">
        <f t="shared" si="25"/>
        <v>0.44626102679973534</v>
      </c>
      <c r="I40" s="489">
        <f t="shared" si="25"/>
        <v>0.41504764454783277</v>
      </c>
      <c r="J40" s="489">
        <f t="shared" si="25"/>
        <v>0.43650874953333979</v>
      </c>
      <c r="K40" s="489">
        <f t="shared" si="25"/>
        <v>0.43441363235269692</v>
      </c>
      <c r="L40" s="489">
        <f t="shared" si="25"/>
        <v>0.44452038124887439</v>
      </c>
      <c r="M40" s="489">
        <f t="shared" si="25"/>
        <v>0.47689410306262675</v>
      </c>
      <c r="N40" s="489">
        <f t="shared" si="25"/>
        <v>0.48164788535321862</v>
      </c>
      <c r="O40" s="489">
        <f t="shared" ref="O40:P40" si="26">O32/O17</f>
        <v>0.48256069085343434</v>
      </c>
      <c r="P40" s="489">
        <f t="shared" si="26"/>
        <v>0.48342518207715479</v>
      </c>
    </row>
    <row r="41" spans="1:16" x14ac:dyDescent="0.3">
      <c r="B41" s="488" t="s">
        <v>29</v>
      </c>
      <c r="C41" s="488"/>
      <c r="D41" s="488"/>
      <c r="E41" s="489">
        <f t="shared" ref="E41:N41" si="27">E36/E17</f>
        <v>0.3216450742412808</v>
      </c>
      <c r="F41" s="489">
        <f t="shared" si="27"/>
        <v>0.36688589113907016</v>
      </c>
      <c r="G41" s="489">
        <f t="shared" si="27"/>
        <v>0.37399973805927722</v>
      </c>
      <c r="H41" s="489">
        <f t="shared" si="27"/>
        <v>0.33099152007464527</v>
      </c>
      <c r="I41" s="489">
        <f t="shared" si="27"/>
        <v>0.2986844896542053</v>
      </c>
      <c r="J41" s="489">
        <f t="shared" si="27"/>
        <v>0.3011160857837385</v>
      </c>
      <c r="K41" s="489">
        <f t="shared" si="27"/>
        <v>0.29233354758173757</v>
      </c>
      <c r="L41" s="489">
        <f t="shared" si="27"/>
        <v>0.28208786772731692</v>
      </c>
      <c r="M41" s="489">
        <f t="shared" si="27"/>
        <v>0.30510471576287063</v>
      </c>
      <c r="N41" s="489">
        <f t="shared" si="27"/>
        <v>0.30980892183966313</v>
      </c>
      <c r="O41" s="489">
        <f t="shared" ref="O41:P41" si="28">O36/O17</f>
        <v>0.31203075752814291</v>
      </c>
      <c r="P41" s="489">
        <f t="shared" si="28"/>
        <v>0.31434453299452697</v>
      </c>
    </row>
    <row r="42" spans="1:16" x14ac:dyDescent="0.3">
      <c r="B42" s="488" t="s">
        <v>30</v>
      </c>
      <c r="C42" s="488"/>
      <c r="D42" s="488"/>
      <c r="E42" s="491"/>
      <c r="F42" s="489">
        <f t="shared" ref="F42:N42" si="29">F11/E11-1</f>
        <v>0.26283328725463084</v>
      </c>
      <c r="G42" s="489">
        <f t="shared" si="29"/>
        <v>0.29720198578355506</v>
      </c>
      <c r="H42" s="489">
        <f>H11/F11-1</f>
        <v>0.11918642072935248</v>
      </c>
      <c r="I42" s="489">
        <f>I11/G11-1</f>
        <v>8.9487793467481591E-2</v>
      </c>
      <c r="J42" s="489">
        <f t="shared" si="29"/>
        <v>0.46235442465401166</v>
      </c>
      <c r="K42" s="489">
        <f t="shared" si="29"/>
        <v>0.43400841006971103</v>
      </c>
      <c r="L42" s="489">
        <f t="shared" si="29"/>
        <v>0.96158815707827316</v>
      </c>
      <c r="M42" s="489">
        <f t="shared" si="29"/>
        <v>0.11536730594471267</v>
      </c>
      <c r="N42" s="489">
        <f t="shared" si="29"/>
        <v>5.6158866366972315E-2</v>
      </c>
      <c r="O42" s="489">
        <f t="shared" ref="O42:P42" si="30">O11/N11-1</f>
        <v>5.6191505965922595E-2</v>
      </c>
      <c r="P42" s="489">
        <f t="shared" si="30"/>
        <v>5.6223952489885543E-2</v>
      </c>
    </row>
    <row r="46" spans="1:16" x14ac:dyDescent="0.3">
      <c r="A46" s="2" t="s">
        <v>313</v>
      </c>
      <c r="B46" s="411" t="s">
        <v>71</v>
      </c>
      <c r="C46" s="381"/>
      <c r="D46" s="381"/>
      <c r="E46" s="381">
        <f>$E$8</f>
        <v>44286</v>
      </c>
      <c r="F46" s="381">
        <f>$F$8</f>
        <v>44651</v>
      </c>
      <c r="G46" s="381">
        <f>$G$8</f>
        <v>45016</v>
      </c>
      <c r="H46" s="381">
        <f>$H$8</f>
        <v>45291</v>
      </c>
      <c r="I46" s="381">
        <f>$I$8</f>
        <v>45382</v>
      </c>
      <c r="J46" s="381">
        <f>$J$8</f>
        <v>45747</v>
      </c>
      <c r="K46" s="381">
        <f>$K$8</f>
        <v>46112</v>
      </c>
      <c r="L46" s="381">
        <f>$L$8</f>
        <v>46477</v>
      </c>
      <c r="M46" s="381">
        <f>$M$8</f>
        <v>46843</v>
      </c>
      <c r="N46" s="381">
        <f>$N$8</f>
        <v>47208</v>
      </c>
      <c r="O46" s="381">
        <f>$O$8</f>
        <v>47573</v>
      </c>
      <c r="P46" s="381">
        <f>$O$8</f>
        <v>47573</v>
      </c>
    </row>
    <row r="47" spans="1:16" x14ac:dyDescent="0.3">
      <c r="A47" s="407" t="s">
        <v>16</v>
      </c>
      <c r="B47" t="s">
        <v>85</v>
      </c>
      <c r="E47" s="68">
        <v>5.6357000000000008</v>
      </c>
      <c r="F47" s="68">
        <v>4.2764999999999995</v>
      </c>
      <c r="G47" s="68">
        <v>4.2861000000000002</v>
      </c>
      <c r="H47" s="68">
        <v>3.1236999999999999</v>
      </c>
      <c r="I47" s="68"/>
      <c r="J47" s="68"/>
      <c r="K47" s="68"/>
      <c r="L47" s="68"/>
      <c r="M47" s="68"/>
      <c r="N47" s="68"/>
      <c r="O47" s="68"/>
      <c r="P47" s="68"/>
    </row>
    <row r="48" spans="1:16" x14ac:dyDescent="0.3">
      <c r="A48" s="407" t="s">
        <v>16</v>
      </c>
      <c r="B48" t="s">
        <v>86</v>
      </c>
      <c r="E48" s="68">
        <v>12.601500000000001</v>
      </c>
      <c r="F48" s="68">
        <v>14.898499999999999</v>
      </c>
      <c r="G48" s="68">
        <v>17.8827</v>
      </c>
      <c r="H48" s="68">
        <v>15.133699999999999</v>
      </c>
      <c r="I48" s="68"/>
      <c r="J48" s="68"/>
      <c r="K48" s="68"/>
      <c r="L48" s="68"/>
      <c r="M48" s="68"/>
      <c r="N48" s="68"/>
      <c r="O48" s="68"/>
      <c r="P48" s="68"/>
    </row>
    <row r="49" spans="1:16" x14ac:dyDescent="0.3">
      <c r="A49" s="407" t="s">
        <v>16</v>
      </c>
      <c r="B49" t="s">
        <v>87</v>
      </c>
      <c r="E49" s="68">
        <v>3.2944</v>
      </c>
      <c r="F49" s="68">
        <v>5.9467999999999996</v>
      </c>
      <c r="G49" s="68">
        <v>7.4823000000000004</v>
      </c>
      <c r="H49" s="68">
        <v>4.1097000000000001</v>
      </c>
      <c r="I49" s="68"/>
      <c r="J49" s="68"/>
      <c r="K49" s="68"/>
      <c r="L49" s="68"/>
      <c r="M49" s="68"/>
      <c r="N49" s="68"/>
      <c r="O49" s="68"/>
      <c r="P49" s="68"/>
    </row>
    <row r="50" spans="1:16" x14ac:dyDescent="0.3">
      <c r="A50" s="407" t="s">
        <v>16</v>
      </c>
      <c r="B50" t="s">
        <v>88</v>
      </c>
      <c r="E50" s="68">
        <v>0.67079999999999995</v>
      </c>
      <c r="F50" s="68">
        <v>0.88329999999999997</v>
      </c>
      <c r="G50" s="68">
        <v>1.0405</v>
      </c>
      <c r="H50" s="68">
        <v>0.92579999999999996</v>
      </c>
      <c r="I50" s="68"/>
      <c r="J50" s="68"/>
      <c r="K50" s="68"/>
      <c r="L50" s="68"/>
      <c r="M50" s="68"/>
      <c r="N50" s="68"/>
      <c r="O50" s="68"/>
      <c r="P50" s="68"/>
    </row>
    <row r="51" spans="1:16" x14ac:dyDescent="0.3">
      <c r="A51" s="5" t="s">
        <v>17</v>
      </c>
      <c r="B51" t="s">
        <v>89</v>
      </c>
      <c r="E51" s="68">
        <v>0.40299999999999997</v>
      </c>
      <c r="F51" s="68">
        <v>0.41399999999999998</v>
      </c>
      <c r="G51" s="68">
        <v>0.47350000000000003</v>
      </c>
      <c r="H51" s="68">
        <v>0.37140000000000001</v>
      </c>
      <c r="I51" s="68"/>
      <c r="J51" s="68" t="s">
        <v>927</v>
      </c>
      <c r="K51" s="68"/>
      <c r="L51" s="68"/>
      <c r="M51" s="68"/>
      <c r="N51" s="68"/>
      <c r="O51" s="68"/>
      <c r="P51" s="68"/>
    </row>
    <row r="52" spans="1:16" x14ac:dyDescent="0.3">
      <c r="A52" s="5" t="s">
        <v>17</v>
      </c>
      <c r="B52" t="s">
        <v>90</v>
      </c>
      <c r="E52" s="68">
        <v>0.21190000000000001</v>
      </c>
      <c r="F52" s="68">
        <v>0.16140000000000002</v>
      </c>
      <c r="G52" s="68">
        <v>0.15060000000000001</v>
      </c>
      <c r="H52" s="68">
        <v>0.13750000000000001</v>
      </c>
      <c r="I52" s="68"/>
      <c r="J52" s="68"/>
      <c r="K52" s="68"/>
      <c r="L52" s="68"/>
      <c r="M52" s="68"/>
      <c r="N52" s="68"/>
      <c r="O52" s="68"/>
      <c r="P52" s="68"/>
    </row>
    <row r="53" spans="1:16" x14ac:dyDescent="0.3">
      <c r="A53" s="5" t="s">
        <v>17</v>
      </c>
      <c r="B53" t="s">
        <v>91</v>
      </c>
      <c r="E53" s="68">
        <v>2.5000000000000001E-3</v>
      </c>
      <c r="F53" s="68">
        <v>0.14080000000000001</v>
      </c>
      <c r="G53" s="68">
        <v>9.01E-2</v>
      </c>
      <c r="H53" s="68">
        <v>0</v>
      </c>
      <c r="I53" s="68"/>
      <c r="J53" s="68"/>
      <c r="K53" s="68"/>
      <c r="L53" s="68"/>
      <c r="M53" s="68"/>
      <c r="N53" s="68"/>
      <c r="O53" s="68"/>
      <c r="P53" s="68"/>
    </row>
    <row r="54" spans="1:16" x14ac:dyDescent="0.3">
      <c r="A54" s="5" t="s">
        <v>17</v>
      </c>
      <c r="B54" t="s">
        <v>92</v>
      </c>
      <c r="E54" s="68">
        <v>0.19020000000000001</v>
      </c>
      <c r="F54" s="68">
        <v>0.33990000000000004</v>
      </c>
      <c r="G54" s="68">
        <v>0.8649</v>
      </c>
      <c r="H54" s="68">
        <v>0.3846</v>
      </c>
      <c r="I54" s="68"/>
      <c r="J54" s="68"/>
      <c r="K54" s="68"/>
      <c r="L54" s="68"/>
      <c r="M54" s="68"/>
      <c r="N54" s="68"/>
      <c r="O54" s="68"/>
      <c r="P54" s="68"/>
    </row>
    <row r="55" spans="1:16" x14ac:dyDescent="0.3">
      <c r="B55" t="s">
        <v>93</v>
      </c>
      <c r="E55" s="68"/>
      <c r="F55" s="68"/>
      <c r="G55" s="68"/>
      <c r="H55" s="68">
        <v>0</v>
      </c>
      <c r="I55" s="68"/>
      <c r="J55" s="68"/>
      <c r="K55" s="68"/>
      <c r="L55" s="68"/>
      <c r="M55" s="68"/>
      <c r="N55" s="68"/>
      <c r="O55" s="68"/>
      <c r="P55" s="68"/>
    </row>
    <row r="56" spans="1:16" x14ac:dyDescent="0.3">
      <c r="A56" s="407" t="s">
        <v>16</v>
      </c>
      <c r="B56" t="s">
        <v>77</v>
      </c>
      <c r="E56" s="68">
        <v>0.62319999999999998</v>
      </c>
      <c r="F56" s="68">
        <v>0.38819999999999999</v>
      </c>
      <c r="G56" s="68">
        <v>0.18690000000000001</v>
      </c>
      <c r="H56" s="68">
        <v>0.60770000000000002</v>
      </c>
      <c r="I56" s="68"/>
      <c r="J56" s="68"/>
      <c r="K56" s="68"/>
      <c r="L56" s="68"/>
      <c r="M56" s="68"/>
      <c r="N56" s="68"/>
      <c r="O56" s="68"/>
      <c r="P56" s="68"/>
    </row>
    <row r="57" spans="1:16" x14ac:dyDescent="0.3">
      <c r="A57" s="407" t="s">
        <v>16</v>
      </c>
      <c r="B57" t="s">
        <v>94</v>
      </c>
      <c r="E57" s="68">
        <v>0.77229999999999999</v>
      </c>
      <c r="F57" s="68">
        <v>0.97360000000000002</v>
      </c>
      <c r="G57" s="68">
        <v>0.97189999999999999</v>
      </c>
      <c r="H57" s="68">
        <v>0.64510000000000001</v>
      </c>
      <c r="I57" s="68"/>
      <c r="J57" s="68"/>
      <c r="K57" s="68"/>
      <c r="L57" s="68"/>
      <c r="M57" s="68"/>
      <c r="N57" s="68"/>
      <c r="O57" s="68"/>
      <c r="P57" s="68"/>
    </row>
    <row r="58" spans="1:16" x14ac:dyDescent="0.3">
      <c r="A58" s="5" t="s">
        <v>17</v>
      </c>
      <c r="B58" t="s">
        <v>95</v>
      </c>
      <c r="E58" s="68">
        <v>5.9200000000000003E-2</v>
      </c>
      <c r="F58" s="68">
        <v>0.14749999999999999</v>
      </c>
      <c r="G58" s="68">
        <v>3.4099999999999998E-2</v>
      </c>
      <c r="H58" s="68">
        <v>0.19899999999999998</v>
      </c>
      <c r="I58" s="68"/>
      <c r="J58" s="68"/>
      <c r="K58" s="68"/>
      <c r="L58" s="68"/>
      <c r="M58" s="68"/>
      <c r="N58" s="68"/>
      <c r="O58" s="68"/>
      <c r="P58" s="68"/>
    </row>
    <row r="59" spans="1:16" x14ac:dyDescent="0.3">
      <c r="A59" s="5" t="s">
        <v>18</v>
      </c>
      <c r="B59" t="s">
        <v>96</v>
      </c>
      <c r="E59" s="68">
        <v>1.3219000000000001</v>
      </c>
      <c r="F59" s="68">
        <v>1.7478</v>
      </c>
      <c r="G59" s="68">
        <v>0.90500000000000003</v>
      </c>
      <c r="H59" s="68">
        <v>1.3921000000000001</v>
      </c>
      <c r="I59" s="68"/>
      <c r="J59" s="68" t="s">
        <v>928</v>
      </c>
      <c r="K59" s="68"/>
      <c r="L59" s="68"/>
      <c r="M59" s="68"/>
      <c r="N59" s="68"/>
      <c r="O59" s="68"/>
      <c r="P59" s="68"/>
    </row>
    <row r="60" spans="1:16" x14ac:dyDescent="0.3">
      <c r="A60" s="5" t="s">
        <v>18</v>
      </c>
      <c r="B60" t="s">
        <v>97</v>
      </c>
      <c r="E60" s="68">
        <v>0.27699999999999997</v>
      </c>
      <c r="F60" s="68">
        <v>0.37990000000000002</v>
      </c>
      <c r="G60" s="68">
        <v>0.41749999999999998</v>
      </c>
      <c r="H60" s="68">
        <v>0.38880000000000003</v>
      </c>
      <c r="I60" s="68"/>
      <c r="J60" s="68"/>
      <c r="K60" s="68"/>
      <c r="L60" s="68"/>
      <c r="M60" s="68"/>
      <c r="N60" s="68"/>
      <c r="O60" s="68"/>
      <c r="P60" s="68"/>
    </row>
    <row r="61" spans="1:16" x14ac:dyDescent="0.3">
      <c r="A61" s="5" t="s">
        <v>18</v>
      </c>
      <c r="B61" t="s">
        <v>98</v>
      </c>
      <c r="E61" s="68">
        <v>4.9699999999999994E-2</v>
      </c>
      <c r="F61" s="68">
        <v>7.6499999999999999E-2</v>
      </c>
      <c r="G61" s="68">
        <v>0.16300000000000001</v>
      </c>
      <c r="H61" s="68">
        <v>0.1782</v>
      </c>
      <c r="I61" s="68"/>
      <c r="J61" s="68"/>
      <c r="K61" s="68"/>
      <c r="L61" s="68"/>
      <c r="M61" s="68"/>
      <c r="N61" s="68"/>
      <c r="O61" s="68"/>
      <c r="P61" s="68"/>
    </row>
    <row r="62" spans="1:16" x14ac:dyDescent="0.3">
      <c r="A62" s="5" t="s">
        <v>17</v>
      </c>
      <c r="B62" t="s">
        <v>99</v>
      </c>
      <c r="E62" s="68"/>
      <c r="F62" s="68">
        <v>8.199999999999999E-2</v>
      </c>
      <c r="G62" s="68">
        <v>0.122</v>
      </c>
      <c r="H62" s="68">
        <v>6.4000000000000001E-2</v>
      </c>
      <c r="I62" s="68"/>
      <c r="J62" s="68"/>
      <c r="K62" s="68"/>
      <c r="L62" s="68"/>
      <c r="M62" s="68"/>
      <c r="N62" s="68"/>
      <c r="O62" s="68"/>
      <c r="P62" s="68"/>
    </row>
    <row r="63" spans="1:16" x14ac:dyDescent="0.3">
      <c r="A63" s="5" t="s">
        <v>17</v>
      </c>
      <c r="B63" t="s">
        <v>100</v>
      </c>
      <c r="E63" s="68">
        <v>0.31530000000000002</v>
      </c>
      <c r="F63" s="68">
        <v>0.54559999999999997</v>
      </c>
      <c r="G63" s="68">
        <v>0.17699999999999999</v>
      </c>
      <c r="H63" s="68">
        <v>3.0499999999999999E-2</v>
      </c>
      <c r="I63" s="68"/>
      <c r="J63" s="68"/>
      <c r="K63" s="68"/>
      <c r="L63" s="68"/>
      <c r="M63" s="68"/>
      <c r="N63" s="68"/>
      <c r="O63" s="68"/>
      <c r="P63" s="68"/>
    </row>
    <row r="64" spans="1:16" x14ac:dyDescent="0.3">
      <c r="A64" s="5" t="s">
        <v>17</v>
      </c>
      <c r="B64" t="s">
        <v>101</v>
      </c>
      <c r="E64" s="68">
        <v>0.12480000000000001</v>
      </c>
      <c r="F64" s="68">
        <v>1.6799999999999999E-2</v>
      </c>
      <c r="G64" s="68">
        <v>2.8500000000000001E-2</v>
      </c>
      <c r="H64" s="68">
        <v>2.9700000000000001E-2</v>
      </c>
      <c r="I64" s="68"/>
      <c r="J64" s="68"/>
      <c r="K64" s="68"/>
      <c r="L64" s="68"/>
      <c r="M64" s="68"/>
      <c r="N64" s="68"/>
      <c r="O64" s="68"/>
      <c r="P64" s="68"/>
    </row>
    <row r="65" spans="1:16" x14ac:dyDescent="0.3">
      <c r="A65" s="5" t="s">
        <v>17</v>
      </c>
      <c r="B65" t="s">
        <v>102</v>
      </c>
      <c r="E65" s="68"/>
      <c r="F65" s="68" t="s">
        <v>103</v>
      </c>
      <c r="G65" s="68">
        <v>0.04</v>
      </c>
      <c r="H65" s="68">
        <v>9.4E-2</v>
      </c>
      <c r="I65" s="68"/>
      <c r="J65" s="68"/>
      <c r="K65" s="68"/>
      <c r="L65" s="68"/>
      <c r="M65" s="68"/>
      <c r="N65" s="68"/>
      <c r="O65" s="68"/>
      <c r="P65" s="68"/>
    </row>
    <row r="66" spans="1:16" x14ac:dyDescent="0.3">
      <c r="A66" s="5" t="s">
        <v>17</v>
      </c>
      <c r="B66" t="s">
        <v>104</v>
      </c>
      <c r="E66" s="68">
        <v>4.4800000000000006E-2</v>
      </c>
      <c r="F66" s="68">
        <v>5.7500000000000002E-2</v>
      </c>
      <c r="G66" s="68">
        <v>8.09E-2</v>
      </c>
      <c r="H66" s="68">
        <v>3.9900000000000005E-2</v>
      </c>
      <c r="I66" s="68"/>
      <c r="J66" s="68"/>
      <c r="K66" s="68"/>
      <c r="L66" s="68"/>
      <c r="M66" s="68"/>
      <c r="N66" s="68"/>
      <c r="O66" s="68"/>
      <c r="P66" s="68"/>
    </row>
    <row r="67" spans="1:16" x14ac:dyDescent="0.3">
      <c r="A67" s="5" t="s">
        <v>17</v>
      </c>
      <c r="B67" t="s">
        <v>105</v>
      </c>
      <c r="E67" s="68">
        <v>0.17</v>
      </c>
      <c r="F67" s="68">
        <v>0.1449</v>
      </c>
      <c r="G67" s="68">
        <v>0.1235</v>
      </c>
      <c r="H67" s="68">
        <v>0.1032</v>
      </c>
      <c r="I67" s="68"/>
      <c r="J67" s="68"/>
      <c r="K67" s="68"/>
      <c r="L67" s="68"/>
      <c r="M67" s="68"/>
      <c r="N67" s="68"/>
      <c r="O67" s="68"/>
      <c r="P67" s="68"/>
    </row>
    <row r="68" spans="1:16" x14ac:dyDescent="0.3">
      <c r="A68" s="5" t="s">
        <v>17</v>
      </c>
      <c r="B68" t="s">
        <v>106</v>
      </c>
      <c r="E68" s="68">
        <v>3.7999999999999999E-2</v>
      </c>
      <c r="F68" s="68">
        <v>4.3200000000000002E-2</v>
      </c>
      <c r="G68" s="68">
        <v>5.5099999999999996E-2</v>
      </c>
      <c r="H68" s="68">
        <v>5.96E-2</v>
      </c>
      <c r="I68" s="68"/>
      <c r="J68" s="68"/>
      <c r="K68" s="68"/>
      <c r="L68" s="68"/>
      <c r="M68" s="68"/>
      <c r="N68" s="68"/>
      <c r="O68" s="68"/>
      <c r="P68" s="68"/>
    </row>
    <row r="69" spans="1:16" x14ac:dyDescent="0.3">
      <c r="A69" s="5" t="s">
        <v>17</v>
      </c>
      <c r="B69" t="s">
        <v>107</v>
      </c>
      <c r="E69" s="68">
        <v>5.57E-2</v>
      </c>
      <c r="F69" s="68">
        <v>7.3499999999999996E-2</v>
      </c>
      <c r="G69" s="68">
        <v>0.1105</v>
      </c>
      <c r="H69" s="68">
        <v>9.2899999999999996E-2</v>
      </c>
      <c r="I69" s="68"/>
      <c r="J69" s="68"/>
      <c r="K69" s="68"/>
      <c r="L69" s="68"/>
      <c r="M69" s="68"/>
      <c r="N69" s="68"/>
      <c r="O69" s="68"/>
      <c r="P69" s="68"/>
    </row>
    <row r="70" spans="1:16" x14ac:dyDescent="0.3">
      <c r="A70" s="5" t="s">
        <v>17</v>
      </c>
      <c r="B70" t="s">
        <v>108</v>
      </c>
      <c r="E70" s="68">
        <v>0</v>
      </c>
      <c r="F70" s="68">
        <v>0.2394</v>
      </c>
      <c r="G70" s="68" t="s">
        <v>103</v>
      </c>
      <c r="H70" s="68">
        <v>0</v>
      </c>
      <c r="I70" s="68"/>
      <c r="J70" s="68"/>
      <c r="K70" s="68"/>
      <c r="L70" s="68"/>
      <c r="M70" s="68"/>
      <c r="N70" s="68"/>
      <c r="O70" s="68"/>
      <c r="P70" s="68"/>
    </row>
    <row r="71" spans="1:16" x14ac:dyDescent="0.3">
      <c r="A71" s="5" t="s">
        <v>17</v>
      </c>
      <c r="B71" t="s">
        <v>109</v>
      </c>
      <c r="E71" s="68">
        <v>9.300000000000001E-3</v>
      </c>
      <c r="F71" s="68">
        <v>0.04</v>
      </c>
      <c r="G71" s="68">
        <v>0.13980000000000001</v>
      </c>
      <c r="H71" s="68">
        <v>0.41639999999999999</v>
      </c>
      <c r="I71" s="68"/>
      <c r="J71" s="68"/>
      <c r="K71" s="68"/>
      <c r="L71" s="68"/>
      <c r="M71" s="68"/>
      <c r="N71" s="68"/>
      <c r="O71" s="68"/>
      <c r="P71" s="68"/>
    </row>
    <row r="72" spans="1:16" x14ac:dyDescent="0.3">
      <c r="A72" s="5" t="s">
        <v>17</v>
      </c>
      <c r="B72" t="s">
        <v>110</v>
      </c>
      <c r="E72" s="68">
        <v>0.2833</v>
      </c>
      <c r="F72" s="68">
        <v>8.2699999999999996E-2</v>
      </c>
      <c r="G72" s="68">
        <v>0.114</v>
      </c>
      <c r="H72" s="68">
        <v>0.1467</v>
      </c>
      <c r="I72" s="68"/>
      <c r="J72" s="68"/>
      <c r="K72" s="68"/>
      <c r="L72" s="68"/>
      <c r="M72" s="68"/>
      <c r="N72" s="68"/>
      <c r="O72" s="68"/>
      <c r="P72" s="68"/>
    </row>
    <row r="73" spans="1:16" x14ac:dyDescent="0.3">
      <c r="A73" s="5" t="s">
        <v>17</v>
      </c>
      <c r="B73" t="s">
        <v>111</v>
      </c>
      <c r="E73" s="68">
        <v>6.5000000000000002E-2</v>
      </c>
      <c r="F73" s="68"/>
      <c r="G73" s="68"/>
      <c r="H73" s="68">
        <v>0</v>
      </c>
      <c r="I73" s="68"/>
      <c r="J73" s="68"/>
      <c r="K73" s="68"/>
      <c r="L73" s="68"/>
      <c r="M73" s="68"/>
      <c r="N73" s="68"/>
      <c r="O73" s="68"/>
      <c r="P73" s="68"/>
    </row>
    <row r="74" spans="1:16" x14ac:dyDescent="0.3">
      <c r="A74" s="5" t="s">
        <v>17</v>
      </c>
      <c r="B74" t="s">
        <v>112</v>
      </c>
      <c r="E74" s="68">
        <v>1.5100000000000001E-2</v>
      </c>
      <c r="F74" s="68">
        <v>4.0000000000000001E-3</v>
      </c>
      <c r="G74" s="68">
        <v>6.9999999999999993E-3</v>
      </c>
      <c r="H74" s="68">
        <v>0</v>
      </c>
      <c r="I74" s="68"/>
      <c r="J74" s="68"/>
      <c r="K74" s="68"/>
      <c r="L74" s="68"/>
      <c r="M74" s="68"/>
      <c r="N74" s="68"/>
      <c r="O74" s="68"/>
      <c r="P74" s="68"/>
    </row>
    <row r="75" spans="1:16" x14ac:dyDescent="0.3">
      <c r="A75" s="5" t="s">
        <v>17</v>
      </c>
      <c r="B75" t="s">
        <v>113</v>
      </c>
      <c r="E75" s="68">
        <v>7.8000000000000005E-3</v>
      </c>
      <c r="F75" s="68">
        <v>1.2500000000000001E-2</v>
      </c>
      <c r="G75" s="68">
        <v>1.4199999999999999E-2</v>
      </c>
      <c r="H75" s="68">
        <v>9.8999999999999991E-3</v>
      </c>
      <c r="I75" s="68"/>
      <c r="J75" s="68"/>
      <c r="K75" s="68"/>
      <c r="L75" s="68"/>
      <c r="M75" s="68"/>
      <c r="N75" s="68"/>
      <c r="O75" s="68"/>
      <c r="P75" s="68"/>
    </row>
    <row r="76" spans="1:16" x14ac:dyDescent="0.3">
      <c r="A76" s="5" t="s">
        <v>18</v>
      </c>
      <c r="B76" t="s">
        <v>114</v>
      </c>
      <c r="E76" s="68">
        <v>0.19239999999999999</v>
      </c>
      <c r="F76" s="68">
        <v>0.29239999999999999</v>
      </c>
      <c r="G76" s="68">
        <v>1.0075000000000001</v>
      </c>
      <c r="H76" s="68">
        <v>0.26479999999999998</v>
      </c>
      <c r="I76" s="68"/>
      <c r="J76" s="68"/>
      <c r="K76" s="68"/>
      <c r="L76" s="68"/>
      <c r="M76" s="68"/>
      <c r="N76" s="68"/>
      <c r="O76" s="68"/>
      <c r="P76" s="68"/>
    </row>
    <row r="77" spans="1:16" x14ac:dyDescent="0.3">
      <c r="A77" s="5" t="s">
        <v>18</v>
      </c>
      <c r="B77" t="s">
        <v>115</v>
      </c>
      <c r="E77" s="68">
        <v>0.1</v>
      </c>
      <c r="F77" s="68"/>
      <c r="G77" s="68"/>
      <c r="H77" s="68">
        <v>0</v>
      </c>
      <c r="I77" s="68"/>
      <c r="J77" s="68"/>
      <c r="K77" s="68"/>
      <c r="L77" s="68"/>
      <c r="M77" s="68"/>
      <c r="N77" s="68"/>
      <c r="O77" s="68"/>
      <c r="P77" s="68"/>
    </row>
    <row r="78" spans="1:16" x14ac:dyDescent="0.3">
      <c r="A78" s="5" t="s">
        <v>17</v>
      </c>
      <c r="B78" t="s">
        <v>116</v>
      </c>
      <c r="E78" s="68">
        <v>6.6E-3</v>
      </c>
      <c r="F78" s="68">
        <v>5.3800000000000001E-2</v>
      </c>
      <c r="G78" s="68" t="s">
        <v>103</v>
      </c>
      <c r="H78" s="68">
        <v>0</v>
      </c>
      <c r="I78" s="68"/>
      <c r="J78" s="68"/>
      <c r="K78" s="68"/>
      <c r="L78" s="68"/>
      <c r="M78" s="68"/>
      <c r="N78" s="68"/>
      <c r="O78" s="68"/>
      <c r="P78" s="68"/>
    </row>
    <row r="79" spans="1:16" x14ac:dyDescent="0.3">
      <c r="A79" s="5" t="s">
        <v>17</v>
      </c>
      <c r="B79" t="s">
        <v>117</v>
      </c>
      <c r="E79" s="68">
        <v>0</v>
      </c>
      <c r="F79" s="68">
        <v>0.45</v>
      </c>
      <c r="G79" s="68">
        <v>2.9323999999999999</v>
      </c>
      <c r="H79" s="68">
        <v>2.1663999999999999</v>
      </c>
      <c r="I79" s="68"/>
      <c r="J79" s="68"/>
      <c r="K79" s="68"/>
      <c r="L79" s="68"/>
      <c r="M79" s="68"/>
      <c r="N79" s="68"/>
      <c r="O79" s="68"/>
      <c r="P79" s="68"/>
    </row>
    <row r="80" spans="1:16" x14ac:dyDescent="0.3">
      <c r="A80" s="5" t="s">
        <v>17</v>
      </c>
      <c r="B80" t="s">
        <v>118</v>
      </c>
      <c r="E80" s="68">
        <v>0.20600000000000002</v>
      </c>
      <c r="F80" s="68">
        <v>0.1741</v>
      </c>
      <c r="G80" s="68">
        <v>0.37659999999999999</v>
      </c>
      <c r="H80" s="68">
        <v>3.1891000000000003</v>
      </c>
      <c r="I80" s="68"/>
      <c r="J80" s="68"/>
      <c r="K80" s="68"/>
      <c r="L80" s="68"/>
      <c r="M80" s="68"/>
      <c r="N80" s="68"/>
      <c r="O80" s="68"/>
      <c r="P80" s="68"/>
    </row>
    <row r="81" spans="1:16" x14ac:dyDescent="0.3">
      <c r="A81" s="5" t="s">
        <v>17</v>
      </c>
      <c r="B81" t="s">
        <v>119</v>
      </c>
      <c r="E81" s="68">
        <v>1.5E-3</v>
      </c>
      <c r="F81" s="68"/>
      <c r="G81" s="68"/>
      <c r="H81" s="68">
        <v>4.24E-2</v>
      </c>
      <c r="I81" s="68"/>
      <c r="J81" s="68"/>
      <c r="K81" s="68"/>
      <c r="L81" s="68"/>
      <c r="M81" s="68"/>
      <c r="N81" s="68"/>
      <c r="O81" s="68"/>
      <c r="P81" s="68"/>
    </row>
    <row r="82" spans="1:16" x14ac:dyDescent="0.3">
      <c r="A82" s="5" t="s">
        <v>17</v>
      </c>
      <c r="B82" t="s">
        <v>120</v>
      </c>
      <c r="E82" s="68"/>
      <c r="F82" s="68">
        <v>2.23E-2</v>
      </c>
      <c r="G82" s="68">
        <v>0.23530000000000001</v>
      </c>
      <c r="H82" s="68">
        <v>0</v>
      </c>
      <c r="I82" s="68"/>
      <c r="J82" s="68"/>
      <c r="K82" s="68"/>
      <c r="L82" s="68"/>
      <c r="M82" s="68"/>
      <c r="N82" s="68"/>
      <c r="O82" s="68"/>
      <c r="P82" s="68"/>
    </row>
    <row r="83" spans="1:16" x14ac:dyDescent="0.3">
      <c r="A83" s="5" t="s">
        <v>17</v>
      </c>
      <c r="B83" t="s">
        <v>121</v>
      </c>
      <c r="E83" s="68"/>
      <c r="F83" s="68"/>
      <c r="G83" s="68"/>
      <c r="H83" s="68">
        <v>0</v>
      </c>
      <c r="I83" s="68"/>
      <c r="J83" s="68"/>
      <c r="K83" s="68"/>
      <c r="L83" s="68"/>
      <c r="M83" s="68"/>
      <c r="N83" s="68"/>
      <c r="O83" s="68"/>
      <c r="P83" s="68"/>
    </row>
    <row r="84" spans="1:16" x14ac:dyDescent="0.3">
      <c r="A84" s="5" t="s">
        <v>17</v>
      </c>
      <c r="B84" t="s">
        <v>122</v>
      </c>
      <c r="E84" s="68"/>
      <c r="F84" s="68"/>
      <c r="G84" s="68"/>
      <c r="H84" s="68">
        <v>0</v>
      </c>
      <c r="I84" s="68"/>
      <c r="J84" s="68"/>
      <c r="K84" s="68"/>
      <c r="L84" s="68"/>
      <c r="M84" s="68"/>
      <c r="N84" s="68"/>
      <c r="O84" s="68"/>
      <c r="P84" s="68"/>
    </row>
    <row r="85" spans="1:16" s="2" customFormat="1" ht="15" thickBot="1" x14ac:dyDescent="0.35">
      <c r="B85" s="25" t="s">
        <v>123</v>
      </c>
      <c r="C85" s="25"/>
      <c r="D85" s="25"/>
      <c r="E85" s="29">
        <f>SUM(E47:E84)</f>
        <v>27.74890000000001</v>
      </c>
      <c r="F85" s="29">
        <f>SUM(F47:F84)</f>
        <v>33.109400000000015</v>
      </c>
      <c r="G85" s="29">
        <f>SUM(G47:G84)</f>
        <v>40.513400000000011</v>
      </c>
      <c r="H85" s="29">
        <f>SUM(H47:H84)</f>
        <v>34.346800000000002</v>
      </c>
      <c r="I85" s="29"/>
      <c r="J85" s="29"/>
      <c r="K85" s="29"/>
      <c r="L85" s="29"/>
      <c r="M85" s="29"/>
      <c r="N85" s="29"/>
      <c r="O85" s="29"/>
      <c r="P85" s="29"/>
    </row>
    <row r="86" spans="1:16" ht="15" thickTop="1" x14ac:dyDescent="0.3"/>
    <row r="87" spans="1:16" x14ac:dyDescent="0.3">
      <c r="B87" s="212" t="s">
        <v>23</v>
      </c>
      <c r="C87" s="211"/>
      <c r="D87" s="211"/>
      <c r="E87" s="211">
        <f>$E$8</f>
        <v>44286</v>
      </c>
      <c r="F87" s="211">
        <f>$F$8</f>
        <v>44651</v>
      </c>
      <c r="G87" s="211">
        <f>$G$8</f>
        <v>45016</v>
      </c>
      <c r="H87" s="211">
        <f>$H$8</f>
        <v>45291</v>
      </c>
      <c r="I87" s="211">
        <f>$I$8</f>
        <v>45382</v>
      </c>
      <c r="J87" s="211">
        <f>$J$8</f>
        <v>45747</v>
      </c>
      <c r="K87" s="211">
        <f>$K$8</f>
        <v>46112</v>
      </c>
      <c r="L87" s="211">
        <f>$L$8</f>
        <v>46477</v>
      </c>
      <c r="M87" s="211">
        <f>$M$8</f>
        <v>46843</v>
      </c>
      <c r="N87" s="211">
        <f>$N$8</f>
        <v>47208</v>
      </c>
      <c r="O87" s="211">
        <f>$O$8</f>
        <v>47573</v>
      </c>
      <c r="P87" s="211">
        <f>$O$8</f>
        <v>47573</v>
      </c>
    </row>
    <row r="88" spans="1:16" x14ac:dyDescent="0.3">
      <c r="B88" t="s">
        <v>514</v>
      </c>
      <c r="E88" s="68"/>
      <c r="F88" s="68"/>
      <c r="G88" s="68"/>
      <c r="H88" s="68"/>
      <c r="I88" s="68"/>
      <c r="J88" s="68"/>
      <c r="K88" s="68"/>
      <c r="L88" s="68"/>
      <c r="M88" s="68"/>
      <c r="N88" s="68"/>
      <c r="O88" s="68"/>
      <c r="P88" s="68"/>
    </row>
    <row r="89" spans="1:16" x14ac:dyDescent="0.3">
      <c r="B89" s="27" t="s">
        <v>515</v>
      </c>
      <c r="C89" s="27"/>
      <c r="D89" s="27"/>
      <c r="E89" s="68">
        <v>0.44069999999999998</v>
      </c>
      <c r="F89" s="68">
        <v>0.48780000000000001</v>
      </c>
      <c r="G89" s="68"/>
      <c r="H89" s="68"/>
      <c r="I89" s="68"/>
      <c r="J89" s="68">
        <f>Assumptions!H189</f>
        <v>2.606849315068493</v>
      </c>
      <c r="K89" s="68">
        <f>Assumptions!I189</f>
        <v>7.342876712328767</v>
      </c>
      <c r="L89" s="68">
        <f>Assumptions!J189</f>
        <v>7.096356164383562</v>
      </c>
      <c r="M89" s="68">
        <f>Assumptions!K189</f>
        <v>5.6924999999999999</v>
      </c>
      <c r="N89" s="68">
        <f>Assumptions!L189</f>
        <v>4.0718082191780827</v>
      </c>
      <c r="O89" s="68">
        <f>Assumptions!M189</f>
        <v>2.2295342465753425</v>
      </c>
      <c r="P89" s="68">
        <f>Assumptions!N189</f>
        <v>0</v>
      </c>
    </row>
    <row r="90" spans="1:16" x14ac:dyDescent="0.3">
      <c r="B90" s="27" t="s">
        <v>516</v>
      </c>
      <c r="C90" s="27"/>
      <c r="D90" s="27"/>
      <c r="E90" s="68">
        <v>2.3799999999999998E-2</v>
      </c>
      <c r="F90" s="68">
        <v>3.2799999999999996E-2</v>
      </c>
      <c r="G90" s="68">
        <v>2.46E-2</v>
      </c>
      <c r="H90" s="68"/>
      <c r="I90" s="68"/>
      <c r="J90" s="68">
        <f>I90</f>
        <v>0</v>
      </c>
      <c r="K90" s="68">
        <f t="shared" ref="K90" si="31">J90</f>
        <v>0</v>
      </c>
      <c r="L90" s="68">
        <f t="shared" ref="L90" si="32">K90</f>
        <v>0</v>
      </c>
      <c r="M90" s="68">
        <f t="shared" ref="M90" si="33">L90</f>
        <v>0</v>
      </c>
      <c r="N90" s="68">
        <f t="shared" ref="N90" si="34">M90</f>
        <v>0</v>
      </c>
      <c r="O90" s="68">
        <f t="shared" ref="O90:P90" si="35">N90</f>
        <v>0</v>
      </c>
      <c r="P90" s="68">
        <f t="shared" si="35"/>
        <v>0</v>
      </c>
    </row>
    <row r="91" spans="1:16" x14ac:dyDescent="0.3">
      <c r="B91" s="27" t="s">
        <v>517</v>
      </c>
      <c r="C91" s="27"/>
      <c r="D91" s="27"/>
      <c r="E91" s="68"/>
      <c r="F91" s="68"/>
      <c r="G91" s="68"/>
      <c r="H91" s="68"/>
      <c r="I91" s="68"/>
      <c r="J91" s="68">
        <f>I91</f>
        <v>0</v>
      </c>
      <c r="K91" s="68">
        <f t="shared" ref="K91" si="36">J91</f>
        <v>0</v>
      </c>
      <c r="L91" s="68">
        <f t="shared" ref="L91" si="37">K91</f>
        <v>0</v>
      </c>
      <c r="M91" s="68">
        <f t="shared" ref="M91" si="38">L91</f>
        <v>0</v>
      </c>
      <c r="N91" s="68">
        <f t="shared" ref="N91" si="39">M91</f>
        <v>0</v>
      </c>
      <c r="O91" s="68">
        <f t="shared" ref="O91:P91" si="40">N91</f>
        <v>0</v>
      </c>
      <c r="P91" s="68">
        <f t="shared" si="40"/>
        <v>0</v>
      </c>
    </row>
    <row r="92" spans="1:16" x14ac:dyDescent="0.3">
      <c r="B92" t="s">
        <v>518</v>
      </c>
      <c r="E92" s="68">
        <v>4.9000000000000002E-2</v>
      </c>
      <c r="F92" s="68">
        <v>9.4E-2</v>
      </c>
      <c r="G92" s="68">
        <v>8.6699999999999999E-2</v>
      </c>
      <c r="H92" s="68">
        <v>6.7799999999999999E-2</v>
      </c>
      <c r="I92" s="68">
        <f>H92*12/9</f>
        <v>9.0399999999999994E-2</v>
      </c>
      <c r="J92" s="68">
        <f>I92</f>
        <v>9.0399999999999994E-2</v>
      </c>
      <c r="K92" s="68">
        <f t="shared" ref="K92:P93" si="41">J92</f>
        <v>9.0399999999999994E-2</v>
      </c>
      <c r="L92" s="68">
        <f t="shared" si="41"/>
        <v>9.0399999999999994E-2</v>
      </c>
      <c r="M92" s="68">
        <f t="shared" si="41"/>
        <v>9.0399999999999994E-2</v>
      </c>
      <c r="N92" s="68">
        <f t="shared" si="41"/>
        <v>9.0399999999999994E-2</v>
      </c>
      <c r="O92" s="68">
        <f t="shared" si="41"/>
        <v>9.0399999999999994E-2</v>
      </c>
      <c r="P92" s="68">
        <f t="shared" si="41"/>
        <v>9.0399999999999994E-2</v>
      </c>
    </row>
    <row r="93" spans="1:16" x14ac:dyDescent="0.3">
      <c r="B93" t="s">
        <v>519</v>
      </c>
      <c r="E93" s="68">
        <v>0.1429</v>
      </c>
      <c r="F93" s="68">
        <v>1E-3</v>
      </c>
      <c r="G93" s="68"/>
      <c r="H93" s="68"/>
      <c r="I93" s="68"/>
      <c r="J93" s="68">
        <f>I93</f>
        <v>0</v>
      </c>
      <c r="K93" s="68">
        <f t="shared" si="41"/>
        <v>0</v>
      </c>
      <c r="L93" s="68">
        <f t="shared" si="41"/>
        <v>0</v>
      </c>
      <c r="M93" s="68">
        <f t="shared" si="41"/>
        <v>0</v>
      </c>
      <c r="N93" s="68">
        <f t="shared" si="41"/>
        <v>0</v>
      </c>
      <c r="O93" s="68">
        <f t="shared" si="41"/>
        <v>0</v>
      </c>
      <c r="P93" s="68">
        <f t="shared" si="41"/>
        <v>0</v>
      </c>
    </row>
    <row r="94" spans="1:16" x14ac:dyDescent="0.3">
      <c r="B94" t="s">
        <v>520</v>
      </c>
      <c r="E94" s="68"/>
      <c r="F94" s="68"/>
      <c r="G94" s="68"/>
      <c r="H94" s="68"/>
      <c r="I94" s="68"/>
      <c r="J94" s="68"/>
      <c r="K94" s="68"/>
      <c r="L94" s="68"/>
      <c r="M94" s="68"/>
      <c r="N94" s="68"/>
      <c r="O94" s="68"/>
      <c r="P94" s="68"/>
    </row>
    <row r="95" spans="1:16" x14ac:dyDescent="0.3">
      <c r="B95" s="27" t="s">
        <v>521</v>
      </c>
      <c r="C95" s="27"/>
      <c r="D95" s="27"/>
      <c r="E95" s="68">
        <v>0.24079999999999999</v>
      </c>
      <c r="F95" s="68">
        <v>4.4500000000000005E-2</v>
      </c>
      <c r="G95" s="68">
        <v>0</v>
      </c>
      <c r="H95" s="68"/>
      <c r="I95" s="68"/>
      <c r="J95" s="68">
        <f>I95</f>
        <v>0</v>
      </c>
      <c r="K95" s="68">
        <f t="shared" ref="K95" si="42">J95</f>
        <v>0</v>
      </c>
      <c r="L95" s="68">
        <f t="shared" ref="L95" si="43">K95</f>
        <v>0</v>
      </c>
      <c r="M95" s="68">
        <f t="shared" ref="M95" si="44">L95</f>
        <v>0</v>
      </c>
      <c r="N95" s="68">
        <f t="shared" ref="N95" si="45">M95</f>
        <v>0</v>
      </c>
      <c r="O95" s="68">
        <f t="shared" ref="O95:P95" si="46">N95</f>
        <v>0</v>
      </c>
      <c r="P95" s="68">
        <f t="shared" si="46"/>
        <v>0</v>
      </c>
    </row>
    <row r="96" spans="1:16" x14ac:dyDescent="0.3">
      <c r="B96" s="27" t="s">
        <v>522</v>
      </c>
      <c r="C96" s="27"/>
      <c r="D96" s="27"/>
      <c r="E96" s="68">
        <v>8.4199999999999997E-2</v>
      </c>
      <c r="F96" s="68">
        <v>0.16769999999999999</v>
      </c>
      <c r="G96" s="68">
        <v>8.9399999999999993E-2</v>
      </c>
      <c r="H96" s="68">
        <v>8.6800000000000002E-2</v>
      </c>
      <c r="I96" s="68">
        <f>H96*12/9</f>
        <v>0.11573333333333334</v>
      </c>
      <c r="J96" s="68">
        <f>I96</f>
        <v>0.11573333333333334</v>
      </c>
      <c r="K96" s="68">
        <f t="shared" ref="K96:P96" si="47">J96</f>
        <v>0.11573333333333334</v>
      </c>
      <c r="L96" s="68">
        <f t="shared" si="47"/>
        <v>0.11573333333333334</v>
      </c>
      <c r="M96" s="68">
        <f t="shared" si="47"/>
        <v>0.11573333333333334</v>
      </c>
      <c r="N96" s="68">
        <f t="shared" si="47"/>
        <v>0.11573333333333334</v>
      </c>
      <c r="O96" s="68">
        <f t="shared" si="47"/>
        <v>0.11573333333333334</v>
      </c>
      <c r="P96" s="68">
        <f t="shared" si="47"/>
        <v>0.11573333333333334</v>
      </c>
    </row>
    <row r="97" spans="2:16" ht="15" thickBot="1" x14ac:dyDescent="0.35">
      <c r="B97" s="25" t="s">
        <v>123</v>
      </c>
      <c r="C97" s="25"/>
      <c r="D97" s="25"/>
      <c r="E97" s="29">
        <f t="shared" ref="E97:H97" si="48">SUM(E88:E96)</f>
        <v>0.98140000000000005</v>
      </c>
      <c r="F97" s="29">
        <f t="shared" si="48"/>
        <v>0.82779999999999987</v>
      </c>
      <c r="G97" s="29">
        <f t="shared" si="48"/>
        <v>0.20069999999999999</v>
      </c>
      <c r="H97" s="29">
        <f t="shared" si="48"/>
        <v>0.15460000000000002</v>
      </c>
      <c r="I97" s="29">
        <f>SUM(I89:I96)</f>
        <v>0.20613333333333334</v>
      </c>
      <c r="J97" s="29">
        <f>SUM(J89:J96)</f>
        <v>2.8129826484018263</v>
      </c>
      <c r="K97" s="29">
        <f t="shared" ref="K97:O97" si="49">SUM(K89:K96)</f>
        <v>7.5490100456620999</v>
      </c>
      <c r="L97" s="29">
        <f t="shared" si="49"/>
        <v>7.3024894977168948</v>
      </c>
      <c r="M97" s="29">
        <f t="shared" si="49"/>
        <v>5.8986333333333327</v>
      </c>
      <c r="N97" s="29">
        <f t="shared" si="49"/>
        <v>4.2779415525114155</v>
      </c>
      <c r="O97" s="29">
        <f t="shared" si="49"/>
        <v>2.4356675799086758</v>
      </c>
      <c r="P97" s="29">
        <f t="shared" ref="P97" si="50">SUM(P89:P96)</f>
        <v>0.20613333333333334</v>
      </c>
    </row>
    <row r="98" spans="2:16" ht="15" thickTop="1" x14ac:dyDescent="0.3"/>
  </sheetData>
  <printOptions horizontalCentered="1"/>
  <pageMargins left="0.4" right="0.4" top="0.75" bottom="0.5" header="0.31496062992126" footer="0.31496062992126"/>
  <pageSetup paperSize="9" scale="75" orientation="landscape" r:id="rId1"/>
  <rowBreaks count="1" manualBreakCount="1">
    <brk id="4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323"/>
  <sheetViews>
    <sheetView workbookViewId="0">
      <pane ySplit="6" topLeftCell="A43" activePane="bottomLeft" state="frozen"/>
      <selection activeCell="B1" sqref="B1"/>
      <selection pane="bottomLeft" activeCell="P53" sqref="P53"/>
    </sheetView>
  </sheetViews>
  <sheetFormatPr defaultRowHeight="14.4" x14ac:dyDescent="0.3"/>
  <cols>
    <col min="1" max="1" width="8" customWidth="1"/>
    <col min="2" max="2" width="34.44140625" customWidth="1"/>
    <col min="3" max="3" width="11.6640625" customWidth="1"/>
    <col min="4" max="9" width="11.33203125" hidden="1" customWidth="1"/>
    <col min="10" max="16" width="11.33203125" bestFit="1" customWidth="1"/>
  </cols>
  <sheetData>
    <row r="1" spans="1:16" ht="21" x14ac:dyDescent="0.4">
      <c r="B1" s="492" t="s">
        <v>415</v>
      </c>
      <c r="C1" s="492"/>
      <c r="D1" s="492"/>
      <c r="E1" s="492"/>
      <c r="F1" s="492"/>
      <c r="G1" s="492"/>
      <c r="H1" s="492"/>
      <c r="I1" s="492"/>
      <c r="J1" s="492"/>
      <c r="K1" s="492"/>
      <c r="L1" s="492"/>
      <c r="M1" s="492"/>
      <c r="N1" s="492"/>
      <c r="O1" s="492"/>
      <c r="P1" s="492"/>
    </row>
    <row r="2" spans="1:16" ht="15.6" x14ac:dyDescent="0.3">
      <c r="B2" s="493" t="s">
        <v>526</v>
      </c>
      <c r="C2" s="493"/>
      <c r="D2" s="493"/>
      <c r="E2" s="493"/>
      <c r="F2" s="493"/>
      <c r="G2" s="494"/>
      <c r="H2" s="494"/>
      <c r="I2" s="494"/>
      <c r="J2" s="494"/>
      <c r="K2" s="494"/>
      <c r="L2" s="494"/>
      <c r="M2" s="494"/>
      <c r="N2" s="494"/>
      <c r="O2" s="494"/>
      <c r="P2" s="494"/>
    </row>
    <row r="3" spans="1:16" x14ac:dyDescent="0.3">
      <c r="B3" s="495" t="s">
        <v>417</v>
      </c>
      <c r="C3" s="495"/>
      <c r="D3" s="495"/>
      <c r="E3" s="495"/>
      <c r="F3" s="495"/>
      <c r="G3" s="496"/>
      <c r="H3" s="496"/>
      <c r="I3" s="496"/>
      <c r="J3" s="496"/>
      <c r="K3" s="496"/>
      <c r="L3" s="496"/>
      <c r="M3" s="496"/>
      <c r="N3" s="496"/>
      <c r="O3" s="496"/>
      <c r="P3" s="496"/>
    </row>
    <row r="4" spans="1:16" x14ac:dyDescent="0.3">
      <c r="B4" s="75" t="s">
        <v>525</v>
      </c>
      <c r="C4" s="75"/>
      <c r="D4" s="75"/>
      <c r="E4" s="76">
        <f>DATE(2020,4,1)</f>
        <v>43922</v>
      </c>
      <c r="F4" s="76">
        <f>E5+1</f>
        <v>44287</v>
      </c>
      <c r="G4" s="76">
        <f t="shared" ref="G4:P4" si="0">F5+1</f>
        <v>44652</v>
      </c>
      <c r="H4" s="76">
        <f t="shared" si="0"/>
        <v>45017</v>
      </c>
      <c r="I4" s="76">
        <f>G5+1</f>
        <v>45017</v>
      </c>
      <c r="J4" s="76">
        <f t="shared" si="0"/>
        <v>45383</v>
      </c>
      <c r="K4" s="76">
        <f t="shared" si="0"/>
        <v>45748</v>
      </c>
      <c r="L4" s="76">
        <f t="shared" si="0"/>
        <v>46113</v>
      </c>
      <c r="M4" s="76">
        <f t="shared" si="0"/>
        <v>46478</v>
      </c>
      <c r="N4" s="76">
        <f t="shared" si="0"/>
        <v>46844</v>
      </c>
      <c r="O4" s="76">
        <f t="shared" si="0"/>
        <v>47209</v>
      </c>
      <c r="P4" s="76">
        <f t="shared" si="0"/>
        <v>47574</v>
      </c>
    </row>
    <row r="5" spans="1:16" x14ac:dyDescent="0.3">
      <c r="B5" s="75" t="s">
        <v>418</v>
      </c>
      <c r="C5" s="75"/>
      <c r="D5" s="75"/>
      <c r="E5" s="78">
        <f>DATE((IF(MONTH(E4)&gt;3,YEAR(E4)+1,YEAR(E4))),3,31)</f>
        <v>44286</v>
      </c>
      <c r="F5" s="78">
        <f>DATE((IF(MONTH(F4)&gt;3,YEAR(F4)+1,YEAR(F4))),3,31)</f>
        <v>44651</v>
      </c>
      <c r="G5" s="78">
        <f t="shared" ref="G5:O5" si="1">DATE((IF(MONTH(G4)&gt;3,YEAR(G4)+1,YEAR(G4))),3,31)</f>
        <v>45016</v>
      </c>
      <c r="H5" s="78">
        <f>EOMONTH(G5,9)</f>
        <v>45291</v>
      </c>
      <c r="I5" s="78">
        <f t="shared" si="1"/>
        <v>45382</v>
      </c>
      <c r="J5" s="78">
        <f t="shared" si="1"/>
        <v>45747</v>
      </c>
      <c r="K5" s="78">
        <f t="shared" si="1"/>
        <v>46112</v>
      </c>
      <c r="L5" s="78">
        <f t="shared" si="1"/>
        <v>46477</v>
      </c>
      <c r="M5" s="78">
        <f t="shared" si="1"/>
        <v>46843</v>
      </c>
      <c r="N5" s="78">
        <f t="shared" si="1"/>
        <v>47208</v>
      </c>
      <c r="O5" s="78">
        <f t="shared" si="1"/>
        <v>47573</v>
      </c>
      <c r="P5" s="78">
        <f t="shared" ref="P5" si="2">DATE((IF(MONTH(P4)&gt;3,YEAR(P4)+1,YEAR(P4))),3,31)</f>
        <v>47938</v>
      </c>
    </row>
    <row r="6" spans="1:16" x14ac:dyDescent="0.3">
      <c r="B6" s="75" t="s">
        <v>420</v>
      </c>
      <c r="C6" s="75"/>
      <c r="D6" s="75"/>
      <c r="E6" s="79">
        <f>E5-E4+1</f>
        <v>365</v>
      </c>
      <c r="F6" s="79">
        <f>F5-F4+1</f>
        <v>365</v>
      </c>
      <c r="G6" s="79">
        <f t="shared" ref="G6:O6" si="3">G5-G4+1</f>
        <v>365</v>
      </c>
      <c r="H6" s="79">
        <f t="shared" si="3"/>
        <v>275</v>
      </c>
      <c r="I6" s="79">
        <f t="shared" si="3"/>
        <v>366</v>
      </c>
      <c r="J6" s="79">
        <f t="shared" si="3"/>
        <v>365</v>
      </c>
      <c r="K6" s="79">
        <f t="shared" si="3"/>
        <v>365</v>
      </c>
      <c r="L6" s="79">
        <f t="shared" si="3"/>
        <v>365</v>
      </c>
      <c r="M6" s="79">
        <f t="shared" si="3"/>
        <v>366</v>
      </c>
      <c r="N6" s="79">
        <f t="shared" si="3"/>
        <v>365</v>
      </c>
      <c r="O6" s="79">
        <f t="shared" si="3"/>
        <v>365</v>
      </c>
      <c r="P6" s="79">
        <f t="shared" ref="P6" si="4">P5-P4+1</f>
        <v>365</v>
      </c>
    </row>
    <row r="7" spans="1:16" x14ac:dyDescent="0.3">
      <c r="B7" s="182"/>
      <c r="C7" s="182"/>
      <c r="D7" s="182"/>
      <c r="E7" s="183"/>
      <c r="F7" s="183"/>
      <c r="G7" s="183"/>
      <c r="H7" s="183"/>
      <c r="I7" s="183"/>
      <c r="J7" s="183"/>
      <c r="K7" s="183"/>
      <c r="L7" s="183"/>
      <c r="M7" s="183"/>
      <c r="N7" s="183"/>
      <c r="O7" s="183"/>
      <c r="P7" s="183"/>
    </row>
    <row r="8" spans="1:16" x14ac:dyDescent="0.3">
      <c r="B8" s="475" t="s">
        <v>10</v>
      </c>
      <c r="C8" s="476"/>
      <c r="D8" s="476">
        <v>43921</v>
      </c>
      <c r="E8" s="476">
        <f>EDATE(D8,12)</f>
        <v>44286</v>
      </c>
      <c r="F8" s="476">
        <f t="shared" ref="F8:P8" si="5">EDATE(E8,12)</f>
        <v>44651</v>
      </c>
      <c r="G8" s="476">
        <f t="shared" si="5"/>
        <v>45016</v>
      </c>
      <c r="H8" s="476">
        <f t="shared" si="5"/>
        <v>45382</v>
      </c>
      <c r="I8" s="476">
        <f>EDATE(G8,12)</f>
        <v>45382</v>
      </c>
      <c r="J8" s="476">
        <f t="shared" si="5"/>
        <v>45747</v>
      </c>
      <c r="K8" s="476">
        <f t="shared" si="5"/>
        <v>46112</v>
      </c>
      <c r="L8" s="476">
        <f t="shared" si="5"/>
        <v>46477</v>
      </c>
      <c r="M8" s="476">
        <f t="shared" si="5"/>
        <v>46843</v>
      </c>
      <c r="N8" s="476">
        <f t="shared" si="5"/>
        <v>47208</v>
      </c>
      <c r="O8" s="476">
        <f t="shared" si="5"/>
        <v>47573</v>
      </c>
      <c r="P8" s="476">
        <f t="shared" si="5"/>
        <v>47938</v>
      </c>
    </row>
    <row r="9" spans="1:16" x14ac:dyDescent="0.3">
      <c r="B9" s="501" t="s">
        <v>33</v>
      </c>
      <c r="C9" s="501"/>
      <c r="D9" s="501"/>
      <c r="E9" s="1"/>
      <c r="F9" s="1"/>
      <c r="G9" s="1"/>
      <c r="H9" s="1"/>
      <c r="I9" s="1"/>
      <c r="J9" s="1"/>
      <c r="K9" s="1"/>
      <c r="L9" s="1"/>
      <c r="M9" s="1"/>
      <c r="N9" s="1"/>
      <c r="O9" s="1"/>
      <c r="P9" s="1"/>
    </row>
    <row r="10" spans="1:16" x14ac:dyDescent="0.3">
      <c r="B10" s="1"/>
      <c r="C10" s="1"/>
      <c r="D10" s="1"/>
      <c r="E10" s="1"/>
      <c r="F10" s="1"/>
      <c r="G10" s="1"/>
      <c r="H10" s="1"/>
      <c r="I10" s="1"/>
      <c r="J10" s="409"/>
      <c r="K10" s="409"/>
      <c r="L10" s="409"/>
      <c r="M10" s="409"/>
      <c r="N10" s="409"/>
      <c r="O10" s="409"/>
      <c r="P10" s="409"/>
    </row>
    <row r="11" spans="1:16" x14ac:dyDescent="0.3">
      <c r="B11" s="64" t="s">
        <v>34</v>
      </c>
      <c r="C11" s="64"/>
      <c r="D11" s="64"/>
      <c r="E11" s="1"/>
      <c r="F11" s="1"/>
      <c r="G11" s="1"/>
      <c r="H11" s="1"/>
      <c r="I11" s="409"/>
      <c r="J11" s="409"/>
      <c r="K11" s="409"/>
      <c r="L11" s="409"/>
      <c r="M11" s="409"/>
      <c r="N11" s="409"/>
      <c r="O11" s="409"/>
      <c r="P11" s="409"/>
    </row>
    <row r="12" spans="1:16" x14ac:dyDescent="0.3">
      <c r="B12" s="502" t="s">
        <v>124</v>
      </c>
      <c r="C12" s="502"/>
      <c r="D12" s="207">
        <f>D133</f>
        <v>17.077500000000001</v>
      </c>
      <c r="E12" s="207">
        <f>E133</f>
        <v>16.985599999999998</v>
      </c>
      <c r="F12" s="207">
        <f t="shared" ref="F12:H12" si="6">F133</f>
        <v>18.223599999999994</v>
      </c>
      <c r="G12" s="207">
        <f t="shared" si="6"/>
        <v>32.206699999999998</v>
      </c>
      <c r="H12" s="477">
        <f t="shared" si="6"/>
        <v>34.151800000000001</v>
      </c>
      <c r="I12" s="207">
        <f>I133</f>
        <v>33.376944935000004</v>
      </c>
      <c r="J12" s="207">
        <f>J133</f>
        <v>30.633945344999997</v>
      </c>
      <c r="K12" s="207">
        <f t="shared" ref="K12:N12" si="7">K133</f>
        <v>174.35046554249996</v>
      </c>
      <c r="L12" s="207">
        <f t="shared" si="7"/>
        <v>160.54541347749995</v>
      </c>
      <c r="M12" s="207">
        <f t="shared" si="7"/>
        <v>146.75613396249997</v>
      </c>
      <c r="N12" s="207">
        <f t="shared" si="7"/>
        <v>132.98161119749997</v>
      </c>
      <c r="O12" s="207">
        <f t="shared" ref="O12:P12" si="8">O133</f>
        <v>119.20708843249997</v>
      </c>
      <c r="P12" s="207">
        <f t="shared" si="8"/>
        <v>105.43256566749997</v>
      </c>
    </row>
    <row r="13" spans="1:16" x14ac:dyDescent="0.3">
      <c r="B13" s="502" t="s">
        <v>125</v>
      </c>
      <c r="C13" s="502"/>
      <c r="D13" s="207">
        <v>0.36009999999999998</v>
      </c>
      <c r="E13" s="207">
        <f>E146</f>
        <v>2.0739000000000001</v>
      </c>
      <c r="F13" s="207">
        <f t="shared" ref="F13:H13" si="9">F146</f>
        <v>12.698</v>
      </c>
      <c r="G13" s="207">
        <f t="shared" si="9"/>
        <v>20.593599999999999</v>
      </c>
      <c r="H13" s="477">
        <f t="shared" si="9"/>
        <v>71.918599999999998</v>
      </c>
      <c r="I13" s="207">
        <f t="shared" ref="I13:N13" si="10">I146</f>
        <v>81.918599999999998</v>
      </c>
      <c r="J13" s="207">
        <f t="shared" si="10"/>
        <v>181.9186</v>
      </c>
      <c r="K13" s="207">
        <f t="shared" si="10"/>
        <v>71.918599999999998</v>
      </c>
      <c r="L13" s="207">
        <f t="shared" si="10"/>
        <v>71.918599999999998</v>
      </c>
      <c r="M13" s="207">
        <f t="shared" si="10"/>
        <v>71.918599999999998</v>
      </c>
      <c r="N13" s="207">
        <f t="shared" si="10"/>
        <v>71.918599999999998</v>
      </c>
      <c r="O13" s="207">
        <f t="shared" ref="O13:P13" si="11">O146</f>
        <v>71.918599999999998</v>
      </c>
      <c r="P13" s="207">
        <f t="shared" si="11"/>
        <v>71.918599999999998</v>
      </c>
    </row>
    <row r="14" spans="1:16" x14ac:dyDescent="0.3">
      <c r="B14" s="502" t="s">
        <v>126</v>
      </c>
      <c r="C14" s="502"/>
      <c r="D14" s="207">
        <v>0</v>
      </c>
      <c r="E14" s="207">
        <f>E168</f>
        <v>1.9598000000000002</v>
      </c>
      <c r="F14" s="207">
        <f t="shared" ref="F14:H14" si="12">F168</f>
        <v>1.2076</v>
      </c>
      <c r="G14" s="207">
        <f t="shared" si="12"/>
        <v>0.45540000000000003</v>
      </c>
      <c r="H14" s="477">
        <f t="shared" si="12"/>
        <v>2.1069000000000004</v>
      </c>
      <c r="I14" s="207">
        <f>I168</f>
        <v>1.8263000000000007</v>
      </c>
      <c r="J14" s="207">
        <f t="shared" ref="J14:N14" si="13">J168</f>
        <v>0.24300000000000033</v>
      </c>
      <c r="K14" s="207">
        <f t="shared" si="13"/>
        <v>0</v>
      </c>
      <c r="L14" s="207">
        <f t="shared" si="13"/>
        <v>0</v>
      </c>
      <c r="M14" s="207">
        <f t="shared" si="13"/>
        <v>0</v>
      </c>
      <c r="N14" s="207">
        <f t="shared" si="13"/>
        <v>0</v>
      </c>
      <c r="O14" s="207">
        <f t="shared" ref="O14:P14" si="14">O168</f>
        <v>0</v>
      </c>
      <c r="P14" s="207">
        <f t="shared" si="14"/>
        <v>0</v>
      </c>
    </row>
    <row r="15" spans="1:16" x14ac:dyDescent="0.3">
      <c r="A15" t="s">
        <v>145</v>
      </c>
      <c r="B15" s="1" t="s">
        <v>127</v>
      </c>
      <c r="C15" s="1"/>
      <c r="D15" s="207">
        <v>15.100999999999999</v>
      </c>
      <c r="E15" s="207">
        <f>E188</f>
        <v>1.3048999999999999</v>
      </c>
      <c r="F15" s="207">
        <f t="shared" ref="F15:H15" si="15">F188</f>
        <v>9.206900000000001</v>
      </c>
      <c r="G15" s="207">
        <f t="shared" si="15"/>
        <v>41.532800000000002</v>
      </c>
      <c r="H15" s="477">
        <f t="shared" si="15"/>
        <v>42.737399999999994</v>
      </c>
      <c r="I15" s="503">
        <f>H15</f>
        <v>42.737399999999994</v>
      </c>
      <c r="J15" s="503">
        <f t="shared" ref="J15:P15" si="16">I15</f>
        <v>42.737399999999994</v>
      </c>
      <c r="K15" s="503">
        <f t="shared" si="16"/>
        <v>42.737399999999994</v>
      </c>
      <c r="L15" s="503">
        <f t="shared" si="16"/>
        <v>42.737399999999994</v>
      </c>
      <c r="M15" s="503">
        <f t="shared" si="16"/>
        <v>42.737399999999994</v>
      </c>
      <c r="N15" s="503">
        <f t="shared" si="16"/>
        <v>42.737399999999994</v>
      </c>
      <c r="O15" s="503">
        <f t="shared" si="16"/>
        <v>42.737399999999994</v>
      </c>
      <c r="P15" s="503">
        <f t="shared" si="16"/>
        <v>42.737399999999994</v>
      </c>
    </row>
    <row r="16" spans="1:16" x14ac:dyDescent="0.3">
      <c r="B16" s="1" t="s">
        <v>128</v>
      </c>
      <c r="C16" s="1"/>
      <c r="D16" s="207">
        <v>0</v>
      </c>
      <c r="E16" s="207">
        <v>0</v>
      </c>
      <c r="F16" s="207">
        <v>0</v>
      </c>
      <c r="G16" s="207">
        <v>0</v>
      </c>
      <c r="H16" s="477">
        <v>0</v>
      </c>
      <c r="I16" s="503">
        <f>H16</f>
        <v>0</v>
      </c>
      <c r="J16" s="503">
        <v>0</v>
      </c>
      <c r="K16" s="503">
        <v>0</v>
      </c>
      <c r="L16" s="503">
        <v>0</v>
      </c>
      <c r="M16" s="503">
        <v>0</v>
      </c>
      <c r="N16" s="503">
        <v>0</v>
      </c>
      <c r="O16" s="503">
        <v>0</v>
      </c>
      <c r="P16" s="503">
        <v>0</v>
      </c>
    </row>
    <row r="17" spans="1:16" x14ac:dyDescent="0.3">
      <c r="A17" t="s">
        <v>145</v>
      </c>
      <c r="B17" s="1" t="s">
        <v>129</v>
      </c>
      <c r="C17" s="1"/>
      <c r="D17" s="504">
        <v>2.4015</v>
      </c>
      <c r="E17" s="207">
        <f>E242</f>
        <v>2.6191</v>
      </c>
      <c r="F17" s="207">
        <f t="shared" ref="F17:H17" si="17">F242</f>
        <v>2.7785999999999995</v>
      </c>
      <c r="G17" s="207">
        <f t="shared" si="17"/>
        <v>10.693100000000001</v>
      </c>
      <c r="H17" s="477">
        <f t="shared" si="17"/>
        <v>6.8120999999999992</v>
      </c>
      <c r="I17" s="503">
        <f>H17</f>
        <v>6.8120999999999992</v>
      </c>
      <c r="J17" s="503">
        <f>I17</f>
        <v>6.8120999999999992</v>
      </c>
      <c r="K17" s="503">
        <f t="shared" ref="K17:P17" si="18">J17</f>
        <v>6.8120999999999992</v>
      </c>
      <c r="L17" s="503">
        <f t="shared" si="18"/>
        <v>6.8120999999999992</v>
      </c>
      <c r="M17" s="503">
        <f t="shared" si="18"/>
        <v>6.8120999999999992</v>
      </c>
      <c r="N17" s="503">
        <f t="shared" si="18"/>
        <v>6.8120999999999992</v>
      </c>
      <c r="O17" s="503">
        <f t="shared" si="18"/>
        <v>6.8120999999999992</v>
      </c>
      <c r="P17" s="503">
        <f t="shared" si="18"/>
        <v>6.8120999999999992</v>
      </c>
    </row>
    <row r="18" spans="1:16" x14ac:dyDescent="0.3">
      <c r="B18" s="501" t="s">
        <v>531</v>
      </c>
      <c r="C18" s="501"/>
      <c r="D18" s="505">
        <f>SUM(D12:D17)</f>
        <v>34.940100000000001</v>
      </c>
      <c r="E18" s="505">
        <f>SUM(E12:E17)</f>
        <v>24.943300000000001</v>
      </c>
      <c r="F18" s="505">
        <f t="shared" ref="F18:N18" si="19">SUM(F12:F17)</f>
        <v>44.114699999999999</v>
      </c>
      <c r="G18" s="505">
        <f t="shared" si="19"/>
        <v>105.4816</v>
      </c>
      <c r="H18" s="506">
        <f t="shared" ref="H18" si="20">SUM(H12:H17)</f>
        <v>157.72679999999997</v>
      </c>
      <c r="I18" s="505">
        <f t="shared" si="19"/>
        <v>166.67134493499998</v>
      </c>
      <c r="J18" s="505">
        <f t="shared" si="19"/>
        <v>262.34504534499996</v>
      </c>
      <c r="K18" s="505">
        <f t="shared" si="19"/>
        <v>295.81856554249993</v>
      </c>
      <c r="L18" s="505">
        <f t="shared" si="19"/>
        <v>282.01351347749994</v>
      </c>
      <c r="M18" s="505">
        <f t="shared" si="19"/>
        <v>268.22423396249997</v>
      </c>
      <c r="N18" s="505">
        <f t="shared" si="19"/>
        <v>254.44971119749994</v>
      </c>
      <c r="O18" s="505">
        <f t="shared" ref="O18:P18" si="21">SUM(O12:O17)</f>
        <v>240.67518843249997</v>
      </c>
      <c r="P18" s="505">
        <f t="shared" si="21"/>
        <v>226.90066566749994</v>
      </c>
    </row>
    <row r="19" spans="1:16" x14ac:dyDescent="0.3">
      <c r="B19" s="1"/>
      <c r="C19" s="1"/>
      <c r="D19" s="207"/>
      <c r="E19" s="207"/>
      <c r="F19" s="207"/>
      <c r="G19" s="207"/>
      <c r="H19" s="477"/>
      <c r="I19" s="207"/>
      <c r="J19" s="207"/>
      <c r="K19" s="207"/>
      <c r="L19" s="207"/>
      <c r="M19" s="207"/>
      <c r="N19" s="207"/>
      <c r="O19" s="207"/>
      <c r="P19" s="207"/>
    </row>
    <row r="20" spans="1:16" x14ac:dyDescent="0.3">
      <c r="B20" s="64" t="s">
        <v>130</v>
      </c>
      <c r="C20" s="64"/>
      <c r="D20" s="505"/>
      <c r="E20" s="207"/>
      <c r="F20" s="207"/>
      <c r="G20" s="207"/>
      <c r="H20" s="477"/>
      <c r="I20" s="207"/>
      <c r="J20" s="207"/>
      <c r="K20" s="207"/>
      <c r="L20" s="207"/>
      <c r="M20" s="207"/>
      <c r="N20" s="207"/>
      <c r="O20" s="207"/>
      <c r="P20" s="207"/>
    </row>
    <row r="21" spans="1:16" x14ac:dyDescent="0.3">
      <c r="A21" t="s">
        <v>404</v>
      </c>
      <c r="B21" s="1" t="s">
        <v>35</v>
      </c>
      <c r="C21" s="1"/>
      <c r="D21" s="207">
        <v>6.0293000000000001</v>
      </c>
      <c r="E21" s="207">
        <f>E208</f>
        <v>6.0490999999999993</v>
      </c>
      <c r="F21" s="207">
        <f t="shared" ref="F21:H21" si="22">F208</f>
        <v>11.6098</v>
      </c>
      <c r="G21" s="207">
        <f t="shared" si="22"/>
        <v>14.618899999999998</v>
      </c>
      <c r="H21" s="477">
        <f t="shared" si="22"/>
        <v>5.9001999999999999</v>
      </c>
      <c r="I21" s="207">
        <f>WC!H14</f>
        <v>10.679820203545537</v>
      </c>
      <c r="J21" s="207">
        <f>WC!I14</f>
        <v>17.8268446553835</v>
      </c>
      <c r="K21" s="207">
        <f>WC!J14</f>
        <v>25.563845160826215</v>
      </c>
      <c r="L21" s="207">
        <f>WC!K14</f>
        <v>50.145735916859437</v>
      </c>
      <c r="M21" s="207">
        <f>WC!L14</f>
        <v>55.930914374202523</v>
      </c>
      <c r="N21" s="207">
        <f>WC!M14</f>
        <v>59.071931120325928</v>
      </c>
      <c r="O21" s="207">
        <f>WC!N14</f>
        <v>62.391271890292288</v>
      </c>
      <c r="P21" s="207">
        <f>WC!O14</f>
        <v>65.899155796835615</v>
      </c>
    </row>
    <row r="22" spans="1:16" x14ac:dyDescent="0.3">
      <c r="A22" t="s">
        <v>404</v>
      </c>
      <c r="B22" s="1" t="s">
        <v>131</v>
      </c>
      <c r="C22" s="1"/>
      <c r="D22" s="207">
        <v>20.229600000000001</v>
      </c>
      <c r="E22" s="207">
        <f>E217</f>
        <v>14.714</v>
      </c>
      <c r="F22" s="207">
        <f t="shared" ref="F22:H22" si="23">F217</f>
        <v>25.118200000000002</v>
      </c>
      <c r="G22" s="207">
        <f t="shared" si="23"/>
        <v>17.9053</v>
      </c>
      <c r="H22" s="477">
        <f t="shared" si="23"/>
        <v>24.4619</v>
      </c>
      <c r="I22" s="207">
        <f>WC!H9</f>
        <v>27.588874589903511</v>
      </c>
      <c r="J22" s="207">
        <f>WC!I9</f>
        <v>40.344712827770032</v>
      </c>
      <c r="K22" s="207">
        <f>WC!J9</f>
        <v>57.854657496869578</v>
      </c>
      <c r="L22" s="207">
        <f>WC!K9</f>
        <v>113.48701097767909</v>
      </c>
      <c r="M22" s="207">
        <f>WC!L9</f>
        <v>126.57970169389193</v>
      </c>
      <c r="N22" s="207">
        <f>WC!M9</f>
        <v>133.68827424609043</v>
      </c>
      <c r="O22" s="207">
        <f>WC!N9</f>
        <v>141.20041970596353</v>
      </c>
      <c r="P22" s="207">
        <f>WC!O9</f>
        <v>149.13926539506352</v>
      </c>
    </row>
    <row r="23" spans="1:16" x14ac:dyDescent="0.3">
      <c r="A23" t="s">
        <v>404</v>
      </c>
      <c r="B23" s="1" t="s">
        <v>37</v>
      </c>
      <c r="C23" s="1"/>
      <c r="D23" s="207">
        <v>0.85950000000000004</v>
      </c>
      <c r="E23" s="207">
        <f>E222</f>
        <v>3.9744999999999999</v>
      </c>
      <c r="F23" s="207">
        <f t="shared" ref="F23:H23" si="24">F222</f>
        <v>0.26080000000000003</v>
      </c>
      <c r="G23" s="207">
        <f t="shared" si="24"/>
        <v>6.0548999999999999</v>
      </c>
      <c r="H23" s="477">
        <f t="shared" si="24"/>
        <v>4.8940999999999999</v>
      </c>
      <c r="I23" s="207">
        <f>CFS!H60</f>
        <v>4.9899921266311189</v>
      </c>
      <c r="J23" s="207">
        <f>CFS!I60</f>
        <v>16.012377085873847</v>
      </c>
      <c r="K23" s="207">
        <f>CFS!J60</f>
        <v>77.973864974270839</v>
      </c>
      <c r="L23" s="207">
        <f>CFS!K60</f>
        <v>213.10356788402089</v>
      </c>
      <c r="M23" s="207">
        <f>CFS!L60</f>
        <v>420.13020372209712</v>
      </c>
      <c r="N23" s="207">
        <f>CFS!M60</f>
        <v>653.39343315051622</v>
      </c>
      <c r="O23" s="207">
        <f>CFS!N60</f>
        <v>909.69364847777081</v>
      </c>
      <c r="P23" s="207">
        <f>CFS!O60</f>
        <v>1173.1661965778167</v>
      </c>
    </row>
    <row r="24" spans="1:16" x14ac:dyDescent="0.3">
      <c r="A24" t="s">
        <v>404</v>
      </c>
      <c r="B24" s="1" t="s">
        <v>132</v>
      </c>
      <c r="C24" s="1"/>
      <c r="D24" s="207">
        <v>1.2246000000000001</v>
      </c>
      <c r="E24" s="207">
        <f>E230</f>
        <v>23.663700000000002</v>
      </c>
      <c r="F24" s="207">
        <f t="shared" ref="F24:H24" si="25">F230</f>
        <v>12.088099999999999</v>
      </c>
      <c r="G24" s="207">
        <f t="shared" si="25"/>
        <v>3.2789999999999999</v>
      </c>
      <c r="H24" s="477">
        <f t="shared" si="25"/>
        <v>2.6227</v>
      </c>
      <c r="I24" s="503">
        <f>H24</f>
        <v>2.6227</v>
      </c>
      <c r="J24" s="503">
        <f t="shared" ref="J24:P27" si="26">I24</f>
        <v>2.6227</v>
      </c>
      <c r="K24" s="503">
        <f t="shared" si="26"/>
        <v>2.6227</v>
      </c>
      <c r="L24" s="503">
        <f t="shared" si="26"/>
        <v>2.6227</v>
      </c>
      <c r="M24" s="503">
        <f t="shared" si="26"/>
        <v>2.6227</v>
      </c>
      <c r="N24" s="503">
        <f t="shared" si="26"/>
        <v>2.6227</v>
      </c>
      <c r="O24" s="503">
        <f t="shared" si="26"/>
        <v>2.6227</v>
      </c>
      <c r="P24" s="503">
        <f t="shared" si="26"/>
        <v>2.6227</v>
      </c>
    </row>
    <row r="25" spans="1:16" x14ac:dyDescent="0.3">
      <c r="A25" t="s">
        <v>406</v>
      </c>
      <c r="B25" s="1" t="s">
        <v>133</v>
      </c>
      <c r="C25" s="1"/>
      <c r="D25" s="207">
        <v>2.0500000000000001E-2</v>
      </c>
      <c r="E25" s="207">
        <f>E179</f>
        <v>1.83E-2</v>
      </c>
      <c r="F25" s="207">
        <f t="shared" ref="F25:H25" si="27">F179</f>
        <v>17.519200000000001</v>
      </c>
      <c r="G25" s="207">
        <f t="shared" si="27"/>
        <v>17.5</v>
      </c>
      <c r="H25" s="477">
        <f t="shared" si="27"/>
        <v>13.25</v>
      </c>
      <c r="I25" s="503">
        <f>H25</f>
        <v>13.25</v>
      </c>
      <c r="J25" s="503">
        <f t="shared" si="26"/>
        <v>13.25</v>
      </c>
      <c r="K25" s="503">
        <f>J25</f>
        <v>13.25</v>
      </c>
      <c r="L25" s="503">
        <f t="shared" ref="L25:P25" si="28">K25</f>
        <v>13.25</v>
      </c>
      <c r="M25" s="503">
        <f t="shared" si="28"/>
        <v>13.25</v>
      </c>
      <c r="N25" s="503">
        <f t="shared" si="28"/>
        <v>13.25</v>
      </c>
      <c r="O25" s="503">
        <f t="shared" si="28"/>
        <v>13.25</v>
      </c>
      <c r="P25" s="503">
        <f t="shared" si="28"/>
        <v>13.25</v>
      </c>
    </row>
    <row r="26" spans="1:16" x14ac:dyDescent="0.3">
      <c r="A26" t="s">
        <v>404</v>
      </c>
      <c r="B26" s="1" t="s">
        <v>127</v>
      </c>
      <c r="C26" s="1"/>
      <c r="D26" s="207">
        <v>0.49070000000000003</v>
      </c>
      <c r="E26" s="207">
        <f>E195</f>
        <v>14.6076</v>
      </c>
      <c r="F26" s="207">
        <f t="shared" ref="F26:H26" si="29">F195</f>
        <v>11.478299999999999</v>
      </c>
      <c r="G26" s="207">
        <f t="shared" si="29"/>
        <v>0.8972</v>
      </c>
      <c r="H26" s="477">
        <f t="shared" si="29"/>
        <v>0.7581</v>
      </c>
      <c r="I26" s="503">
        <f>H26</f>
        <v>0.7581</v>
      </c>
      <c r="J26" s="503">
        <f t="shared" si="26"/>
        <v>0.7581</v>
      </c>
      <c r="K26" s="503">
        <f>J26</f>
        <v>0.7581</v>
      </c>
      <c r="L26" s="503">
        <f t="shared" ref="L26:P26" si="30">K26</f>
        <v>0.7581</v>
      </c>
      <c r="M26" s="503">
        <f t="shared" si="30"/>
        <v>0.7581</v>
      </c>
      <c r="N26" s="503">
        <f t="shared" si="30"/>
        <v>0.7581</v>
      </c>
      <c r="O26" s="503">
        <f t="shared" si="30"/>
        <v>0.7581</v>
      </c>
      <c r="P26" s="503">
        <f t="shared" si="30"/>
        <v>0.7581</v>
      </c>
    </row>
    <row r="27" spans="1:16" x14ac:dyDescent="0.3">
      <c r="A27" t="s">
        <v>404</v>
      </c>
      <c r="B27" s="1" t="s">
        <v>134</v>
      </c>
      <c r="C27" s="1"/>
      <c r="D27" s="207">
        <v>0.28139999999999998</v>
      </c>
      <c r="E27" s="207">
        <f>E247</f>
        <v>0.29449999999999998</v>
      </c>
      <c r="F27" s="207">
        <f t="shared" ref="F27:H27" si="31">F247</f>
        <v>0.31180000000000002</v>
      </c>
      <c r="G27" s="207">
        <f t="shared" si="31"/>
        <v>0.59120000000000006</v>
      </c>
      <c r="H27" s="477">
        <f t="shared" si="31"/>
        <v>0.66910000000000003</v>
      </c>
      <c r="I27" s="503">
        <f>H27</f>
        <v>0.66910000000000003</v>
      </c>
      <c r="J27" s="503">
        <f t="shared" si="26"/>
        <v>0.66910000000000003</v>
      </c>
      <c r="K27" s="503">
        <f>J27</f>
        <v>0.66910000000000003</v>
      </c>
      <c r="L27" s="503">
        <f t="shared" ref="L27:P27" si="32">K27</f>
        <v>0.66910000000000003</v>
      </c>
      <c r="M27" s="503">
        <f t="shared" si="32"/>
        <v>0.66910000000000003</v>
      </c>
      <c r="N27" s="503">
        <f t="shared" si="32"/>
        <v>0.66910000000000003</v>
      </c>
      <c r="O27" s="503">
        <f t="shared" si="32"/>
        <v>0.66910000000000003</v>
      </c>
      <c r="P27" s="503">
        <f t="shared" si="32"/>
        <v>0.66910000000000003</v>
      </c>
    </row>
    <row r="28" spans="1:16" x14ac:dyDescent="0.3">
      <c r="B28" s="501" t="s">
        <v>38</v>
      </c>
      <c r="C28" s="501"/>
      <c r="D28" s="505">
        <f>SUM(D21:D27)</f>
        <v>29.1356</v>
      </c>
      <c r="E28" s="505">
        <f>SUM(E21:E27)</f>
        <v>63.321700000000007</v>
      </c>
      <c r="F28" s="505">
        <f t="shared" ref="F28:N28" si="33">SUM(F21:F27)</f>
        <v>78.386200000000017</v>
      </c>
      <c r="G28" s="505">
        <f t="shared" si="33"/>
        <v>60.846499999999992</v>
      </c>
      <c r="H28" s="506">
        <f t="shared" ref="H28" si="34">SUM(H21:H27)</f>
        <v>52.556100000000001</v>
      </c>
      <c r="I28" s="505">
        <f>SUM(I21:I27)</f>
        <v>60.558586920080167</v>
      </c>
      <c r="J28" s="505">
        <f t="shared" si="33"/>
        <v>91.48383456902738</v>
      </c>
      <c r="K28" s="505">
        <f t="shared" si="33"/>
        <v>178.69226763196664</v>
      </c>
      <c r="L28" s="505">
        <f t="shared" si="33"/>
        <v>394.03621477855944</v>
      </c>
      <c r="M28" s="505">
        <f t="shared" si="33"/>
        <v>619.94071979019157</v>
      </c>
      <c r="N28" s="505">
        <f t="shared" si="33"/>
        <v>863.45353851693255</v>
      </c>
      <c r="O28" s="505">
        <f t="shared" ref="O28:P28" si="35">SUM(O21:O27)</f>
        <v>1130.5852400740266</v>
      </c>
      <c r="P28" s="505">
        <f t="shared" si="35"/>
        <v>1405.5045177697157</v>
      </c>
    </row>
    <row r="29" spans="1:16" x14ac:dyDescent="0.3">
      <c r="B29" s="1"/>
      <c r="C29" s="1"/>
      <c r="D29" s="207"/>
      <c r="E29" s="207"/>
      <c r="F29" s="207"/>
      <c r="G29" s="207"/>
      <c r="H29" s="477"/>
      <c r="I29" s="207"/>
      <c r="J29" s="207"/>
      <c r="K29" s="207"/>
      <c r="L29" s="207"/>
      <c r="M29" s="207"/>
      <c r="N29" s="207"/>
      <c r="O29" s="207"/>
      <c r="P29" s="207"/>
    </row>
    <row r="30" spans="1:16" x14ac:dyDescent="0.3">
      <c r="B30" s="64" t="s">
        <v>39</v>
      </c>
      <c r="C30" s="64"/>
      <c r="D30" s="505">
        <f>D18+D28</f>
        <v>64.075699999999998</v>
      </c>
      <c r="E30" s="505">
        <f>E18+E28</f>
        <v>88.265000000000015</v>
      </c>
      <c r="F30" s="505">
        <f t="shared" ref="F30:N30" si="36">F18+F28</f>
        <v>122.50090000000002</v>
      </c>
      <c r="G30" s="505">
        <f t="shared" si="36"/>
        <v>166.32810000000001</v>
      </c>
      <c r="H30" s="506">
        <f t="shared" ref="H30" si="37">H18+H28</f>
        <v>210.28289999999998</v>
      </c>
      <c r="I30" s="505">
        <f t="shared" si="36"/>
        <v>227.22993185508014</v>
      </c>
      <c r="J30" s="505">
        <f t="shared" si="36"/>
        <v>353.82887991402731</v>
      </c>
      <c r="K30" s="505">
        <f t="shared" si="36"/>
        <v>474.5108331744666</v>
      </c>
      <c r="L30" s="505">
        <f t="shared" si="36"/>
        <v>676.04972825605932</v>
      </c>
      <c r="M30" s="505">
        <f t="shared" si="36"/>
        <v>888.16495375269153</v>
      </c>
      <c r="N30" s="505">
        <f t="shared" si="36"/>
        <v>1117.9032497144326</v>
      </c>
      <c r="O30" s="505">
        <f t="shared" ref="O30:P30" si="38">O18+O28</f>
        <v>1371.2604285065265</v>
      </c>
      <c r="P30" s="505">
        <f t="shared" si="38"/>
        <v>1632.4051834372156</v>
      </c>
    </row>
    <row r="31" spans="1:16" x14ac:dyDescent="0.3">
      <c r="B31" s="1"/>
      <c r="C31" s="1"/>
      <c r="D31" s="207"/>
      <c r="E31" s="207"/>
      <c r="F31" s="207"/>
      <c r="G31" s="207"/>
      <c r="H31" s="477"/>
      <c r="I31" s="207"/>
      <c r="J31" s="207"/>
      <c r="K31" s="207"/>
      <c r="L31" s="207"/>
      <c r="M31" s="207"/>
      <c r="N31" s="207"/>
      <c r="O31" s="207"/>
      <c r="P31" s="207"/>
    </row>
    <row r="32" spans="1:16" x14ac:dyDescent="0.3">
      <c r="B32" s="64" t="s">
        <v>40</v>
      </c>
      <c r="C32" s="64"/>
      <c r="D32" s="207"/>
      <c r="E32" s="207"/>
      <c r="F32" s="207"/>
      <c r="G32" s="207"/>
      <c r="H32" s="477"/>
      <c r="I32" s="207"/>
      <c r="J32" s="207"/>
      <c r="K32" s="207"/>
      <c r="L32" s="207"/>
      <c r="M32" s="207"/>
      <c r="N32" s="207"/>
      <c r="O32" s="207"/>
      <c r="P32" s="207"/>
    </row>
    <row r="33" spans="1:16" x14ac:dyDescent="0.3">
      <c r="B33" s="502" t="s">
        <v>41</v>
      </c>
      <c r="C33" s="502"/>
      <c r="D33" s="207">
        <v>7.2644000000000002</v>
      </c>
      <c r="E33" s="207">
        <f>E264</f>
        <v>7.2644000000000002</v>
      </c>
      <c r="F33" s="207">
        <f t="shared" ref="F33:H33" si="39">F264</f>
        <v>7.2644000000000002</v>
      </c>
      <c r="G33" s="207">
        <f t="shared" si="39"/>
        <v>7.2644000000000002</v>
      </c>
      <c r="H33" s="477">
        <f t="shared" si="39"/>
        <v>7.2644000000000002</v>
      </c>
      <c r="I33" s="207">
        <v>7.2644000000000002</v>
      </c>
      <c r="J33" s="207">
        <v>7.2644000000000002</v>
      </c>
      <c r="K33" s="207">
        <v>7.2644000000000002</v>
      </c>
      <c r="L33" s="207">
        <v>7.2644000000000002</v>
      </c>
      <c r="M33" s="207">
        <v>7.2644000000000002</v>
      </c>
      <c r="N33" s="207">
        <v>7.2644000000000002</v>
      </c>
      <c r="O33" s="207">
        <v>7.2644000000000002</v>
      </c>
      <c r="P33" s="207">
        <v>7.2644000000000002</v>
      </c>
    </row>
    <row r="34" spans="1:16" x14ac:dyDescent="0.3">
      <c r="B34" s="502" t="s">
        <v>42</v>
      </c>
      <c r="C34" s="502"/>
      <c r="D34" s="207">
        <v>34.931199999999997</v>
      </c>
      <c r="E34" s="207">
        <f>E270</f>
        <v>62.682899999999997</v>
      </c>
      <c r="F34" s="207">
        <f t="shared" ref="F34:H34" si="40">F270</f>
        <v>96.057099999999991</v>
      </c>
      <c r="G34" s="207">
        <f t="shared" si="40"/>
        <v>141.88160000000002</v>
      </c>
      <c r="H34" s="477">
        <f t="shared" si="40"/>
        <v>183.89279999999999</v>
      </c>
      <c r="I34" s="503">
        <f>G34+'P&amp;L'!I36</f>
        <v>191.43045959408303</v>
      </c>
      <c r="J34" s="503">
        <f>I34+'P&amp;L'!J36</f>
        <v>263.9283497219144</v>
      </c>
      <c r="K34" s="503">
        <f>J34+'P&amp;L'!K36</f>
        <v>364.33382371123582</v>
      </c>
      <c r="L34" s="503">
        <f>K34+'P&amp;L'!L36</f>
        <v>553.10099758956676</v>
      </c>
      <c r="M34" s="503">
        <f>L34+'P&amp;L'!M36</f>
        <v>780.73017385708249</v>
      </c>
      <c r="N34" s="503">
        <f>M34+'P&amp;L'!N36</f>
        <v>1024.8507983251961</v>
      </c>
      <c r="O34" s="503">
        <f>N34+'P&amp;L'!O36</f>
        <v>1284.5393619398965</v>
      </c>
      <c r="P34" s="503">
        <f>O34+'P&amp;L'!P36</f>
        <v>1560.8638916099526</v>
      </c>
    </row>
    <row r="35" spans="1:16" x14ac:dyDescent="0.3">
      <c r="B35" s="64" t="s">
        <v>135</v>
      </c>
      <c r="C35" s="64"/>
      <c r="D35" s="505">
        <f>SUM(D33:D34)</f>
        <v>42.195599999999999</v>
      </c>
      <c r="E35" s="505">
        <f>SUM(E33:E34)</f>
        <v>69.947299999999998</v>
      </c>
      <c r="F35" s="505">
        <f t="shared" ref="F35:N35" si="41">SUM(F33:F34)</f>
        <v>103.32149999999999</v>
      </c>
      <c r="G35" s="505">
        <f t="shared" si="41"/>
        <v>149.14600000000002</v>
      </c>
      <c r="H35" s="506">
        <f t="shared" ref="H35" si="42">SUM(H33:H34)</f>
        <v>191.15719999999999</v>
      </c>
      <c r="I35" s="505">
        <f t="shared" si="41"/>
        <v>198.69485959408303</v>
      </c>
      <c r="J35" s="505">
        <f t="shared" si="41"/>
        <v>271.19274972191442</v>
      </c>
      <c r="K35" s="505">
        <f t="shared" si="41"/>
        <v>371.59822371123585</v>
      </c>
      <c r="L35" s="505">
        <f t="shared" si="41"/>
        <v>560.36539758956678</v>
      </c>
      <c r="M35" s="505">
        <f t="shared" si="41"/>
        <v>787.99457385708251</v>
      </c>
      <c r="N35" s="505">
        <f t="shared" si="41"/>
        <v>1032.1151983251962</v>
      </c>
      <c r="O35" s="505">
        <f t="shared" ref="O35:P35" si="43">SUM(O33:O34)</f>
        <v>1291.8037619398965</v>
      </c>
      <c r="P35" s="505">
        <f t="shared" si="43"/>
        <v>1568.1282916099526</v>
      </c>
    </row>
    <row r="36" spans="1:16" x14ac:dyDescent="0.3">
      <c r="B36" s="1"/>
      <c r="C36" s="1"/>
      <c r="D36" s="207"/>
      <c r="E36" s="207"/>
      <c r="F36" s="207"/>
      <c r="G36" s="207"/>
      <c r="H36" s="477"/>
      <c r="I36" s="207"/>
      <c r="J36" s="207"/>
      <c r="K36" s="207"/>
      <c r="L36" s="207"/>
      <c r="M36" s="207"/>
      <c r="N36" s="207"/>
      <c r="O36" s="207"/>
      <c r="P36" s="207"/>
    </row>
    <row r="37" spans="1:16" x14ac:dyDescent="0.3">
      <c r="B37" s="64" t="s">
        <v>43</v>
      </c>
      <c r="C37" s="64"/>
      <c r="D37" s="505"/>
      <c r="E37" s="207"/>
      <c r="F37" s="207"/>
      <c r="G37" s="207"/>
      <c r="H37" s="477"/>
      <c r="I37" s="207"/>
      <c r="J37" s="207"/>
      <c r="K37" s="207"/>
      <c r="L37" s="207"/>
      <c r="M37" s="207"/>
      <c r="N37" s="207"/>
      <c r="O37" s="207"/>
      <c r="P37" s="207"/>
    </row>
    <row r="38" spans="1:16" x14ac:dyDescent="0.3">
      <c r="B38" s="502" t="s">
        <v>136</v>
      </c>
      <c r="C38" s="502"/>
      <c r="D38" s="207"/>
      <c r="E38" s="207"/>
      <c r="F38" s="207"/>
      <c r="G38" s="207"/>
      <c r="H38" s="477"/>
      <c r="I38" s="207"/>
      <c r="J38" s="207"/>
      <c r="K38" s="207"/>
      <c r="L38" s="207"/>
      <c r="M38" s="207"/>
      <c r="N38" s="207"/>
      <c r="O38" s="207"/>
      <c r="P38" s="207"/>
    </row>
    <row r="39" spans="1:16" x14ac:dyDescent="0.3">
      <c r="B39" s="502" t="s">
        <v>137</v>
      </c>
      <c r="C39" s="502"/>
      <c r="D39" s="207"/>
      <c r="E39" s="207"/>
      <c r="F39" s="207"/>
      <c r="G39" s="207"/>
      <c r="H39" s="477"/>
      <c r="I39" s="207"/>
      <c r="J39" s="207"/>
      <c r="K39" s="207"/>
      <c r="L39" s="207"/>
      <c r="M39" s="207"/>
      <c r="N39" s="207"/>
      <c r="O39" s="207"/>
      <c r="P39" s="207"/>
    </row>
    <row r="40" spans="1:16" x14ac:dyDescent="0.3">
      <c r="A40" t="s">
        <v>405</v>
      </c>
      <c r="B40" s="507" t="s">
        <v>46</v>
      </c>
      <c r="C40" s="507"/>
      <c r="D40" s="207">
        <v>3.1845999999999997</v>
      </c>
      <c r="E40" s="207">
        <f>E279</f>
        <v>0</v>
      </c>
      <c r="F40" s="207">
        <f t="shared" ref="F40:H40" si="44">F279</f>
        <v>0</v>
      </c>
      <c r="G40" s="207">
        <f t="shared" si="44"/>
        <v>0</v>
      </c>
      <c r="H40" s="477">
        <f t="shared" si="44"/>
        <v>0</v>
      </c>
      <c r="I40" s="477">
        <f>I279</f>
        <v>5</v>
      </c>
      <c r="J40" s="477">
        <f t="shared" ref="J40:O40" si="45">J279</f>
        <v>49</v>
      </c>
      <c r="K40" s="477">
        <f t="shared" si="45"/>
        <v>57</v>
      </c>
      <c r="L40" s="477">
        <f t="shared" si="45"/>
        <v>43</v>
      </c>
      <c r="M40" s="477">
        <f t="shared" si="45"/>
        <v>27</v>
      </c>
      <c r="N40" s="477">
        <f t="shared" si="45"/>
        <v>9</v>
      </c>
      <c r="O40" s="477">
        <f t="shared" si="45"/>
        <v>9</v>
      </c>
      <c r="P40" s="477">
        <f t="shared" ref="P40" si="46">P279</f>
        <v>0</v>
      </c>
    </row>
    <row r="41" spans="1:16" x14ac:dyDescent="0.3">
      <c r="A41" t="s">
        <v>405</v>
      </c>
      <c r="B41" s="507" t="s">
        <v>138</v>
      </c>
      <c r="C41" s="507"/>
      <c r="D41" s="207">
        <v>0</v>
      </c>
      <c r="E41" s="207">
        <f>E298</f>
        <v>1.0014000000000001</v>
      </c>
      <c r="F41" s="207">
        <f t="shared" ref="F41:H41" si="47">F298</f>
        <v>0.41909999999999997</v>
      </c>
      <c r="G41" s="207">
        <f t="shared" si="47"/>
        <v>0</v>
      </c>
      <c r="H41" s="477">
        <f t="shared" si="47"/>
        <v>1.9220999999999999</v>
      </c>
      <c r="I41" s="503">
        <f t="shared" ref="I41:I43" si="48">H41</f>
        <v>1.9220999999999999</v>
      </c>
      <c r="J41" s="503">
        <f t="shared" ref="J41:P41" si="49">I41</f>
        <v>1.9220999999999999</v>
      </c>
      <c r="K41" s="503">
        <f t="shared" si="49"/>
        <v>1.9220999999999999</v>
      </c>
      <c r="L41" s="503">
        <f t="shared" si="49"/>
        <v>1.9220999999999999</v>
      </c>
      <c r="M41" s="503">
        <f t="shared" si="49"/>
        <v>1.9220999999999999</v>
      </c>
      <c r="N41" s="503">
        <f t="shared" si="49"/>
        <v>1.9220999999999999</v>
      </c>
      <c r="O41" s="503">
        <f t="shared" si="49"/>
        <v>1.9220999999999999</v>
      </c>
      <c r="P41" s="503">
        <f t="shared" si="49"/>
        <v>1.9220999999999999</v>
      </c>
    </row>
    <row r="42" spans="1:16" x14ac:dyDescent="0.3">
      <c r="A42" t="s">
        <v>404</v>
      </c>
      <c r="B42" s="502" t="s">
        <v>44</v>
      </c>
      <c r="C42" s="502"/>
      <c r="D42" s="207">
        <v>0.49199999999999999</v>
      </c>
      <c r="E42" s="207">
        <f>E290</f>
        <v>0.51390000000000002</v>
      </c>
      <c r="F42" s="207">
        <f t="shared" ref="F42:H42" si="50">F290</f>
        <v>0.57899999999999996</v>
      </c>
      <c r="G42" s="207">
        <f t="shared" si="50"/>
        <v>0.6039000000000001</v>
      </c>
      <c r="H42" s="477">
        <f t="shared" si="50"/>
        <v>0.64300000000000002</v>
      </c>
      <c r="I42" s="503">
        <f t="shared" si="48"/>
        <v>0.64300000000000002</v>
      </c>
      <c r="J42" s="503">
        <f t="shared" ref="J42:P42" si="51">I42</f>
        <v>0.64300000000000002</v>
      </c>
      <c r="K42" s="503">
        <f t="shared" si="51"/>
        <v>0.64300000000000002</v>
      </c>
      <c r="L42" s="503">
        <f t="shared" si="51"/>
        <v>0.64300000000000002</v>
      </c>
      <c r="M42" s="503">
        <f t="shared" si="51"/>
        <v>0.64300000000000002</v>
      </c>
      <c r="N42" s="503">
        <f t="shared" si="51"/>
        <v>0.64300000000000002</v>
      </c>
      <c r="O42" s="503">
        <f t="shared" si="51"/>
        <v>0.64300000000000002</v>
      </c>
      <c r="P42" s="503">
        <f t="shared" si="51"/>
        <v>0.64300000000000002</v>
      </c>
    </row>
    <row r="43" spans="1:16" x14ac:dyDescent="0.3">
      <c r="B43" s="502" t="s">
        <v>139</v>
      </c>
      <c r="C43" s="502"/>
      <c r="D43" s="207">
        <v>0.86389999999999989</v>
      </c>
      <c r="E43" s="207">
        <f>-E254</f>
        <v>0.97929999999999984</v>
      </c>
      <c r="F43" s="207">
        <f t="shared" ref="F43:H43" si="52">-F254</f>
        <v>1.0235999999999998</v>
      </c>
      <c r="G43" s="207">
        <f t="shared" si="52"/>
        <v>1.3</v>
      </c>
      <c r="H43" s="477">
        <f t="shared" si="52"/>
        <v>1.5942000000000001</v>
      </c>
      <c r="I43" s="503">
        <f t="shared" si="48"/>
        <v>1.5942000000000001</v>
      </c>
      <c r="J43" s="503">
        <f t="shared" ref="J43:P43" si="53">I43</f>
        <v>1.5942000000000001</v>
      </c>
      <c r="K43" s="503">
        <f t="shared" si="53"/>
        <v>1.5942000000000001</v>
      </c>
      <c r="L43" s="503">
        <f t="shared" si="53"/>
        <v>1.5942000000000001</v>
      </c>
      <c r="M43" s="503">
        <f t="shared" si="53"/>
        <v>1.5942000000000001</v>
      </c>
      <c r="N43" s="503">
        <f t="shared" si="53"/>
        <v>1.5942000000000001</v>
      </c>
      <c r="O43" s="503">
        <f t="shared" si="53"/>
        <v>1.5942000000000001</v>
      </c>
      <c r="P43" s="503">
        <f t="shared" si="53"/>
        <v>1.5942000000000001</v>
      </c>
    </row>
    <row r="44" spans="1:16" x14ac:dyDescent="0.3">
      <c r="B44" s="64" t="s">
        <v>140</v>
      </c>
      <c r="C44" s="64"/>
      <c r="D44" s="505">
        <f>SUM(D40:D43)</f>
        <v>4.5404999999999998</v>
      </c>
      <c r="E44" s="505">
        <f>SUM(E40:E43)</f>
        <v>2.4946000000000002</v>
      </c>
      <c r="F44" s="505">
        <f t="shared" ref="F44:N44" si="54">SUM(F40:F43)</f>
        <v>2.0217000000000001</v>
      </c>
      <c r="G44" s="505">
        <f t="shared" si="54"/>
        <v>1.9039000000000001</v>
      </c>
      <c r="H44" s="506">
        <f t="shared" ref="H44" si="55">SUM(H40:H43)</f>
        <v>4.1593</v>
      </c>
      <c r="I44" s="505">
        <f t="shared" si="54"/>
        <v>9.1593</v>
      </c>
      <c r="J44" s="505">
        <f t="shared" si="54"/>
        <v>53.159300000000002</v>
      </c>
      <c r="K44" s="505">
        <f t="shared" si="54"/>
        <v>61.159300000000002</v>
      </c>
      <c r="L44" s="505">
        <f t="shared" si="54"/>
        <v>47.159300000000002</v>
      </c>
      <c r="M44" s="505">
        <f t="shared" si="54"/>
        <v>31.159300000000002</v>
      </c>
      <c r="N44" s="505">
        <f t="shared" si="54"/>
        <v>13.159300000000002</v>
      </c>
      <c r="O44" s="505">
        <f t="shared" ref="O44:P44" si="56">SUM(O40:O43)</f>
        <v>13.159300000000002</v>
      </c>
      <c r="P44" s="505">
        <f t="shared" si="56"/>
        <v>4.1593</v>
      </c>
    </row>
    <row r="45" spans="1:16" x14ac:dyDescent="0.3">
      <c r="B45" s="1"/>
      <c r="C45" s="1"/>
      <c r="D45" s="207"/>
      <c r="E45" s="207"/>
      <c r="F45" s="207"/>
      <c r="G45" s="207"/>
      <c r="H45" s="477"/>
      <c r="I45" s="207"/>
      <c r="J45" s="207"/>
      <c r="K45" s="207"/>
      <c r="L45" s="207"/>
      <c r="M45" s="207"/>
      <c r="N45" s="207"/>
      <c r="O45" s="207"/>
      <c r="P45" s="207"/>
    </row>
    <row r="46" spans="1:16" x14ac:dyDescent="0.3">
      <c r="B46" s="64" t="s">
        <v>45</v>
      </c>
      <c r="C46" s="64"/>
      <c r="D46" s="505"/>
      <c r="E46" s="207"/>
      <c r="F46" s="207"/>
      <c r="G46" s="207"/>
      <c r="H46" s="477"/>
      <c r="I46" s="207"/>
      <c r="J46" s="207"/>
      <c r="K46" s="207"/>
      <c r="L46" s="207"/>
      <c r="M46" s="207"/>
      <c r="N46" s="207"/>
      <c r="O46" s="207"/>
      <c r="P46" s="207"/>
    </row>
    <row r="47" spans="1:16" x14ac:dyDescent="0.3">
      <c r="B47" s="1" t="s">
        <v>137</v>
      </c>
      <c r="C47" s="1"/>
      <c r="D47" s="207"/>
      <c r="E47" s="207"/>
      <c r="F47" s="207"/>
      <c r="G47" s="207"/>
      <c r="H47" s="477"/>
      <c r="I47" s="207"/>
      <c r="J47" s="207"/>
      <c r="K47" s="207"/>
      <c r="L47" s="207"/>
      <c r="M47" s="207"/>
      <c r="N47" s="207"/>
      <c r="O47" s="207"/>
      <c r="P47" s="207"/>
    </row>
    <row r="48" spans="1:16" x14ac:dyDescent="0.3">
      <c r="A48" t="s">
        <v>405</v>
      </c>
      <c r="B48" s="502" t="s">
        <v>46</v>
      </c>
      <c r="C48" s="502"/>
      <c r="D48" s="207">
        <v>4.9655000000000005</v>
      </c>
      <c r="E48" s="207">
        <f>E285</f>
        <v>3.0282</v>
      </c>
      <c r="F48" s="207">
        <f t="shared" ref="F48:H48" si="57">F285</f>
        <v>0</v>
      </c>
      <c r="G48" s="207">
        <f t="shared" si="57"/>
        <v>0</v>
      </c>
      <c r="H48" s="477">
        <f t="shared" si="57"/>
        <v>0</v>
      </c>
      <c r="I48" s="503">
        <f>H48</f>
        <v>0</v>
      </c>
      <c r="J48" s="503">
        <f t="shared" ref="J48:P48" si="58">I48</f>
        <v>0</v>
      </c>
      <c r="K48" s="503">
        <f t="shared" si="58"/>
        <v>0</v>
      </c>
      <c r="L48" s="503">
        <f t="shared" si="58"/>
        <v>0</v>
      </c>
      <c r="M48" s="503">
        <f t="shared" si="58"/>
        <v>0</v>
      </c>
      <c r="N48" s="503">
        <f t="shared" si="58"/>
        <v>0</v>
      </c>
      <c r="O48" s="503">
        <f t="shared" si="58"/>
        <v>0</v>
      </c>
      <c r="P48" s="503">
        <f t="shared" si="58"/>
        <v>0</v>
      </c>
    </row>
    <row r="49" spans="1:16" x14ac:dyDescent="0.3">
      <c r="A49" t="s">
        <v>405</v>
      </c>
      <c r="B49" s="502" t="s">
        <v>138</v>
      </c>
      <c r="C49" s="502"/>
      <c r="D49" s="207">
        <v>0</v>
      </c>
      <c r="E49" s="207">
        <f>E299</f>
        <v>0.79949999999999999</v>
      </c>
      <c r="F49" s="207">
        <f t="shared" ref="F49:H49" si="59">F299</f>
        <v>0.75</v>
      </c>
      <c r="G49" s="207">
        <f t="shared" si="59"/>
        <v>0.41909999999999997</v>
      </c>
      <c r="H49" s="477">
        <f t="shared" si="59"/>
        <v>0.11799999999999999</v>
      </c>
      <c r="I49" s="503">
        <f>H49</f>
        <v>0.11799999999999999</v>
      </c>
      <c r="J49" s="503">
        <f t="shared" ref="J49:P49" si="60">I49</f>
        <v>0.11799999999999999</v>
      </c>
      <c r="K49" s="503">
        <f t="shared" si="60"/>
        <v>0.11799999999999999</v>
      </c>
      <c r="L49" s="503">
        <f t="shared" si="60"/>
        <v>0.11799999999999999</v>
      </c>
      <c r="M49" s="503">
        <f t="shared" si="60"/>
        <v>0.11799999999999999</v>
      </c>
      <c r="N49" s="503">
        <f t="shared" si="60"/>
        <v>0.11799999999999999</v>
      </c>
      <c r="O49" s="503">
        <f t="shared" si="60"/>
        <v>0.11799999999999999</v>
      </c>
      <c r="P49" s="503">
        <f t="shared" si="60"/>
        <v>0.11799999999999999</v>
      </c>
    </row>
    <row r="50" spans="1:16" x14ac:dyDescent="0.3">
      <c r="B50" s="502" t="s">
        <v>523</v>
      </c>
      <c r="C50" s="502"/>
      <c r="D50" s="207">
        <v>8.6400000000000005E-2</v>
      </c>
      <c r="E50" s="207">
        <f>E302</f>
        <v>1.0700000000000001E-2</v>
      </c>
      <c r="F50" s="207">
        <f t="shared" ref="F50:H50" si="61">F302</f>
        <v>0.62719999999999998</v>
      </c>
      <c r="G50" s="207">
        <f t="shared" si="61"/>
        <v>0.55299999999999994</v>
      </c>
      <c r="H50" s="477">
        <f t="shared" si="61"/>
        <v>0.66239999999999999</v>
      </c>
      <c r="I50" s="207"/>
      <c r="J50" s="207"/>
      <c r="K50" s="207"/>
      <c r="L50" s="207"/>
      <c r="M50" s="207"/>
      <c r="N50" s="207"/>
      <c r="O50" s="207"/>
      <c r="P50" s="207"/>
    </row>
    <row r="51" spans="1:16" x14ac:dyDescent="0.3">
      <c r="B51" s="502" t="s">
        <v>524</v>
      </c>
      <c r="C51" s="502"/>
      <c r="D51" s="207">
        <v>7.3614999999999995</v>
      </c>
      <c r="E51" s="207">
        <f>E303</f>
        <v>3.5268000000000002</v>
      </c>
      <c r="F51" s="207">
        <f t="shared" ref="F51:H51" si="62">F303</f>
        <v>5.9910000000000005</v>
      </c>
      <c r="G51" s="207">
        <f t="shared" si="62"/>
        <v>8.9915000000000003</v>
      </c>
      <c r="H51" s="477">
        <f t="shared" si="62"/>
        <v>7.1562999999999999</v>
      </c>
      <c r="I51" s="207">
        <f>WC!H19</f>
        <v>12.227972260997205</v>
      </c>
      <c r="J51" s="207">
        <f>WC!I19</f>
        <v>16.329030192113077</v>
      </c>
      <c r="K51" s="207">
        <f>WC!J19</f>
        <v>22.605509463230877</v>
      </c>
      <c r="L51" s="207">
        <f>WC!K19</f>
        <v>47.377230666492679</v>
      </c>
      <c r="M51" s="207">
        <f>WC!L19</f>
        <v>45.863279895609111</v>
      </c>
      <c r="N51" s="207">
        <f>WC!M19</f>
        <v>47.480951389236381</v>
      </c>
      <c r="O51" s="207">
        <f>WC!N19</f>
        <v>50.149566566630142</v>
      </c>
      <c r="P51" s="207">
        <f>WC!O19</f>
        <v>52.969791827263478</v>
      </c>
    </row>
    <row r="52" spans="1:16" x14ac:dyDescent="0.3">
      <c r="A52" t="s">
        <v>404</v>
      </c>
      <c r="B52" s="502" t="s">
        <v>48</v>
      </c>
      <c r="C52" s="502"/>
      <c r="D52" s="207">
        <v>3.8812999999999995</v>
      </c>
      <c r="E52" s="207">
        <f>E313</f>
        <v>6.2902999999999993</v>
      </c>
      <c r="F52" s="207">
        <f t="shared" ref="F52:H52" si="63">F313</f>
        <v>5.3008000000000006</v>
      </c>
      <c r="G52" s="207">
        <f t="shared" si="63"/>
        <v>2.9942000000000002</v>
      </c>
      <c r="H52" s="477">
        <f t="shared" si="63"/>
        <v>5.5329999999999995</v>
      </c>
      <c r="I52" s="477">
        <f>I313-I53</f>
        <v>5.5329999999999995</v>
      </c>
      <c r="J52" s="477">
        <f t="shared" ref="J52:O52" si="64">J313-J53</f>
        <v>5.5329999999999995</v>
      </c>
      <c r="K52" s="477">
        <f t="shared" si="64"/>
        <v>5.5330000000000013</v>
      </c>
      <c r="L52" s="477">
        <f t="shared" si="64"/>
        <v>5.5330000000000013</v>
      </c>
      <c r="M52" s="477">
        <f t="shared" si="64"/>
        <v>5.5330000000000013</v>
      </c>
      <c r="N52" s="477">
        <f t="shared" si="64"/>
        <v>5.5330000000000013</v>
      </c>
      <c r="O52" s="477">
        <f t="shared" si="64"/>
        <v>5.5329999999999995</v>
      </c>
      <c r="P52" s="477">
        <f t="shared" ref="P52" si="65">P313-P53</f>
        <v>5.5329999999999995</v>
      </c>
    </row>
    <row r="53" spans="1:16" x14ac:dyDescent="0.3">
      <c r="B53" s="502" t="s">
        <v>530</v>
      </c>
      <c r="C53" s="502"/>
      <c r="D53" s="207"/>
      <c r="E53" s="207"/>
      <c r="F53" s="207"/>
      <c r="G53" s="207"/>
      <c r="H53" s="477"/>
      <c r="I53" s="477">
        <f>I312</f>
        <v>0</v>
      </c>
      <c r="J53" s="477">
        <f t="shared" ref="J53:O53" si="66">J312</f>
        <v>6</v>
      </c>
      <c r="K53" s="477">
        <f t="shared" si="66"/>
        <v>12</v>
      </c>
      <c r="L53" s="477">
        <f t="shared" si="66"/>
        <v>14</v>
      </c>
      <c r="M53" s="477">
        <f t="shared" si="66"/>
        <v>16</v>
      </c>
      <c r="N53" s="477">
        <f t="shared" si="66"/>
        <v>18</v>
      </c>
      <c r="O53" s="477">
        <f t="shared" si="66"/>
        <v>9</v>
      </c>
      <c r="P53" s="477">
        <f t="shared" ref="P53" si="67">P312</f>
        <v>0</v>
      </c>
    </row>
    <row r="54" spans="1:16" x14ac:dyDescent="0.3">
      <c r="A54" t="s">
        <v>145</v>
      </c>
      <c r="B54" s="1" t="s">
        <v>49</v>
      </c>
      <c r="C54" s="1"/>
      <c r="D54" s="207">
        <v>0.3095</v>
      </c>
      <c r="E54" s="207">
        <f>E318</f>
        <v>0.75190000000000001</v>
      </c>
      <c r="F54" s="207">
        <f t="shared" ref="F54:H54" si="68">F318</f>
        <v>2.5526</v>
      </c>
      <c r="G54" s="207">
        <f t="shared" si="68"/>
        <v>1.5249000000000001</v>
      </c>
      <c r="H54" s="477">
        <f t="shared" si="68"/>
        <v>1.2291000000000001</v>
      </c>
      <c r="I54" s="503">
        <f>H54</f>
        <v>1.2291000000000001</v>
      </c>
      <c r="J54" s="503">
        <f t="shared" ref="J54:P54" si="69">I54</f>
        <v>1.2291000000000001</v>
      </c>
      <c r="K54" s="503">
        <f t="shared" si="69"/>
        <v>1.2291000000000001</v>
      </c>
      <c r="L54" s="503">
        <f t="shared" si="69"/>
        <v>1.2291000000000001</v>
      </c>
      <c r="M54" s="503">
        <f t="shared" si="69"/>
        <v>1.2291000000000001</v>
      </c>
      <c r="N54" s="503">
        <f t="shared" si="69"/>
        <v>1.2291000000000001</v>
      </c>
      <c r="O54" s="503">
        <f t="shared" si="69"/>
        <v>1.2291000000000001</v>
      </c>
      <c r="P54" s="503">
        <f t="shared" si="69"/>
        <v>1.2291000000000001</v>
      </c>
    </row>
    <row r="55" spans="1:16" x14ac:dyDescent="0.3">
      <c r="A55" t="s">
        <v>404</v>
      </c>
      <c r="B55" s="1" t="s">
        <v>44</v>
      </c>
      <c r="C55" s="1"/>
      <c r="D55" s="207">
        <v>5.0099999999999999E-2</v>
      </c>
      <c r="E55" s="207">
        <f>E295</f>
        <v>0.19690000000000002</v>
      </c>
      <c r="F55" s="207">
        <f t="shared" ref="F55:H55" si="70">F295</f>
        <v>0.2258</v>
      </c>
      <c r="G55" s="207">
        <f t="shared" si="70"/>
        <v>0.26750000000000002</v>
      </c>
      <c r="H55" s="477">
        <f t="shared" si="70"/>
        <v>0.26750000000000002</v>
      </c>
      <c r="I55" s="503">
        <f>H55</f>
        <v>0.26750000000000002</v>
      </c>
      <c r="J55" s="503">
        <f t="shared" ref="J55:P55" si="71">I55</f>
        <v>0.26750000000000002</v>
      </c>
      <c r="K55" s="503">
        <f t="shared" si="71"/>
        <v>0.26750000000000002</v>
      </c>
      <c r="L55" s="503">
        <f t="shared" si="71"/>
        <v>0.26750000000000002</v>
      </c>
      <c r="M55" s="503">
        <f t="shared" si="71"/>
        <v>0.26750000000000002</v>
      </c>
      <c r="N55" s="503">
        <f t="shared" si="71"/>
        <v>0.26750000000000002</v>
      </c>
      <c r="O55" s="503">
        <f t="shared" si="71"/>
        <v>0.26750000000000002</v>
      </c>
      <c r="P55" s="503">
        <f t="shared" si="71"/>
        <v>0.26750000000000002</v>
      </c>
    </row>
    <row r="56" spans="1:16" x14ac:dyDescent="0.3">
      <c r="B56" s="1" t="s">
        <v>142</v>
      </c>
      <c r="C56" s="1"/>
      <c r="D56" s="207">
        <v>0.68629999999999991</v>
      </c>
      <c r="E56" s="207">
        <f>E320</f>
        <v>1.2187999999999999</v>
      </c>
      <c r="F56" s="207">
        <f>F320</f>
        <v>1.7102999999999999</v>
      </c>
      <c r="G56" s="207">
        <f>G320</f>
        <v>0.52800000000000002</v>
      </c>
      <c r="H56" s="477">
        <f>H320</f>
        <v>0</v>
      </c>
      <c r="I56" s="503">
        <f>H56</f>
        <v>0</v>
      </c>
      <c r="J56" s="503">
        <f t="shared" ref="J56:P56" si="72">I56</f>
        <v>0</v>
      </c>
      <c r="K56" s="503">
        <f t="shared" si="72"/>
        <v>0</v>
      </c>
      <c r="L56" s="503">
        <f t="shared" si="72"/>
        <v>0</v>
      </c>
      <c r="M56" s="503">
        <f t="shared" si="72"/>
        <v>0</v>
      </c>
      <c r="N56" s="503">
        <f t="shared" si="72"/>
        <v>0</v>
      </c>
      <c r="O56" s="503">
        <f t="shared" si="72"/>
        <v>0</v>
      </c>
      <c r="P56" s="503">
        <f t="shared" si="72"/>
        <v>0</v>
      </c>
    </row>
    <row r="57" spans="1:16" x14ac:dyDescent="0.3">
      <c r="B57" s="64" t="s">
        <v>50</v>
      </c>
      <c r="C57" s="64"/>
      <c r="D57" s="505">
        <f t="shared" ref="D57:O57" si="73">SUM(D48:D56)</f>
        <v>17.340599999999998</v>
      </c>
      <c r="E57" s="505">
        <f t="shared" si="73"/>
        <v>15.823099999999998</v>
      </c>
      <c r="F57" s="505">
        <f t="shared" si="73"/>
        <v>17.157699999999998</v>
      </c>
      <c r="G57" s="505">
        <f t="shared" si="73"/>
        <v>15.2782</v>
      </c>
      <c r="H57" s="506">
        <f t="shared" si="73"/>
        <v>14.9663</v>
      </c>
      <c r="I57" s="505">
        <f t="shared" si="73"/>
        <v>19.375572260997203</v>
      </c>
      <c r="J57" s="505">
        <f t="shared" si="73"/>
        <v>29.476630192113074</v>
      </c>
      <c r="K57" s="505">
        <f t="shared" si="73"/>
        <v>41.753109463230878</v>
      </c>
      <c r="L57" s="505">
        <f t="shared" si="73"/>
        <v>68.524830666492676</v>
      </c>
      <c r="M57" s="505">
        <f t="shared" si="73"/>
        <v>69.010879895609122</v>
      </c>
      <c r="N57" s="505">
        <f t="shared" si="73"/>
        <v>72.628551389236378</v>
      </c>
      <c r="O57" s="505">
        <f t="shared" si="73"/>
        <v>66.297166566630153</v>
      </c>
      <c r="P57" s="505">
        <f t="shared" ref="P57" si="74">SUM(P48:P56)</f>
        <v>60.117391827263482</v>
      </c>
    </row>
    <row r="58" spans="1:16" x14ac:dyDescent="0.3">
      <c r="B58" s="1"/>
      <c r="C58" s="1"/>
      <c r="D58" s="207"/>
      <c r="E58" s="207"/>
      <c r="F58" s="207"/>
      <c r="G58" s="207"/>
      <c r="H58" s="477"/>
      <c r="I58" s="207"/>
      <c r="J58" s="207"/>
      <c r="K58" s="207"/>
      <c r="L58" s="207"/>
      <c r="M58" s="207"/>
      <c r="N58" s="207"/>
      <c r="O58" s="207"/>
      <c r="P58" s="207"/>
    </row>
    <row r="59" spans="1:16" x14ac:dyDescent="0.3">
      <c r="B59" s="64" t="s">
        <v>143</v>
      </c>
      <c r="C59" s="64"/>
      <c r="D59" s="505">
        <f t="shared" ref="D59:O59" si="75">D44+D57+D35</f>
        <v>64.076699999999988</v>
      </c>
      <c r="E59" s="505">
        <f t="shared" si="75"/>
        <v>88.265000000000001</v>
      </c>
      <c r="F59" s="505">
        <f t="shared" si="75"/>
        <v>122.50089999999999</v>
      </c>
      <c r="G59" s="505">
        <f t="shared" si="75"/>
        <v>166.32810000000001</v>
      </c>
      <c r="H59" s="506">
        <f t="shared" si="75"/>
        <v>210.28279999999998</v>
      </c>
      <c r="I59" s="505">
        <f t="shared" si="75"/>
        <v>227.22973185508022</v>
      </c>
      <c r="J59" s="505">
        <f t="shared" si="75"/>
        <v>353.82867991402748</v>
      </c>
      <c r="K59" s="505">
        <f t="shared" si="75"/>
        <v>474.51063317446676</v>
      </c>
      <c r="L59" s="505">
        <f t="shared" si="75"/>
        <v>676.04952825605949</v>
      </c>
      <c r="M59" s="505">
        <f t="shared" si="75"/>
        <v>888.16475375269169</v>
      </c>
      <c r="N59" s="505">
        <f t="shared" si="75"/>
        <v>1117.9030497144327</v>
      </c>
      <c r="O59" s="505">
        <f t="shared" si="75"/>
        <v>1371.2602285065266</v>
      </c>
      <c r="P59" s="505">
        <f t="shared" ref="P59" si="76">P44+P57+P35</f>
        <v>1632.4049834372161</v>
      </c>
    </row>
    <row r="60" spans="1:16" x14ac:dyDescent="0.3">
      <c r="B60" s="1"/>
      <c r="C60" s="1"/>
      <c r="D60" s="207"/>
      <c r="E60" s="207"/>
      <c r="F60" s="207"/>
      <c r="G60" s="207"/>
      <c r="H60" s="477"/>
      <c r="I60" s="207"/>
      <c r="J60" s="207"/>
      <c r="K60" s="207"/>
      <c r="L60" s="207"/>
      <c r="M60" s="207"/>
      <c r="N60" s="207"/>
      <c r="O60" s="207"/>
      <c r="P60" s="207"/>
    </row>
    <row r="61" spans="1:16" x14ac:dyDescent="0.3">
      <c r="B61" s="64" t="s">
        <v>181</v>
      </c>
      <c r="C61" s="64"/>
      <c r="D61" s="505">
        <f t="shared" ref="D61:O61" si="77">D59-D30</f>
        <v>9.9999999999056399E-4</v>
      </c>
      <c r="E61" s="505">
        <f t="shared" si="77"/>
        <v>0</v>
      </c>
      <c r="F61" s="505">
        <f t="shared" si="77"/>
        <v>0</v>
      </c>
      <c r="G61" s="505">
        <f t="shared" si="77"/>
        <v>0</v>
      </c>
      <c r="H61" s="506">
        <f t="shared" si="77"/>
        <v>-1.0000000000331966E-4</v>
      </c>
      <c r="I61" s="505">
        <f t="shared" si="77"/>
        <v>-1.9999999992137418E-4</v>
      </c>
      <c r="J61" s="505">
        <f t="shared" si="77"/>
        <v>-1.9999999983610905E-4</v>
      </c>
      <c r="K61" s="505">
        <f t="shared" si="77"/>
        <v>-1.9999999983610905E-4</v>
      </c>
      <c r="L61" s="505">
        <f t="shared" si="77"/>
        <v>-1.9999999983610905E-4</v>
      </c>
      <c r="M61" s="505">
        <f t="shared" si="77"/>
        <v>-1.9999999983610905E-4</v>
      </c>
      <c r="N61" s="505">
        <f t="shared" si="77"/>
        <v>-1.9999999994979589E-4</v>
      </c>
      <c r="O61" s="505">
        <f t="shared" si="77"/>
        <v>-1.9999999994979589E-4</v>
      </c>
      <c r="P61" s="505">
        <f t="shared" ref="P61" si="78">P59-P30</f>
        <v>-1.9999999949504854E-4</v>
      </c>
    </row>
    <row r="63" spans="1:16" x14ac:dyDescent="0.3">
      <c r="B63" s="411" t="s">
        <v>148</v>
      </c>
      <c r="C63" s="381"/>
      <c r="D63" s="381"/>
      <c r="E63" s="381"/>
      <c r="F63" s="381"/>
      <c r="G63" s="381"/>
      <c r="H63" s="381"/>
      <c r="I63" s="381"/>
      <c r="J63" s="381"/>
      <c r="K63" s="381"/>
      <c r="L63" s="381"/>
      <c r="M63" s="381"/>
      <c r="N63" s="381"/>
      <c r="O63" s="381"/>
      <c r="P63" s="381"/>
    </row>
    <row r="65" spans="1:16" x14ac:dyDescent="0.3">
      <c r="A65" t="s">
        <v>408</v>
      </c>
      <c r="B65" s="2" t="s">
        <v>314</v>
      </c>
      <c r="C65" s="2"/>
      <c r="D65" s="2"/>
      <c r="E65" s="2"/>
    </row>
    <row r="66" spans="1:16" x14ac:dyDescent="0.3">
      <c r="A66" s="171">
        <f>G70/(G67+G68)</f>
        <v>2.0057306590257881E-2</v>
      </c>
      <c r="B66" s="65" t="s">
        <v>72</v>
      </c>
      <c r="C66" s="65"/>
      <c r="D66" s="65"/>
      <c r="E66" s="65"/>
      <c r="F66" s="23"/>
      <c r="G66" s="23"/>
      <c r="H66" s="23"/>
      <c r="I66" s="23"/>
    </row>
    <row r="67" spans="1:16" x14ac:dyDescent="0.3">
      <c r="B67" t="s">
        <v>73</v>
      </c>
      <c r="D67" s="68">
        <v>6.9800000000000001E-2</v>
      </c>
      <c r="E67" s="68">
        <f>6.98/100</f>
        <v>6.9800000000000001E-2</v>
      </c>
      <c r="F67" s="68">
        <f>6.98/100</f>
        <v>6.9800000000000001E-2</v>
      </c>
      <c r="G67" s="68">
        <f>6.98/100</f>
        <v>6.9800000000000001E-2</v>
      </c>
      <c r="H67" s="181">
        <v>6.9800000000000001E-2</v>
      </c>
      <c r="I67" s="68">
        <f>G67+G68-G69</f>
        <v>6.9800000000000001E-2</v>
      </c>
      <c r="J67" s="68">
        <f t="shared" ref="J67:P67" si="79">I67+I68-I69</f>
        <v>6.9800000000000001E-2</v>
      </c>
      <c r="K67" s="68">
        <f t="shared" si="79"/>
        <v>6.9800000000000001E-2</v>
      </c>
      <c r="L67" s="68">
        <f t="shared" si="79"/>
        <v>6.9800000000000001E-2</v>
      </c>
      <c r="M67" s="68">
        <f t="shared" si="79"/>
        <v>6.9800000000000001E-2</v>
      </c>
      <c r="N67" s="68">
        <f t="shared" si="79"/>
        <v>6.9800000000000001E-2</v>
      </c>
      <c r="O67" s="68">
        <f t="shared" si="79"/>
        <v>6.9800000000000001E-2</v>
      </c>
      <c r="P67" s="68">
        <f t="shared" si="79"/>
        <v>6.9800000000000001E-2</v>
      </c>
    </row>
    <row r="68" spans="1:16" x14ac:dyDescent="0.3">
      <c r="B68" t="s">
        <v>64</v>
      </c>
      <c r="D68" s="68">
        <v>0</v>
      </c>
      <c r="E68" s="68">
        <v>0</v>
      </c>
      <c r="F68" s="68">
        <v>0</v>
      </c>
      <c r="G68" s="68">
        <v>0</v>
      </c>
      <c r="H68" s="181">
        <v>0</v>
      </c>
      <c r="I68" s="68"/>
      <c r="J68" s="68"/>
      <c r="K68" s="68"/>
      <c r="L68" s="68"/>
      <c r="M68" s="68"/>
      <c r="N68" s="68"/>
      <c r="O68" s="68"/>
      <c r="P68" s="68"/>
    </row>
    <row r="69" spans="1:16" x14ac:dyDescent="0.3">
      <c r="B69" t="s">
        <v>74</v>
      </c>
      <c r="D69" s="68">
        <v>0</v>
      </c>
      <c r="E69" s="68">
        <v>0</v>
      </c>
      <c r="F69" s="68">
        <v>0</v>
      </c>
      <c r="G69" s="68">
        <v>0</v>
      </c>
      <c r="H69" s="181">
        <v>0</v>
      </c>
      <c r="I69" s="68"/>
      <c r="J69" s="68"/>
      <c r="K69" s="68"/>
      <c r="L69" s="68"/>
      <c r="M69" s="68"/>
      <c r="N69" s="68"/>
      <c r="O69" s="68"/>
      <c r="P69" s="68"/>
    </row>
    <row r="70" spans="1:16" x14ac:dyDescent="0.3">
      <c r="B70" t="s">
        <v>75</v>
      </c>
      <c r="D70" s="68">
        <v>1.4000000000000002E-3</v>
      </c>
      <c r="E70" s="68">
        <v>1.4000000000000002E-3</v>
      </c>
      <c r="F70" s="68">
        <v>1.4000000000000002E-3</v>
      </c>
      <c r="G70" s="68">
        <v>1.4000000000000002E-3</v>
      </c>
      <c r="H70" s="181">
        <v>1E-3</v>
      </c>
      <c r="I70" s="68">
        <f>MIN((I67*$A66)+(I68*$A66/2),G72)</f>
        <v>1.4000000000000002E-3</v>
      </c>
      <c r="J70" s="68">
        <f>MIN((J67*$A66)+(J68*$A66/2),I72)</f>
        <v>1.4000000000000002E-3</v>
      </c>
      <c r="K70" s="68">
        <f t="shared" ref="K70:N70" si="80">MIN((K67*$A66)+(K68*$A66/2),J72)</f>
        <v>1.4000000000000002E-3</v>
      </c>
      <c r="L70" s="68">
        <f t="shared" si="80"/>
        <v>1.4000000000000002E-3</v>
      </c>
      <c r="M70" s="68">
        <f t="shared" si="80"/>
        <v>1.4000000000000002E-3</v>
      </c>
      <c r="N70" s="68">
        <f t="shared" si="80"/>
        <v>1.4000000000000002E-3</v>
      </c>
      <c r="O70" s="68">
        <f t="shared" ref="O70:P70" si="81">MIN((O67*$A66)+(O68*$A66/2),N72)</f>
        <v>1.4000000000000002E-3</v>
      </c>
      <c r="P70" s="68">
        <f t="shared" si="81"/>
        <v>1.4000000000000002E-3</v>
      </c>
    </row>
    <row r="71" spans="1:16" x14ac:dyDescent="0.3">
      <c r="B71" t="s">
        <v>69</v>
      </c>
      <c r="D71" s="68">
        <v>5.5000000000000005E-3</v>
      </c>
      <c r="E71" s="68">
        <f>0.68/100</f>
        <v>6.8000000000000005E-3</v>
      </c>
      <c r="F71" s="68">
        <f>0.81/100</f>
        <v>8.1000000000000013E-3</v>
      </c>
      <c r="G71" s="68">
        <f>0.95/100</f>
        <v>9.4999999999999998E-3</v>
      </c>
      <c r="H71" s="181">
        <v>1.06E-2</v>
      </c>
      <c r="I71" s="68">
        <f>G71+I70</f>
        <v>1.09E-2</v>
      </c>
      <c r="J71" s="68">
        <f t="shared" ref="J71:P71" si="82">I71+J70</f>
        <v>1.23E-2</v>
      </c>
      <c r="K71" s="68">
        <f t="shared" si="82"/>
        <v>1.37E-2</v>
      </c>
      <c r="L71" s="68">
        <f t="shared" si="82"/>
        <v>1.5100000000000001E-2</v>
      </c>
      <c r="M71" s="68">
        <f t="shared" si="82"/>
        <v>1.6500000000000001E-2</v>
      </c>
      <c r="N71" s="68">
        <f t="shared" si="82"/>
        <v>1.7899999999999999E-2</v>
      </c>
      <c r="O71" s="68">
        <f t="shared" si="82"/>
        <v>1.9299999999999998E-2</v>
      </c>
      <c r="P71" s="68">
        <f t="shared" si="82"/>
        <v>2.0699999999999996E-2</v>
      </c>
    </row>
    <row r="72" spans="1:16" x14ac:dyDescent="0.3">
      <c r="B72" s="198" t="s">
        <v>76</v>
      </c>
      <c r="C72" s="198"/>
      <c r="D72" s="199">
        <f t="shared" ref="D72:I72" si="83">D67+D68-D69-D71</f>
        <v>6.4299999999999996E-2</v>
      </c>
      <c r="E72" s="199">
        <f t="shared" si="83"/>
        <v>6.3E-2</v>
      </c>
      <c r="F72" s="199">
        <f t="shared" si="83"/>
        <v>6.1699999999999998E-2</v>
      </c>
      <c r="G72" s="199">
        <f t="shared" si="83"/>
        <v>6.0299999999999999E-2</v>
      </c>
      <c r="H72" s="199">
        <f t="shared" si="83"/>
        <v>5.9200000000000003E-2</v>
      </c>
      <c r="I72" s="199">
        <f t="shared" si="83"/>
        <v>5.8900000000000001E-2</v>
      </c>
      <c r="J72" s="199">
        <f t="shared" ref="J72:N72" si="84">J67+J68-J69-J71</f>
        <v>5.7500000000000002E-2</v>
      </c>
      <c r="K72" s="199">
        <f t="shared" si="84"/>
        <v>5.6099999999999997E-2</v>
      </c>
      <c r="L72" s="199">
        <f t="shared" si="84"/>
        <v>5.4699999999999999E-2</v>
      </c>
      <c r="M72" s="199">
        <f t="shared" si="84"/>
        <v>5.33E-2</v>
      </c>
      <c r="N72" s="199">
        <f t="shared" si="84"/>
        <v>5.1900000000000002E-2</v>
      </c>
      <c r="O72" s="199">
        <f t="shared" ref="O72:P72" si="85">O67+O68-O69-O71</f>
        <v>5.0500000000000003E-2</v>
      </c>
      <c r="P72" s="199">
        <f t="shared" si="85"/>
        <v>4.9100000000000005E-2</v>
      </c>
    </row>
    <row r="73" spans="1:16" x14ac:dyDescent="0.3">
      <c r="D73" s="68"/>
      <c r="E73" s="23"/>
      <c r="F73" s="23"/>
      <c r="G73" s="23"/>
      <c r="H73" s="23"/>
      <c r="I73" s="68"/>
      <c r="J73" s="68"/>
      <c r="K73" s="68"/>
      <c r="L73" s="68"/>
      <c r="M73" s="68"/>
      <c r="N73" s="68"/>
      <c r="O73" s="68"/>
      <c r="P73" s="68"/>
    </row>
    <row r="74" spans="1:16" x14ac:dyDescent="0.3">
      <c r="A74" s="171">
        <v>3.1699999999999999E-2</v>
      </c>
      <c r="B74" s="65" t="s">
        <v>77</v>
      </c>
      <c r="C74" s="65"/>
      <c r="D74" s="172"/>
      <c r="E74" s="23"/>
      <c r="F74" s="23"/>
      <c r="G74" s="23"/>
      <c r="H74" s="23"/>
      <c r="I74" s="68"/>
      <c r="J74" s="68"/>
      <c r="K74" s="68"/>
      <c r="L74" s="68"/>
      <c r="M74" s="68"/>
      <c r="N74" s="68"/>
      <c r="O74" s="68"/>
      <c r="P74" s="68"/>
    </row>
    <row r="75" spans="1:16" x14ac:dyDescent="0.3">
      <c r="B75" t="s">
        <v>73</v>
      </c>
      <c r="D75" s="68">
        <v>1.1691</v>
      </c>
      <c r="E75" s="68">
        <v>1.3247</v>
      </c>
      <c r="F75" s="68">
        <v>1.5543</v>
      </c>
      <c r="G75" s="68">
        <f>F75+F76-F77</f>
        <v>1.5543</v>
      </c>
      <c r="H75" s="181">
        <v>10.185499999999999</v>
      </c>
      <c r="I75" s="68">
        <f>G75+G76-G77</f>
        <v>10.185499999999999</v>
      </c>
      <c r="J75" s="68">
        <f t="shared" ref="J75:P75" si="86">I75+I76-I77</f>
        <v>10.338999999999999</v>
      </c>
      <c r="K75" s="68">
        <f t="shared" si="86"/>
        <v>10.338999999999999</v>
      </c>
      <c r="L75" s="68">
        <f t="shared" si="86"/>
        <v>62.088999999999999</v>
      </c>
      <c r="M75" s="68">
        <f t="shared" si="86"/>
        <v>62.088999999999999</v>
      </c>
      <c r="N75" s="68">
        <f t="shared" si="86"/>
        <v>62.088999999999999</v>
      </c>
      <c r="O75" s="68">
        <f t="shared" si="86"/>
        <v>62.088999999999999</v>
      </c>
      <c r="P75" s="68">
        <f t="shared" si="86"/>
        <v>62.088999999999999</v>
      </c>
    </row>
    <row r="76" spans="1:16" x14ac:dyDescent="0.3">
      <c r="B76" t="s">
        <v>64</v>
      </c>
      <c r="D76" s="68">
        <v>0.15560000000000002</v>
      </c>
      <c r="E76" s="68">
        <v>0.2296</v>
      </c>
      <c r="F76" s="68"/>
      <c r="G76" s="68">
        <v>8.6311999999999998</v>
      </c>
      <c r="H76" s="181">
        <v>0.1535</v>
      </c>
      <c r="I76" s="68">
        <f>H76</f>
        <v>0.1535</v>
      </c>
      <c r="J76" s="68">
        <f>Assumptions!H169</f>
        <v>0</v>
      </c>
      <c r="K76" s="68">
        <f>Assumptions!I169</f>
        <v>51.75</v>
      </c>
      <c r="L76" s="68">
        <f>Assumptions!J169</f>
        <v>0</v>
      </c>
      <c r="M76" s="68">
        <f>Assumptions!K169</f>
        <v>0</v>
      </c>
      <c r="N76" s="68">
        <f>Assumptions!L169</f>
        <v>0</v>
      </c>
      <c r="O76" s="68">
        <f>Assumptions!M169</f>
        <v>0</v>
      </c>
      <c r="P76" s="68">
        <f>Assumptions!N169</f>
        <v>0</v>
      </c>
    </row>
    <row r="77" spans="1:16" x14ac:dyDescent="0.3">
      <c r="B77" t="s">
        <v>74</v>
      </c>
      <c r="D77" s="68">
        <v>0</v>
      </c>
      <c r="E77" s="68">
        <v>0</v>
      </c>
      <c r="F77" s="68">
        <v>0</v>
      </c>
      <c r="G77" s="68">
        <v>0</v>
      </c>
      <c r="H77" s="181"/>
      <c r="I77" s="68"/>
      <c r="J77" s="68"/>
      <c r="K77" s="68"/>
      <c r="L77" s="68"/>
      <c r="M77" s="68"/>
      <c r="N77" s="68"/>
      <c r="O77" s="68"/>
      <c r="P77" s="68"/>
    </row>
    <row r="78" spans="1:16" x14ac:dyDescent="0.3">
      <c r="B78" t="s">
        <v>75</v>
      </c>
      <c r="D78" s="68">
        <v>6.0100000000000001E-2</v>
      </c>
      <c r="E78" s="68">
        <v>6.1900000000000004E-2</v>
      </c>
      <c r="F78" s="68">
        <v>8.2899999999999988E-2</v>
      </c>
      <c r="G78" s="68">
        <v>0.1777</v>
      </c>
      <c r="H78" s="181">
        <v>0.27850000000000003</v>
      </c>
      <c r="I78" s="68">
        <f>MIN((I75*$A74)+(I76*$A74/2),G80)</f>
        <v>0.32531332499999999</v>
      </c>
      <c r="J78" s="68">
        <f>MIN((J75*$A74)+(J76*$A74/2),I80)</f>
        <v>0.32774629999999993</v>
      </c>
      <c r="K78" s="68">
        <f t="shared" ref="K78:N78" si="87">MIN((K75*$A74)+(K76*$A74/2),J80)</f>
        <v>1.1479838</v>
      </c>
      <c r="L78" s="68">
        <f t="shared" si="87"/>
        <v>1.9682213</v>
      </c>
      <c r="M78" s="68">
        <f t="shared" si="87"/>
        <v>1.9682213</v>
      </c>
      <c r="N78" s="68">
        <f t="shared" si="87"/>
        <v>1.9682213</v>
      </c>
      <c r="O78" s="68">
        <f t="shared" ref="O78:P78" si="88">MIN((O75*$A74)+(O76*$A74/2),N80)</f>
        <v>1.9682213</v>
      </c>
      <c r="P78" s="68">
        <f t="shared" si="88"/>
        <v>1.9682213</v>
      </c>
    </row>
    <row r="79" spans="1:16" x14ac:dyDescent="0.3">
      <c r="B79" t="s">
        <v>69</v>
      </c>
      <c r="D79" s="68">
        <v>0.1837</v>
      </c>
      <c r="E79" s="68">
        <v>0.24559999999999998</v>
      </c>
      <c r="F79" s="68">
        <v>0.32850000000000001</v>
      </c>
      <c r="G79" s="68">
        <v>0.50619999999999998</v>
      </c>
      <c r="H79" s="181">
        <v>0.78480000000000005</v>
      </c>
      <c r="I79" s="68">
        <f>G79+I78</f>
        <v>0.83151332499999997</v>
      </c>
      <c r="J79" s="68">
        <f t="shared" ref="J79:P79" si="89">I79+J78</f>
        <v>1.1592596249999998</v>
      </c>
      <c r="K79" s="68">
        <f t="shared" si="89"/>
        <v>2.3072434249999998</v>
      </c>
      <c r="L79" s="68">
        <f t="shared" si="89"/>
        <v>4.275464725</v>
      </c>
      <c r="M79" s="68">
        <f t="shared" si="89"/>
        <v>6.2436860249999997</v>
      </c>
      <c r="N79" s="68">
        <f t="shared" si="89"/>
        <v>8.2119073250000003</v>
      </c>
      <c r="O79" s="68">
        <f t="shared" si="89"/>
        <v>10.180128625</v>
      </c>
      <c r="P79" s="68">
        <f t="shared" si="89"/>
        <v>12.148349925</v>
      </c>
    </row>
    <row r="80" spans="1:16" x14ac:dyDescent="0.3">
      <c r="B80" s="198" t="s">
        <v>76</v>
      </c>
      <c r="C80" s="198"/>
      <c r="D80" s="199">
        <f>D75+D76-D77-D79</f>
        <v>1.141</v>
      </c>
      <c r="E80" s="199">
        <f>E75+E76-E77-E79</f>
        <v>1.3087</v>
      </c>
      <c r="F80" s="199">
        <f>F75+F76-F77-F79</f>
        <v>1.2258</v>
      </c>
      <c r="G80" s="199">
        <f>G75+G76-G77-G79</f>
        <v>9.6792999999999996</v>
      </c>
      <c r="H80" s="199">
        <f t="shared" ref="H80" si="90">H75+H76-H77-H79</f>
        <v>9.554199999999998</v>
      </c>
      <c r="I80" s="199">
        <f>I75+I76-I77-I79</f>
        <v>9.5074866749999991</v>
      </c>
      <c r="J80" s="199">
        <f t="shared" ref="J80:N80" si="91">J75+J76-J77-J79</f>
        <v>9.179740374999998</v>
      </c>
      <c r="K80" s="199">
        <f t="shared" si="91"/>
        <v>59.781756574999996</v>
      </c>
      <c r="L80" s="199">
        <f t="shared" si="91"/>
        <v>57.813535275</v>
      </c>
      <c r="M80" s="199">
        <f t="shared" si="91"/>
        <v>55.845313974999996</v>
      </c>
      <c r="N80" s="199">
        <f t="shared" si="91"/>
        <v>53.877092675</v>
      </c>
      <c r="O80" s="199">
        <f t="shared" ref="O80:P80" si="92">O75+O76-O77-O79</f>
        <v>51.908871374999997</v>
      </c>
      <c r="P80" s="199">
        <f t="shared" si="92"/>
        <v>49.940650075000001</v>
      </c>
    </row>
    <row r="81" spans="1:31" x14ac:dyDescent="0.3">
      <c r="D81" s="68"/>
      <c r="E81" s="68"/>
      <c r="F81" s="68"/>
      <c r="G81" s="68"/>
      <c r="H81" s="181"/>
      <c r="I81" s="68"/>
      <c r="J81" s="68"/>
      <c r="K81" s="68"/>
      <c r="L81" s="68"/>
      <c r="M81" s="68"/>
      <c r="N81" s="68"/>
      <c r="O81" s="68"/>
      <c r="P81" s="68"/>
    </row>
    <row r="82" spans="1:31" x14ac:dyDescent="0.3">
      <c r="A82" s="171">
        <v>1.5800000000000002E-2</v>
      </c>
      <c r="B82" s="65" t="s">
        <v>78</v>
      </c>
      <c r="C82" s="65"/>
      <c r="D82" s="172"/>
      <c r="E82" s="23"/>
      <c r="F82" s="23"/>
      <c r="G82" s="23"/>
      <c r="H82" s="23"/>
      <c r="I82" s="68"/>
      <c r="J82" s="68"/>
      <c r="K82" s="68"/>
      <c r="L82" s="68"/>
      <c r="M82" s="68"/>
      <c r="N82" s="68"/>
      <c r="O82" s="68"/>
      <c r="P82" s="68"/>
    </row>
    <row r="83" spans="1:31" x14ac:dyDescent="0.3">
      <c r="B83" t="s">
        <v>68</v>
      </c>
      <c r="D83" s="68">
        <v>2E-3</v>
      </c>
      <c r="E83" s="68">
        <v>2E-3</v>
      </c>
      <c r="F83" s="68">
        <v>2E-3</v>
      </c>
      <c r="G83" s="68">
        <f>F83+F84-F85</f>
        <v>2E-3</v>
      </c>
      <c r="H83" s="181">
        <v>2E-3</v>
      </c>
      <c r="I83" s="68">
        <f>G83+G84-G85</f>
        <v>2E-3</v>
      </c>
      <c r="J83" s="68">
        <f t="shared" ref="J83:P83" si="93">I83+I84-I85</f>
        <v>2E-3</v>
      </c>
      <c r="K83" s="68">
        <f t="shared" si="93"/>
        <v>2E-3</v>
      </c>
      <c r="L83" s="68">
        <f t="shared" si="93"/>
        <v>2E-3</v>
      </c>
      <c r="M83" s="68">
        <f t="shared" si="93"/>
        <v>2E-3</v>
      </c>
      <c r="N83" s="68">
        <f t="shared" si="93"/>
        <v>2E-3</v>
      </c>
      <c r="O83" s="68">
        <f t="shared" si="93"/>
        <v>2E-3</v>
      </c>
      <c r="P83" s="68">
        <f t="shared" si="93"/>
        <v>2E-3</v>
      </c>
    </row>
    <row r="84" spans="1:31" x14ac:dyDescent="0.3">
      <c r="B84" t="s">
        <v>64</v>
      </c>
      <c r="D84" s="68">
        <v>0</v>
      </c>
      <c r="E84" s="68"/>
      <c r="F84" s="68">
        <v>0</v>
      </c>
      <c r="G84" s="68">
        <v>0</v>
      </c>
      <c r="H84" s="181"/>
      <c r="I84" s="68">
        <f>H84</f>
        <v>0</v>
      </c>
      <c r="J84" s="68"/>
      <c r="K84" s="68"/>
      <c r="L84" s="68"/>
      <c r="M84" s="68"/>
      <c r="N84" s="68"/>
      <c r="O84" s="68"/>
      <c r="P84" s="68"/>
    </row>
    <row r="85" spans="1:31" x14ac:dyDescent="0.3">
      <c r="B85" t="s">
        <v>74</v>
      </c>
      <c r="D85" s="68">
        <v>0</v>
      </c>
      <c r="E85" s="23"/>
      <c r="F85" s="68">
        <v>0</v>
      </c>
      <c r="G85" s="68">
        <v>0</v>
      </c>
      <c r="H85" s="181"/>
      <c r="I85" s="68"/>
      <c r="J85" s="68"/>
      <c r="K85" s="68"/>
      <c r="L85" s="68"/>
      <c r="M85" s="68"/>
      <c r="N85" s="68"/>
      <c r="O85" s="68"/>
      <c r="P85" s="68"/>
    </row>
    <row r="86" spans="1:31" x14ac:dyDescent="0.3">
      <c r="B86" t="s">
        <v>75</v>
      </c>
      <c r="D86" s="68">
        <v>1E-4</v>
      </c>
      <c r="E86" s="68">
        <v>1E-4</v>
      </c>
      <c r="F86" s="68">
        <v>1E-4</v>
      </c>
      <c r="G86" s="68">
        <v>1E-4</v>
      </c>
      <c r="H86" s="181">
        <v>1E-4</v>
      </c>
      <c r="I86" s="68">
        <f>MIN((I83*$A82)+(I84*$A82/2),G88)</f>
        <v>3.1600000000000002E-5</v>
      </c>
      <c r="J86" s="68">
        <f>MIN((J83*$A82)+(J84*$A82/2),I88)</f>
        <v>3.1600000000000002E-5</v>
      </c>
      <c r="K86" s="68">
        <f t="shared" ref="K86:N86" si="94">MIN((K83*$A82)+(K84*$A82/2),J88)</f>
        <v>3.1600000000000002E-5</v>
      </c>
      <c r="L86" s="68">
        <f t="shared" si="94"/>
        <v>3.1600000000000002E-5</v>
      </c>
      <c r="M86" s="68">
        <f t="shared" si="94"/>
        <v>3.1600000000000002E-5</v>
      </c>
      <c r="N86" s="68">
        <f t="shared" si="94"/>
        <v>3.1600000000000002E-5</v>
      </c>
      <c r="O86" s="68">
        <f t="shared" ref="O86:P86" si="95">MIN((O83*$A82)+(O84*$A82/2),N88)</f>
        <v>3.1600000000000002E-5</v>
      </c>
      <c r="P86" s="68">
        <f t="shared" si="95"/>
        <v>3.1600000000000002E-5</v>
      </c>
    </row>
    <row r="87" spans="1:31" x14ac:dyDescent="0.3">
      <c r="B87" t="s">
        <v>315</v>
      </c>
      <c r="D87" s="68">
        <v>4.0000000000000002E-4</v>
      </c>
      <c r="E87" s="68">
        <v>5.0000000000000001E-4</v>
      </c>
      <c r="F87" s="68">
        <v>5.0000000000000001E-4</v>
      </c>
      <c r="G87" s="68">
        <v>5.9999999999999995E-4</v>
      </c>
      <c r="H87" s="181">
        <v>7.000000000000001E-4</v>
      </c>
      <c r="I87" s="68">
        <f>G87+I86</f>
        <v>6.3159999999999996E-4</v>
      </c>
      <c r="J87" s="68">
        <f t="shared" ref="J87:P87" si="96">I87+J86</f>
        <v>6.6319999999999997E-4</v>
      </c>
      <c r="K87" s="68">
        <f t="shared" si="96"/>
        <v>6.9479999999999997E-4</v>
      </c>
      <c r="L87" s="68">
        <f t="shared" si="96"/>
        <v>7.2639999999999998E-4</v>
      </c>
      <c r="M87" s="68">
        <f t="shared" si="96"/>
        <v>7.5799999999999999E-4</v>
      </c>
      <c r="N87" s="68">
        <f t="shared" si="96"/>
        <v>7.896E-4</v>
      </c>
      <c r="O87" s="68">
        <f t="shared" si="96"/>
        <v>8.2120000000000001E-4</v>
      </c>
      <c r="P87" s="68">
        <f t="shared" si="96"/>
        <v>8.5280000000000002E-4</v>
      </c>
    </row>
    <row r="88" spans="1:31" x14ac:dyDescent="0.3">
      <c r="B88" s="198" t="s">
        <v>76</v>
      </c>
      <c r="C88" s="198"/>
      <c r="D88" s="199">
        <f>D83+D84-D85-D87</f>
        <v>1.6000000000000001E-3</v>
      </c>
      <c r="E88" s="199">
        <f>E83+E84-E85-E87</f>
        <v>1.5E-3</v>
      </c>
      <c r="F88" s="199">
        <f>F83+F84-F85-F87</f>
        <v>1.5E-3</v>
      </c>
      <c r="G88" s="199">
        <f>G83+G84-G85-G87</f>
        <v>1.4000000000000002E-3</v>
      </c>
      <c r="H88" s="199">
        <f t="shared" ref="H88" si="97">H83+H84-H85-H87</f>
        <v>1.2999999999999999E-3</v>
      </c>
      <c r="I88" s="199">
        <f>I83+I84-I85-I87</f>
        <v>1.3684000000000001E-3</v>
      </c>
      <c r="J88" s="199">
        <f t="shared" ref="J88:N88" si="98">J83+J84-J85-J87</f>
        <v>1.3368E-3</v>
      </c>
      <c r="K88" s="199">
        <f t="shared" si="98"/>
        <v>1.3052000000000001E-3</v>
      </c>
      <c r="L88" s="199">
        <f t="shared" si="98"/>
        <v>1.2736000000000002E-3</v>
      </c>
      <c r="M88" s="199">
        <f t="shared" si="98"/>
        <v>1.242E-3</v>
      </c>
      <c r="N88" s="199">
        <f t="shared" si="98"/>
        <v>1.2103999999999999E-3</v>
      </c>
      <c r="O88" s="199">
        <f t="shared" ref="O88:P88" si="99">O83+O84-O85-O87</f>
        <v>1.1788E-3</v>
      </c>
      <c r="P88" s="199">
        <f t="shared" si="99"/>
        <v>1.1472000000000001E-3</v>
      </c>
    </row>
    <row r="89" spans="1:31" x14ac:dyDescent="0.3">
      <c r="D89" s="68"/>
      <c r="E89" s="23"/>
      <c r="F89" s="23"/>
      <c r="G89" s="23"/>
      <c r="H89" s="23"/>
      <c r="I89" s="68"/>
      <c r="J89" s="68"/>
      <c r="K89" s="68"/>
      <c r="L89" s="68"/>
      <c r="M89" s="68"/>
      <c r="N89" s="68"/>
      <c r="O89" s="68"/>
      <c r="P89" s="68"/>
    </row>
    <row r="90" spans="1:31" x14ac:dyDescent="0.3">
      <c r="A90" s="171">
        <v>6.3299999999999995E-2</v>
      </c>
      <c r="B90" s="65" t="s">
        <v>79</v>
      </c>
      <c r="C90" s="65"/>
      <c r="D90" s="172"/>
      <c r="E90" s="23"/>
      <c r="F90" s="23"/>
      <c r="G90" s="23"/>
      <c r="H90" s="23"/>
      <c r="I90" s="68"/>
      <c r="J90" s="68"/>
      <c r="K90" s="68"/>
      <c r="L90" s="68"/>
      <c r="M90" s="68"/>
      <c r="N90" s="68"/>
      <c r="O90" s="68"/>
      <c r="P90" s="68"/>
    </row>
    <row r="91" spans="1:31" x14ac:dyDescent="0.3">
      <c r="A91" s="467">
        <f>95%/10</f>
        <v>9.5000000000000001E-2</v>
      </c>
      <c r="B91" t="s">
        <v>68</v>
      </c>
      <c r="D91" s="68">
        <v>16.7254</v>
      </c>
      <c r="E91" s="68">
        <v>20.299800000000001</v>
      </c>
      <c r="F91" s="68">
        <v>21.3446</v>
      </c>
      <c r="G91" s="68">
        <f>F91+F92-F93</f>
        <v>23.972999999999999</v>
      </c>
      <c r="H91" s="181">
        <v>31.027800000000003</v>
      </c>
      <c r="I91" s="68">
        <f>G91+G92-G93</f>
        <v>31.027799999999999</v>
      </c>
      <c r="J91" s="68">
        <f t="shared" ref="J91:P91" si="100">I91+I92-I93</f>
        <v>34.394500000000001</v>
      </c>
      <c r="K91" s="68">
        <f t="shared" si="100"/>
        <v>34.394500000000001</v>
      </c>
      <c r="L91" s="68">
        <f t="shared" si="100"/>
        <v>134.61527499999997</v>
      </c>
      <c r="M91" s="68">
        <f t="shared" si="100"/>
        <v>134.61527499999997</v>
      </c>
      <c r="N91" s="68">
        <f t="shared" si="100"/>
        <v>134.61527499999997</v>
      </c>
      <c r="O91" s="68">
        <f t="shared" si="100"/>
        <v>134.61527499999997</v>
      </c>
      <c r="P91" s="68">
        <f t="shared" si="100"/>
        <v>134.61527499999997</v>
      </c>
    </row>
    <row r="92" spans="1:31" x14ac:dyDescent="0.3">
      <c r="B92" t="s">
        <v>64</v>
      </c>
      <c r="D92" s="68">
        <v>4.2544000000000004</v>
      </c>
      <c r="E92" s="68">
        <v>1.0448</v>
      </c>
      <c r="F92" s="68">
        <v>2.6283999999999996</v>
      </c>
      <c r="G92" s="68">
        <v>7.0548000000000002</v>
      </c>
      <c r="H92" s="181">
        <v>3.3667000000000002</v>
      </c>
      <c r="I92" s="68">
        <f>H92</f>
        <v>3.3667000000000002</v>
      </c>
      <c r="J92" s="68">
        <f>Assumptions!H170</f>
        <v>0</v>
      </c>
      <c r="K92" s="68">
        <f>Assumptions!I170</f>
        <v>100.22077499999997</v>
      </c>
      <c r="L92" s="68">
        <f>Assumptions!J170</f>
        <v>0</v>
      </c>
      <c r="M92" s="68">
        <f>Assumptions!K170</f>
        <v>0</v>
      </c>
      <c r="N92" s="68">
        <f>Assumptions!L170</f>
        <v>0</v>
      </c>
      <c r="O92" s="68">
        <f>Assumptions!M170</f>
        <v>0</v>
      </c>
      <c r="P92" s="68">
        <f>Assumptions!N170</f>
        <v>0</v>
      </c>
    </row>
    <row r="93" spans="1:31" x14ac:dyDescent="0.3">
      <c r="B93" t="s">
        <v>74</v>
      </c>
      <c r="D93" s="68">
        <v>0.68010000000000004</v>
      </c>
      <c r="E93" s="23"/>
      <c r="F93" s="68">
        <v>0</v>
      </c>
      <c r="G93" s="68">
        <v>0</v>
      </c>
      <c r="H93" s="181">
        <v>0</v>
      </c>
      <c r="I93" s="68"/>
      <c r="J93" s="68"/>
      <c r="K93" s="68"/>
      <c r="L93" s="68"/>
      <c r="M93" s="68"/>
      <c r="N93" s="68"/>
      <c r="O93" s="68"/>
      <c r="P93" s="68"/>
    </row>
    <row r="94" spans="1:31" x14ac:dyDescent="0.3">
      <c r="B94" t="s">
        <v>536</v>
      </c>
      <c r="D94" s="68"/>
      <c r="E94" s="23"/>
      <c r="F94" s="68"/>
      <c r="G94" s="68"/>
      <c r="H94" s="181"/>
      <c r="I94" s="68">
        <f>MIN((I91*$A90),G99)</f>
        <v>1.9640597399999997</v>
      </c>
      <c r="J94" s="68">
        <f>MIN(($I$91*$A90),$I$91-SUM($I$94:I94))</f>
        <v>1.9640597399999997</v>
      </c>
      <c r="K94" s="68">
        <f>MIN(($I$91*$A90),$I$91-SUM($I$94:J94))</f>
        <v>1.9640597399999997</v>
      </c>
      <c r="L94" s="68">
        <f>MIN(($I$91*$A90),$I$91-SUM($I$94:K94))</f>
        <v>1.9640597399999997</v>
      </c>
      <c r="M94" s="68">
        <f>MIN(($I$91*$A90),$I$91-SUM($I$94:L94))</f>
        <v>1.9640597399999997</v>
      </c>
      <c r="N94" s="68">
        <f>MIN(($I$91*$A90),$I$91-SUM($I$94:M94))</f>
        <v>1.9640597399999997</v>
      </c>
      <c r="O94" s="68">
        <f>MIN(($I$91*$A90),$I$91-SUM($I$94:N94))</f>
        <v>1.9640597399999997</v>
      </c>
      <c r="P94" s="68">
        <f>MIN(($I$91*$A90),$I$91-SUM($I$94:O94))</f>
        <v>1.9640597399999997</v>
      </c>
    </row>
    <row r="95" spans="1:31" x14ac:dyDescent="0.3">
      <c r="B95" t="s">
        <v>537</v>
      </c>
      <c r="D95" s="68"/>
      <c r="E95" s="23"/>
      <c r="F95" s="68"/>
      <c r="G95" s="68"/>
      <c r="H95" s="181"/>
      <c r="I95" s="68">
        <f>((I92*$A91/2))</f>
        <v>0.15991825000000001</v>
      </c>
      <c r="J95" s="68">
        <f>MIN(($I$92*$A91),$I$92-SUM($I$95:I95))</f>
        <v>0.31983650000000002</v>
      </c>
      <c r="K95" s="68">
        <f>MIN(($I$92*$A91),$I$92-SUM($I$95:J95))</f>
        <v>0.31983650000000002</v>
      </c>
      <c r="L95" s="68">
        <f>MIN(($I$92*$A91),$I$92-SUM($I$95:K95))</f>
        <v>0.31983650000000002</v>
      </c>
      <c r="M95" s="68">
        <f>MIN(($I$92*$A91),$I$92-SUM($I$95:L95))</f>
        <v>0.31983650000000002</v>
      </c>
      <c r="N95" s="68">
        <f>MIN(($I$92*$A91),$I$92-SUM($I$95:M95))</f>
        <v>0.31983650000000002</v>
      </c>
      <c r="O95" s="68">
        <f>MIN(($I$92*$A91),$I$92-SUM($I$95:N95))</f>
        <v>0.31983650000000002</v>
      </c>
      <c r="P95" s="68">
        <f>MIN(($I$92*$A91),$I$92-SUM($I$95:O95))</f>
        <v>0.31983650000000002</v>
      </c>
    </row>
    <row r="96" spans="1:31" x14ac:dyDescent="0.3">
      <c r="B96" t="s">
        <v>538</v>
      </c>
      <c r="D96" s="68"/>
      <c r="E96" s="23"/>
      <c r="F96" s="68"/>
      <c r="G96" s="68"/>
      <c r="H96" s="181"/>
      <c r="I96" s="68"/>
      <c r="J96" s="68"/>
      <c r="K96" s="68">
        <f>(($K$92*$A91)/2)</f>
        <v>4.7604868124999991</v>
      </c>
      <c r="L96" s="68">
        <f>MIN(($K$92*$A91),$K$92-SUM($K$96:K96))</f>
        <v>9.5209736249999981</v>
      </c>
      <c r="M96" s="68">
        <f>MIN(($K$92*$A91),$K$92-SUM($K$96:L96))</f>
        <v>9.5209736249999981</v>
      </c>
      <c r="N96" s="68">
        <f>MIN(($K$92*$A91),$K$92-SUM($K$96:M96))</f>
        <v>9.5209736249999981</v>
      </c>
      <c r="O96" s="68">
        <f>MIN(($K$92*$A91),$K$92-SUM($K$96:N96))</f>
        <v>9.5209736249999981</v>
      </c>
      <c r="P96" s="68">
        <f>MIN(($K$92*$A91),$K$92-SUM($K$96:O96))</f>
        <v>9.5209736249999981</v>
      </c>
      <c r="Q96" s="68"/>
      <c r="R96" s="68"/>
      <c r="S96" s="68"/>
      <c r="T96" s="68"/>
      <c r="U96" s="68"/>
      <c r="V96" s="68"/>
      <c r="W96" s="68"/>
      <c r="X96" s="68"/>
      <c r="Y96" s="68"/>
      <c r="Z96" s="68"/>
      <c r="AA96" s="68"/>
      <c r="AB96" s="68"/>
      <c r="AC96" s="68"/>
      <c r="AD96" s="68"/>
      <c r="AE96" s="68"/>
    </row>
    <row r="97" spans="1:16" x14ac:dyDescent="0.3">
      <c r="B97" s="2" t="s">
        <v>75</v>
      </c>
      <c r="C97" s="2"/>
      <c r="D97" s="174">
        <v>1.2777000000000001</v>
      </c>
      <c r="E97" s="174">
        <v>1.296</v>
      </c>
      <c r="F97" s="174">
        <v>1.3472999999999999</v>
      </c>
      <c r="G97" s="174">
        <v>1.5377000000000001</v>
      </c>
      <c r="H97" s="210">
        <v>1.4069999999999998</v>
      </c>
      <c r="I97" s="174">
        <f>SUM(I94:I96)</f>
        <v>2.1239779899999998</v>
      </c>
      <c r="J97" s="174">
        <f t="shared" ref="J97:O97" si="101">SUM(J94:J96)</f>
        <v>2.2838962399999998</v>
      </c>
      <c r="K97" s="174">
        <f t="shared" si="101"/>
        <v>7.0443830524999989</v>
      </c>
      <c r="L97" s="174">
        <f t="shared" si="101"/>
        <v>11.804869864999997</v>
      </c>
      <c r="M97" s="174">
        <f t="shared" si="101"/>
        <v>11.804869864999997</v>
      </c>
      <c r="N97" s="174">
        <f t="shared" si="101"/>
        <v>11.804869864999997</v>
      </c>
      <c r="O97" s="174">
        <f t="shared" si="101"/>
        <v>11.804869864999997</v>
      </c>
      <c r="P97" s="174">
        <f t="shared" ref="P97" si="102">SUM(P94:P96)</f>
        <v>11.804869864999997</v>
      </c>
    </row>
    <row r="98" spans="1:16" x14ac:dyDescent="0.3">
      <c r="B98" t="s">
        <v>315</v>
      </c>
      <c r="D98" s="68">
        <v>4.5160999999999998</v>
      </c>
      <c r="E98" s="68">
        <v>5.8120000000000003</v>
      </c>
      <c r="F98" s="68">
        <v>7.1594000000000007</v>
      </c>
      <c r="G98" s="68">
        <v>8.697000000000001</v>
      </c>
      <c r="H98" s="181">
        <v>10.103999999999999</v>
      </c>
      <c r="I98" s="68">
        <f>G98+I97</f>
        <v>10.820977990000001</v>
      </c>
      <c r="J98" s="68">
        <f t="shared" ref="J98:P98" si="103">I98+J97</f>
        <v>13.10487423</v>
      </c>
      <c r="K98" s="68">
        <f t="shared" si="103"/>
        <v>20.149257282499999</v>
      </c>
      <c r="L98" s="68">
        <f t="shared" si="103"/>
        <v>31.954127147499996</v>
      </c>
      <c r="M98" s="68">
        <f t="shared" si="103"/>
        <v>43.758997012499989</v>
      </c>
      <c r="N98" s="68">
        <f t="shared" si="103"/>
        <v>55.56386687749999</v>
      </c>
      <c r="O98" s="68">
        <f t="shared" si="103"/>
        <v>67.368736742499991</v>
      </c>
      <c r="P98" s="68">
        <f t="shared" si="103"/>
        <v>79.173606607499991</v>
      </c>
    </row>
    <row r="99" spans="1:16" x14ac:dyDescent="0.3">
      <c r="B99" s="198" t="s">
        <v>76</v>
      </c>
      <c r="C99" s="198"/>
      <c r="D99" s="199">
        <f t="shared" ref="D99:I99" si="104">D91+D92-D93-D98</f>
        <v>15.783600000000002</v>
      </c>
      <c r="E99" s="199">
        <f t="shared" si="104"/>
        <v>15.532599999999999</v>
      </c>
      <c r="F99" s="199">
        <f t="shared" si="104"/>
        <v>16.813599999999997</v>
      </c>
      <c r="G99" s="199">
        <f t="shared" si="104"/>
        <v>22.330799999999996</v>
      </c>
      <c r="H99" s="199">
        <f t="shared" si="104"/>
        <v>24.290500000000002</v>
      </c>
      <c r="I99" s="199">
        <f t="shared" si="104"/>
        <v>23.573522009999998</v>
      </c>
      <c r="J99" s="199">
        <f t="shared" ref="J99:N99" si="105">J91+J92-J93-J98</f>
        <v>21.289625770000001</v>
      </c>
      <c r="K99" s="199">
        <f t="shared" si="105"/>
        <v>114.46601771749997</v>
      </c>
      <c r="L99" s="199">
        <f t="shared" si="105"/>
        <v>102.66114785249997</v>
      </c>
      <c r="M99" s="199">
        <f t="shared" si="105"/>
        <v>90.856277987499979</v>
      </c>
      <c r="N99" s="199">
        <f t="shared" si="105"/>
        <v>79.051408122499979</v>
      </c>
      <c r="O99" s="199">
        <f t="shared" ref="O99:P99" si="106">O91+O92-O93-O98</f>
        <v>67.246538257499978</v>
      </c>
      <c r="P99" s="199">
        <f t="shared" si="106"/>
        <v>55.441668392499977</v>
      </c>
    </row>
    <row r="100" spans="1:16" x14ac:dyDescent="0.3">
      <c r="D100" s="68"/>
      <c r="E100" s="23"/>
      <c r="F100" s="23"/>
      <c r="G100" s="23"/>
      <c r="H100" s="23"/>
      <c r="I100" s="68"/>
      <c r="J100" s="68"/>
      <c r="K100" s="68"/>
      <c r="L100" s="68"/>
      <c r="M100" s="68"/>
      <c r="N100" s="68"/>
      <c r="O100" s="68"/>
      <c r="P100" s="68"/>
    </row>
    <row r="101" spans="1:16" x14ac:dyDescent="0.3">
      <c r="A101" s="171">
        <v>9.5000000000000001E-2</v>
      </c>
      <c r="B101" s="65" t="s">
        <v>80</v>
      </c>
      <c r="C101" s="65"/>
      <c r="D101" s="172"/>
      <c r="E101" s="23"/>
      <c r="F101" s="23"/>
      <c r="G101" s="23"/>
      <c r="H101" s="23"/>
      <c r="I101" s="68"/>
      <c r="J101" s="68"/>
      <c r="K101" s="68"/>
      <c r="L101" s="68"/>
      <c r="M101" s="68"/>
      <c r="N101" s="68"/>
      <c r="O101" s="68"/>
      <c r="P101" s="68"/>
    </row>
    <row r="102" spans="1:16" x14ac:dyDescent="0.3">
      <c r="B102" t="s">
        <v>66</v>
      </c>
      <c r="D102" s="68">
        <v>5.1699999999999996E-2</v>
      </c>
      <c r="E102" s="68">
        <v>0.1116</v>
      </c>
      <c r="F102" s="68">
        <v>0.1116</v>
      </c>
      <c r="G102" s="68">
        <f>F102+F103-F104</f>
        <v>0.18409999999999999</v>
      </c>
      <c r="H102" s="181">
        <v>0.19149999999999998</v>
      </c>
      <c r="I102" s="68">
        <f>G102+G103</f>
        <v>0.19139999999999999</v>
      </c>
      <c r="J102" s="68">
        <f t="shared" ref="J102:P102" si="107">I102+I103-I104</f>
        <v>0.25790000000000002</v>
      </c>
      <c r="K102" s="68">
        <f t="shared" si="107"/>
        <v>0.25790000000000002</v>
      </c>
      <c r="L102" s="68">
        <f t="shared" si="107"/>
        <v>0.25790000000000002</v>
      </c>
      <c r="M102" s="68">
        <f t="shared" si="107"/>
        <v>0.25790000000000002</v>
      </c>
      <c r="N102" s="68">
        <f t="shared" si="107"/>
        <v>0.25790000000000002</v>
      </c>
      <c r="O102" s="68">
        <f t="shared" si="107"/>
        <v>0.25790000000000002</v>
      </c>
      <c r="P102" s="68">
        <f t="shared" si="107"/>
        <v>0.25790000000000002</v>
      </c>
    </row>
    <row r="103" spans="1:16" x14ac:dyDescent="0.3">
      <c r="B103" t="s">
        <v>64</v>
      </c>
      <c r="D103" s="68">
        <v>5.9900000000000002E-2</v>
      </c>
      <c r="E103" s="68"/>
      <c r="F103" s="68">
        <v>7.2499999999999995E-2</v>
      </c>
      <c r="G103" s="68">
        <v>7.3000000000000001E-3</v>
      </c>
      <c r="H103" s="181">
        <v>6.6500000000000004E-2</v>
      </c>
      <c r="I103" s="68">
        <f>H103</f>
        <v>6.6500000000000004E-2</v>
      </c>
      <c r="J103" s="68"/>
      <c r="K103" s="68"/>
      <c r="L103" s="68"/>
      <c r="M103" s="68"/>
      <c r="N103" s="68"/>
      <c r="O103" s="68"/>
      <c r="P103" s="68"/>
    </row>
    <row r="104" spans="1:16" x14ac:dyDescent="0.3">
      <c r="B104" t="s">
        <v>74</v>
      </c>
      <c r="D104" s="68">
        <v>0</v>
      </c>
      <c r="E104" s="68"/>
      <c r="F104" s="68">
        <v>0</v>
      </c>
      <c r="G104" s="68">
        <v>0</v>
      </c>
      <c r="H104" s="181"/>
      <c r="I104" s="68"/>
      <c r="J104" s="68"/>
      <c r="K104" s="68"/>
      <c r="L104" s="68"/>
      <c r="M104" s="68"/>
      <c r="N104" s="68"/>
      <c r="O104" s="68"/>
      <c r="P104" s="68"/>
    </row>
    <row r="105" spans="1:16" x14ac:dyDescent="0.3">
      <c r="B105" t="s">
        <v>75</v>
      </c>
      <c r="D105" s="68">
        <v>6.0999999999999995E-3</v>
      </c>
      <c r="E105" s="68">
        <v>4.4500000000000005E-2</v>
      </c>
      <c r="F105" s="68">
        <v>2.2499999999999999E-2</v>
      </c>
      <c r="G105" s="68">
        <v>2.53E-2</v>
      </c>
      <c r="H105" s="181">
        <v>8.5000000000000006E-3</v>
      </c>
      <c r="I105" s="68">
        <f>MIN((I102*$A101)+(I103*$A101/2),H107)</f>
        <v>2.134175E-2</v>
      </c>
      <c r="J105" s="68">
        <f>MIN((J102*$A101)+(J103*$A101/2),I107)</f>
        <v>2.4500500000000001E-2</v>
      </c>
      <c r="K105" s="68">
        <f t="shared" ref="K105:N105" si="108">MIN((K102*$A101)+(K103*$A101/2),J107)</f>
        <v>2.4500500000000001E-2</v>
      </c>
      <c r="L105" s="68">
        <f t="shared" si="108"/>
        <v>2.4500500000000001E-2</v>
      </c>
      <c r="M105" s="68">
        <f t="shared" si="108"/>
        <v>1.4756750000000013E-2</v>
      </c>
      <c r="N105" s="68">
        <f t="shared" si="108"/>
        <v>0</v>
      </c>
      <c r="O105" s="68">
        <f t="shared" ref="O105:P105" si="109">MIN((O102*$A101)+(O103*$A101/2),N107)</f>
        <v>0</v>
      </c>
      <c r="P105" s="68">
        <f t="shared" si="109"/>
        <v>0</v>
      </c>
    </row>
    <row r="106" spans="1:16" x14ac:dyDescent="0.3">
      <c r="B106" t="s">
        <v>315</v>
      </c>
      <c r="D106" s="68">
        <v>5.5999999999999994E-2</v>
      </c>
      <c r="E106" s="68">
        <v>0.10050000000000001</v>
      </c>
      <c r="F106" s="68">
        <v>0.12300000000000001</v>
      </c>
      <c r="G106" s="68">
        <v>0.14829999999999999</v>
      </c>
      <c r="H106" s="181">
        <v>0.15679999999999999</v>
      </c>
      <c r="I106" s="68">
        <f>G106+I105</f>
        <v>0.16964174999999998</v>
      </c>
      <c r="J106" s="68">
        <f t="shared" ref="J106:P106" si="110">I106+J105</f>
        <v>0.19414224999999999</v>
      </c>
      <c r="K106" s="68">
        <f t="shared" si="110"/>
        <v>0.21864275</v>
      </c>
      <c r="L106" s="68">
        <f t="shared" si="110"/>
        <v>0.24314325000000001</v>
      </c>
      <c r="M106" s="68">
        <f t="shared" si="110"/>
        <v>0.25790000000000002</v>
      </c>
      <c r="N106" s="68">
        <f t="shared" si="110"/>
        <v>0.25790000000000002</v>
      </c>
      <c r="O106" s="68">
        <f t="shared" si="110"/>
        <v>0.25790000000000002</v>
      </c>
      <c r="P106" s="68">
        <f t="shared" si="110"/>
        <v>0.25790000000000002</v>
      </c>
    </row>
    <row r="107" spans="1:16" x14ac:dyDescent="0.3">
      <c r="B107" s="198" t="s">
        <v>76</v>
      </c>
      <c r="C107" s="198"/>
      <c r="D107" s="199">
        <f t="shared" ref="D107:I107" si="111">D102+D103-D104-D106</f>
        <v>5.5600000000000011E-2</v>
      </c>
      <c r="E107" s="199">
        <f t="shared" si="111"/>
        <v>1.1099999999999999E-2</v>
      </c>
      <c r="F107" s="199">
        <f t="shared" si="111"/>
        <v>6.1099999999999974E-2</v>
      </c>
      <c r="G107" s="199">
        <f t="shared" si="111"/>
        <v>4.3099999999999999E-2</v>
      </c>
      <c r="H107" s="199">
        <f t="shared" si="111"/>
        <v>0.10120000000000001</v>
      </c>
      <c r="I107" s="199">
        <f t="shared" si="111"/>
        <v>8.8258250000000038E-2</v>
      </c>
      <c r="J107" s="199">
        <f t="shared" ref="J107:N107" si="112">J102+J103-J104-J106</f>
        <v>6.375775000000003E-2</v>
      </c>
      <c r="K107" s="199">
        <f t="shared" si="112"/>
        <v>3.9257250000000021E-2</v>
      </c>
      <c r="L107" s="199">
        <f t="shared" si="112"/>
        <v>1.4756750000000013E-2</v>
      </c>
      <c r="M107" s="199">
        <f t="shared" si="112"/>
        <v>0</v>
      </c>
      <c r="N107" s="199">
        <f t="shared" si="112"/>
        <v>0</v>
      </c>
      <c r="O107" s="199">
        <f t="shared" ref="O107:P107" si="113">O102+O103-O104-O106</f>
        <v>0</v>
      </c>
      <c r="P107" s="199">
        <f t="shared" si="113"/>
        <v>0</v>
      </c>
    </row>
    <row r="108" spans="1:16" x14ac:dyDescent="0.3">
      <c r="D108" s="68"/>
      <c r="E108" s="23"/>
      <c r="F108" s="23"/>
      <c r="G108" s="23"/>
      <c r="H108" s="23"/>
      <c r="I108" s="68"/>
      <c r="J108" s="68"/>
      <c r="K108" s="68"/>
      <c r="L108" s="68"/>
      <c r="M108" s="68"/>
      <c r="N108" s="68"/>
      <c r="O108" s="68"/>
      <c r="P108" s="68"/>
    </row>
    <row r="109" spans="1:16" x14ac:dyDescent="0.3">
      <c r="A109" s="171">
        <v>0.1188</v>
      </c>
      <c r="B109" s="65" t="s">
        <v>81</v>
      </c>
      <c r="C109" s="65"/>
      <c r="D109" s="172"/>
      <c r="E109" s="23"/>
      <c r="F109" s="23"/>
      <c r="G109" s="23"/>
      <c r="H109" s="23"/>
      <c r="I109" s="68"/>
      <c r="J109" s="68"/>
      <c r="K109" s="68"/>
      <c r="L109" s="68"/>
      <c r="M109" s="68"/>
      <c r="N109" s="68"/>
      <c r="O109" s="68"/>
      <c r="P109" s="68"/>
    </row>
    <row r="110" spans="1:16" x14ac:dyDescent="0.3">
      <c r="B110" t="s">
        <v>66</v>
      </c>
      <c r="D110" s="68">
        <v>1.03E-2</v>
      </c>
      <c r="E110" s="68">
        <v>1.03E-2</v>
      </c>
      <c r="F110" s="68">
        <v>5.7999999999999996E-2</v>
      </c>
      <c r="G110" s="68">
        <f>F110+F111-F112</f>
        <v>5.7999999999999996E-2</v>
      </c>
      <c r="H110" s="181">
        <v>5.7999999999999996E-2</v>
      </c>
      <c r="I110" s="68">
        <f>G110+G111-G112</f>
        <v>5.7999999999999996E-2</v>
      </c>
      <c r="J110" s="68">
        <f t="shared" ref="J110:P110" si="114">I110+I111-I112</f>
        <v>5.7999999999999996E-2</v>
      </c>
      <c r="K110" s="68">
        <f t="shared" si="114"/>
        <v>5.7999999999999996E-2</v>
      </c>
      <c r="L110" s="68">
        <f t="shared" si="114"/>
        <v>5.7999999999999996E-2</v>
      </c>
      <c r="M110" s="68">
        <f t="shared" si="114"/>
        <v>5.7999999999999996E-2</v>
      </c>
      <c r="N110" s="68">
        <f t="shared" si="114"/>
        <v>5.7999999999999996E-2</v>
      </c>
      <c r="O110" s="68">
        <f t="shared" si="114"/>
        <v>5.7999999999999996E-2</v>
      </c>
      <c r="P110" s="68">
        <f t="shared" si="114"/>
        <v>5.7999999999999996E-2</v>
      </c>
    </row>
    <row r="111" spans="1:16" x14ac:dyDescent="0.3">
      <c r="B111" t="s">
        <v>64</v>
      </c>
      <c r="D111" s="68">
        <v>0</v>
      </c>
      <c r="E111" s="68">
        <v>5.7999999999999996E-2</v>
      </c>
      <c r="F111" s="68">
        <v>0</v>
      </c>
      <c r="G111" s="68">
        <v>0</v>
      </c>
      <c r="H111" s="181">
        <v>0</v>
      </c>
      <c r="I111" s="68">
        <f>H111</f>
        <v>0</v>
      </c>
      <c r="J111" s="68"/>
      <c r="K111" s="68"/>
      <c r="L111" s="68"/>
      <c r="M111" s="68"/>
      <c r="N111" s="68"/>
      <c r="O111" s="68"/>
      <c r="P111" s="68"/>
    </row>
    <row r="112" spans="1:16" x14ac:dyDescent="0.3">
      <c r="B112" t="s">
        <v>74</v>
      </c>
      <c r="D112" s="68">
        <v>0</v>
      </c>
      <c r="E112" s="68">
        <v>1.03E-2</v>
      </c>
      <c r="F112" s="68">
        <v>0</v>
      </c>
      <c r="G112" s="68">
        <v>0</v>
      </c>
      <c r="H112" s="181">
        <v>0</v>
      </c>
      <c r="I112" s="68"/>
      <c r="J112" s="68"/>
      <c r="K112" s="68"/>
      <c r="L112" s="68"/>
      <c r="M112" s="68"/>
      <c r="N112" s="68"/>
      <c r="O112" s="68"/>
      <c r="P112" s="68"/>
    </row>
    <row r="113" spans="1:16" x14ac:dyDescent="0.3">
      <c r="B113" t="s">
        <v>75</v>
      </c>
      <c r="D113" s="68">
        <v>0</v>
      </c>
      <c r="E113" s="68">
        <v>1.5E-3</v>
      </c>
      <c r="F113" s="68">
        <v>1.7600000000000001E-2</v>
      </c>
      <c r="G113" s="68">
        <v>1.21E-2</v>
      </c>
      <c r="H113" s="181">
        <v>9.1000000000000004E-3</v>
      </c>
      <c r="I113" s="68">
        <f>MIN((I110*$A109)+(I111*$A109/2),G115)</f>
        <v>6.8903999999999997E-3</v>
      </c>
      <c r="J113" s="68">
        <f>MIN((J110*$A109)+(J111*$A109/2),I115)</f>
        <v>6.8903999999999997E-3</v>
      </c>
      <c r="K113" s="68">
        <f t="shared" ref="K113:N113" si="115">MIN((K110*$A109)+(K111*$A109/2),J115)</f>
        <v>6.8903999999999997E-3</v>
      </c>
      <c r="L113" s="68">
        <f t="shared" si="115"/>
        <v>6.0288000000000008E-3</v>
      </c>
      <c r="M113" s="68">
        <f t="shared" si="115"/>
        <v>0</v>
      </c>
      <c r="N113" s="68">
        <f t="shared" si="115"/>
        <v>0</v>
      </c>
      <c r="O113" s="68">
        <f t="shared" ref="O113:P113" si="116">MIN((O110*$A109)+(O111*$A109/2),N115)</f>
        <v>0</v>
      </c>
      <c r="P113" s="68">
        <f t="shared" si="116"/>
        <v>0</v>
      </c>
    </row>
    <row r="114" spans="1:16" x14ac:dyDescent="0.3">
      <c r="B114" s="19" t="s">
        <v>69</v>
      </c>
      <c r="C114" s="19"/>
      <c r="D114" s="173">
        <v>1.01E-2</v>
      </c>
      <c r="E114" s="173">
        <v>1.5E-3</v>
      </c>
      <c r="F114" s="173">
        <v>1.9199999999999998E-2</v>
      </c>
      <c r="G114" s="173">
        <v>3.1300000000000001E-2</v>
      </c>
      <c r="H114" s="214">
        <v>4.0399999999999998E-2</v>
      </c>
      <c r="I114" s="173">
        <f>G114+I113</f>
        <v>3.8190399999999999E-2</v>
      </c>
      <c r="J114" s="173">
        <f t="shared" ref="J114:P114" si="117">I114+J113</f>
        <v>4.5080799999999997E-2</v>
      </c>
      <c r="K114" s="173">
        <f t="shared" si="117"/>
        <v>5.1971199999999995E-2</v>
      </c>
      <c r="L114" s="173">
        <f t="shared" si="117"/>
        <v>5.7999999999999996E-2</v>
      </c>
      <c r="M114" s="173">
        <f t="shared" si="117"/>
        <v>5.7999999999999996E-2</v>
      </c>
      <c r="N114" s="173">
        <f t="shared" si="117"/>
        <v>5.7999999999999996E-2</v>
      </c>
      <c r="O114" s="173">
        <f t="shared" si="117"/>
        <v>5.7999999999999996E-2</v>
      </c>
      <c r="P114" s="173">
        <f t="shared" si="117"/>
        <v>5.7999999999999996E-2</v>
      </c>
    </row>
    <row r="115" spans="1:16" x14ac:dyDescent="0.3">
      <c r="B115" s="2" t="s">
        <v>76</v>
      </c>
      <c r="C115" s="2"/>
      <c r="D115" s="30">
        <f t="shared" ref="D115:I115" si="118">D110+D111-D112-D114</f>
        <v>2.0000000000000052E-4</v>
      </c>
      <c r="E115" s="30">
        <f t="shared" si="118"/>
        <v>5.6499999999999995E-2</v>
      </c>
      <c r="F115" s="30">
        <f t="shared" si="118"/>
        <v>3.8800000000000001E-2</v>
      </c>
      <c r="G115" s="30">
        <f t="shared" si="118"/>
        <v>2.6699999999999995E-2</v>
      </c>
      <c r="H115" s="30">
        <f t="shared" si="118"/>
        <v>1.7599999999999998E-2</v>
      </c>
      <c r="I115" s="30">
        <f t="shared" si="118"/>
        <v>1.9809599999999997E-2</v>
      </c>
      <c r="J115" s="30">
        <f t="shared" ref="J115:N115" si="119">J110+J111-J112-J114</f>
        <v>1.2919199999999999E-2</v>
      </c>
      <c r="K115" s="30">
        <f t="shared" si="119"/>
        <v>6.0288000000000008E-3</v>
      </c>
      <c r="L115" s="30">
        <f t="shared" si="119"/>
        <v>0</v>
      </c>
      <c r="M115" s="30">
        <f t="shared" si="119"/>
        <v>0</v>
      </c>
      <c r="N115" s="30">
        <f t="shared" si="119"/>
        <v>0</v>
      </c>
      <c r="O115" s="30">
        <f t="shared" ref="O115:P115" si="120">O110+O111-O112-O114</f>
        <v>0</v>
      </c>
      <c r="P115" s="30">
        <f t="shared" si="120"/>
        <v>0</v>
      </c>
    </row>
    <row r="116" spans="1:16" x14ac:dyDescent="0.3">
      <c r="D116" s="68"/>
      <c r="E116" s="23"/>
      <c r="F116" s="23"/>
      <c r="G116" s="23"/>
      <c r="H116" s="23"/>
      <c r="I116" s="68"/>
      <c r="J116" s="68"/>
      <c r="K116" s="68"/>
      <c r="L116" s="68"/>
      <c r="M116" s="68"/>
      <c r="N116" s="68"/>
      <c r="O116" s="68"/>
      <c r="P116" s="68"/>
    </row>
    <row r="117" spans="1:16" x14ac:dyDescent="0.3">
      <c r="A117" s="171">
        <v>0.19</v>
      </c>
      <c r="B117" s="65" t="s">
        <v>82</v>
      </c>
      <c r="C117" s="65"/>
      <c r="D117" s="172"/>
      <c r="E117" s="23"/>
      <c r="F117" s="23"/>
      <c r="G117" s="23"/>
      <c r="H117" s="23"/>
      <c r="I117" s="68"/>
      <c r="J117" s="68"/>
      <c r="K117" s="68"/>
      <c r="L117" s="68"/>
      <c r="M117" s="68"/>
      <c r="N117" s="68"/>
      <c r="O117" s="68"/>
      <c r="P117" s="68"/>
    </row>
    <row r="118" spans="1:16" x14ac:dyDescent="0.3">
      <c r="B118" t="s">
        <v>66</v>
      </c>
      <c r="D118" s="68">
        <v>6.8099999999999994E-2</v>
      </c>
      <c r="E118" s="68">
        <v>9.3299999999999994E-2</v>
      </c>
      <c r="F118" s="68">
        <v>9.3299999999999994E-2</v>
      </c>
      <c r="G118" s="68">
        <f>F118+F119-F120</f>
        <v>9.3299999999999994E-2</v>
      </c>
      <c r="H118" s="181">
        <v>0.13320000000000001</v>
      </c>
      <c r="I118" s="68">
        <f>G118+G119-G120</f>
        <v>0.13319999999999999</v>
      </c>
      <c r="J118" s="68">
        <f t="shared" ref="J118:P118" si="121">I118+I119-I120</f>
        <v>0.1744</v>
      </c>
      <c r="K118" s="68">
        <f t="shared" si="121"/>
        <v>0.1744</v>
      </c>
      <c r="L118" s="68">
        <f t="shared" si="121"/>
        <v>0.1744</v>
      </c>
      <c r="M118" s="68">
        <f t="shared" si="121"/>
        <v>0.1744</v>
      </c>
      <c r="N118" s="68">
        <f t="shared" si="121"/>
        <v>0.1744</v>
      </c>
      <c r="O118" s="68">
        <f t="shared" si="121"/>
        <v>0.1744</v>
      </c>
      <c r="P118" s="68">
        <f t="shared" si="121"/>
        <v>0.1744</v>
      </c>
    </row>
    <row r="119" spans="1:16" x14ac:dyDescent="0.3">
      <c r="B119" t="s">
        <v>64</v>
      </c>
      <c r="D119" s="68">
        <v>2.52E-2</v>
      </c>
      <c r="E119" s="68"/>
      <c r="F119" s="68"/>
      <c r="G119" s="68">
        <v>3.9900000000000005E-2</v>
      </c>
      <c r="H119" s="181">
        <v>4.1200000000000001E-2</v>
      </c>
      <c r="I119" s="68">
        <f>H119</f>
        <v>4.1200000000000001E-2</v>
      </c>
      <c r="J119" s="68"/>
      <c r="K119" s="68"/>
      <c r="L119" s="68"/>
      <c r="M119" s="68"/>
      <c r="N119" s="68"/>
      <c r="O119" s="68"/>
      <c r="P119" s="68"/>
    </row>
    <row r="120" spans="1:16" x14ac:dyDescent="0.3">
      <c r="B120" t="s">
        <v>74</v>
      </c>
      <c r="D120" s="68">
        <v>0</v>
      </c>
      <c r="E120" s="68"/>
      <c r="F120" s="68"/>
      <c r="G120" s="68"/>
      <c r="H120" s="181"/>
      <c r="I120" s="68"/>
      <c r="J120" s="68"/>
      <c r="K120" s="68"/>
      <c r="L120" s="68"/>
      <c r="M120" s="68"/>
      <c r="N120" s="68"/>
      <c r="O120" s="68"/>
      <c r="P120" s="68"/>
    </row>
    <row r="121" spans="1:16" x14ac:dyDescent="0.3">
      <c r="B121" t="s">
        <v>75</v>
      </c>
      <c r="D121" s="68">
        <v>3.3399999999999999E-2</v>
      </c>
      <c r="E121" s="68">
        <v>1.7299999999999999E-2</v>
      </c>
      <c r="F121" s="68">
        <v>1.7000000000000001E-3</v>
      </c>
      <c r="G121" s="68">
        <v>1.8100000000000002E-2</v>
      </c>
      <c r="H121" s="181">
        <v>1.54E-2</v>
      </c>
      <c r="I121" s="68">
        <f>MIN((I118*$A117)+(I119*$A117/2),G123)</f>
        <v>2.2399999999999989E-2</v>
      </c>
      <c r="J121" s="68">
        <f>MIN((J118*$A117)+(J119*$A117/2),I123)</f>
        <v>3.3135999999999999E-2</v>
      </c>
      <c r="K121" s="68">
        <f t="shared" ref="K121:N121" si="122">MIN((K118*$A117)+(K119*$A117/2),J123)</f>
        <v>8.0640000000000156E-3</v>
      </c>
      <c r="L121" s="68">
        <f t="shared" si="122"/>
        <v>0</v>
      </c>
      <c r="M121" s="68">
        <f t="shared" si="122"/>
        <v>0</v>
      </c>
      <c r="N121" s="68">
        <f t="shared" si="122"/>
        <v>0</v>
      </c>
      <c r="O121" s="68">
        <f t="shared" ref="O121:P121" si="123">MIN((O118*$A117)+(O119*$A117/2),N123)</f>
        <v>0</v>
      </c>
      <c r="P121" s="68">
        <f t="shared" si="123"/>
        <v>0</v>
      </c>
    </row>
    <row r="122" spans="1:16" x14ac:dyDescent="0.3">
      <c r="B122" t="s">
        <v>69</v>
      </c>
      <c r="D122" s="68">
        <v>7.3800000000000004E-2</v>
      </c>
      <c r="E122" s="68">
        <v>9.0999999999999998E-2</v>
      </c>
      <c r="F122" s="68">
        <v>9.2699999999999991E-2</v>
      </c>
      <c r="G122" s="68">
        <v>0.1108</v>
      </c>
      <c r="H122" s="181">
        <v>0.12619999999999998</v>
      </c>
      <c r="I122" s="68">
        <f>G122+I121</f>
        <v>0.13319999999999999</v>
      </c>
      <c r="J122" s="68">
        <f t="shared" ref="J122:P122" si="124">I122+J121</f>
        <v>0.16633599999999998</v>
      </c>
      <c r="K122" s="68">
        <f t="shared" si="124"/>
        <v>0.1744</v>
      </c>
      <c r="L122" s="68">
        <f t="shared" si="124"/>
        <v>0.1744</v>
      </c>
      <c r="M122" s="68">
        <f t="shared" si="124"/>
        <v>0.1744</v>
      </c>
      <c r="N122" s="68">
        <f t="shared" si="124"/>
        <v>0.1744</v>
      </c>
      <c r="O122" s="68">
        <f t="shared" si="124"/>
        <v>0.1744</v>
      </c>
      <c r="P122" s="68">
        <f t="shared" si="124"/>
        <v>0.1744</v>
      </c>
    </row>
    <row r="123" spans="1:16" x14ac:dyDescent="0.3">
      <c r="B123" s="198" t="s">
        <v>76</v>
      </c>
      <c r="C123" s="198"/>
      <c r="D123" s="199">
        <f t="shared" ref="D123:I123" si="125">D118+D119-D120-D122</f>
        <v>1.949999999999999E-2</v>
      </c>
      <c r="E123" s="199">
        <f t="shared" si="125"/>
        <v>2.2999999999999965E-3</v>
      </c>
      <c r="F123" s="199">
        <f t="shared" si="125"/>
        <v>6.0000000000000331E-4</v>
      </c>
      <c r="G123" s="199">
        <f t="shared" si="125"/>
        <v>2.2399999999999989E-2</v>
      </c>
      <c r="H123" s="199">
        <f t="shared" si="125"/>
        <v>4.8200000000000021E-2</v>
      </c>
      <c r="I123" s="199">
        <f t="shared" si="125"/>
        <v>4.1200000000000014E-2</v>
      </c>
      <c r="J123" s="199">
        <f t="shared" ref="J123:N123" si="126">J118+J119-J120-J122</f>
        <v>8.0640000000000156E-3</v>
      </c>
      <c r="K123" s="199">
        <f t="shared" si="126"/>
        <v>0</v>
      </c>
      <c r="L123" s="199">
        <f t="shared" si="126"/>
        <v>0</v>
      </c>
      <c r="M123" s="199">
        <f t="shared" si="126"/>
        <v>0</v>
      </c>
      <c r="N123" s="199">
        <f t="shared" si="126"/>
        <v>0</v>
      </c>
      <c r="O123" s="199">
        <f t="shared" ref="O123:P123" si="127">O118+O119-O120-O122</f>
        <v>0</v>
      </c>
      <c r="P123" s="199">
        <f t="shared" si="127"/>
        <v>0</v>
      </c>
    </row>
    <row r="124" spans="1:16" x14ac:dyDescent="0.3">
      <c r="D124" s="68"/>
      <c r="E124" s="68"/>
      <c r="F124" s="68"/>
      <c r="G124" s="68"/>
      <c r="H124" s="181"/>
      <c r="I124" s="68"/>
      <c r="J124" s="68"/>
      <c r="K124" s="68"/>
      <c r="L124" s="68"/>
      <c r="M124" s="68"/>
      <c r="N124" s="68"/>
      <c r="O124" s="68"/>
      <c r="P124" s="68"/>
    </row>
    <row r="125" spans="1:16" x14ac:dyDescent="0.3">
      <c r="A125" s="171">
        <v>0.31669999999999998</v>
      </c>
      <c r="B125" s="65" t="s">
        <v>83</v>
      </c>
      <c r="C125" s="65"/>
      <c r="D125" s="172"/>
      <c r="E125" s="23"/>
      <c r="F125" s="23"/>
      <c r="G125" s="23"/>
      <c r="H125" s="23"/>
      <c r="I125" s="68"/>
      <c r="J125" s="68"/>
      <c r="K125" s="68"/>
      <c r="L125" s="68"/>
      <c r="M125" s="68"/>
      <c r="N125" s="68"/>
      <c r="O125" s="68"/>
      <c r="P125" s="68"/>
    </row>
    <row r="126" spans="1:16" x14ac:dyDescent="0.3">
      <c r="B126" t="s">
        <v>66</v>
      </c>
      <c r="D126" s="68">
        <v>1.2999999999999999E-3</v>
      </c>
      <c r="E126" s="68">
        <v>1.7600000000000001E-2</v>
      </c>
      <c r="F126" s="68">
        <v>2.8900000000000002E-2</v>
      </c>
      <c r="G126" s="23">
        <f>F126+F127-F128</f>
        <v>4.6700000000000005E-2</v>
      </c>
      <c r="H126" s="181">
        <v>0.1201</v>
      </c>
      <c r="I126" s="68">
        <f>G126+G127-G128</f>
        <v>0.1201</v>
      </c>
      <c r="J126" s="68">
        <f t="shared" ref="J126:P126" si="128">I126+I127-I128</f>
        <v>0.20650000000000002</v>
      </c>
      <c r="K126" s="68">
        <f t="shared" si="128"/>
        <v>0.20650000000000002</v>
      </c>
      <c r="L126" s="68">
        <f t="shared" si="128"/>
        <v>0.20650000000000002</v>
      </c>
      <c r="M126" s="68">
        <f t="shared" si="128"/>
        <v>0.20650000000000002</v>
      </c>
      <c r="N126" s="68">
        <f t="shared" si="128"/>
        <v>0.20650000000000002</v>
      </c>
      <c r="O126" s="68">
        <f t="shared" si="128"/>
        <v>0.20650000000000002</v>
      </c>
      <c r="P126" s="68">
        <f t="shared" si="128"/>
        <v>0.20650000000000002</v>
      </c>
    </row>
    <row r="127" spans="1:16" x14ac:dyDescent="0.3">
      <c r="B127" t="s">
        <v>64</v>
      </c>
      <c r="D127" s="68">
        <v>1.6299999999999999E-2</v>
      </c>
      <c r="E127" s="68">
        <v>1.1299999999999999E-2</v>
      </c>
      <c r="F127" s="68">
        <v>1.78E-2</v>
      </c>
      <c r="G127" s="68">
        <v>7.3399999999999993E-2</v>
      </c>
      <c r="H127" s="181">
        <v>8.6400000000000005E-2</v>
      </c>
      <c r="I127" s="68">
        <f>H127</f>
        <v>8.6400000000000005E-2</v>
      </c>
      <c r="J127" s="68"/>
      <c r="K127" s="68"/>
      <c r="L127" s="68"/>
      <c r="M127" s="68"/>
      <c r="N127" s="68"/>
      <c r="O127" s="68"/>
      <c r="P127" s="68"/>
    </row>
    <row r="128" spans="1:16" x14ac:dyDescent="0.3">
      <c r="B128" t="s">
        <v>74</v>
      </c>
      <c r="D128" s="68">
        <v>0</v>
      </c>
      <c r="E128" s="23"/>
      <c r="F128" s="68">
        <v>0</v>
      </c>
      <c r="G128" s="23"/>
      <c r="H128" s="181"/>
      <c r="I128" s="68"/>
      <c r="J128" s="68"/>
      <c r="K128" s="68"/>
      <c r="L128" s="68"/>
      <c r="M128" s="68"/>
      <c r="N128" s="68"/>
      <c r="O128" s="68"/>
      <c r="P128" s="68"/>
    </row>
    <row r="129" spans="2:16" x14ac:dyDescent="0.3">
      <c r="B129" t="s">
        <v>75</v>
      </c>
      <c r="D129" s="68">
        <v>4.5999999999999999E-3</v>
      </c>
      <c r="E129" s="68">
        <v>1.3100000000000001E-2</v>
      </c>
      <c r="F129" s="68">
        <v>7.3000000000000001E-3</v>
      </c>
      <c r="G129" s="68">
        <v>5.1100000000000007E-2</v>
      </c>
      <c r="H129" s="181">
        <v>4.9500000000000002E-2</v>
      </c>
      <c r="I129" s="68">
        <f>MIN((I126*$A125)+(I127*$A125/2),G131)</f>
        <v>4.2700000000000002E-2</v>
      </c>
      <c r="J129" s="68">
        <f>MIN((J126*$A125)+(J127*$A125/2),I131)</f>
        <v>6.539855E-2</v>
      </c>
      <c r="K129" s="68">
        <f t="shared" ref="K129:N129" si="129">MIN((K126*$A125)+(K127*$A125/2),J131)</f>
        <v>2.1001450000000033E-2</v>
      </c>
      <c r="L129" s="68">
        <f t="shared" si="129"/>
        <v>0</v>
      </c>
      <c r="M129" s="68">
        <f t="shared" si="129"/>
        <v>0</v>
      </c>
      <c r="N129" s="68">
        <f t="shared" si="129"/>
        <v>0</v>
      </c>
      <c r="O129" s="68">
        <f t="shared" ref="O129:P129" si="130">MIN((O126*$A125)+(O127*$A125/2),N131)</f>
        <v>0</v>
      </c>
      <c r="P129" s="68">
        <f t="shared" si="130"/>
        <v>0</v>
      </c>
    </row>
    <row r="130" spans="2:16" x14ac:dyDescent="0.3">
      <c r="B130" t="s">
        <v>69</v>
      </c>
      <c r="D130" s="68">
        <v>5.8999999999999999E-3</v>
      </c>
      <c r="E130" s="68">
        <v>1.9E-2</v>
      </c>
      <c r="F130" s="68">
        <v>2.6200000000000001E-2</v>
      </c>
      <c r="G130" s="68">
        <v>7.7399999999999997E-2</v>
      </c>
      <c r="H130" s="181">
        <v>0.12689999999999999</v>
      </c>
      <c r="I130" s="68">
        <f>G130+I129</f>
        <v>0.1201</v>
      </c>
      <c r="J130" s="68">
        <f t="shared" ref="J130:P130" si="131">I130+J129</f>
        <v>0.18549854999999998</v>
      </c>
      <c r="K130" s="68">
        <f t="shared" si="131"/>
        <v>0.20650000000000002</v>
      </c>
      <c r="L130" s="68">
        <f t="shared" si="131"/>
        <v>0.20650000000000002</v>
      </c>
      <c r="M130" s="68">
        <f t="shared" si="131"/>
        <v>0.20650000000000002</v>
      </c>
      <c r="N130" s="68">
        <f t="shared" si="131"/>
        <v>0.20650000000000002</v>
      </c>
      <c r="O130" s="68">
        <f t="shared" si="131"/>
        <v>0.20650000000000002</v>
      </c>
      <c r="P130" s="68">
        <f t="shared" si="131"/>
        <v>0.20650000000000002</v>
      </c>
    </row>
    <row r="131" spans="2:16" x14ac:dyDescent="0.3">
      <c r="B131" s="198" t="s">
        <v>76</v>
      </c>
      <c r="C131" s="198"/>
      <c r="D131" s="199">
        <f t="shared" ref="D131:I131" si="132">D126+D127-D128-D130</f>
        <v>1.1699999999999999E-2</v>
      </c>
      <c r="E131" s="199">
        <f t="shared" si="132"/>
        <v>9.9000000000000025E-3</v>
      </c>
      <c r="F131" s="199">
        <f t="shared" si="132"/>
        <v>2.0500000000000004E-2</v>
      </c>
      <c r="G131" s="199">
        <f t="shared" si="132"/>
        <v>4.2700000000000002E-2</v>
      </c>
      <c r="H131" s="199">
        <f t="shared" si="132"/>
        <v>7.9600000000000032E-2</v>
      </c>
      <c r="I131" s="199">
        <f t="shared" si="132"/>
        <v>8.6400000000000018E-2</v>
      </c>
      <c r="J131" s="199">
        <f t="shared" ref="J131:N131" si="133">J126+J127-J128-J130</f>
        <v>2.1001450000000033E-2</v>
      </c>
      <c r="K131" s="199">
        <f t="shared" si="133"/>
        <v>0</v>
      </c>
      <c r="L131" s="199">
        <f t="shared" si="133"/>
        <v>0</v>
      </c>
      <c r="M131" s="199">
        <f t="shared" si="133"/>
        <v>0</v>
      </c>
      <c r="N131" s="199">
        <f t="shared" si="133"/>
        <v>0</v>
      </c>
      <c r="O131" s="199">
        <f t="shared" ref="O131:P131" si="134">O126+O127-O128-O130</f>
        <v>0</v>
      </c>
      <c r="P131" s="199">
        <f t="shared" si="134"/>
        <v>0</v>
      </c>
    </row>
    <row r="132" spans="2:16" x14ac:dyDescent="0.3">
      <c r="D132" s="68"/>
      <c r="E132" s="23"/>
      <c r="F132" s="23"/>
      <c r="G132" s="23"/>
      <c r="H132" s="23"/>
      <c r="I132" s="68"/>
      <c r="J132" s="68"/>
      <c r="K132" s="68"/>
      <c r="L132" s="68"/>
      <c r="M132" s="68"/>
      <c r="N132" s="68"/>
      <c r="O132" s="68"/>
      <c r="P132" s="68"/>
    </row>
    <row r="133" spans="2:16" ht="15" thickBot="1" x14ac:dyDescent="0.35">
      <c r="B133" s="25" t="s">
        <v>316</v>
      </c>
      <c r="C133" s="25"/>
      <c r="D133" s="29">
        <f t="shared" ref="D133:H133" si="135">D72+D80+D88+D99+D107+D115+D123+D131</f>
        <v>17.077500000000001</v>
      </c>
      <c r="E133" s="29">
        <f t="shared" si="135"/>
        <v>16.985599999999998</v>
      </c>
      <c r="F133" s="29">
        <f t="shared" si="135"/>
        <v>18.223599999999994</v>
      </c>
      <c r="G133" s="29">
        <f t="shared" si="135"/>
        <v>32.206699999999998</v>
      </c>
      <c r="H133" s="29">
        <f t="shared" si="135"/>
        <v>34.151800000000001</v>
      </c>
      <c r="I133" s="29">
        <f>I72+I80+I88+I99+I107+I115+I123+I131</f>
        <v>33.376944935000004</v>
      </c>
      <c r="J133" s="29">
        <f t="shared" ref="J133:N133" si="136">J72+J80+J88+J99+J107+J115+J123+J131</f>
        <v>30.633945344999997</v>
      </c>
      <c r="K133" s="29">
        <f t="shared" si="136"/>
        <v>174.35046554249996</v>
      </c>
      <c r="L133" s="29">
        <f t="shared" si="136"/>
        <v>160.54541347749995</v>
      </c>
      <c r="M133" s="29">
        <f t="shared" si="136"/>
        <v>146.75613396249997</v>
      </c>
      <c r="N133" s="29">
        <f t="shared" si="136"/>
        <v>132.98161119749997</v>
      </c>
      <c r="O133" s="29">
        <f t="shared" ref="O133:P133" si="137">O72+O80+O88+O99+O107+O115+O123+O131</f>
        <v>119.20708843249997</v>
      </c>
      <c r="P133" s="29">
        <f t="shared" si="137"/>
        <v>105.43256566749997</v>
      </c>
    </row>
    <row r="134" spans="2:16" ht="15" thickTop="1" x14ac:dyDescent="0.3">
      <c r="B134" s="2"/>
      <c r="C134" s="2"/>
      <c r="D134" s="30"/>
      <c r="E134" s="30"/>
      <c r="F134" s="30"/>
      <c r="G134" s="30"/>
      <c r="H134" s="30"/>
      <c r="I134" s="30"/>
      <c r="J134" s="30"/>
      <c r="K134" s="30"/>
      <c r="L134" s="30"/>
      <c r="M134" s="30"/>
      <c r="N134" s="30"/>
      <c r="O134" s="30"/>
      <c r="P134" s="30"/>
    </row>
    <row r="135" spans="2:16" x14ac:dyDescent="0.3">
      <c r="B135" t="s">
        <v>75</v>
      </c>
      <c r="D135" s="23">
        <f t="shared" ref="D135:I136" si="138">D70+D78+D86+D97+D105+D113+D121+D129</f>
        <v>1.3834000000000002</v>
      </c>
      <c r="E135" s="23">
        <f t="shared" si="138"/>
        <v>1.4358</v>
      </c>
      <c r="F135" s="23">
        <f t="shared" si="138"/>
        <v>1.4808000000000001</v>
      </c>
      <c r="G135" s="23">
        <f t="shared" si="138"/>
        <v>1.8235000000000001</v>
      </c>
      <c r="H135" s="23">
        <f t="shared" si="138"/>
        <v>1.7691000000000001</v>
      </c>
      <c r="I135" s="23">
        <f t="shared" si="138"/>
        <v>2.5440550649999998</v>
      </c>
      <c r="J135" s="23">
        <f t="shared" ref="J135:N135" si="139">J70+J78+J86+J97+J105+J113+J121+J129</f>
        <v>2.7429995899999993</v>
      </c>
      <c r="K135" s="23">
        <f t="shared" si="139"/>
        <v>8.2542548024999984</v>
      </c>
      <c r="L135" s="23">
        <f t="shared" si="139"/>
        <v>13.805052064999996</v>
      </c>
      <c r="M135" s="23">
        <f t="shared" si="139"/>
        <v>13.789279514999997</v>
      </c>
      <c r="N135" s="23">
        <f t="shared" si="139"/>
        <v>13.774522764999997</v>
      </c>
      <c r="O135" s="23">
        <f t="shared" ref="O135:P135" si="140">O70+O78+O86+O97+O105+O113+O121+O129</f>
        <v>13.774522764999997</v>
      </c>
      <c r="P135" s="23">
        <f t="shared" si="140"/>
        <v>13.774522764999997</v>
      </c>
    </row>
    <row r="136" spans="2:16" x14ac:dyDescent="0.3">
      <c r="B136" t="s">
        <v>69</v>
      </c>
      <c r="D136" s="23">
        <f t="shared" si="138"/>
        <v>4.8515000000000006</v>
      </c>
      <c r="E136" s="23">
        <f t="shared" si="138"/>
        <v>6.2769000000000013</v>
      </c>
      <c r="F136" s="23">
        <f t="shared" si="138"/>
        <v>7.7576000000000009</v>
      </c>
      <c r="G136" s="23">
        <f t="shared" si="138"/>
        <v>9.5811000000000011</v>
      </c>
      <c r="H136" s="23">
        <f t="shared" si="138"/>
        <v>11.3504</v>
      </c>
      <c r="I136" s="23">
        <f t="shared" si="138"/>
        <v>12.125155065000001</v>
      </c>
      <c r="J136" s="23">
        <f t="shared" ref="J136:O136" si="141">J71+J79+J87+J98+J106+J114+J122+J130</f>
        <v>14.868154655</v>
      </c>
      <c r="K136" s="23">
        <f t="shared" si="141"/>
        <v>23.122409457499998</v>
      </c>
      <c r="L136" s="23">
        <f t="shared" si="141"/>
        <v>36.927461522499996</v>
      </c>
      <c r="M136" s="23">
        <f t="shared" si="141"/>
        <v>50.716741037499986</v>
      </c>
      <c r="N136" s="23">
        <f t="shared" si="141"/>
        <v>64.491263802500015</v>
      </c>
      <c r="O136" s="23">
        <f t="shared" si="141"/>
        <v>78.265786567500015</v>
      </c>
      <c r="P136" s="23">
        <f t="shared" ref="P136" si="142">P71+P79+P87+P98+P106+P114+P122+P130</f>
        <v>92.040309332500016</v>
      </c>
    </row>
    <row r="137" spans="2:16" x14ac:dyDescent="0.3">
      <c r="D137" s="23"/>
      <c r="E137" s="23"/>
      <c r="F137" s="23"/>
      <c r="G137" s="23"/>
      <c r="H137" s="181"/>
      <c r="I137" s="23"/>
      <c r="J137" s="23"/>
      <c r="K137" s="23"/>
      <c r="L137" s="23"/>
      <c r="M137" s="23"/>
      <c r="N137" s="23"/>
      <c r="O137" s="23"/>
      <c r="P137" s="23"/>
    </row>
    <row r="138" spans="2:16" x14ac:dyDescent="0.3">
      <c r="B138" s="2" t="s">
        <v>320</v>
      </c>
      <c r="C138" s="2"/>
      <c r="D138" s="174"/>
      <c r="E138" s="68"/>
      <c r="F138" s="68"/>
      <c r="G138" s="68"/>
      <c r="H138" s="181"/>
      <c r="I138" s="68"/>
      <c r="J138" s="68"/>
      <c r="K138" s="68"/>
      <c r="L138" s="68"/>
      <c r="M138" s="68"/>
      <c r="N138" s="68"/>
      <c r="O138" s="68"/>
      <c r="P138" s="68"/>
    </row>
    <row r="139" spans="2:16" x14ac:dyDescent="0.3">
      <c r="B139" t="s">
        <v>321</v>
      </c>
      <c r="D139" s="68"/>
      <c r="E139" s="68">
        <v>1.7211000000000001</v>
      </c>
      <c r="F139" s="68">
        <v>9.9078999999999997</v>
      </c>
      <c r="G139" s="68">
        <v>12.060599999999999</v>
      </c>
      <c r="H139" s="181">
        <f>G139</f>
        <v>12.060599999999999</v>
      </c>
      <c r="I139" s="68"/>
      <c r="J139" s="68"/>
      <c r="K139" s="68"/>
      <c r="L139" s="68"/>
      <c r="M139" s="68"/>
      <c r="N139" s="68"/>
      <c r="O139" s="68"/>
      <c r="P139" s="68"/>
    </row>
    <row r="140" spans="2:16" x14ac:dyDescent="0.3">
      <c r="B140" t="s">
        <v>322</v>
      </c>
      <c r="D140" s="68"/>
      <c r="E140" s="68">
        <v>0.3528</v>
      </c>
      <c r="F140" s="68">
        <v>2.7900999999999998</v>
      </c>
      <c r="G140" s="68">
        <v>4.4969000000000001</v>
      </c>
      <c r="H140" s="181">
        <f>G140</f>
        <v>4.4969000000000001</v>
      </c>
      <c r="I140" s="68"/>
      <c r="J140" s="68"/>
      <c r="K140" s="68"/>
      <c r="L140" s="68"/>
      <c r="M140" s="68"/>
      <c r="N140" s="68"/>
      <c r="O140" s="68"/>
      <c r="P140" s="68"/>
    </row>
    <row r="141" spans="2:16" x14ac:dyDescent="0.3">
      <c r="B141" t="s">
        <v>323</v>
      </c>
      <c r="D141" s="68"/>
      <c r="E141" s="30"/>
      <c r="F141" s="66"/>
      <c r="G141" s="68">
        <v>4.0361000000000002</v>
      </c>
      <c r="H141" s="181">
        <f>G141</f>
        <v>4.0361000000000002</v>
      </c>
      <c r="I141" s="68"/>
      <c r="J141" s="68"/>
      <c r="K141" s="68"/>
      <c r="L141" s="68"/>
      <c r="M141" s="68"/>
      <c r="N141" s="68"/>
      <c r="O141" s="68"/>
      <c r="P141" s="68"/>
    </row>
    <row r="142" spans="2:16" x14ac:dyDescent="0.3">
      <c r="B142" t="s">
        <v>123</v>
      </c>
      <c r="D142" s="68"/>
      <c r="E142" s="30"/>
      <c r="F142" s="66"/>
      <c r="G142" s="68"/>
      <c r="H142" s="181"/>
      <c r="I142" s="68">
        <f>H146</f>
        <v>71.918599999999998</v>
      </c>
      <c r="J142" s="68">
        <f>I146</f>
        <v>81.918599999999998</v>
      </c>
      <c r="K142" s="68">
        <f t="shared" ref="K142:P142" si="143">J146</f>
        <v>181.9186</v>
      </c>
      <c r="L142" s="68">
        <f t="shared" si="143"/>
        <v>71.918599999999998</v>
      </c>
      <c r="M142" s="68">
        <f t="shared" si="143"/>
        <v>71.918599999999998</v>
      </c>
      <c r="N142" s="68">
        <f t="shared" si="143"/>
        <v>71.918599999999998</v>
      </c>
      <c r="O142" s="68">
        <f t="shared" si="143"/>
        <v>71.918599999999998</v>
      </c>
      <c r="P142" s="68">
        <f t="shared" si="143"/>
        <v>71.918599999999998</v>
      </c>
    </row>
    <row r="143" spans="2:16" x14ac:dyDescent="0.3">
      <c r="B143" t="s">
        <v>64</v>
      </c>
      <c r="D143" s="68"/>
      <c r="E143" s="30"/>
      <c r="F143" s="66"/>
      <c r="G143" s="68"/>
      <c r="H143" s="181">
        <v>54.715000000000003</v>
      </c>
      <c r="I143" s="68">
        <f>Assumptions!G166</f>
        <v>10</v>
      </c>
      <c r="J143" s="68">
        <f>Assumptions!H166</f>
        <v>100</v>
      </c>
      <c r="K143" s="68">
        <f>Assumptions!I166</f>
        <v>41.970774999999975</v>
      </c>
      <c r="L143" s="68">
        <f>Assumptions!J166</f>
        <v>0</v>
      </c>
      <c r="M143" s="68">
        <f>Assumptions!K166</f>
        <v>0</v>
      </c>
      <c r="N143" s="68">
        <f>Assumptions!L166</f>
        <v>0</v>
      </c>
      <c r="O143" s="68">
        <f>Assumptions!M166</f>
        <v>0</v>
      </c>
      <c r="P143" s="68">
        <f>Assumptions!N166</f>
        <v>0</v>
      </c>
    </row>
    <row r="144" spans="2:16" x14ac:dyDescent="0.3">
      <c r="B144" t="s">
        <v>319</v>
      </c>
      <c r="D144" s="68"/>
      <c r="E144" s="30"/>
      <c r="F144" s="66"/>
      <c r="G144" s="68"/>
      <c r="H144" s="181">
        <v>-3.39</v>
      </c>
      <c r="I144" s="68"/>
      <c r="J144" s="68"/>
      <c r="K144" s="68"/>
      <c r="L144" s="68"/>
      <c r="M144" s="68"/>
      <c r="N144" s="68"/>
      <c r="O144" s="68"/>
      <c r="P144" s="68"/>
    </row>
    <row r="145" spans="2:16" x14ac:dyDescent="0.3">
      <c r="B145" t="s">
        <v>511</v>
      </c>
      <c r="D145" s="68"/>
      <c r="E145" s="30"/>
      <c r="F145" s="66"/>
      <c r="G145" s="68"/>
      <c r="H145" s="181"/>
      <c r="I145" s="68"/>
      <c r="J145" s="68">
        <f>-Assumptions!H169-Assumptions!H170</f>
        <v>0</v>
      </c>
      <c r="K145" s="68">
        <f>-Assumptions!I169-Assumptions!I170</f>
        <v>-151.97077499999997</v>
      </c>
      <c r="L145" s="68">
        <f>-Assumptions!J169-Assumptions!J170</f>
        <v>0</v>
      </c>
      <c r="M145" s="68">
        <f>-Assumptions!K169-Assumptions!K170</f>
        <v>0</v>
      </c>
      <c r="N145" s="68">
        <f>-Assumptions!L169-Assumptions!L170</f>
        <v>0</v>
      </c>
      <c r="O145" s="68">
        <f>-Assumptions!M169-Assumptions!M170</f>
        <v>0</v>
      </c>
      <c r="P145" s="68">
        <f>-Assumptions!N169-Assumptions!N170</f>
        <v>0</v>
      </c>
    </row>
    <row r="146" spans="2:16" s="2" customFormat="1" ht="15" thickBot="1" x14ac:dyDescent="0.35">
      <c r="B146" s="25" t="s">
        <v>123</v>
      </c>
      <c r="C146" s="25"/>
      <c r="D146" s="175"/>
      <c r="E146" s="175">
        <f>SUM(E139:E145)</f>
        <v>2.0739000000000001</v>
      </c>
      <c r="F146" s="175">
        <f t="shared" ref="F146:G146" si="144">SUM(F139:F145)</f>
        <v>12.698</v>
      </c>
      <c r="G146" s="175">
        <f t="shared" si="144"/>
        <v>20.593599999999999</v>
      </c>
      <c r="H146" s="29">
        <f>SUM(H139:H144)</f>
        <v>71.918599999999998</v>
      </c>
      <c r="I146" s="175">
        <f>SUM(I142:I145)</f>
        <v>81.918599999999998</v>
      </c>
      <c r="J146" s="175">
        <f>SUM(J142:J145)</f>
        <v>181.9186</v>
      </c>
      <c r="K146" s="175">
        <f>SUM(K142:K145)</f>
        <v>71.918599999999998</v>
      </c>
      <c r="L146" s="175">
        <f t="shared" ref="L146:O146" si="145">SUM(L142:L145)</f>
        <v>71.918599999999998</v>
      </c>
      <c r="M146" s="175">
        <f t="shared" si="145"/>
        <v>71.918599999999998</v>
      </c>
      <c r="N146" s="175">
        <f t="shared" si="145"/>
        <v>71.918599999999998</v>
      </c>
      <c r="O146" s="175">
        <f t="shared" si="145"/>
        <v>71.918599999999998</v>
      </c>
      <c r="P146" s="175">
        <f t="shared" ref="P146" si="146">SUM(P142:P145)</f>
        <v>71.918599999999998</v>
      </c>
    </row>
    <row r="147" spans="2:16" ht="15" thickTop="1" x14ac:dyDescent="0.3">
      <c r="D147" s="68"/>
      <c r="E147" s="68"/>
      <c r="F147" s="68"/>
      <c r="G147" s="68"/>
      <c r="H147" s="181"/>
      <c r="I147" s="68"/>
      <c r="J147" s="68"/>
      <c r="K147" s="68"/>
      <c r="L147" s="68"/>
      <c r="M147" s="68"/>
      <c r="N147" s="68"/>
      <c r="O147" s="68"/>
      <c r="P147" s="68"/>
    </row>
    <row r="148" spans="2:16" x14ac:dyDescent="0.3">
      <c r="B148" t="s">
        <v>68</v>
      </c>
      <c r="D148" s="68"/>
      <c r="E148" s="68"/>
      <c r="F148" s="68"/>
      <c r="G148" s="68"/>
      <c r="H148" s="181"/>
      <c r="I148" s="176"/>
      <c r="J148" s="68"/>
      <c r="K148" s="68"/>
      <c r="L148" s="68"/>
      <c r="M148" s="68"/>
      <c r="N148" s="68"/>
      <c r="O148" s="68"/>
      <c r="P148" s="68"/>
    </row>
    <row r="149" spans="2:16" x14ac:dyDescent="0.3">
      <c r="B149" t="s">
        <v>317</v>
      </c>
      <c r="D149" s="68"/>
      <c r="E149" s="23">
        <f t="shared" ref="E149:I151" si="147">E67+E75+E83+E91+E102+E110+E118+E126</f>
        <v>21.929100000000002</v>
      </c>
      <c r="F149" s="23">
        <f t="shared" si="147"/>
        <v>23.262499999999999</v>
      </c>
      <c r="G149" s="23">
        <f t="shared" si="147"/>
        <v>25.981200000000001</v>
      </c>
      <c r="H149" s="23">
        <f t="shared" si="147"/>
        <v>41.7879</v>
      </c>
      <c r="I149" s="23">
        <f t="shared" si="147"/>
        <v>41.787800000000004</v>
      </c>
      <c r="J149" s="68">
        <f>I152</f>
        <v>45.502100000000006</v>
      </c>
      <c r="K149" s="68">
        <f t="shared" ref="K149:P149" si="148">J152</f>
        <v>45.502100000000006</v>
      </c>
      <c r="L149" s="68">
        <f t="shared" si="148"/>
        <v>197.47287499999999</v>
      </c>
      <c r="M149" s="68">
        <f t="shared" si="148"/>
        <v>197.47287499999999</v>
      </c>
      <c r="N149" s="68">
        <f t="shared" si="148"/>
        <v>197.47287499999999</v>
      </c>
      <c r="O149" s="68">
        <f t="shared" si="148"/>
        <v>197.47287499999999</v>
      </c>
      <c r="P149" s="68">
        <f t="shared" si="148"/>
        <v>197.47287499999999</v>
      </c>
    </row>
    <row r="150" spans="2:16" x14ac:dyDescent="0.3">
      <c r="B150" t="s">
        <v>318</v>
      </c>
      <c r="D150" s="68"/>
      <c r="E150" s="23">
        <f t="shared" si="147"/>
        <v>1.3437000000000001</v>
      </c>
      <c r="F150" s="23">
        <f t="shared" si="147"/>
        <v>2.7186999999999992</v>
      </c>
      <c r="G150" s="23">
        <f t="shared" si="147"/>
        <v>15.8066</v>
      </c>
      <c r="H150" s="23">
        <f t="shared" si="147"/>
        <v>3.7143000000000002</v>
      </c>
      <c r="I150" s="23">
        <f t="shared" si="147"/>
        <v>3.7143000000000002</v>
      </c>
      <c r="J150" s="23">
        <f>J68+J76+J84+J92+J103+J111+J119+J127</f>
        <v>0</v>
      </c>
      <c r="K150" s="23">
        <f t="shared" ref="K150:N150" si="149">K68+K76+K84+K92+K103+K111+K119+K127</f>
        <v>151.97077499999997</v>
      </c>
      <c r="L150" s="23">
        <f t="shared" si="149"/>
        <v>0</v>
      </c>
      <c r="M150" s="23">
        <f t="shared" si="149"/>
        <v>0</v>
      </c>
      <c r="N150" s="23">
        <f t="shared" si="149"/>
        <v>0</v>
      </c>
      <c r="O150" s="23">
        <f t="shared" ref="O150:P150" si="150">O68+O76+O84+O92+O103+O111+O119+O127</f>
        <v>0</v>
      </c>
      <c r="P150" s="23">
        <f t="shared" si="150"/>
        <v>0</v>
      </c>
    </row>
    <row r="151" spans="2:16" x14ac:dyDescent="0.3">
      <c r="B151" t="s">
        <v>319</v>
      </c>
      <c r="D151" s="68"/>
      <c r="E151" s="23">
        <f t="shared" si="147"/>
        <v>1.03E-2</v>
      </c>
      <c r="F151" s="23">
        <f t="shared" si="147"/>
        <v>0</v>
      </c>
      <c r="G151" s="23">
        <f t="shared" si="147"/>
        <v>0</v>
      </c>
      <c r="H151" s="23">
        <f t="shared" si="147"/>
        <v>0</v>
      </c>
      <c r="I151" s="23">
        <f t="shared" si="147"/>
        <v>0</v>
      </c>
      <c r="J151" s="23">
        <f>J69+J77+J85+J93+J104+J112+J120+J128</f>
        <v>0</v>
      </c>
      <c r="K151" s="23">
        <f t="shared" ref="K151:N151" si="151">K69+K77+K85+K93+K104+K112+K120+K128</f>
        <v>0</v>
      </c>
      <c r="L151" s="23">
        <f t="shared" si="151"/>
        <v>0</v>
      </c>
      <c r="M151" s="23">
        <f t="shared" si="151"/>
        <v>0</v>
      </c>
      <c r="N151" s="23">
        <f t="shared" si="151"/>
        <v>0</v>
      </c>
      <c r="O151" s="23">
        <f t="shared" ref="O151:P151" si="152">O69+O77+O85+O93+O104+O112+O120+O128</f>
        <v>0</v>
      </c>
      <c r="P151" s="23">
        <f t="shared" si="152"/>
        <v>0</v>
      </c>
    </row>
    <row r="152" spans="2:16" x14ac:dyDescent="0.3">
      <c r="B152" t="s">
        <v>123</v>
      </c>
      <c r="D152" s="68"/>
      <c r="E152" s="23">
        <f>E149+E150-E151</f>
        <v>23.262500000000003</v>
      </c>
      <c r="F152" s="23">
        <f>F149+F150-F151</f>
        <v>25.981199999999998</v>
      </c>
      <c r="G152" s="23">
        <f>G149+G150-G151</f>
        <v>41.787800000000004</v>
      </c>
      <c r="H152" s="23">
        <f>H149+H150-H151</f>
        <v>45.502200000000002</v>
      </c>
      <c r="I152" s="23">
        <f>I149+I150-I151</f>
        <v>45.502100000000006</v>
      </c>
      <c r="J152" s="23">
        <f t="shared" ref="J152:N152" si="153">J149+J150-J151</f>
        <v>45.502100000000006</v>
      </c>
      <c r="K152" s="23">
        <f t="shared" si="153"/>
        <v>197.47287499999999</v>
      </c>
      <c r="L152" s="23">
        <f t="shared" si="153"/>
        <v>197.47287499999999</v>
      </c>
      <c r="M152" s="23">
        <f t="shared" si="153"/>
        <v>197.47287499999999</v>
      </c>
      <c r="N152" s="23">
        <f t="shared" si="153"/>
        <v>197.47287499999999</v>
      </c>
      <c r="O152" s="23">
        <f t="shared" ref="O152:P152" si="154">O149+O150-O151</f>
        <v>197.47287499999999</v>
      </c>
      <c r="P152" s="23">
        <f t="shared" si="154"/>
        <v>197.47287499999999</v>
      </c>
    </row>
    <row r="153" spans="2:16" x14ac:dyDescent="0.3">
      <c r="D153" s="68"/>
      <c r="E153" s="23"/>
      <c r="F153" s="23"/>
      <c r="G153" s="23"/>
      <c r="H153" s="23"/>
      <c r="I153" s="68"/>
      <c r="J153" s="68"/>
      <c r="K153" s="68"/>
      <c r="L153" s="68"/>
      <c r="M153" s="68"/>
      <c r="N153" s="68"/>
      <c r="O153" s="68"/>
      <c r="P153" s="68"/>
    </row>
    <row r="154" spans="2:16" x14ac:dyDescent="0.3">
      <c r="B154" t="s">
        <v>69</v>
      </c>
      <c r="D154" s="68"/>
      <c r="E154" s="23">
        <f>E152-E133</f>
        <v>6.2769000000000048</v>
      </c>
      <c r="F154" s="23">
        <f>F152-F133</f>
        <v>7.7576000000000036</v>
      </c>
      <c r="G154" s="23">
        <f>G152-G133</f>
        <v>9.5811000000000064</v>
      </c>
      <c r="H154" s="23">
        <f>H152-H133</f>
        <v>11.3504</v>
      </c>
      <c r="I154" s="23">
        <f>I152-I133</f>
        <v>12.125155065000001</v>
      </c>
      <c r="J154" s="23">
        <f t="shared" ref="J154:N154" si="155">J152-J133</f>
        <v>14.868154655000009</v>
      </c>
      <c r="K154" s="23">
        <f t="shared" si="155"/>
        <v>23.122409457500027</v>
      </c>
      <c r="L154" s="23">
        <f t="shared" si="155"/>
        <v>36.927461522500039</v>
      </c>
      <c r="M154" s="23">
        <f t="shared" si="155"/>
        <v>50.716741037500014</v>
      </c>
      <c r="N154" s="23">
        <f t="shared" si="155"/>
        <v>64.491263802500015</v>
      </c>
      <c r="O154" s="23">
        <f t="shared" ref="O154:P154" si="156">O152-O133</f>
        <v>78.265786567500015</v>
      </c>
      <c r="P154" s="23">
        <f t="shared" si="156"/>
        <v>92.040309332500016</v>
      </c>
    </row>
    <row r="155" spans="2:16" s="2" customFormat="1" ht="15" thickBot="1" x14ac:dyDescent="0.35">
      <c r="B155" s="25" t="s">
        <v>76</v>
      </c>
      <c r="C155" s="25"/>
      <c r="D155" s="175"/>
      <c r="E155" s="29">
        <f>E152-E154</f>
        <v>16.985599999999998</v>
      </c>
      <c r="F155" s="29">
        <f>F152-F154</f>
        <v>18.223599999999994</v>
      </c>
      <c r="G155" s="29">
        <f>G152-G154</f>
        <v>32.206699999999998</v>
      </c>
      <c r="H155" s="29">
        <f>H152-H154</f>
        <v>34.151800000000001</v>
      </c>
      <c r="I155" s="29">
        <f>I152-I154</f>
        <v>33.376944935000004</v>
      </c>
      <c r="J155" s="29">
        <f t="shared" ref="J155:N155" si="157">J152-J154</f>
        <v>30.633945344999997</v>
      </c>
      <c r="K155" s="29">
        <f t="shared" si="157"/>
        <v>174.35046554249996</v>
      </c>
      <c r="L155" s="29">
        <f t="shared" si="157"/>
        <v>160.54541347749995</v>
      </c>
      <c r="M155" s="29">
        <f t="shared" si="157"/>
        <v>146.75613396249997</v>
      </c>
      <c r="N155" s="29">
        <f t="shared" si="157"/>
        <v>132.98161119749997</v>
      </c>
      <c r="O155" s="29">
        <f t="shared" ref="O155:P155" si="158">O152-O154</f>
        <v>119.20708843249997</v>
      </c>
      <c r="P155" s="29">
        <f t="shared" si="158"/>
        <v>105.43256566749997</v>
      </c>
    </row>
    <row r="156" spans="2:16" ht="15" thickTop="1" x14ac:dyDescent="0.3">
      <c r="D156" s="181"/>
      <c r="E156" s="181"/>
      <c r="F156" s="181"/>
      <c r="G156" s="181"/>
      <c r="H156" s="181"/>
      <c r="I156" s="181"/>
      <c r="J156" s="181"/>
      <c r="K156" s="181"/>
      <c r="L156" s="181"/>
      <c r="M156" s="181"/>
      <c r="N156" s="181"/>
      <c r="O156" s="181"/>
      <c r="P156" s="181"/>
    </row>
    <row r="157" spans="2:16" x14ac:dyDescent="0.3">
      <c r="D157" s="181"/>
      <c r="E157" s="181"/>
      <c r="F157" s="181"/>
      <c r="G157" s="181"/>
      <c r="H157" s="181"/>
      <c r="I157" s="181"/>
      <c r="J157" s="181"/>
      <c r="K157" s="181"/>
      <c r="L157" s="181"/>
      <c r="M157" s="181"/>
      <c r="N157" s="181"/>
      <c r="O157" s="181"/>
      <c r="P157" s="181"/>
    </row>
    <row r="158" spans="2:16" x14ac:dyDescent="0.3">
      <c r="B158" t="s">
        <v>324</v>
      </c>
      <c r="D158" s="68"/>
      <c r="E158" s="66">
        <f>E146-D146</f>
        <v>2.0739000000000001</v>
      </c>
      <c r="F158" s="66">
        <f t="shared" ref="F158:H158" si="159">F146-E146</f>
        <v>10.6241</v>
      </c>
      <c r="G158" s="66">
        <f t="shared" si="159"/>
        <v>7.8955999999999982</v>
      </c>
      <c r="H158" s="66">
        <f t="shared" si="159"/>
        <v>51.325000000000003</v>
      </c>
      <c r="I158" s="66">
        <f>I146-G146</f>
        <v>61.325000000000003</v>
      </c>
      <c r="J158" s="66">
        <f>J146-I146</f>
        <v>100</v>
      </c>
      <c r="K158" s="66">
        <f t="shared" ref="K158:N158" si="160">K146-J146</f>
        <v>-110</v>
      </c>
      <c r="L158" s="66">
        <f t="shared" si="160"/>
        <v>0</v>
      </c>
      <c r="M158" s="66">
        <f t="shared" si="160"/>
        <v>0</v>
      </c>
      <c r="N158" s="66">
        <f t="shared" si="160"/>
        <v>0</v>
      </c>
      <c r="O158" s="66">
        <f t="shared" ref="O158:P158" si="161">O146-N146</f>
        <v>0</v>
      </c>
      <c r="P158" s="66">
        <f t="shared" si="161"/>
        <v>0</v>
      </c>
    </row>
    <row r="159" spans="2:16" x14ac:dyDescent="0.3">
      <c r="B159" t="s">
        <v>325</v>
      </c>
      <c r="D159" s="68"/>
      <c r="E159" s="23">
        <f>E152-D152</f>
        <v>23.262500000000003</v>
      </c>
      <c r="F159" s="23">
        <f>F152-E152</f>
        <v>2.7186999999999948</v>
      </c>
      <c r="G159" s="23">
        <f>G152-F152</f>
        <v>15.806600000000007</v>
      </c>
      <c r="H159" s="23">
        <f>H152-G152</f>
        <v>3.7143999999999977</v>
      </c>
      <c r="I159" s="23">
        <f>I152-G152</f>
        <v>3.7143000000000015</v>
      </c>
      <c r="J159" s="23">
        <f>J152-I152</f>
        <v>0</v>
      </c>
      <c r="K159" s="23">
        <f t="shared" ref="K159:P159" si="162">K152-J152</f>
        <v>151.97077499999997</v>
      </c>
      <c r="L159" s="23">
        <f t="shared" si="162"/>
        <v>0</v>
      </c>
      <c r="M159" s="23">
        <f t="shared" si="162"/>
        <v>0</v>
      </c>
      <c r="N159" s="23">
        <f t="shared" si="162"/>
        <v>0</v>
      </c>
      <c r="O159" s="23">
        <f t="shared" si="162"/>
        <v>0</v>
      </c>
      <c r="P159" s="23">
        <f t="shared" si="162"/>
        <v>0</v>
      </c>
    </row>
    <row r="160" spans="2:16" x14ac:dyDescent="0.3">
      <c r="B160" t="s">
        <v>414</v>
      </c>
      <c r="D160" s="68"/>
      <c r="E160" s="23"/>
      <c r="F160" s="23">
        <f>F155-E155</f>
        <v>1.237999999999996</v>
      </c>
      <c r="G160" s="23">
        <f>G155-F155</f>
        <v>13.983100000000004</v>
      </c>
      <c r="H160" s="23">
        <f>H155-G155</f>
        <v>1.9451000000000036</v>
      </c>
      <c r="I160" s="23">
        <f>I155-G155</f>
        <v>1.1702449350000066</v>
      </c>
      <c r="J160" s="23">
        <f t="shared" ref="J160:P160" si="163">J155-I155</f>
        <v>-2.7429995900000073</v>
      </c>
      <c r="K160" s="23">
        <f t="shared" si="163"/>
        <v>143.71652019749996</v>
      </c>
      <c r="L160" s="23">
        <f t="shared" si="163"/>
        <v>-13.805052065000012</v>
      </c>
      <c r="M160" s="23">
        <f t="shared" si="163"/>
        <v>-13.789279514999976</v>
      </c>
      <c r="N160" s="23">
        <f t="shared" si="163"/>
        <v>-13.774522765</v>
      </c>
      <c r="O160" s="23">
        <f t="shared" si="163"/>
        <v>-13.774522765</v>
      </c>
      <c r="P160" s="23">
        <f t="shared" si="163"/>
        <v>-13.774522765</v>
      </c>
    </row>
    <row r="161" spans="1:16" x14ac:dyDescent="0.3">
      <c r="B161" t="s">
        <v>326</v>
      </c>
      <c r="D161" s="68"/>
      <c r="E161" s="23">
        <f>E158+E159</f>
        <v>25.336400000000005</v>
      </c>
      <c r="F161" s="23">
        <f>F158+F159</f>
        <v>13.342799999999995</v>
      </c>
      <c r="G161" s="23">
        <f>G158+G159</f>
        <v>23.702200000000005</v>
      </c>
      <c r="H161" s="23">
        <f>H158+H159</f>
        <v>55.039400000000001</v>
      </c>
      <c r="I161" s="23">
        <f>I158+I159</f>
        <v>65.039299999999997</v>
      </c>
      <c r="J161" s="23">
        <f t="shared" ref="J161:N161" si="164">J158+J159</f>
        <v>100</v>
      </c>
      <c r="K161" s="23">
        <f t="shared" si="164"/>
        <v>41.970774999999975</v>
      </c>
      <c r="L161" s="23">
        <f t="shared" si="164"/>
        <v>0</v>
      </c>
      <c r="M161" s="23">
        <f t="shared" si="164"/>
        <v>0</v>
      </c>
      <c r="N161" s="23">
        <f t="shared" si="164"/>
        <v>0</v>
      </c>
      <c r="O161" s="23">
        <f t="shared" ref="O161:P161" si="165">O158+O159</f>
        <v>0</v>
      </c>
      <c r="P161" s="23">
        <f t="shared" si="165"/>
        <v>0</v>
      </c>
    </row>
    <row r="162" spans="1:16" x14ac:dyDescent="0.3">
      <c r="D162" s="68"/>
      <c r="E162" s="23"/>
      <c r="F162" s="23"/>
      <c r="G162" s="23"/>
      <c r="H162" s="23"/>
      <c r="I162" s="68"/>
      <c r="J162" s="68"/>
      <c r="K162" s="68"/>
      <c r="L162" s="68"/>
      <c r="M162" s="68"/>
      <c r="N162" s="68"/>
      <c r="O162" s="68"/>
      <c r="P162" s="68"/>
    </row>
    <row r="163" spans="1:16" x14ac:dyDescent="0.3">
      <c r="B163" s="2" t="s">
        <v>126</v>
      </c>
      <c r="C163" s="2"/>
      <c r="D163" s="174"/>
      <c r="E163" s="23"/>
      <c r="F163" s="23"/>
      <c r="G163" s="23"/>
      <c r="H163" s="181"/>
      <c r="I163" s="68"/>
      <c r="J163" s="68"/>
      <c r="K163" s="68"/>
      <c r="L163" s="68"/>
      <c r="M163" s="68"/>
      <c r="N163" s="68"/>
      <c r="O163" s="68"/>
      <c r="P163" s="68"/>
    </row>
    <row r="164" spans="1:16" x14ac:dyDescent="0.3">
      <c r="A164" s="170">
        <f>G166/G164</f>
        <v>0.33333333333333331</v>
      </c>
      <c r="B164" t="s">
        <v>327</v>
      </c>
      <c r="D164" s="68">
        <v>0</v>
      </c>
      <c r="E164" s="68">
        <v>2.2566000000000002</v>
      </c>
      <c r="F164" s="68">
        <v>2.2566000000000002</v>
      </c>
      <c r="G164" s="68">
        <v>2.2566000000000002</v>
      </c>
      <c r="H164" s="181">
        <v>2.2566000000000002</v>
      </c>
      <c r="I164" s="68">
        <f>G164+G165</f>
        <v>2.2566000000000002</v>
      </c>
      <c r="J164" s="68">
        <f>I164+I165</f>
        <v>4.7499000000000002</v>
      </c>
      <c r="K164" s="68">
        <f t="shared" ref="K164:P164" si="166">J164+J165</f>
        <v>4.7499000000000002</v>
      </c>
      <c r="L164" s="68">
        <f t="shared" si="166"/>
        <v>4.7499000000000002</v>
      </c>
      <c r="M164" s="68">
        <f t="shared" si="166"/>
        <v>4.7499000000000002</v>
      </c>
      <c r="N164" s="68">
        <f t="shared" si="166"/>
        <v>4.7499000000000002</v>
      </c>
      <c r="O164" s="68">
        <f t="shared" si="166"/>
        <v>4.7499000000000002</v>
      </c>
      <c r="P164" s="68">
        <f t="shared" si="166"/>
        <v>4.7499000000000002</v>
      </c>
    </row>
    <row r="165" spans="1:16" x14ac:dyDescent="0.3">
      <c r="B165" t="s">
        <v>64</v>
      </c>
      <c r="D165" s="68">
        <v>0</v>
      </c>
      <c r="E165" s="23"/>
      <c r="F165" s="68">
        <v>0</v>
      </c>
      <c r="G165" s="68">
        <v>0</v>
      </c>
      <c r="H165" s="181">
        <v>2.4933000000000001</v>
      </c>
      <c r="I165" s="68">
        <f>H165</f>
        <v>2.4933000000000001</v>
      </c>
      <c r="J165" s="68"/>
      <c r="K165" s="68"/>
      <c r="L165" s="68"/>
      <c r="M165" s="68"/>
      <c r="N165" s="68"/>
      <c r="O165" s="68"/>
      <c r="P165" s="68"/>
    </row>
    <row r="166" spans="1:16" x14ac:dyDescent="0.3">
      <c r="B166" t="s">
        <v>75</v>
      </c>
      <c r="D166" s="68"/>
      <c r="E166" s="23"/>
      <c r="F166" s="68">
        <f>F167-E167</f>
        <v>0.7522000000000002</v>
      </c>
      <c r="G166" s="68">
        <f>G167-F167</f>
        <v>0.75219999999999998</v>
      </c>
      <c r="H166" s="181">
        <f>H167-G167</f>
        <v>0.84179999999999966</v>
      </c>
      <c r="I166" s="68">
        <f>H166/9*12</f>
        <v>1.1223999999999996</v>
      </c>
      <c r="J166" s="68">
        <f>MIN((J164*$A164)+(J165*$A164/2),I168)</f>
        <v>1.5832999999999999</v>
      </c>
      <c r="K166" s="68">
        <f t="shared" ref="K166:P166" si="167">MIN((K164*$A164)+(K165*$A164/2),J168)</f>
        <v>0.24300000000000033</v>
      </c>
      <c r="L166" s="68">
        <f t="shared" si="167"/>
        <v>0</v>
      </c>
      <c r="M166" s="68">
        <f t="shared" si="167"/>
        <v>0</v>
      </c>
      <c r="N166" s="68">
        <f t="shared" si="167"/>
        <v>0</v>
      </c>
      <c r="O166" s="68">
        <f t="shared" si="167"/>
        <v>0</v>
      </c>
      <c r="P166" s="68">
        <f t="shared" si="167"/>
        <v>0</v>
      </c>
    </row>
    <row r="167" spans="1:16" x14ac:dyDescent="0.3">
      <c r="B167" t="s">
        <v>69</v>
      </c>
      <c r="D167" s="68">
        <v>0</v>
      </c>
      <c r="E167" s="68">
        <v>0.29680000000000001</v>
      </c>
      <c r="F167" s="68">
        <v>1.0490000000000002</v>
      </c>
      <c r="G167" s="68">
        <v>1.8012000000000001</v>
      </c>
      <c r="H167" s="181">
        <v>2.6429999999999998</v>
      </c>
      <c r="I167" s="68">
        <f>G167+I166</f>
        <v>2.9235999999999995</v>
      </c>
      <c r="J167" s="68">
        <f>I167+J166</f>
        <v>4.5068999999999999</v>
      </c>
      <c r="K167" s="68">
        <f t="shared" ref="K167:P167" si="168">J167+K166</f>
        <v>4.7499000000000002</v>
      </c>
      <c r="L167" s="68">
        <f t="shared" si="168"/>
        <v>4.7499000000000002</v>
      </c>
      <c r="M167" s="68">
        <f t="shared" si="168"/>
        <v>4.7499000000000002</v>
      </c>
      <c r="N167" s="68">
        <f t="shared" si="168"/>
        <v>4.7499000000000002</v>
      </c>
      <c r="O167" s="68">
        <f t="shared" si="168"/>
        <v>4.7499000000000002</v>
      </c>
      <c r="P167" s="68">
        <f t="shared" si="168"/>
        <v>4.7499000000000002</v>
      </c>
    </row>
    <row r="168" spans="1:16" s="2" customFormat="1" ht="15" thickBot="1" x14ac:dyDescent="0.35">
      <c r="B168" s="25" t="s">
        <v>328</v>
      </c>
      <c r="C168" s="25"/>
      <c r="D168" s="29">
        <f t="shared" ref="D168:I168" si="169">D164+D165-D167</f>
        <v>0</v>
      </c>
      <c r="E168" s="29">
        <f t="shared" si="169"/>
        <v>1.9598000000000002</v>
      </c>
      <c r="F168" s="29">
        <f t="shared" si="169"/>
        <v>1.2076</v>
      </c>
      <c r="G168" s="29">
        <f t="shared" si="169"/>
        <v>0.45540000000000003</v>
      </c>
      <c r="H168" s="29">
        <f t="shared" si="169"/>
        <v>2.1069000000000004</v>
      </c>
      <c r="I168" s="29">
        <f t="shared" si="169"/>
        <v>1.8263000000000007</v>
      </c>
      <c r="J168" s="29">
        <f t="shared" ref="J168:N168" si="170">J164+J165-J167</f>
        <v>0.24300000000000033</v>
      </c>
      <c r="K168" s="29">
        <f t="shared" si="170"/>
        <v>0</v>
      </c>
      <c r="L168" s="29">
        <f t="shared" si="170"/>
        <v>0</v>
      </c>
      <c r="M168" s="29">
        <f t="shared" si="170"/>
        <v>0</v>
      </c>
      <c r="N168" s="29">
        <f t="shared" si="170"/>
        <v>0</v>
      </c>
      <c r="O168" s="29">
        <f t="shared" ref="O168:P168" si="171">O164+O165-O167</f>
        <v>0</v>
      </c>
      <c r="P168" s="29">
        <f t="shared" si="171"/>
        <v>0</v>
      </c>
    </row>
    <row r="169" spans="1:16" ht="15" thickTop="1" x14ac:dyDescent="0.3">
      <c r="E169" s="26"/>
      <c r="F169" s="26"/>
      <c r="G169" s="26"/>
      <c r="I169" s="24"/>
      <c r="J169" s="24"/>
    </row>
    <row r="170" spans="1:16" x14ac:dyDescent="0.3">
      <c r="B170" s="2" t="s">
        <v>353</v>
      </c>
      <c r="C170" s="2"/>
      <c r="D170" s="2"/>
      <c r="E170" s="26"/>
      <c r="F170" s="26"/>
      <c r="G170" s="26"/>
      <c r="I170" s="24"/>
    </row>
    <row r="171" spans="1:16" x14ac:dyDescent="0.3">
      <c r="B171" s="2"/>
      <c r="C171" s="2"/>
      <c r="D171" s="2"/>
      <c r="E171" s="26"/>
      <c r="F171" s="26"/>
      <c r="G171" s="26"/>
    </row>
    <row r="172" spans="1:16" x14ac:dyDescent="0.3">
      <c r="B172" s="2" t="s">
        <v>162</v>
      </c>
      <c r="C172" s="2"/>
      <c r="D172" s="2"/>
      <c r="E172" s="26"/>
      <c r="F172" s="26"/>
      <c r="G172" s="26"/>
    </row>
    <row r="173" spans="1:16" x14ac:dyDescent="0.3">
      <c r="B173" s="2" t="s">
        <v>163</v>
      </c>
      <c r="C173" s="2"/>
      <c r="D173" s="174"/>
      <c r="E173" s="23"/>
      <c r="F173" s="23"/>
      <c r="G173" s="23"/>
      <c r="H173" s="181"/>
      <c r="I173" s="68"/>
      <c r="J173" s="68"/>
      <c r="K173" s="68"/>
      <c r="L173" s="68"/>
      <c r="M173" s="68"/>
      <c r="N173" s="68"/>
      <c r="O173" s="68"/>
      <c r="P173" s="68"/>
    </row>
    <row r="174" spans="1:16" x14ac:dyDescent="0.3">
      <c r="B174" s="2" t="s">
        <v>95</v>
      </c>
      <c r="C174" s="2"/>
      <c r="D174" s="174"/>
      <c r="E174" s="23"/>
      <c r="F174" s="23"/>
      <c r="G174" s="23"/>
      <c r="H174" s="181"/>
      <c r="I174" s="68"/>
      <c r="J174" s="68"/>
      <c r="K174" s="68"/>
      <c r="L174" s="68"/>
      <c r="M174" s="68"/>
      <c r="N174" s="68"/>
      <c r="O174" s="68"/>
      <c r="P174" s="68"/>
    </row>
    <row r="175" spans="1:16" x14ac:dyDescent="0.3">
      <c r="B175" s="28" t="s">
        <v>164</v>
      </c>
      <c r="C175" s="28"/>
      <c r="D175" s="68">
        <v>5.0000000000000001E-3</v>
      </c>
      <c r="E175" s="23"/>
      <c r="F175" s="23"/>
      <c r="G175" s="23"/>
      <c r="H175" s="181"/>
      <c r="I175" s="68"/>
      <c r="J175" s="68"/>
      <c r="K175" s="68"/>
      <c r="L175" s="68"/>
      <c r="M175" s="68"/>
      <c r="N175" s="68"/>
      <c r="O175" s="68"/>
      <c r="P175" s="68"/>
    </row>
    <row r="176" spans="1:16" x14ac:dyDescent="0.3">
      <c r="B176" s="28" t="s">
        <v>165</v>
      </c>
      <c r="C176" s="28"/>
      <c r="D176" s="68">
        <v>0</v>
      </c>
      <c r="E176" s="23"/>
      <c r="F176" s="23"/>
      <c r="G176" s="23"/>
      <c r="H176" s="181"/>
      <c r="I176" s="68"/>
      <c r="J176" s="68"/>
      <c r="K176" s="68"/>
      <c r="L176" s="68"/>
      <c r="M176" s="68"/>
      <c r="N176" s="68"/>
      <c r="O176" s="68"/>
      <c r="P176" s="68"/>
    </row>
    <row r="177" spans="2:16" x14ac:dyDescent="0.3">
      <c r="B177" s="21" t="s">
        <v>166</v>
      </c>
      <c r="C177" s="21"/>
      <c r="D177" s="68">
        <v>1.55E-2</v>
      </c>
      <c r="E177" s="68">
        <v>1.83E-2</v>
      </c>
      <c r="F177" s="68">
        <v>1.9199999999999998E-2</v>
      </c>
      <c r="G177" s="23"/>
      <c r="H177" s="181"/>
      <c r="I177" s="68"/>
      <c r="J177" s="68"/>
      <c r="K177" s="68"/>
      <c r="L177" s="68"/>
      <c r="M177" s="68"/>
      <c r="N177" s="68"/>
      <c r="O177" s="68"/>
      <c r="P177" s="68"/>
    </row>
    <row r="178" spans="2:16" x14ac:dyDescent="0.3">
      <c r="B178" s="21" t="s">
        <v>167</v>
      </c>
      <c r="C178" s="21"/>
      <c r="D178" s="68">
        <v>0</v>
      </c>
      <c r="E178" s="23"/>
      <c r="F178" s="68">
        <v>17.5</v>
      </c>
      <c r="G178" s="68">
        <v>17.5</v>
      </c>
      <c r="H178" s="181">
        <v>13.25</v>
      </c>
      <c r="I178" s="68">
        <f>H178</f>
        <v>13.25</v>
      </c>
      <c r="J178" s="68">
        <f t="shared" ref="J178:N178" si="172">I178</f>
        <v>13.25</v>
      </c>
      <c r="K178" s="68">
        <f t="shared" si="172"/>
        <v>13.25</v>
      </c>
      <c r="L178" s="68">
        <f t="shared" si="172"/>
        <v>13.25</v>
      </c>
      <c r="M178" s="68">
        <f t="shared" si="172"/>
        <v>13.25</v>
      </c>
      <c r="N178" s="68">
        <f t="shared" si="172"/>
        <v>13.25</v>
      </c>
      <c r="O178" s="68">
        <f t="shared" ref="O178:P178" si="173">N178</f>
        <v>13.25</v>
      </c>
      <c r="P178" s="68">
        <f t="shared" si="173"/>
        <v>13.25</v>
      </c>
    </row>
    <row r="179" spans="2:16" s="2" customFormat="1" ht="15" thickBot="1" x14ac:dyDescent="0.35">
      <c r="B179" s="25" t="s">
        <v>123</v>
      </c>
      <c r="C179" s="25"/>
      <c r="D179" s="175">
        <f>SUM(D175:D178)</f>
        <v>2.0500000000000001E-2</v>
      </c>
      <c r="E179" s="29">
        <f>SUM(E177:E178)</f>
        <v>1.83E-2</v>
      </c>
      <c r="F179" s="29">
        <f>SUM(F177:F178)</f>
        <v>17.519200000000001</v>
      </c>
      <c r="G179" s="29">
        <f>SUM(G177:G178)</f>
        <v>17.5</v>
      </c>
      <c r="H179" s="29">
        <f>SUM(H177:H178)</f>
        <v>13.25</v>
      </c>
      <c r="I179" s="29">
        <f>SUM(I175:I178)</f>
        <v>13.25</v>
      </c>
      <c r="J179" s="29">
        <f t="shared" ref="J179:O179" si="174">SUM(J175:J178)</f>
        <v>13.25</v>
      </c>
      <c r="K179" s="29">
        <f t="shared" si="174"/>
        <v>13.25</v>
      </c>
      <c r="L179" s="29">
        <f t="shared" si="174"/>
        <v>13.25</v>
      </c>
      <c r="M179" s="29">
        <f t="shared" si="174"/>
        <v>13.25</v>
      </c>
      <c r="N179" s="29">
        <f t="shared" si="174"/>
        <v>13.25</v>
      </c>
      <c r="O179" s="29">
        <f t="shared" si="174"/>
        <v>13.25</v>
      </c>
      <c r="P179" s="29">
        <f t="shared" ref="P179" si="175">SUM(P175:P178)</f>
        <v>13.25</v>
      </c>
    </row>
    <row r="180" spans="2:16" ht="15" thickTop="1" x14ac:dyDescent="0.3">
      <c r="B180" s="2"/>
      <c r="C180" s="2"/>
      <c r="D180" s="174"/>
      <c r="E180" s="23"/>
      <c r="F180" s="23"/>
      <c r="G180" s="23"/>
      <c r="H180" s="181"/>
      <c r="I180" s="68"/>
      <c r="J180" s="68"/>
      <c r="K180" s="68"/>
      <c r="L180" s="68"/>
      <c r="M180" s="68"/>
      <c r="N180" s="68"/>
      <c r="O180" s="68"/>
      <c r="P180" s="68"/>
    </row>
    <row r="181" spans="2:16" x14ac:dyDescent="0.3">
      <c r="B181" s="2" t="s">
        <v>127</v>
      </c>
      <c r="C181" s="2"/>
      <c r="D181" s="174"/>
      <c r="E181" s="23"/>
      <c r="F181" s="23"/>
      <c r="G181" s="23"/>
      <c r="H181" s="181"/>
      <c r="I181" s="68"/>
      <c r="J181" s="68"/>
      <c r="K181" s="68"/>
      <c r="L181" s="68"/>
      <c r="M181" s="68"/>
      <c r="N181" s="68"/>
      <c r="O181" s="68"/>
      <c r="P181" s="68"/>
    </row>
    <row r="182" spans="2:16" x14ac:dyDescent="0.3">
      <c r="B182" s="2" t="s">
        <v>149</v>
      </c>
      <c r="C182" s="2"/>
      <c r="D182" s="174"/>
      <c r="E182" s="23"/>
      <c r="F182" s="23"/>
      <c r="G182" s="23"/>
      <c r="H182" s="181"/>
      <c r="I182" s="68"/>
      <c r="J182" s="68"/>
      <c r="K182" s="68"/>
      <c r="L182" s="68"/>
      <c r="M182" s="68"/>
      <c r="N182" s="68"/>
      <c r="O182" s="68"/>
      <c r="P182" s="68"/>
    </row>
    <row r="183" spans="2:16" x14ac:dyDescent="0.3">
      <c r="B183" s="2" t="s">
        <v>150</v>
      </c>
      <c r="C183" s="2"/>
      <c r="D183" s="174"/>
      <c r="E183" s="23"/>
      <c r="F183" s="23"/>
      <c r="G183" s="23"/>
      <c r="H183" s="181"/>
      <c r="I183" s="68"/>
      <c r="J183" s="68"/>
      <c r="K183" s="68"/>
      <c r="L183" s="68"/>
      <c r="M183" s="68"/>
      <c r="N183" s="68"/>
      <c r="O183" s="68"/>
      <c r="P183" s="68"/>
    </row>
    <row r="184" spans="2:16" x14ac:dyDescent="0.3">
      <c r="B184" t="s">
        <v>151</v>
      </c>
      <c r="D184" s="68">
        <v>14.452500000000001</v>
      </c>
      <c r="E184" s="68">
        <v>1.2365000000000002</v>
      </c>
      <c r="F184" s="68">
        <v>8.9108999999999998</v>
      </c>
      <c r="G184" s="68">
        <v>39.2971</v>
      </c>
      <c r="H184" s="181">
        <v>34.2971</v>
      </c>
      <c r="I184" s="68">
        <f>H184</f>
        <v>34.2971</v>
      </c>
      <c r="J184" s="68">
        <f t="shared" ref="J184:N184" si="176">I184</f>
        <v>34.2971</v>
      </c>
      <c r="K184" s="68">
        <f t="shared" si="176"/>
        <v>34.2971</v>
      </c>
      <c r="L184" s="68">
        <f t="shared" si="176"/>
        <v>34.2971</v>
      </c>
      <c r="M184" s="68">
        <f t="shared" si="176"/>
        <v>34.2971</v>
      </c>
      <c r="N184" s="68">
        <f t="shared" si="176"/>
        <v>34.2971</v>
      </c>
      <c r="O184" s="68">
        <f t="shared" ref="O184:P184" si="177">N184</f>
        <v>34.2971</v>
      </c>
      <c r="P184" s="68">
        <f t="shared" si="177"/>
        <v>34.2971</v>
      </c>
    </row>
    <row r="185" spans="2:16" x14ac:dyDescent="0.3">
      <c r="B185" t="s">
        <v>152</v>
      </c>
      <c r="D185" s="68">
        <v>0.63829999999999998</v>
      </c>
      <c r="E185" s="68">
        <v>5.74E-2</v>
      </c>
      <c r="F185" s="68">
        <v>0.2177</v>
      </c>
      <c r="G185" s="68">
        <v>1.8259000000000001</v>
      </c>
      <c r="H185" s="181">
        <v>3.1539999999999999</v>
      </c>
      <c r="I185" s="68">
        <f>H185</f>
        <v>3.1539999999999999</v>
      </c>
      <c r="J185" s="68">
        <f t="shared" ref="J185:N185" si="178">I185</f>
        <v>3.1539999999999999</v>
      </c>
      <c r="K185" s="68">
        <f t="shared" si="178"/>
        <v>3.1539999999999999</v>
      </c>
      <c r="L185" s="68">
        <f t="shared" si="178"/>
        <v>3.1539999999999999</v>
      </c>
      <c r="M185" s="68">
        <f t="shared" si="178"/>
        <v>3.1539999999999999</v>
      </c>
      <c r="N185" s="68">
        <f t="shared" si="178"/>
        <v>3.1539999999999999</v>
      </c>
      <c r="O185" s="68">
        <f t="shared" ref="O185:P185" si="179">N185</f>
        <v>3.1539999999999999</v>
      </c>
      <c r="P185" s="68">
        <f t="shared" si="179"/>
        <v>3.1539999999999999</v>
      </c>
    </row>
    <row r="186" spans="2:16" x14ac:dyDescent="0.3">
      <c r="B186" t="s">
        <v>153</v>
      </c>
      <c r="D186" s="68">
        <v>0.01</v>
      </c>
      <c r="E186" s="68">
        <v>0.01</v>
      </c>
      <c r="F186" s="68">
        <v>7.5199999999999989E-2</v>
      </c>
      <c r="G186" s="68">
        <v>0.40159999999999996</v>
      </c>
      <c r="H186" s="181">
        <v>5.2450000000000001</v>
      </c>
      <c r="I186" s="68">
        <f>H186</f>
        <v>5.2450000000000001</v>
      </c>
      <c r="J186" s="68">
        <f t="shared" ref="J186:N186" si="180">I186</f>
        <v>5.2450000000000001</v>
      </c>
      <c r="K186" s="68">
        <f t="shared" si="180"/>
        <v>5.2450000000000001</v>
      </c>
      <c r="L186" s="68">
        <f t="shared" si="180"/>
        <v>5.2450000000000001</v>
      </c>
      <c r="M186" s="68">
        <f t="shared" si="180"/>
        <v>5.2450000000000001</v>
      </c>
      <c r="N186" s="68">
        <f t="shared" si="180"/>
        <v>5.2450000000000001</v>
      </c>
      <c r="O186" s="68">
        <f t="shared" ref="O186:P186" si="181">N186</f>
        <v>5.2450000000000001</v>
      </c>
      <c r="P186" s="68">
        <f t="shared" si="181"/>
        <v>5.2450000000000001</v>
      </c>
    </row>
    <row r="187" spans="2:16" x14ac:dyDescent="0.3">
      <c r="B187" t="s">
        <v>154</v>
      </c>
      <c r="D187" s="68">
        <v>2.0000000000000001E-4</v>
      </c>
      <c r="E187" s="68">
        <v>1E-3</v>
      </c>
      <c r="F187" s="68">
        <v>3.0999999999999999E-3</v>
      </c>
      <c r="G187" s="68">
        <v>8.199999999999999E-3</v>
      </c>
      <c r="H187" s="181">
        <v>4.1300000000000003E-2</v>
      </c>
      <c r="I187" s="68">
        <f>H187</f>
        <v>4.1300000000000003E-2</v>
      </c>
      <c r="J187" s="68">
        <f t="shared" ref="J187:N187" si="182">I187</f>
        <v>4.1300000000000003E-2</v>
      </c>
      <c r="K187" s="68">
        <f t="shared" si="182"/>
        <v>4.1300000000000003E-2</v>
      </c>
      <c r="L187" s="68">
        <f t="shared" si="182"/>
        <v>4.1300000000000003E-2</v>
      </c>
      <c r="M187" s="68">
        <f t="shared" si="182"/>
        <v>4.1300000000000003E-2</v>
      </c>
      <c r="N187" s="68">
        <f t="shared" si="182"/>
        <v>4.1300000000000003E-2</v>
      </c>
      <c r="O187" s="68">
        <f t="shared" ref="O187:P187" si="183">N187</f>
        <v>4.1300000000000003E-2</v>
      </c>
      <c r="P187" s="68">
        <f t="shared" si="183"/>
        <v>4.1300000000000003E-2</v>
      </c>
    </row>
    <row r="188" spans="2:16" s="2" customFormat="1" ht="15" thickBot="1" x14ac:dyDescent="0.35">
      <c r="B188" s="25" t="s">
        <v>123</v>
      </c>
      <c r="C188" s="25"/>
      <c r="D188" s="29">
        <f t="shared" ref="D188:H188" si="184">SUM(D184:D187)</f>
        <v>15.100999999999999</v>
      </c>
      <c r="E188" s="29">
        <f t="shared" si="184"/>
        <v>1.3048999999999999</v>
      </c>
      <c r="F188" s="29">
        <f t="shared" si="184"/>
        <v>9.206900000000001</v>
      </c>
      <c r="G188" s="29">
        <f t="shared" si="184"/>
        <v>41.532800000000002</v>
      </c>
      <c r="H188" s="29">
        <f t="shared" si="184"/>
        <v>42.737399999999994</v>
      </c>
      <c r="I188" s="175">
        <f>SUM(I184:I187)</f>
        <v>42.737399999999994</v>
      </c>
      <c r="J188" s="175">
        <f t="shared" ref="J188:O188" si="185">SUM(J184:J187)</f>
        <v>42.737399999999994</v>
      </c>
      <c r="K188" s="175">
        <f t="shared" si="185"/>
        <v>42.737399999999994</v>
      </c>
      <c r="L188" s="175">
        <f t="shared" si="185"/>
        <v>42.737399999999994</v>
      </c>
      <c r="M188" s="175">
        <f t="shared" si="185"/>
        <v>42.737399999999994</v>
      </c>
      <c r="N188" s="175">
        <f t="shared" si="185"/>
        <v>42.737399999999994</v>
      </c>
      <c r="O188" s="175">
        <f t="shared" si="185"/>
        <v>42.737399999999994</v>
      </c>
      <c r="P188" s="175">
        <f t="shared" ref="P188" si="186">SUM(P184:P187)</f>
        <v>42.737399999999994</v>
      </c>
    </row>
    <row r="189" spans="2:16" ht="15" thickTop="1" x14ac:dyDescent="0.3">
      <c r="D189" s="68"/>
      <c r="E189" s="23"/>
      <c r="F189" s="23"/>
      <c r="G189" s="23"/>
      <c r="H189" s="181"/>
      <c r="I189" s="68"/>
      <c r="J189" s="68"/>
      <c r="K189" s="68"/>
      <c r="L189" s="68"/>
      <c r="M189" s="68"/>
      <c r="N189" s="68"/>
      <c r="O189" s="68"/>
      <c r="P189" s="68"/>
    </row>
    <row r="190" spans="2:16" x14ac:dyDescent="0.3">
      <c r="D190" s="68"/>
      <c r="E190" s="23"/>
      <c r="F190" s="23"/>
      <c r="G190" s="23"/>
      <c r="H190" s="181"/>
      <c r="I190" s="68"/>
      <c r="J190" s="68"/>
      <c r="K190" s="68"/>
      <c r="L190" s="68"/>
      <c r="M190" s="68"/>
      <c r="N190" s="68"/>
      <c r="O190" s="68"/>
      <c r="P190" s="68"/>
    </row>
    <row r="191" spans="2:16" x14ac:dyDescent="0.3">
      <c r="B191" s="2" t="s">
        <v>163</v>
      </c>
      <c r="C191" s="2"/>
      <c r="D191" s="174"/>
      <c r="E191" s="23"/>
      <c r="F191" s="23"/>
      <c r="G191" s="23"/>
      <c r="H191" s="181"/>
      <c r="I191" s="68"/>
      <c r="J191" s="68"/>
      <c r="K191" s="68"/>
      <c r="L191" s="68"/>
      <c r="M191" s="68"/>
      <c r="N191" s="68"/>
      <c r="O191" s="68"/>
      <c r="P191" s="68"/>
    </row>
    <row r="192" spans="2:16" x14ac:dyDescent="0.3">
      <c r="B192" s="2" t="s">
        <v>150</v>
      </c>
      <c r="C192" s="2"/>
      <c r="D192" s="174"/>
      <c r="E192" s="23"/>
      <c r="F192" s="23"/>
      <c r="G192" s="23"/>
      <c r="H192" s="181"/>
      <c r="I192" s="68"/>
      <c r="J192" s="68"/>
      <c r="K192" s="68"/>
      <c r="L192" s="68"/>
      <c r="M192" s="68"/>
      <c r="N192" s="68"/>
      <c r="O192" s="68"/>
      <c r="P192" s="68"/>
    </row>
    <row r="193" spans="1:16" x14ac:dyDescent="0.3">
      <c r="B193" t="s">
        <v>168</v>
      </c>
      <c r="D193" s="68">
        <v>0.43990000000000001</v>
      </c>
      <c r="E193" s="68">
        <v>12.92</v>
      </c>
      <c r="F193" s="68">
        <v>10.027999999999999</v>
      </c>
      <c r="G193" s="68">
        <v>0</v>
      </c>
      <c r="H193" s="181">
        <v>0</v>
      </c>
      <c r="I193" s="68">
        <f>H193</f>
        <v>0</v>
      </c>
      <c r="J193" s="68">
        <f t="shared" ref="J193:N193" si="187">I193</f>
        <v>0</v>
      </c>
      <c r="K193" s="68">
        <f t="shared" si="187"/>
        <v>0</v>
      </c>
      <c r="L193" s="68">
        <f t="shared" si="187"/>
        <v>0</v>
      </c>
      <c r="M193" s="68">
        <f t="shared" si="187"/>
        <v>0</v>
      </c>
      <c r="N193" s="68">
        <f t="shared" si="187"/>
        <v>0</v>
      </c>
      <c r="O193" s="68">
        <f t="shared" ref="O193:P193" si="188">N193</f>
        <v>0</v>
      </c>
      <c r="P193" s="68">
        <f t="shared" si="188"/>
        <v>0</v>
      </c>
    </row>
    <row r="194" spans="1:16" x14ac:dyDescent="0.3">
      <c r="B194" t="s">
        <v>152</v>
      </c>
      <c r="D194" s="68">
        <v>5.0799999999999998E-2</v>
      </c>
      <c r="E194" s="68">
        <v>1.6876</v>
      </c>
      <c r="F194" s="68">
        <v>1.4502999999999999</v>
      </c>
      <c r="G194" s="68">
        <v>0.8972</v>
      </c>
      <c r="H194" s="181">
        <v>0.7581</v>
      </c>
      <c r="I194" s="68">
        <f>H194</f>
        <v>0.7581</v>
      </c>
      <c r="J194" s="68">
        <f t="shared" ref="J194:N194" si="189">I194</f>
        <v>0.7581</v>
      </c>
      <c r="K194" s="68">
        <f t="shared" si="189"/>
        <v>0.7581</v>
      </c>
      <c r="L194" s="68">
        <f t="shared" si="189"/>
        <v>0.7581</v>
      </c>
      <c r="M194" s="68">
        <f t="shared" si="189"/>
        <v>0.7581</v>
      </c>
      <c r="N194" s="68">
        <f t="shared" si="189"/>
        <v>0.7581</v>
      </c>
      <c r="O194" s="68">
        <f t="shared" ref="O194:P194" si="190">N194</f>
        <v>0.7581</v>
      </c>
      <c r="P194" s="68">
        <f t="shared" si="190"/>
        <v>0.7581</v>
      </c>
    </row>
    <row r="195" spans="1:16" s="2" customFormat="1" ht="15" thickBot="1" x14ac:dyDescent="0.35">
      <c r="B195" s="25" t="s">
        <v>123</v>
      </c>
      <c r="C195" s="25"/>
      <c r="D195" s="29">
        <f>SUM(D191:D194)</f>
        <v>0.49070000000000003</v>
      </c>
      <c r="E195" s="29">
        <f>SUM(E191:E194)</f>
        <v>14.6076</v>
      </c>
      <c r="F195" s="29">
        <f>SUM(F191:F194)</f>
        <v>11.478299999999999</v>
      </c>
      <c r="G195" s="29">
        <f>SUM(G191:G194)</f>
        <v>0.8972</v>
      </c>
      <c r="H195" s="29">
        <f>SUM(H191:H194)</f>
        <v>0.7581</v>
      </c>
      <c r="I195" s="29">
        <f>SUM(I193:I194)</f>
        <v>0.7581</v>
      </c>
      <c r="J195" s="29">
        <f t="shared" ref="J195:O195" si="191">SUM(J193:J194)</f>
        <v>0.7581</v>
      </c>
      <c r="K195" s="29">
        <f t="shared" si="191"/>
        <v>0.7581</v>
      </c>
      <c r="L195" s="29">
        <f t="shared" si="191"/>
        <v>0.7581</v>
      </c>
      <c r="M195" s="29">
        <f t="shared" si="191"/>
        <v>0.7581</v>
      </c>
      <c r="N195" s="29">
        <f t="shared" si="191"/>
        <v>0.7581</v>
      </c>
      <c r="O195" s="29">
        <f t="shared" si="191"/>
        <v>0.7581</v>
      </c>
      <c r="P195" s="29">
        <f t="shared" ref="P195" si="192">SUM(P193:P194)</f>
        <v>0.7581</v>
      </c>
    </row>
    <row r="196" spans="1:16" ht="15" thickTop="1" x14ac:dyDescent="0.3">
      <c r="D196" s="68"/>
      <c r="E196" s="23"/>
      <c r="F196" s="23"/>
      <c r="G196" s="23"/>
      <c r="H196" s="181"/>
      <c r="I196" s="68"/>
      <c r="J196" s="68"/>
      <c r="K196" s="68"/>
      <c r="L196" s="68"/>
      <c r="M196" s="68"/>
      <c r="N196" s="68"/>
      <c r="O196" s="68"/>
      <c r="P196" s="68"/>
    </row>
    <row r="197" spans="1:16" x14ac:dyDescent="0.3">
      <c r="D197" s="68"/>
      <c r="E197" s="23"/>
      <c r="F197" s="23"/>
      <c r="G197" s="23"/>
      <c r="H197" s="181"/>
      <c r="I197" s="68"/>
      <c r="J197" s="68"/>
      <c r="K197" s="68"/>
      <c r="L197" s="68"/>
      <c r="M197" s="68"/>
      <c r="N197" s="68"/>
      <c r="O197" s="68"/>
      <c r="P197" s="68"/>
    </row>
    <row r="198" spans="1:16" x14ac:dyDescent="0.3">
      <c r="A198">
        <v>6</v>
      </c>
      <c r="B198" s="2" t="s">
        <v>35</v>
      </c>
      <c r="C198" s="2"/>
      <c r="D198" s="174"/>
      <c r="E198" s="23"/>
      <c r="F198" s="23"/>
      <c r="G198" s="23"/>
      <c r="H198" s="181"/>
      <c r="I198" s="68"/>
      <c r="J198" s="68"/>
      <c r="K198" s="68"/>
      <c r="L198" s="68"/>
      <c r="M198" s="68"/>
      <c r="N198" s="68"/>
      <c r="O198" s="68"/>
      <c r="P198" s="68"/>
    </row>
    <row r="199" spans="1:16" x14ac:dyDescent="0.3">
      <c r="B199" t="s">
        <v>354</v>
      </c>
      <c r="D199" s="68">
        <v>1.476</v>
      </c>
      <c r="E199" s="68">
        <v>1.1191</v>
      </c>
      <c r="F199" s="68">
        <v>1.4258999999999999</v>
      </c>
      <c r="G199" s="68">
        <v>0.96939999999999993</v>
      </c>
      <c r="H199" s="181">
        <v>1.0204</v>
      </c>
      <c r="I199" s="68"/>
      <c r="J199" s="68"/>
      <c r="K199" s="68"/>
      <c r="L199" s="68"/>
      <c r="M199" s="68"/>
      <c r="N199" s="68"/>
      <c r="O199" s="68"/>
      <c r="P199" s="68"/>
    </row>
    <row r="200" spans="1:16" x14ac:dyDescent="0.3">
      <c r="B200" t="s">
        <v>355</v>
      </c>
      <c r="D200" s="68">
        <v>1.0146999999999999</v>
      </c>
      <c r="E200" s="68">
        <v>2.7914999999999996</v>
      </c>
      <c r="F200" s="68">
        <v>2.6183999999999998</v>
      </c>
      <c r="G200" s="68">
        <v>3.0493000000000001</v>
      </c>
      <c r="H200" s="181">
        <v>1.9008</v>
      </c>
      <c r="I200" s="68"/>
      <c r="J200" s="68"/>
      <c r="K200" s="68"/>
      <c r="L200" s="68"/>
      <c r="M200" s="68"/>
      <c r="N200" s="68"/>
      <c r="O200" s="68"/>
      <c r="P200" s="68"/>
    </row>
    <row r="201" spans="1:16" x14ac:dyDescent="0.3">
      <c r="B201" t="s">
        <v>31</v>
      </c>
      <c r="D201" s="68">
        <v>3.0920000000000001</v>
      </c>
      <c r="E201" s="68">
        <v>1.6962999999999999</v>
      </c>
      <c r="F201" s="68">
        <v>7.0000999999999998</v>
      </c>
      <c r="G201" s="68">
        <v>9.8045000000000009</v>
      </c>
      <c r="H201" s="181">
        <v>2.0571999999999999</v>
      </c>
      <c r="I201" s="68"/>
      <c r="J201" s="68"/>
      <c r="K201" s="68"/>
      <c r="L201" s="68"/>
      <c r="M201" s="68"/>
      <c r="N201" s="68"/>
      <c r="O201" s="68"/>
      <c r="P201" s="68"/>
    </row>
    <row r="202" spans="1:16" x14ac:dyDescent="0.3">
      <c r="B202" t="s">
        <v>356</v>
      </c>
      <c r="D202" s="68">
        <v>0.17280000000000001</v>
      </c>
      <c r="E202" s="68">
        <v>0.27440000000000003</v>
      </c>
      <c r="F202" s="68">
        <v>0.3382</v>
      </c>
      <c r="G202" s="68">
        <v>0.43030000000000002</v>
      </c>
      <c r="H202" s="181">
        <v>0.63800000000000001</v>
      </c>
      <c r="I202" s="68"/>
      <c r="J202" s="68"/>
      <c r="K202" s="68"/>
      <c r="L202" s="68"/>
      <c r="M202" s="68"/>
      <c r="N202" s="68"/>
      <c r="O202" s="68"/>
      <c r="P202" s="68"/>
    </row>
    <row r="203" spans="1:16" x14ac:dyDescent="0.3">
      <c r="B203" t="s">
        <v>95</v>
      </c>
      <c r="D203" s="68">
        <v>0</v>
      </c>
      <c r="E203" s="68"/>
      <c r="F203" s="68"/>
      <c r="G203" s="68"/>
      <c r="H203" s="181"/>
      <c r="I203" s="68"/>
      <c r="J203" s="68"/>
      <c r="K203" s="68"/>
      <c r="L203" s="68"/>
      <c r="M203" s="68"/>
      <c r="N203" s="68"/>
      <c r="O203" s="68"/>
      <c r="P203" s="68"/>
    </row>
    <row r="204" spans="1:16" x14ac:dyDescent="0.3">
      <c r="B204" s="21" t="s">
        <v>357</v>
      </c>
      <c r="C204" s="21"/>
      <c r="D204" s="68">
        <v>0.1047</v>
      </c>
      <c r="E204" s="68">
        <v>3.9699999999999999E-2</v>
      </c>
      <c r="F204" s="68">
        <v>6.7900000000000002E-2</v>
      </c>
      <c r="G204" s="68">
        <v>7.3499999999999996E-2</v>
      </c>
      <c r="H204" s="181">
        <v>3.2000000000000001E-2</v>
      </c>
      <c r="I204" s="68"/>
      <c r="J204" s="68"/>
      <c r="K204" s="68"/>
      <c r="L204" s="68"/>
      <c r="M204" s="68"/>
      <c r="N204" s="68"/>
      <c r="O204" s="68"/>
      <c r="P204" s="68"/>
    </row>
    <row r="205" spans="1:16" x14ac:dyDescent="0.3">
      <c r="B205" s="21" t="s">
        <v>358</v>
      </c>
      <c r="C205" s="21"/>
      <c r="D205" s="68">
        <v>5.3099999999999994E-2</v>
      </c>
      <c r="E205" s="68">
        <v>4.8399999999999999E-2</v>
      </c>
      <c r="F205" s="68">
        <v>6.5500000000000003E-2</v>
      </c>
      <c r="G205" s="68">
        <v>6.9500000000000006E-2</v>
      </c>
      <c r="H205" s="181">
        <v>7.0599999999999996E-2</v>
      </c>
      <c r="I205" s="68"/>
      <c r="J205" s="68"/>
      <c r="K205" s="68"/>
      <c r="L205" s="68"/>
      <c r="M205" s="68"/>
      <c r="N205" s="68"/>
      <c r="O205" s="68"/>
      <c r="P205" s="68"/>
    </row>
    <row r="206" spans="1:16" x14ac:dyDescent="0.3">
      <c r="B206" s="21" t="s">
        <v>359</v>
      </c>
      <c r="C206" s="21"/>
      <c r="D206" s="68">
        <v>0.11460000000000001</v>
      </c>
      <c r="E206" s="68">
        <v>6.6699999999999995E-2</v>
      </c>
      <c r="F206" s="68">
        <v>7.6499999999999999E-2</v>
      </c>
      <c r="G206" s="68">
        <v>0.20760000000000001</v>
      </c>
      <c r="H206" s="181">
        <v>0.17219999999999999</v>
      </c>
      <c r="I206" s="68"/>
      <c r="J206" s="68"/>
      <c r="K206" s="68"/>
      <c r="L206" s="68"/>
      <c r="M206" s="68"/>
      <c r="N206" s="68"/>
      <c r="O206" s="68"/>
      <c r="P206" s="68"/>
    </row>
    <row r="207" spans="1:16" x14ac:dyDescent="0.3">
      <c r="B207" s="21" t="s">
        <v>360</v>
      </c>
      <c r="C207" s="21"/>
      <c r="D207" s="68">
        <v>1.4000000000000002E-3</v>
      </c>
      <c r="E207" s="68">
        <v>1.3000000000000001E-2</v>
      </c>
      <c r="F207" s="68">
        <v>1.7299999999999999E-2</v>
      </c>
      <c r="G207" s="68">
        <v>1.4800000000000001E-2</v>
      </c>
      <c r="H207" s="181">
        <v>8.9999999999999993E-3</v>
      </c>
      <c r="I207" s="68"/>
      <c r="J207" s="68"/>
      <c r="K207" s="68"/>
      <c r="L207" s="68"/>
      <c r="M207" s="68"/>
      <c r="N207" s="68"/>
      <c r="O207" s="68"/>
      <c r="P207" s="68"/>
    </row>
    <row r="208" spans="1:16" ht="15" thickBot="1" x14ac:dyDescent="0.35">
      <c r="B208" s="25" t="s">
        <v>123</v>
      </c>
      <c r="C208" s="25"/>
      <c r="D208" s="29">
        <f>SUM(D199:D207)</f>
        <v>6.0293000000000001</v>
      </c>
      <c r="E208" s="29">
        <f>SUM(E199:E207)</f>
        <v>6.0490999999999993</v>
      </c>
      <c r="F208" s="29">
        <f>SUM(F199:F207)</f>
        <v>11.6098</v>
      </c>
      <c r="G208" s="29">
        <f>SUM(G199:G207)</f>
        <v>14.618899999999998</v>
      </c>
      <c r="H208" s="29">
        <f>SUM(H199:H207)</f>
        <v>5.9001999999999999</v>
      </c>
      <c r="I208" s="68"/>
      <c r="J208" s="68"/>
      <c r="K208" s="68"/>
      <c r="L208" s="68"/>
      <c r="M208" s="68"/>
      <c r="N208" s="68"/>
      <c r="O208" s="68"/>
      <c r="P208" s="68"/>
    </row>
    <row r="209" spans="2:16" ht="15" thickTop="1" x14ac:dyDescent="0.3">
      <c r="D209" s="68"/>
      <c r="E209" s="23"/>
      <c r="F209" s="23"/>
      <c r="G209" s="23"/>
      <c r="H209" s="181"/>
      <c r="I209" s="68"/>
      <c r="J209" s="68"/>
      <c r="K209" s="68"/>
      <c r="L209" s="68"/>
      <c r="M209" s="68"/>
      <c r="N209" s="68"/>
      <c r="O209" s="68"/>
      <c r="P209" s="68"/>
    </row>
    <row r="210" spans="2:16" x14ac:dyDescent="0.3">
      <c r="B210" s="2" t="s">
        <v>36</v>
      </c>
      <c r="C210" s="2"/>
      <c r="D210" s="174"/>
      <c r="E210" s="23"/>
      <c r="F210" s="23"/>
      <c r="G210" s="23"/>
      <c r="H210" s="181"/>
      <c r="I210" s="68"/>
      <c r="J210" s="68"/>
      <c r="K210" s="68"/>
      <c r="L210" s="68"/>
      <c r="M210" s="68"/>
      <c r="N210" s="68"/>
      <c r="O210" s="68"/>
      <c r="P210" s="68"/>
    </row>
    <row r="211" spans="2:16" x14ac:dyDescent="0.3">
      <c r="B211" t="s">
        <v>361</v>
      </c>
      <c r="D211" s="68"/>
      <c r="E211" s="68" t="s">
        <v>103</v>
      </c>
      <c r="F211" s="68" t="s">
        <v>103</v>
      </c>
      <c r="G211" s="68" t="s">
        <v>103</v>
      </c>
      <c r="H211" s="181"/>
      <c r="I211" s="68"/>
      <c r="J211" s="68"/>
      <c r="K211" s="68"/>
      <c r="L211" s="68"/>
      <c r="M211" s="68"/>
      <c r="N211" s="68"/>
      <c r="O211" s="68"/>
      <c r="P211" s="68"/>
    </row>
    <row r="212" spans="2:16" x14ac:dyDescent="0.3">
      <c r="B212" t="s">
        <v>362</v>
      </c>
      <c r="D212" s="68">
        <v>20.229600000000001</v>
      </c>
      <c r="E212" s="68">
        <v>14.714</v>
      </c>
      <c r="F212" s="68">
        <v>25.118200000000002</v>
      </c>
      <c r="G212" s="68">
        <v>17.9053</v>
      </c>
      <c r="H212" s="181">
        <v>24.981999999999999</v>
      </c>
      <c r="I212" s="68"/>
      <c r="J212" s="68"/>
      <c r="K212" s="68"/>
      <c r="L212" s="68"/>
      <c r="M212" s="68"/>
      <c r="N212" s="68"/>
      <c r="O212" s="68"/>
      <c r="P212" s="68"/>
    </row>
    <row r="213" spans="2:16" x14ac:dyDescent="0.3">
      <c r="B213" t="s">
        <v>363</v>
      </c>
      <c r="D213" s="68">
        <v>0.52010000000000001</v>
      </c>
      <c r="E213" s="68">
        <v>0.52010000000000001</v>
      </c>
      <c r="F213" s="68">
        <v>0.52010000000000001</v>
      </c>
      <c r="G213" s="68">
        <v>0.52010000000000001</v>
      </c>
      <c r="H213" s="181"/>
      <c r="I213" s="68"/>
      <c r="J213" s="68"/>
      <c r="K213" s="68"/>
      <c r="L213" s="68"/>
      <c r="M213" s="68"/>
      <c r="N213" s="68"/>
      <c r="O213" s="68"/>
      <c r="P213" s="68"/>
    </row>
    <row r="214" spans="2:16" x14ac:dyDescent="0.3">
      <c r="B214" t="s">
        <v>364</v>
      </c>
      <c r="D214" s="68"/>
      <c r="E214" s="68" t="s">
        <v>103</v>
      </c>
      <c r="F214" s="68" t="s">
        <v>103</v>
      </c>
      <c r="G214" s="68" t="s">
        <v>103</v>
      </c>
      <c r="H214" s="181"/>
      <c r="I214" s="68"/>
      <c r="J214" s="68"/>
      <c r="K214" s="68"/>
      <c r="L214" s="68"/>
      <c r="M214" s="68"/>
      <c r="N214" s="68"/>
      <c r="O214" s="68"/>
      <c r="P214" s="68"/>
    </row>
    <row r="215" spans="2:16" x14ac:dyDescent="0.3">
      <c r="D215" s="68">
        <f>SUM(D212:D214)</f>
        <v>20.749700000000001</v>
      </c>
      <c r="E215" s="68">
        <f>SUM(E212:E214)</f>
        <v>15.2341</v>
      </c>
      <c r="F215" s="68">
        <f>SUM(F212:F214)</f>
        <v>25.638300000000001</v>
      </c>
      <c r="G215" s="68">
        <f>SUM(G212:G214)</f>
        <v>18.4254</v>
      </c>
      <c r="H215" s="181">
        <f>SUM(H212:H214)</f>
        <v>24.981999999999999</v>
      </c>
      <c r="I215" s="68"/>
      <c r="J215" s="68"/>
      <c r="K215" s="68"/>
      <c r="L215" s="68"/>
      <c r="M215" s="68"/>
      <c r="N215" s="68"/>
      <c r="O215" s="68"/>
      <c r="P215" s="68"/>
    </row>
    <row r="216" spans="2:16" x14ac:dyDescent="0.3">
      <c r="B216" t="s">
        <v>365</v>
      </c>
      <c r="D216" s="68">
        <v>0.52010000000000001</v>
      </c>
      <c r="E216" s="68">
        <v>0.52010000000000001</v>
      </c>
      <c r="F216" s="68">
        <v>0.52010000000000001</v>
      </c>
      <c r="G216" s="68">
        <v>0.52010000000000001</v>
      </c>
      <c r="H216" s="181">
        <v>0.52010000000000001</v>
      </c>
      <c r="I216" s="68"/>
      <c r="J216" s="68"/>
      <c r="K216" s="68"/>
      <c r="L216" s="68"/>
      <c r="M216" s="68"/>
      <c r="N216" s="68"/>
      <c r="O216" s="68"/>
      <c r="P216" s="68"/>
    </row>
    <row r="217" spans="2:16" s="2" customFormat="1" ht="15" thickBot="1" x14ac:dyDescent="0.35">
      <c r="B217" s="25" t="s">
        <v>123</v>
      </c>
      <c r="C217" s="25"/>
      <c r="D217" s="29">
        <f>D215-D216</f>
        <v>20.229600000000001</v>
      </c>
      <c r="E217" s="29">
        <f>E215-E216</f>
        <v>14.714</v>
      </c>
      <c r="F217" s="29">
        <f>F215-F216</f>
        <v>25.118200000000002</v>
      </c>
      <c r="G217" s="29">
        <f>G215-G216</f>
        <v>17.9053</v>
      </c>
      <c r="H217" s="29">
        <f>H215-H216</f>
        <v>24.4619</v>
      </c>
      <c r="I217" s="30"/>
      <c r="J217" s="174"/>
      <c r="K217" s="174"/>
      <c r="L217" s="174"/>
      <c r="M217" s="174"/>
      <c r="N217" s="174"/>
      <c r="O217" s="174"/>
      <c r="P217" s="174"/>
    </row>
    <row r="218" spans="2:16" ht="15" thickTop="1" x14ac:dyDescent="0.3">
      <c r="D218" s="68"/>
      <c r="E218" s="23"/>
      <c r="F218" s="23"/>
      <c r="G218" s="23"/>
      <c r="H218" s="181"/>
      <c r="I218" s="68"/>
      <c r="J218" s="68"/>
      <c r="K218" s="68"/>
      <c r="L218" s="68"/>
      <c r="M218" s="68"/>
      <c r="N218" s="68"/>
      <c r="O218" s="68"/>
      <c r="P218" s="68"/>
    </row>
    <row r="219" spans="2:16" x14ac:dyDescent="0.3">
      <c r="B219" s="2" t="s">
        <v>366</v>
      </c>
      <c r="C219" s="2"/>
      <c r="D219" s="174"/>
      <c r="E219" s="23"/>
      <c r="F219" s="23"/>
      <c r="G219" s="23"/>
      <c r="H219" s="181"/>
      <c r="I219" s="68"/>
      <c r="J219" s="68"/>
      <c r="K219" s="68"/>
      <c r="L219" s="68"/>
      <c r="M219" s="68"/>
      <c r="N219" s="68"/>
      <c r="O219" s="68"/>
      <c r="P219" s="68"/>
    </row>
    <row r="220" spans="2:16" x14ac:dyDescent="0.3">
      <c r="B220" t="s">
        <v>367</v>
      </c>
      <c r="D220" s="68">
        <v>0.82220000000000004</v>
      </c>
      <c r="E220" s="68">
        <v>3.9352</v>
      </c>
      <c r="F220" s="68">
        <v>0.25180000000000002</v>
      </c>
      <c r="G220" s="68">
        <v>6.0477999999999996</v>
      </c>
      <c r="H220" s="181">
        <v>4.8899999999999997</v>
      </c>
      <c r="I220" s="68"/>
      <c r="J220" s="68"/>
      <c r="K220" s="68"/>
      <c r="L220" s="68"/>
      <c r="M220" s="68"/>
      <c r="N220" s="68"/>
      <c r="O220" s="68"/>
      <c r="P220" s="68"/>
    </row>
    <row r="221" spans="2:16" x14ac:dyDescent="0.3">
      <c r="B221" t="s">
        <v>368</v>
      </c>
      <c r="D221" s="68">
        <v>3.73E-2</v>
      </c>
      <c r="E221" s="68">
        <v>3.9300000000000002E-2</v>
      </c>
      <c r="F221" s="68">
        <v>9.0000000000000011E-3</v>
      </c>
      <c r="G221" s="68">
        <v>7.0999999999999995E-3</v>
      </c>
      <c r="H221" s="181">
        <v>4.1000000000000003E-3</v>
      </c>
      <c r="I221" s="68"/>
      <c r="J221" s="68"/>
      <c r="K221" s="68"/>
      <c r="L221" s="68"/>
      <c r="M221" s="68"/>
      <c r="N221" s="68"/>
      <c r="O221" s="68"/>
      <c r="P221" s="68"/>
    </row>
    <row r="222" spans="2:16" s="2" customFormat="1" ht="15" thickBot="1" x14ac:dyDescent="0.35">
      <c r="B222" s="25" t="s">
        <v>123</v>
      </c>
      <c r="C222" s="25"/>
      <c r="D222" s="29">
        <f>SUM(D220:D221)</f>
        <v>0.85950000000000004</v>
      </c>
      <c r="E222" s="29">
        <f>SUM(E220:E221)</f>
        <v>3.9744999999999999</v>
      </c>
      <c r="F222" s="29">
        <f>SUM(F220:F221)</f>
        <v>0.26080000000000003</v>
      </c>
      <c r="G222" s="29">
        <f>SUM(G220:G221)</f>
        <v>6.0548999999999999</v>
      </c>
      <c r="H222" s="29">
        <f>SUM(H220:H221)</f>
        <v>4.8940999999999999</v>
      </c>
      <c r="I222" s="174"/>
      <c r="J222" s="174"/>
      <c r="K222" s="174"/>
      <c r="L222" s="174"/>
      <c r="M222" s="174"/>
      <c r="N222" s="174"/>
      <c r="O222" s="174"/>
      <c r="P222" s="174"/>
    </row>
    <row r="223" spans="2:16" ht="15" thickTop="1" x14ac:dyDescent="0.3">
      <c r="D223" s="68"/>
      <c r="E223" s="23"/>
      <c r="F223" s="23"/>
      <c r="G223" s="23"/>
      <c r="H223" s="181"/>
      <c r="I223" s="68"/>
      <c r="J223" s="68"/>
      <c r="K223" s="68"/>
      <c r="L223" s="68"/>
      <c r="M223" s="68"/>
      <c r="N223" s="68"/>
      <c r="O223" s="68"/>
      <c r="P223" s="68"/>
    </row>
    <row r="224" spans="2:16" x14ac:dyDescent="0.3">
      <c r="B224" s="2" t="s">
        <v>132</v>
      </c>
      <c r="C224" s="2"/>
      <c r="D224" s="174"/>
      <c r="E224" s="23"/>
      <c r="F224" s="23"/>
      <c r="G224" s="23"/>
      <c r="H224" s="181"/>
      <c r="I224" s="68"/>
      <c r="J224" s="68"/>
      <c r="K224" s="68"/>
      <c r="L224" s="68"/>
      <c r="M224" s="68"/>
      <c r="N224" s="68"/>
      <c r="O224" s="68"/>
      <c r="P224" s="68"/>
    </row>
    <row r="225" spans="1:16" x14ac:dyDescent="0.3">
      <c r="B225" t="s">
        <v>369</v>
      </c>
      <c r="D225" s="68">
        <v>0.31940000000000002</v>
      </c>
      <c r="E225" s="68">
        <v>0.35609999999999997</v>
      </c>
      <c r="F225" s="68">
        <v>0.33750000000000002</v>
      </c>
      <c r="G225" s="23"/>
      <c r="H225" s="181"/>
      <c r="I225" s="68"/>
      <c r="J225" s="68"/>
      <c r="K225" s="68"/>
      <c r="L225" s="68"/>
      <c r="M225" s="68"/>
      <c r="N225" s="68"/>
      <c r="O225" s="68"/>
      <c r="P225" s="68"/>
    </row>
    <row r="226" spans="1:16" x14ac:dyDescent="0.3">
      <c r="B226" t="s">
        <v>370</v>
      </c>
      <c r="D226" s="68">
        <v>0</v>
      </c>
      <c r="E226" s="23"/>
      <c r="F226" s="23"/>
      <c r="G226" s="23"/>
      <c r="H226" s="181"/>
      <c r="I226" s="68"/>
      <c r="J226" s="68"/>
      <c r="K226" s="68"/>
      <c r="L226" s="68"/>
      <c r="M226" s="68"/>
      <c r="N226" s="68"/>
      <c r="O226" s="68"/>
      <c r="P226" s="68"/>
    </row>
    <row r="227" spans="1:16" x14ac:dyDescent="0.3">
      <c r="B227" t="s">
        <v>371</v>
      </c>
      <c r="D227" s="68">
        <v>0.9052</v>
      </c>
      <c r="E227" s="68">
        <v>23.307600000000001</v>
      </c>
      <c r="F227" s="68">
        <v>11.550699999999999</v>
      </c>
      <c r="G227" s="68">
        <v>2.8477999999999999</v>
      </c>
      <c r="H227" s="181"/>
      <c r="I227" s="68"/>
      <c r="J227" s="68"/>
      <c r="K227" s="68"/>
      <c r="L227" s="68"/>
      <c r="M227" s="68"/>
      <c r="N227" s="68"/>
      <c r="O227" s="68"/>
      <c r="P227" s="68"/>
    </row>
    <row r="228" spans="1:16" x14ac:dyDescent="0.3">
      <c r="B228" t="s">
        <v>372</v>
      </c>
      <c r="D228" s="68">
        <v>0</v>
      </c>
      <c r="E228" s="23"/>
      <c r="F228" s="68">
        <v>0.16940000000000002</v>
      </c>
      <c r="G228" s="68">
        <v>0.4007</v>
      </c>
      <c r="H228" s="181">
        <v>1.8571</v>
      </c>
      <c r="I228" s="68">
        <f>H228</f>
        <v>1.8571</v>
      </c>
      <c r="J228" s="68">
        <f t="shared" ref="J228:N228" si="193">I228</f>
        <v>1.8571</v>
      </c>
      <c r="K228" s="68">
        <f t="shared" si="193"/>
        <v>1.8571</v>
      </c>
      <c r="L228" s="68">
        <f t="shared" si="193"/>
        <v>1.8571</v>
      </c>
      <c r="M228" s="68">
        <f t="shared" si="193"/>
        <v>1.8571</v>
      </c>
      <c r="N228" s="68">
        <f t="shared" si="193"/>
        <v>1.8571</v>
      </c>
      <c r="O228" s="68">
        <f t="shared" ref="O228:P228" si="194">N228</f>
        <v>1.8571</v>
      </c>
      <c r="P228" s="68">
        <f t="shared" si="194"/>
        <v>1.8571</v>
      </c>
    </row>
    <row r="229" spans="1:16" x14ac:dyDescent="0.3">
      <c r="B229" t="s">
        <v>373</v>
      </c>
      <c r="D229" s="68">
        <v>0</v>
      </c>
      <c r="E229" s="23"/>
      <c r="F229" s="68">
        <v>3.0499999999999999E-2</v>
      </c>
      <c r="G229" s="68">
        <v>3.0499999999999999E-2</v>
      </c>
      <c r="H229" s="181">
        <v>0.76559999999999995</v>
      </c>
      <c r="I229" s="68">
        <f>H229</f>
        <v>0.76559999999999995</v>
      </c>
      <c r="J229" s="68">
        <v>0</v>
      </c>
      <c r="K229" s="68">
        <f t="shared" ref="K229:N229" si="195">J229</f>
        <v>0</v>
      </c>
      <c r="L229" s="68">
        <f t="shared" si="195"/>
        <v>0</v>
      </c>
      <c r="M229" s="68">
        <f t="shared" si="195"/>
        <v>0</v>
      </c>
      <c r="N229" s="68">
        <f t="shared" si="195"/>
        <v>0</v>
      </c>
      <c r="O229" s="68">
        <f t="shared" ref="O229:P229" si="196">N229</f>
        <v>0</v>
      </c>
      <c r="P229" s="68">
        <f t="shared" si="196"/>
        <v>0</v>
      </c>
    </row>
    <row r="230" spans="1:16" s="2" customFormat="1" ht="15" thickBot="1" x14ac:dyDescent="0.35">
      <c r="B230" s="25" t="s">
        <v>123</v>
      </c>
      <c r="C230" s="25"/>
      <c r="D230" s="29">
        <f>SUM(D225:D229)</f>
        <v>1.2246000000000001</v>
      </c>
      <c r="E230" s="29">
        <f>SUM(E225:E229)</f>
        <v>23.663700000000002</v>
      </c>
      <c r="F230" s="29">
        <f>SUM(F225:F229)</f>
        <v>12.088099999999999</v>
      </c>
      <c r="G230" s="29">
        <f>SUM(G225:G229)</f>
        <v>3.2789999999999999</v>
      </c>
      <c r="H230" s="29">
        <f>SUM(H225:H229)</f>
        <v>2.6227</v>
      </c>
      <c r="I230" s="29">
        <f>SUM(I228:I229)</f>
        <v>2.6227</v>
      </c>
      <c r="J230" s="29">
        <f t="shared" ref="J230:O230" si="197">SUM(J228:J229)</f>
        <v>1.8571</v>
      </c>
      <c r="K230" s="29">
        <f t="shared" si="197"/>
        <v>1.8571</v>
      </c>
      <c r="L230" s="29">
        <f t="shared" si="197"/>
        <v>1.8571</v>
      </c>
      <c r="M230" s="29">
        <f t="shared" si="197"/>
        <v>1.8571</v>
      </c>
      <c r="N230" s="29">
        <f t="shared" si="197"/>
        <v>1.8571</v>
      </c>
      <c r="O230" s="29">
        <f t="shared" si="197"/>
        <v>1.8571</v>
      </c>
      <c r="P230" s="29">
        <f t="shared" ref="P230" si="198">SUM(P228:P229)</f>
        <v>1.8571</v>
      </c>
    </row>
    <row r="231" spans="1:16" ht="15" thickTop="1" x14ac:dyDescent="0.3">
      <c r="D231" s="68"/>
      <c r="E231" s="23"/>
      <c r="F231" s="23"/>
      <c r="G231" s="23"/>
      <c r="H231" s="181"/>
      <c r="I231" s="68"/>
      <c r="J231" s="68"/>
      <c r="K231" s="68"/>
      <c r="L231" s="68"/>
      <c r="M231" s="68"/>
      <c r="N231" s="68"/>
      <c r="O231" s="68"/>
      <c r="P231" s="68"/>
    </row>
    <row r="232" spans="1:16" x14ac:dyDescent="0.3">
      <c r="D232" s="68"/>
      <c r="E232" s="23"/>
      <c r="F232" s="23"/>
      <c r="G232" s="23"/>
      <c r="H232" s="181"/>
      <c r="I232" s="68"/>
      <c r="J232" s="68"/>
      <c r="K232" s="68"/>
      <c r="L232" s="68"/>
      <c r="M232" s="68"/>
      <c r="N232" s="68"/>
      <c r="O232" s="68"/>
      <c r="P232" s="68"/>
    </row>
    <row r="233" spans="1:16" x14ac:dyDescent="0.3">
      <c r="A233">
        <v>10</v>
      </c>
      <c r="B233" s="2" t="s">
        <v>155</v>
      </c>
      <c r="C233" s="2"/>
      <c r="D233" s="174"/>
      <c r="E233" s="23"/>
      <c r="F233" s="23"/>
      <c r="G233" s="23"/>
      <c r="H233" s="181"/>
      <c r="I233" s="68"/>
      <c r="J233" s="68"/>
      <c r="K233" s="68"/>
      <c r="L233" s="68"/>
      <c r="M233" s="68"/>
      <c r="N233" s="68"/>
      <c r="O233" s="68"/>
      <c r="P233" s="68"/>
    </row>
    <row r="234" spans="1:16" x14ac:dyDescent="0.3">
      <c r="B234" s="2" t="s">
        <v>149</v>
      </c>
      <c r="C234" s="2"/>
      <c r="D234" s="174"/>
      <c r="E234" s="68"/>
      <c r="F234" s="68"/>
      <c r="G234" s="68"/>
      <c r="H234" s="181"/>
      <c r="I234" s="68"/>
      <c r="J234" s="68"/>
      <c r="K234" s="68"/>
      <c r="L234" s="68"/>
      <c r="M234" s="68"/>
      <c r="N234" s="68"/>
      <c r="O234" s="68"/>
      <c r="P234" s="68"/>
    </row>
    <row r="235" spans="1:16" x14ac:dyDescent="0.3">
      <c r="B235" t="s">
        <v>156</v>
      </c>
      <c r="D235" s="68">
        <v>0.13819999999999999</v>
      </c>
      <c r="E235" s="68">
        <v>1.012</v>
      </c>
      <c r="F235" s="68">
        <v>1.5666</v>
      </c>
      <c r="G235" s="68">
        <v>8.8350000000000009</v>
      </c>
      <c r="H235" s="181">
        <v>2.9521999999999999</v>
      </c>
      <c r="I235" s="68">
        <f>H235</f>
        <v>2.9521999999999999</v>
      </c>
      <c r="J235" s="68">
        <f t="shared" ref="J235:N235" si="199">I235</f>
        <v>2.9521999999999999</v>
      </c>
      <c r="K235" s="68">
        <f t="shared" si="199"/>
        <v>2.9521999999999999</v>
      </c>
      <c r="L235" s="68">
        <f t="shared" si="199"/>
        <v>2.9521999999999999</v>
      </c>
      <c r="M235" s="68">
        <f t="shared" si="199"/>
        <v>2.9521999999999999</v>
      </c>
      <c r="N235" s="68">
        <f t="shared" si="199"/>
        <v>2.9521999999999999</v>
      </c>
      <c r="O235" s="68">
        <f t="shared" ref="O235:P235" si="200">N235</f>
        <v>2.9521999999999999</v>
      </c>
      <c r="P235" s="68">
        <f t="shared" si="200"/>
        <v>2.9521999999999999</v>
      </c>
    </row>
    <row r="236" spans="1:16" x14ac:dyDescent="0.3">
      <c r="B236" t="s">
        <v>157</v>
      </c>
      <c r="D236" s="68">
        <v>0</v>
      </c>
      <c r="E236" s="68"/>
      <c r="F236" s="68"/>
      <c r="G236" s="68"/>
      <c r="H236" s="181"/>
      <c r="I236" s="68"/>
      <c r="J236" s="68"/>
      <c r="K236" s="68"/>
      <c r="L236" s="68"/>
      <c r="M236" s="68"/>
      <c r="N236" s="68"/>
      <c r="O236" s="68"/>
      <c r="P236" s="68"/>
    </row>
    <row r="237" spans="1:16" x14ac:dyDescent="0.3">
      <c r="B237" s="27" t="s">
        <v>158</v>
      </c>
      <c r="C237" s="27"/>
      <c r="D237" s="68">
        <v>1.8000000000000002E-2</v>
      </c>
      <c r="E237" s="68">
        <v>0.61829999999999996</v>
      </c>
      <c r="F237" s="68">
        <v>0.66480000000000006</v>
      </c>
      <c r="G237" s="68">
        <v>0.74680000000000002</v>
      </c>
      <c r="H237" s="181">
        <v>0.7621</v>
      </c>
      <c r="I237" s="68">
        <f>H237</f>
        <v>0.7621</v>
      </c>
      <c r="J237" s="68">
        <f t="shared" ref="J237:N237" si="201">I237</f>
        <v>0.7621</v>
      </c>
      <c r="K237" s="68">
        <f t="shared" si="201"/>
        <v>0.7621</v>
      </c>
      <c r="L237" s="68">
        <f t="shared" si="201"/>
        <v>0.7621</v>
      </c>
      <c r="M237" s="68">
        <f t="shared" si="201"/>
        <v>0.7621</v>
      </c>
      <c r="N237" s="68">
        <f t="shared" si="201"/>
        <v>0.7621</v>
      </c>
      <c r="O237" s="68">
        <f t="shared" ref="O237:P237" si="202">N237</f>
        <v>0.7621</v>
      </c>
      <c r="P237" s="68">
        <f t="shared" si="202"/>
        <v>0.7621</v>
      </c>
    </row>
    <row r="238" spans="1:16" x14ac:dyDescent="0.3">
      <c r="B238" s="27" t="s">
        <v>159</v>
      </c>
      <c r="C238" s="27"/>
      <c r="D238" s="68">
        <v>0.5484</v>
      </c>
      <c r="E238" s="68">
        <v>0.34130000000000005</v>
      </c>
      <c r="F238" s="68">
        <v>0.4194</v>
      </c>
      <c r="G238" s="68">
        <v>1.0046999999999999</v>
      </c>
      <c r="H238" s="181">
        <v>0.71909999999999996</v>
      </c>
      <c r="I238" s="68">
        <f>H238</f>
        <v>0.71909999999999996</v>
      </c>
      <c r="J238" s="68">
        <f t="shared" ref="J238:N238" si="203">I238</f>
        <v>0.71909999999999996</v>
      </c>
      <c r="K238" s="68">
        <f t="shared" si="203"/>
        <v>0.71909999999999996</v>
      </c>
      <c r="L238" s="68">
        <f t="shared" si="203"/>
        <v>0.71909999999999996</v>
      </c>
      <c r="M238" s="68">
        <f t="shared" si="203"/>
        <v>0.71909999999999996</v>
      </c>
      <c r="N238" s="68">
        <f t="shared" si="203"/>
        <v>0.71909999999999996</v>
      </c>
      <c r="O238" s="68">
        <f t="shared" ref="O238:P238" si="204">N238</f>
        <v>0.71909999999999996</v>
      </c>
      <c r="P238" s="68">
        <f t="shared" si="204"/>
        <v>0.71909999999999996</v>
      </c>
    </row>
    <row r="239" spans="1:16" x14ac:dyDescent="0.3">
      <c r="B239" s="27" t="s">
        <v>95</v>
      </c>
      <c r="C239" s="27"/>
      <c r="D239" s="68">
        <v>0</v>
      </c>
      <c r="E239" s="23"/>
      <c r="F239" s="23"/>
      <c r="G239" s="68"/>
      <c r="H239" s="181"/>
      <c r="I239" s="68"/>
      <c r="J239" s="68"/>
      <c r="K239" s="68"/>
      <c r="L239" s="68"/>
      <c r="M239" s="68"/>
      <c r="N239" s="68"/>
      <c r="O239" s="68"/>
      <c r="P239" s="68"/>
    </row>
    <row r="240" spans="1:16" x14ac:dyDescent="0.3">
      <c r="B240" s="27" t="s">
        <v>160</v>
      </c>
      <c r="C240" s="27"/>
      <c r="D240" s="68">
        <v>1.77E-2</v>
      </c>
      <c r="E240" s="68">
        <v>9.0000000000000011E-3</v>
      </c>
      <c r="F240" s="68">
        <v>5.7999999999999996E-3</v>
      </c>
      <c r="G240" s="68" t="s">
        <v>103</v>
      </c>
      <c r="H240" s="181"/>
      <c r="I240" s="68"/>
      <c r="J240" s="68"/>
      <c r="K240" s="68"/>
      <c r="L240" s="68"/>
      <c r="M240" s="68"/>
      <c r="N240" s="68"/>
      <c r="O240" s="68"/>
      <c r="P240" s="68"/>
    </row>
    <row r="241" spans="1:16" x14ac:dyDescent="0.3">
      <c r="B241" s="27" t="s">
        <v>161</v>
      </c>
      <c r="C241" s="27"/>
      <c r="D241" s="68">
        <v>1.6791999999999998</v>
      </c>
      <c r="E241" s="68">
        <v>0.63850000000000007</v>
      </c>
      <c r="F241" s="68">
        <v>0.122</v>
      </c>
      <c r="G241" s="68">
        <v>0.1066</v>
      </c>
      <c r="H241" s="181">
        <v>2.3786999999999998</v>
      </c>
      <c r="I241" s="68">
        <f>H241</f>
        <v>2.3786999999999998</v>
      </c>
      <c r="J241" s="68">
        <f t="shared" ref="J241:N241" si="205">I241</f>
        <v>2.3786999999999998</v>
      </c>
      <c r="K241" s="68">
        <f t="shared" si="205"/>
        <v>2.3786999999999998</v>
      </c>
      <c r="L241" s="68">
        <f t="shared" si="205"/>
        <v>2.3786999999999998</v>
      </c>
      <c r="M241" s="68">
        <f t="shared" si="205"/>
        <v>2.3786999999999998</v>
      </c>
      <c r="N241" s="68">
        <f t="shared" si="205"/>
        <v>2.3786999999999998</v>
      </c>
      <c r="O241" s="68">
        <f t="shared" ref="O241:P241" si="206">N241</f>
        <v>2.3786999999999998</v>
      </c>
      <c r="P241" s="68">
        <f t="shared" si="206"/>
        <v>2.3786999999999998</v>
      </c>
    </row>
    <row r="242" spans="1:16" s="2" customFormat="1" ht="15" thickBot="1" x14ac:dyDescent="0.35">
      <c r="B242" s="25" t="s">
        <v>123</v>
      </c>
      <c r="C242" s="25"/>
      <c r="D242" s="29">
        <f>SUM(D234:D241)</f>
        <v>2.4015</v>
      </c>
      <c r="E242" s="29">
        <f>SUM(E234:E241)</f>
        <v>2.6191</v>
      </c>
      <c r="F242" s="29">
        <f>SUM(F234:F241)</f>
        <v>2.7785999999999995</v>
      </c>
      <c r="G242" s="29">
        <f>SUM(G234:G241)</f>
        <v>10.693100000000001</v>
      </c>
      <c r="H242" s="29">
        <f>SUM(H234:H241)</f>
        <v>6.8120999999999992</v>
      </c>
      <c r="I242" s="29">
        <f>SUM(I235:I241)</f>
        <v>6.8120999999999992</v>
      </c>
      <c r="J242" s="29">
        <f t="shared" ref="J242:O242" si="207">SUM(J235:J241)</f>
        <v>6.8120999999999992</v>
      </c>
      <c r="K242" s="29">
        <f t="shared" si="207"/>
        <v>6.8120999999999992</v>
      </c>
      <c r="L242" s="29">
        <f t="shared" si="207"/>
        <v>6.8120999999999992</v>
      </c>
      <c r="M242" s="29">
        <f t="shared" si="207"/>
        <v>6.8120999999999992</v>
      </c>
      <c r="N242" s="29">
        <f t="shared" si="207"/>
        <v>6.8120999999999992</v>
      </c>
      <c r="O242" s="29">
        <f t="shared" si="207"/>
        <v>6.8120999999999992</v>
      </c>
      <c r="P242" s="29">
        <f t="shared" ref="P242" si="208">SUM(P235:P241)</f>
        <v>6.8120999999999992</v>
      </c>
    </row>
    <row r="243" spans="1:16" ht="15" thickTop="1" x14ac:dyDescent="0.3">
      <c r="D243" s="68"/>
      <c r="E243" s="23"/>
      <c r="F243" s="23"/>
      <c r="G243" s="23"/>
      <c r="H243" s="181"/>
      <c r="I243" s="68"/>
      <c r="J243" s="68"/>
      <c r="K243" s="68"/>
      <c r="L243" s="68"/>
      <c r="M243" s="68"/>
      <c r="N243" s="68"/>
      <c r="O243" s="68"/>
      <c r="P243" s="68"/>
    </row>
    <row r="244" spans="1:16" x14ac:dyDescent="0.3">
      <c r="A244">
        <v>11</v>
      </c>
      <c r="B244" s="2" t="s">
        <v>134</v>
      </c>
      <c r="C244" s="2"/>
      <c r="D244" s="174"/>
      <c r="E244" s="23"/>
      <c r="F244" s="23"/>
      <c r="G244" s="23"/>
      <c r="H244" s="181"/>
      <c r="I244" s="68"/>
      <c r="J244" s="68"/>
      <c r="K244" s="68"/>
      <c r="L244" s="68"/>
      <c r="M244" s="68"/>
      <c r="N244" s="68"/>
      <c r="O244" s="68"/>
      <c r="P244" s="68"/>
    </row>
    <row r="245" spans="1:16" x14ac:dyDescent="0.3">
      <c r="B245" t="s">
        <v>160</v>
      </c>
      <c r="D245" s="68">
        <v>0.25009999999999999</v>
      </c>
      <c r="E245" s="68">
        <v>0.29449999999999998</v>
      </c>
      <c r="F245" s="68">
        <v>0.31180000000000002</v>
      </c>
      <c r="G245" s="68">
        <v>0.46960000000000002</v>
      </c>
      <c r="H245" s="181">
        <v>0.54749999999999999</v>
      </c>
      <c r="I245" s="68">
        <f>H245</f>
        <v>0.54749999999999999</v>
      </c>
      <c r="J245" s="68">
        <f t="shared" ref="J245:N245" si="209">I245</f>
        <v>0.54749999999999999</v>
      </c>
      <c r="K245" s="68">
        <f t="shared" si="209"/>
        <v>0.54749999999999999</v>
      </c>
      <c r="L245" s="68">
        <f t="shared" si="209"/>
        <v>0.54749999999999999</v>
      </c>
      <c r="M245" s="68">
        <f t="shared" si="209"/>
        <v>0.54749999999999999</v>
      </c>
      <c r="N245" s="68">
        <f t="shared" si="209"/>
        <v>0.54749999999999999</v>
      </c>
      <c r="O245" s="68">
        <f t="shared" ref="O245:P245" si="210">N245</f>
        <v>0.54749999999999999</v>
      </c>
      <c r="P245" s="68">
        <f t="shared" si="210"/>
        <v>0.54749999999999999</v>
      </c>
    </row>
    <row r="246" spans="1:16" x14ac:dyDescent="0.3">
      <c r="B246" t="s">
        <v>374</v>
      </c>
      <c r="D246" s="68">
        <v>3.1300000000000001E-2</v>
      </c>
      <c r="E246" s="68"/>
      <c r="F246" s="68" t="s">
        <v>103</v>
      </c>
      <c r="G246" s="68">
        <v>0.1216</v>
      </c>
      <c r="H246" s="181">
        <v>0.1216</v>
      </c>
      <c r="I246" s="68">
        <f>H246</f>
        <v>0.1216</v>
      </c>
      <c r="J246" s="68">
        <f t="shared" ref="J246:N246" si="211">I246</f>
        <v>0.1216</v>
      </c>
      <c r="K246" s="68">
        <f t="shared" si="211"/>
        <v>0.1216</v>
      </c>
      <c r="L246" s="68">
        <f t="shared" si="211"/>
        <v>0.1216</v>
      </c>
      <c r="M246" s="68">
        <f t="shared" si="211"/>
        <v>0.1216</v>
      </c>
      <c r="N246" s="68">
        <f t="shared" si="211"/>
        <v>0.1216</v>
      </c>
      <c r="O246" s="68">
        <f t="shared" ref="O246:P246" si="212">N246</f>
        <v>0.1216</v>
      </c>
      <c r="P246" s="68">
        <f t="shared" si="212"/>
        <v>0.1216</v>
      </c>
    </row>
    <row r="247" spans="1:16" s="2" customFormat="1" ht="15" thickBot="1" x14ac:dyDescent="0.35">
      <c r="B247" s="25" t="s">
        <v>123</v>
      </c>
      <c r="C247" s="25"/>
      <c r="D247" s="29">
        <f t="shared" ref="D247:I247" si="213">SUM(D245:D246)</f>
        <v>0.28139999999999998</v>
      </c>
      <c r="E247" s="29">
        <f t="shared" si="213"/>
        <v>0.29449999999999998</v>
      </c>
      <c r="F247" s="29">
        <f t="shared" si="213"/>
        <v>0.31180000000000002</v>
      </c>
      <c r="G247" s="29">
        <f t="shared" si="213"/>
        <v>0.59120000000000006</v>
      </c>
      <c r="H247" s="29">
        <f t="shared" si="213"/>
        <v>0.66910000000000003</v>
      </c>
      <c r="I247" s="29">
        <f t="shared" si="213"/>
        <v>0.66910000000000003</v>
      </c>
      <c r="J247" s="29">
        <f t="shared" ref="J247:O247" si="214">SUM(J245:J246)</f>
        <v>0.66910000000000003</v>
      </c>
      <c r="K247" s="29">
        <f t="shared" si="214"/>
        <v>0.66910000000000003</v>
      </c>
      <c r="L247" s="29">
        <f t="shared" si="214"/>
        <v>0.66910000000000003</v>
      </c>
      <c r="M247" s="29">
        <f t="shared" si="214"/>
        <v>0.66910000000000003</v>
      </c>
      <c r="N247" s="29">
        <f t="shared" si="214"/>
        <v>0.66910000000000003</v>
      </c>
      <c r="O247" s="29">
        <f t="shared" si="214"/>
        <v>0.66910000000000003</v>
      </c>
      <c r="P247" s="29">
        <f t="shared" ref="P247" si="215">SUM(P245:P246)</f>
        <v>0.66910000000000003</v>
      </c>
    </row>
    <row r="248" spans="1:16" ht="15" thickTop="1" x14ac:dyDescent="0.3">
      <c r="D248" s="68"/>
      <c r="E248" s="23"/>
      <c r="F248" s="23"/>
      <c r="G248" s="23"/>
      <c r="H248" s="181"/>
      <c r="I248" s="68"/>
      <c r="J248" s="68"/>
      <c r="K248" s="68"/>
      <c r="L248" s="68"/>
      <c r="M248" s="68"/>
      <c r="N248" s="68"/>
      <c r="O248" s="68"/>
      <c r="P248" s="68"/>
    </row>
    <row r="249" spans="1:16" x14ac:dyDescent="0.3">
      <c r="B249" s="2" t="s">
        <v>375</v>
      </c>
      <c r="C249" s="2"/>
      <c r="D249" s="174"/>
      <c r="E249" s="23"/>
      <c r="F249" s="23"/>
      <c r="G249" s="23"/>
      <c r="H249" s="181"/>
      <c r="I249" s="68"/>
      <c r="J249" s="68"/>
      <c r="K249" s="68"/>
      <c r="L249" s="68"/>
      <c r="M249" s="68"/>
      <c r="N249" s="68"/>
      <c r="O249" s="68"/>
      <c r="P249" s="68"/>
    </row>
    <row r="250" spans="1:16" x14ac:dyDescent="0.3">
      <c r="B250" t="s">
        <v>376</v>
      </c>
      <c r="D250" s="68">
        <v>-1.0724</v>
      </c>
      <c r="E250" s="68">
        <v>-1.2020999999999999</v>
      </c>
      <c r="F250" s="68">
        <v>-1.3522999999999998</v>
      </c>
      <c r="G250" s="68">
        <v>-1.6380000000000001</v>
      </c>
      <c r="H250" s="181"/>
      <c r="I250" s="68"/>
      <c r="J250" s="68"/>
      <c r="K250" s="68"/>
      <c r="L250" s="68"/>
      <c r="M250" s="68"/>
      <c r="N250" s="68"/>
      <c r="O250" s="68"/>
      <c r="P250" s="68"/>
    </row>
    <row r="251" spans="1:16" x14ac:dyDescent="0.3">
      <c r="B251" t="s">
        <v>377</v>
      </c>
      <c r="D251" s="68">
        <v>-6.3099999999999989E-2</v>
      </c>
      <c r="E251" s="68">
        <v>-0.10060000000000001</v>
      </c>
      <c r="F251" s="68">
        <v>-2.4E-2</v>
      </c>
      <c r="G251" s="68">
        <v>-1.2199999999999999E-2</v>
      </c>
      <c r="H251" s="181"/>
      <c r="I251" s="68"/>
      <c r="J251" s="68"/>
      <c r="K251" s="68"/>
      <c r="L251" s="68"/>
      <c r="M251" s="68"/>
      <c r="N251" s="68"/>
      <c r="O251" s="68"/>
      <c r="P251" s="68"/>
    </row>
    <row r="252" spans="1:16" x14ac:dyDescent="0.3">
      <c r="B252" t="s">
        <v>378</v>
      </c>
      <c r="D252" s="68">
        <v>0.14069999999999999</v>
      </c>
      <c r="E252" s="68">
        <v>0.1925</v>
      </c>
      <c r="F252" s="68">
        <v>0.2218</v>
      </c>
      <c r="G252" s="68">
        <v>0.21929999999999999</v>
      </c>
      <c r="H252" s="181"/>
      <c r="I252" s="68"/>
      <c r="J252" s="68"/>
      <c r="K252" s="68"/>
      <c r="L252" s="68"/>
      <c r="M252" s="68"/>
      <c r="N252" s="68"/>
      <c r="O252" s="68"/>
      <c r="P252" s="68"/>
    </row>
    <row r="253" spans="1:16" x14ac:dyDescent="0.3">
      <c r="B253" t="s">
        <v>379</v>
      </c>
      <c r="D253" s="68">
        <v>0.13089999999999999</v>
      </c>
      <c r="E253" s="68">
        <v>0.13089999999999999</v>
      </c>
      <c r="F253" s="68">
        <v>0.13089999999999999</v>
      </c>
      <c r="G253" s="68">
        <v>0.13089999999999999</v>
      </c>
      <c r="H253" s="181"/>
      <c r="I253" s="68"/>
      <c r="J253" s="68"/>
      <c r="K253" s="68"/>
      <c r="L253" s="68"/>
      <c r="M253" s="68"/>
      <c r="N253" s="68"/>
      <c r="O253" s="68"/>
      <c r="P253" s="68"/>
    </row>
    <row r="254" spans="1:16" s="2" customFormat="1" ht="15" thickBot="1" x14ac:dyDescent="0.35">
      <c r="B254" s="25" t="s">
        <v>380</v>
      </c>
      <c r="C254" s="25"/>
      <c r="D254" s="29">
        <f>SUM(D250:D253)</f>
        <v>-0.86389999999999989</v>
      </c>
      <c r="E254" s="29">
        <f>SUM(E250:E253)</f>
        <v>-0.97929999999999984</v>
      </c>
      <c r="F254" s="29">
        <f>SUM(F250:F253)</f>
        <v>-1.0235999999999998</v>
      </c>
      <c r="G254" s="29">
        <f>SUM(G250:G253)</f>
        <v>-1.3</v>
      </c>
      <c r="H254" s="29">
        <v>-1.5942000000000001</v>
      </c>
      <c r="I254" s="174"/>
      <c r="J254" s="174"/>
      <c r="K254" s="174"/>
      <c r="L254" s="174"/>
      <c r="M254" s="174"/>
      <c r="N254" s="174"/>
      <c r="O254" s="174"/>
      <c r="P254" s="174"/>
    </row>
    <row r="255" spans="1:16" ht="15" thickTop="1" x14ac:dyDescent="0.3">
      <c r="D255" s="68"/>
      <c r="E255" s="23"/>
      <c r="F255" s="23"/>
      <c r="G255" s="23"/>
      <c r="H255" s="181"/>
      <c r="I255" s="68"/>
      <c r="J255" s="68"/>
      <c r="K255" s="68"/>
      <c r="L255" s="68"/>
      <c r="M255" s="68"/>
      <c r="N255" s="68"/>
      <c r="O255" s="68"/>
      <c r="P255" s="68"/>
    </row>
    <row r="256" spans="1:16" x14ac:dyDescent="0.3">
      <c r="A256">
        <v>12</v>
      </c>
      <c r="B256" s="2" t="s">
        <v>41</v>
      </c>
      <c r="C256" s="2"/>
      <c r="D256" s="174"/>
      <c r="E256" s="23"/>
      <c r="F256" s="23"/>
      <c r="G256" s="23"/>
      <c r="H256" s="181"/>
      <c r="I256" s="68"/>
      <c r="J256" s="68"/>
      <c r="K256" s="68"/>
      <c r="L256" s="68"/>
      <c r="M256" s="68"/>
      <c r="N256" s="68"/>
      <c r="O256" s="68"/>
      <c r="P256" s="68"/>
    </row>
    <row r="257" spans="2:16" ht="28.8" x14ac:dyDescent="0.3">
      <c r="B257" s="22" t="s">
        <v>381</v>
      </c>
      <c r="C257" s="22"/>
      <c r="D257" s="195"/>
      <c r="E257" s="68"/>
      <c r="F257" s="68"/>
      <c r="G257" s="68"/>
      <c r="H257" s="181"/>
      <c r="I257" s="68"/>
      <c r="J257" s="68"/>
      <c r="K257" s="68"/>
      <c r="L257" s="68"/>
      <c r="M257" s="68"/>
      <c r="N257" s="68"/>
      <c r="O257" s="68"/>
      <c r="P257" s="68"/>
    </row>
    <row r="258" spans="2:16" x14ac:dyDescent="0.3">
      <c r="B258" t="s">
        <v>382</v>
      </c>
      <c r="D258" s="179">
        <v>27200000</v>
      </c>
      <c r="E258" s="179">
        <v>27200000</v>
      </c>
      <c r="F258" s="179">
        <v>27200000</v>
      </c>
      <c r="G258" s="179">
        <v>27200000</v>
      </c>
      <c r="H258" s="215">
        <v>27200000</v>
      </c>
      <c r="I258" s="179">
        <f>H258</f>
        <v>27200000</v>
      </c>
      <c r="J258" s="179">
        <f t="shared" ref="J258:N258" si="216">I258</f>
        <v>27200000</v>
      </c>
      <c r="K258" s="179">
        <f t="shared" si="216"/>
        <v>27200000</v>
      </c>
      <c r="L258" s="179">
        <f t="shared" si="216"/>
        <v>27200000</v>
      </c>
      <c r="M258" s="179">
        <f t="shared" si="216"/>
        <v>27200000</v>
      </c>
      <c r="N258" s="179">
        <f t="shared" si="216"/>
        <v>27200000</v>
      </c>
      <c r="O258" s="179">
        <f t="shared" ref="O258:P258" si="217">N258</f>
        <v>27200000</v>
      </c>
      <c r="P258" s="179">
        <f t="shared" si="217"/>
        <v>27200000</v>
      </c>
    </row>
    <row r="259" spans="2:16" x14ac:dyDescent="0.3">
      <c r="B259" t="s">
        <v>383</v>
      </c>
      <c r="D259" s="68">
        <f>D258*5/10^5</f>
        <v>1360</v>
      </c>
      <c r="E259" s="68">
        <f>E258*5/10^5</f>
        <v>1360</v>
      </c>
      <c r="F259" s="68">
        <f>F258*5/10^5</f>
        <v>1360</v>
      </c>
      <c r="G259" s="68">
        <f>G258*5/10^5</f>
        <v>1360</v>
      </c>
      <c r="H259" s="181">
        <f>H258*5/10^5</f>
        <v>1360</v>
      </c>
      <c r="I259" s="68">
        <f>H259</f>
        <v>1360</v>
      </c>
      <c r="J259" s="68">
        <f t="shared" ref="J259:N259" si="218">I259</f>
        <v>1360</v>
      </c>
      <c r="K259" s="68">
        <f t="shared" si="218"/>
        <v>1360</v>
      </c>
      <c r="L259" s="68">
        <f t="shared" si="218"/>
        <v>1360</v>
      </c>
      <c r="M259" s="68">
        <f t="shared" si="218"/>
        <v>1360</v>
      </c>
      <c r="N259" s="68">
        <f t="shared" si="218"/>
        <v>1360</v>
      </c>
      <c r="O259" s="68">
        <f t="shared" ref="O259:P259" si="219">N259</f>
        <v>1360</v>
      </c>
      <c r="P259" s="68">
        <f t="shared" si="219"/>
        <v>1360</v>
      </c>
    </row>
    <row r="260" spans="2:16" ht="28.8" x14ac:dyDescent="0.3">
      <c r="B260" s="22" t="s">
        <v>384</v>
      </c>
      <c r="C260" s="22"/>
      <c r="D260" s="195"/>
      <c r="E260" s="23"/>
      <c r="F260" s="68"/>
      <c r="G260" s="68"/>
      <c r="H260" s="181"/>
      <c r="I260" s="68"/>
      <c r="J260" s="68"/>
      <c r="K260" s="68"/>
      <c r="L260" s="68"/>
      <c r="M260" s="68"/>
      <c r="N260" s="68"/>
      <c r="O260" s="68"/>
      <c r="P260" s="68"/>
    </row>
    <row r="261" spans="2:16" x14ac:dyDescent="0.3">
      <c r="B261" t="s">
        <v>382</v>
      </c>
      <c r="D261" s="179">
        <v>30000</v>
      </c>
      <c r="E261" s="179">
        <v>30000</v>
      </c>
      <c r="F261" s="179">
        <v>30000</v>
      </c>
      <c r="G261" s="179">
        <v>30000</v>
      </c>
      <c r="H261" s="215">
        <v>30000</v>
      </c>
      <c r="I261" s="179">
        <f>H261</f>
        <v>30000</v>
      </c>
      <c r="J261" s="179">
        <f t="shared" ref="J261:P261" si="220">I261</f>
        <v>30000</v>
      </c>
      <c r="K261" s="179">
        <f t="shared" si="220"/>
        <v>30000</v>
      </c>
      <c r="L261" s="179">
        <f t="shared" si="220"/>
        <v>30000</v>
      </c>
      <c r="M261" s="179">
        <f t="shared" si="220"/>
        <v>30000</v>
      </c>
      <c r="N261" s="179">
        <f t="shared" si="220"/>
        <v>30000</v>
      </c>
      <c r="O261" s="179">
        <f t="shared" si="220"/>
        <v>30000</v>
      </c>
      <c r="P261" s="179">
        <f t="shared" si="220"/>
        <v>30000</v>
      </c>
    </row>
    <row r="262" spans="2:16" x14ac:dyDescent="0.3">
      <c r="B262" t="s">
        <v>385</v>
      </c>
      <c r="D262" s="23">
        <f>D261*100/10^5</f>
        <v>30</v>
      </c>
      <c r="E262" s="23">
        <f>E261*100/10^5</f>
        <v>30</v>
      </c>
      <c r="F262" s="23">
        <f>F261*100/10^5</f>
        <v>30</v>
      </c>
      <c r="G262" s="23">
        <f>G261*100/10^5</f>
        <v>30</v>
      </c>
      <c r="H262" s="23">
        <f>H261*100/10^5</f>
        <v>30</v>
      </c>
      <c r="I262" s="68">
        <f>H262</f>
        <v>30</v>
      </c>
      <c r="J262" s="68">
        <f t="shared" ref="J262:P262" si="221">I262</f>
        <v>30</v>
      </c>
      <c r="K262" s="68">
        <f t="shared" si="221"/>
        <v>30</v>
      </c>
      <c r="L262" s="68">
        <f t="shared" si="221"/>
        <v>30</v>
      </c>
      <c r="M262" s="68">
        <f t="shared" si="221"/>
        <v>30</v>
      </c>
      <c r="N262" s="68">
        <f t="shared" si="221"/>
        <v>30</v>
      </c>
      <c r="O262" s="68">
        <f t="shared" si="221"/>
        <v>30</v>
      </c>
      <c r="P262" s="68">
        <f t="shared" si="221"/>
        <v>30</v>
      </c>
    </row>
    <row r="263" spans="2:16" x14ac:dyDescent="0.3">
      <c r="D263" s="68"/>
      <c r="E263" s="23"/>
      <c r="F263" s="23"/>
      <c r="G263" s="23"/>
      <c r="H263" s="181"/>
      <c r="I263" s="68"/>
      <c r="J263" s="68"/>
      <c r="K263" s="68"/>
      <c r="L263" s="68"/>
      <c r="M263" s="68"/>
      <c r="N263" s="68"/>
      <c r="O263" s="68"/>
      <c r="P263" s="68"/>
    </row>
    <row r="264" spans="2:16" x14ac:dyDescent="0.3">
      <c r="B264" s="2" t="s">
        <v>386</v>
      </c>
      <c r="C264" s="2"/>
      <c r="D264" s="68">
        <v>7.2644000000000002</v>
      </c>
      <c r="E264" s="68">
        <v>7.2644000000000002</v>
      </c>
      <c r="F264" s="68">
        <v>7.2644000000000002</v>
      </c>
      <c r="G264" s="68">
        <v>7.2644000000000002</v>
      </c>
      <c r="H264" s="181">
        <v>7.2644000000000002</v>
      </c>
      <c r="I264" s="68">
        <f>H264</f>
        <v>7.2644000000000002</v>
      </c>
      <c r="J264" s="68">
        <f t="shared" ref="J264:P264" si="222">I264</f>
        <v>7.2644000000000002</v>
      </c>
      <c r="K264" s="68">
        <f t="shared" si="222"/>
        <v>7.2644000000000002</v>
      </c>
      <c r="L264" s="68">
        <f t="shared" si="222"/>
        <v>7.2644000000000002</v>
      </c>
      <c r="M264" s="68">
        <f t="shared" si="222"/>
        <v>7.2644000000000002</v>
      </c>
      <c r="N264" s="68">
        <f t="shared" si="222"/>
        <v>7.2644000000000002</v>
      </c>
      <c r="O264" s="68">
        <f t="shared" si="222"/>
        <v>7.2644000000000002</v>
      </c>
      <c r="P264" s="68">
        <f t="shared" si="222"/>
        <v>7.2644000000000002</v>
      </c>
    </row>
    <row r="265" spans="2:16" x14ac:dyDescent="0.3">
      <c r="D265" s="68"/>
      <c r="E265" s="23"/>
      <c r="F265" s="23"/>
      <c r="G265" s="23"/>
      <c r="H265" s="181"/>
      <c r="I265" s="68"/>
      <c r="J265" s="68"/>
      <c r="K265" s="68"/>
      <c r="L265" s="68"/>
      <c r="M265" s="68"/>
      <c r="N265" s="68"/>
      <c r="O265" s="68"/>
      <c r="P265" s="68"/>
    </row>
    <row r="266" spans="2:16" x14ac:dyDescent="0.3">
      <c r="B266" s="2" t="s">
        <v>42</v>
      </c>
      <c r="C266" s="2"/>
      <c r="D266" s="23"/>
      <c r="E266" s="23"/>
      <c r="F266" s="23"/>
      <c r="G266" s="23"/>
      <c r="H266" s="23"/>
      <c r="I266" s="68"/>
      <c r="J266" s="68"/>
      <c r="K266" s="68"/>
      <c r="L266" s="68"/>
      <c r="M266" s="68"/>
      <c r="N266" s="68"/>
      <c r="O266" s="68"/>
      <c r="P266" s="68"/>
    </row>
    <row r="267" spans="2:16" x14ac:dyDescent="0.3">
      <c r="B267" t="s">
        <v>387</v>
      </c>
      <c r="D267" s="68">
        <v>0.15689999999999998</v>
      </c>
      <c r="E267" s="68">
        <v>0.15689999999999998</v>
      </c>
      <c r="F267" s="68">
        <v>0.15689999999999998</v>
      </c>
      <c r="G267" s="68">
        <v>0.15689999999999998</v>
      </c>
      <c r="H267" s="181">
        <v>0.15690000000000001</v>
      </c>
      <c r="I267" s="68">
        <f>H267</f>
        <v>0.15690000000000001</v>
      </c>
      <c r="J267" s="68">
        <f t="shared" ref="J267:P267" si="223">I267</f>
        <v>0.15690000000000001</v>
      </c>
      <c r="K267" s="68">
        <f t="shared" si="223"/>
        <v>0.15690000000000001</v>
      </c>
      <c r="L267" s="68">
        <f t="shared" si="223"/>
        <v>0.15690000000000001</v>
      </c>
      <c r="M267" s="68">
        <f t="shared" si="223"/>
        <v>0.15690000000000001</v>
      </c>
      <c r="N267" s="68">
        <f t="shared" si="223"/>
        <v>0.15690000000000001</v>
      </c>
      <c r="O267" s="68">
        <f t="shared" si="223"/>
        <v>0.15690000000000001</v>
      </c>
      <c r="P267" s="68">
        <f t="shared" si="223"/>
        <v>0.15690000000000001</v>
      </c>
    </row>
    <row r="268" spans="2:16" x14ac:dyDescent="0.3">
      <c r="B268" t="s">
        <v>388</v>
      </c>
      <c r="D268" s="68">
        <v>2.1644000000000001</v>
      </c>
      <c r="E268" s="68">
        <v>2.1644000000000001</v>
      </c>
      <c r="F268" s="68">
        <v>2.1644000000000001</v>
      </c>
      <c r="G268" s="68">
        <v>2.1644000000000001</v>
      </c>
      <c r="H268" s="181">
        <v>2.1644000000000001</v>
      </c>
      <c r="I268" s="68">
        <f>H268</f>
        <v>2.1644000000000001</v>
      </c>
      <c r="J268" s="68">
        <f t="shared" ref="J268:P268" si="224">I268</f>
        <v>2.1644000000000001</v>
      </c>
      <c r="K268" s="68">
        <f t="shared" si="224"/>
        <v>2.1644000000000001</v>
      </c>
      <c r="L268" s="68">
        <f t="shared" si="224"/>
        <v>2.1644000000000001</v>
      </c>
      <c r="M268" s="68">
        <f t="shared" si="224"/>
        <v>2.1644000000000001</v>
      </c>
      <c r="N268" s="68">
        <f t="shared" si="224"/>
        <v>2.1644000000000001</v>
      </c>
      <c r="O268" s="68">
        <f t="shared" si="224"/>
        <v>2.1644000000000001</v>
      </c>
      <c r="P268" s="68">
        <f t="shared" si="224"/>
        <v>2.1644000000000001</v>
      </c>
    </row>
    <row r="269" spans="2:16" x14ac:dyDescent="0.3">
      <c r="B269" t="s">
        <v>389</v>
      </c>
      <c r="D269" s="68">
        <v>32.609899999999996</v>
      </c>
      <c r="E269" s="68">
        <v>60.361599999999996</v>
      </c>
      <c r="F269" s="68">
        <v>93.735799999999998</v>
      </c>
      <c r="G269" s="68">
        <v>139.56030000000001</v>
      </c>
      <c r="H269" s="181">
        <v>181.57149999999999</v>
      </c>
      <c r="I269" s="68">
        <f>G269+'P&amp;L'!I36</f>
        <v>189.10915959408302</v>
      </c>
      <c r="J269" s="68">
        <f>I269+'P&amp;L'!J36</f>
        <v>261.60704972191434</v>
      </c>
      <c r="K269" s="68">
        <f>J269+'P&amp;L'!K36</f>
        <v>362.01252371123576</v>
      </c>
      <c r="L269" s="68">
        <f>K269+'P&amp;L'!L36</f>
        <v>550.77969758956669</v>
      </c>
      <c r="M269" s="68">
        <f>L269+'P&amp;L'!M36</f>
        <v>778.40887385708243</v>
      </c>
      <c r="N269" s="68">
        <f>M269+'P&amp;L'!N36</f>
        <v>1022.5294983251962</v>
      </c>
      <c r="O269" s="68">
        <f>N269+'P&amp;L'!O36</f>
        <v>1282.2180619398964</v>
      </c>
      <c r="P269" s="68">
        <f>O269+'P&amp;L'!P36</f>
        <v>1558.5425916099525</v>
      </c>
    </row>
    <row r="270" spans="2:16" ht="15" thickBot="1" x14ac:dyDescent="0.35">
      <c r="B270" s="25" t="s">
        <v>123</v>
      </c>
      <c r="C270" s="25"/>
      <c r="D270" s="29">
        <f t="shared" ref="D270:I270" si="225">SUM(D267:D269)</f>
        <v>34.931199999999997</v>
      </c>
      <c r="E270" s="29">
        <f t="shared" si="225"/>
        <v>62.682899999999997</v>
      </c>
      <c r="F270" s="29">
        <f t="shared" si="225"/>
        <v>96.057099999999991</v>
      </c>
      <c r="G270" s="29">
        <f t="shared" si="225"/>
        <v>141.88160000000002</v>
      </c>
      <c r="H270" s="29">
        <f t="shared" si="225"/>
        <v>183.89279999999999</v>
      </c>
      <c r="I270" s="29">
        <f t="shared" si="225"/>
        <v>191.43045959408303</v>
      </c>
      <c r="J270" s="29">
        <f t="shared" ref="J270:O270" si="226">SUM(J267:J269)</f>
        <v>263.92834972191434</v>
      </c>
      <c r="K270" s="29">
        <f t="shared" si="226"/>
        <v>364.33382371123577</v>
      </c>
      <c r="L270" s="29">
        <f t="shared" si="226"/>
        <v>553.10099758956665</v>
      </c>
      <c r="M270" s="29">
        <f t="shared" si="226"/>
        <v>780.73017385708238</v>
      </c>
      <c r="N270" s="29">
        <f t="shared" si="226"/>
        <v>1024.8507983251961</v>
      </c>
      <c r="O270" s="29">
        <f t="shared" si="226"/>
        <v>1284.5393619398965</v>
      </c>
      <c r="P270" s="29">
        <f t="shared" ref="P270" si="227">SUM(P267:P269)</f>
        <v>1560.8638916099526</v>
      </c>
    </row>
    <row r="271" spans="2:16" ht="15" thickTop="1" x14ac:dyDescent="0.3">
      <c r="D271" s="68"/>
      <c r="E271" s="23"/>
      <c r="F271" s="23"/>
      <c r="G271" s="23"/>
      <c r="H271" s="181"/>
      <c r="I271" s="68"/>
      <c r="J271" s="68"/>
      <c r="K271" s="68"/>
      <c r="L271" s="68"/>
      <c r="M271" s="68"/>
      <c r="N271" s="68"/>
      <c r="O271" s="68"/>
      <c r="P271" s="68"/>
    </row>
    <row r="272" spans="2:16" x14ac:dyDescent="0.3">
      <c r="B272" s="2" t="s">
        <v>46</v>
      </c>
      <c r="C272" s="2"/>
      <c r="D272" s="174"/>
      <c r="E272" s="23">
        <f>E20</f>
        <v>0</v>
      </c>
      <c r="F272" s="23">
        <f>F20</f>
        <v>0</v>
      </c>
      <c r="G272" s="23">
        <f>G20</f>
        <v>0</v>
      </c>
      <c r="H272" s="181"/>
      <c r="I272" s="68"/>
      <c r="J272" s="68"/>
      <c r="K272" s="68"/>
      <c r="L272" s="68"/>
      <c r="M272" s="68"/>
      <c r="N272" s="68"/>
      <c r="O272" s="68"/>
      <c r="P272" s="68"/>
    </row>
    <row r="273" spans="2:16" x14ac:dyDescent="0.3">
      <c r="B273" s="2" t="s">
        <v>149</v>
      </c>
      <c r="C273" s="2"/>
      <c r="D273" s="174"/>
      <c r="E273" s="68"/>
      <c r="F273" s="68"/>
      <c r="G273" s="68"/>
      <c r="H273" s="181"/>
      <c r="I273" s="68"/>
      <c r="J273" s="68"/>
      <c r="K273" s="68"/>
      <c r="L273" s="68"/>
      <c r="M273" s="68"/>
      <c r="N273" s="68"/>
      <c r="O273" s="68"/>
      <c r="P273" s="68"/>
    </row>
    <row r="274" spans="2:16" x14ac:dyDescent="0.3">
      <c r="B274" t="s">
        <v>512</v>
      </c>
      <c r="C274" s="2"/>
      <c r="D274" s="174"/>
      <c r="E274" s="68"/>
      <c r="F274" s="68"/>
      <c r="G274" s="68"/>
      <c r="H274" s="181"/>
      <c r="I274" s="68">
        <f>'Debt Sch'!D35-I312</f>
        <v>5</v>
      </c>
      <c r="J274" s="68">
        <f>'Debt Sch'!E35-J312</f>
        <v>49</v>
      </c>
      <c r="K274" s="68">
        <f>'Debt Sch'!F35-K312</f>
        <v>57</v>
      </c>
      <c r="L274" s="68">
        <f>'Debt Sch'!G35-L312</f>
        <v>43</v>
      </c>
      <c r="M274" s="68">
        <f>'Debt Sch'!H35-M312</f>
        <v>27</v>
      </c>
      <c r="N274" s="68">
        <f>'Debt Sch'!I35-N312</f>
        <v>9</v>
      </c>
      <c r="O274" s="68">
        <f>'Debt Sch'!J35-O284</f>
        <v>9</v>
      </c>
      <c r="P274" s="68">
        <f>'Debt Sch'!K35-P284</f>
        <v>0</v>
      </c>
    </row>
    <row r="275" spans="2:16" x14ac:dyDescent="0.3">
      <c r="B275" s="21" t="s">
        <v>513</v>
      </c>
      <c r="C275" s="2"/>
      <c r="D275" s="174"/>
      <c r="E275" s="68"/>
      <c r="F275" s="68"/>
      <c r="G275" s="68"/>
      <c r="H275" s="181"/>
      <c r="I275" s="68"/>
      <c r="J275" s="68"/>
      <c r="K275" s="68"/>
      <c r="L275" s="68"/>
      <c r="M275" s="68"/>
      <c r="N275" s="68"/>
      <c r="O275" s="68"/>
      <c r="P275" s="68"/>
    </row>
    <row r="276" spans="2:16" x14ac:dyDescent="0.3">
      <c r="B276" t="s">
        <v>390</v>
      </c>
      <c r="D276" s="68"/>
      <c r="E276" s="23"/>
      <c r="F276" s="23"/>
      <c r="G276" s="23"/>
      <c r="H276" s="181"/>
      <c r="I276" s="68"/>
      <c r="J276" s="68"/>
      <c r="K276" s="68"/>
      <c r="L276" s="68"/>
      <c r="M276" s="68"/>
      <c r="N276" s="68"/>
      <c r="O276" s="68"/>
      <c r="P276" s="68"/>
    </row>
    <row r="277" spans="2:16" x14ac:dyDescent="0.3">
      <c r="B277" s="21" t="s">
        <v>391</v>
      </c>
      <c r="C277" s="21"/>
      <c r="D277" s="68"/>
      <c r="E277" s="30">
        <v>0</v>
      </c>
      <c r="F277" s="30">
        <v>0</v>
      </c>
      <c r="G277" s="30">
        <v>0</v>
      </c>
      <c r="H277" s="181"/>
      <c r="I277" s="30"/>
      <c r="J277" s="30"/>
      <c r="K277" s="30"/>
      <c r="L277" s="30"/>
      <c r="M277" s="30"/>
      <c r="N277" s="30"/>
      <c r="O277" s="30"/>
      <c r="P277" s="30"/>
    </row>
    <row r="278" spans="2:16" x14ac:dyDescent="0.3">
      <c r="B278" s="31" t="s">
        <v>392</v>
      </c>
      <c r="C278" s="31"/>
      <c r="D278" s="68">
        <v>3.1845999999999997</v>
      </c>
      <c r="E278" s="30">
        <f>302.82-302.82</f>
        <v>0</v>
      </c>
      <c r="F278" s="30">
        <v>0</v>
      </c>
      <c r="G278" s="30">
        <v>0</v>
      </c>
      <c r="H278" s="181"/>
      <c r="I278" s="30"/>
      <c r="J278" s="30"/>
      <c r="K278" s="30"/>
      <c r="L278" s="30"/>
      <c r="M278" s="30"/>
      <c r="N278" s="30"/>
      <c r="O278" s="30"/>
      <c r="P278" s="30"/>
    </row>
    <row r="279" spans="2:16" ht="15" thickBot="1" x14ac:dyDescent="0.35">
      <c r="B279" s="25" t="s">
        <v>123</v>
      </c>
      <c r="C279" s="25"/>
      <c r="D279" s="29">
        <f>SUM(D274:D278)</f>
        <v>3.1845999999999997</v>
      </c>
      <c r="E279" s="29">
        <f t="shared" ref="E279:O279" si="228">SUM(E274:E278)</f>
        <v>0</v>
      </c>
      <c r="F279" s="29">
        <f t="shared" si="228"/>
        <v>0</v>
      </c>
      <c r="G279" s="29">
        <f t="shared" si="228"/>
        <v>0</v>
      </c>
      <c r="H279" s="29">
        <f t="shared" si="228"/>
        <v>0</v>
      </c>
      <c r="I279" s="29">
        <f t="shared" si="228"/>
        <v>5</v>
      </c>
      <c r="J279" s="29">
        <f t="shared" si="228"/>
        <v>49</v>
      </c>
      <c r="K279" s="29">
        <f t="shared" si="228"/>
        <v>57</v>
      </c>
      <c r="L279" s="29">
        <f t="shared" si="228"/>
        <v>43</v>
      </c>
      <c r="M279" s="29">
        <f t="shared" si="228"/>
        <v>27</v>
      </c>
      <c r="N279" s="29">
        <f t="shared" si="228"/>
        <v>9</v>
      </c>
      <c r="O279" s="29">
        <f t="shared" si="228"/>
        <v>9</v>
      </c>
      <c r="P279" s="29">
        <f t="shared" ref="P279" si="229">SUM(P274:P278)</f>
        <v>0</v>
      </c>
    </row>
    <row r="280" spans="2:16" ht="15" thickTop="1" x14ac:dyDescent="0.3">
      <c r="B280" s="2" t="s">
        <v>393</v>
      </c>
      <c r="C280" s="2"/>
      <c r="D280" s="174"/>
      <c r="E280" s="23"/>
      <c r="F280" s="23"/>
      <c r="G280" s="23"/>
      <c r="H280" s="181"/>
      <c r="I280" s="68"/>
      <c r="J280" s="68"/>
      <c r="K280" s="68"/>
      <c r="L280" s="68"/>
      <c r="M280" s="68"/>
      <c r="N280" s="68"/>
      <c r="O280" s="68"/>
      <c r="P280" s="68"/>
    </row>
    <row r="281" spans="2:16" x14ac:dyDescent="0.3">
      <c r="B281" t="s">
        <v>394</v>
      </c>
      <c r="D281" s="68"/>
      <c r="E281" s="23"/>
      <c r="F281" s="23"/>
      <c r="G281" s="23"/>
      <c r="H281" s="181"/>
      <c r="I281" s="68"/>
      <c r="J281" s="68"/>
      <c r="K281" s="68"/>
      <c r="L281" s="68"/>
      <c r="M281" s="68"/>
      <c r="N281" s="68"/>
      <c r="O281" s="68"/>
      <c r="P281" s="68"/>
    </row>
    <row r="282" spans="2:16" x14ac:dyDescent="0.3">
      <c r="B282" s="22" t="s">
        <v>395</v>
      </c>
      <c r="C282" s="22"/>
      <c r="D282" s="195"/>
      <c r="E282" s="30">
        <v>0</v>
      </c>
      <c r="F282" s="30">
        <v>0</v>
      </c>
      <c r="G282" s="30">
        <v>0</v>
      </c>
      <c r="H282" s="181"/>
      <c r="I282" s="68"/>
      <c r="J282" s="68"/>
      <c r="K282" s="68"/>
      <c r="L282" s="68"/>
      <c r="M282" s="68"/>
      <c r="N282" s="68"/>
      <c r="O282" s="68"/>
      <c r="P282" s="68"/>
    </row>
    <row r="283" spans="2:16" x14ac:dyDescent="0.3">
      <c r="B283" s="22" t="s">
        <v>396</v>
      </c>
      <c r="C283" s="22"/>
      <c r="D283" s="195"/>
      <c r="E283" s="30">
        <v>0</v>
      </c>
      <c r="F283" s="30">
        <v>0</v>
      </c>
      <c r="G283" s="30">
        <v>0</v>
      </c>
      <c r="H283" s="181"/>
      <c r="I283" s="68"/>
      <c r="J283" s="68"/>
      <c r="K283" s="68"/>
      <c r="L283" s="68"/>
      <c r="M283" s="68"/>
      <c r="N283" s="68"/>
      <c r="O283" s="68"/>
      <c r="P283" s="68"/>
    </row>
    <row r="284" spans="2:16" x14ac:dyDescent="0.3">
      <c r="B284" t="s">
        <v>397</v>
      </c>
      <c r="C284" s="22"/>
      <c r="D284" s="68">
        <v>4.9655000000000005</v>
      </c>
      <c r="E284" s="68">
        <v>3.0282</v>
      </c>
      <c r="F284" s="30">
        <v>0</v>
      </c>
      <c r="G284" s="30">
        <v>0</v>
      </c>
      <c r="H284" s="181"/>
      <c r="I284" s="68"/>
      <c r="J284" s="68"/>
      <c r="K284" s="68"/>
      <c r="L284" s="68"/>
      <c r="M284" s="68"/>
      <c r="N284" s="68"/>
      <c r="O284" s="68"/>
      <c r="P284" s="68"/>
    </row>
    <row r="285" spans="2:16" ht="15" thickBot="1" x14ac:dyDescent="0.35">
      <c r="B285" s="25" t="s">
        <v>123</v>
      </c>
      <c r="C285" s="25"/>
      <c r="D285" s="29">
        <f>SUM(D281:D284)</f>
        <v>4.9655000000000005</v>
      </c>
      <c r="E285" s="29">
        <f t="shared" ref="E285:H285" si="230">SUM(E281:E284)</f>
        <v>3.0282</v>
      </c>
      <c r="F285" s="29">
        <f t="shared" si="230"/>
        <v>0</v>
      </c>
      <c r="G285" s="29">
        <f t="shared" si="230"/>
        <v>0</v>
      </c>
      <c r="H285" s="29">
        <f t="shared" si="230"/>
        <v>0</v>
      </c>
      <c r="I285" s="29">
        <f>SUM(I281:I284)</f>
        <v>0</v>
      </c>
      <c r="J285" s="29">
        <f t="shared" ref="J285:O285" si="231">SUM(J281:J284)</f>
        <v>0</v>
      </c>
      <c r="K285" s="29">
        <f t="shared" si="231"/>
        <v>0</v>
      </c>
      <c r="L285" s="29">
        <f t="shared" si="231"/>
        <v>0</v>
      </c>
      <c r="M285" s="29">
        <f t="shared" si="231"/>
        <v>0</v>
      </c>
      <c r="N285" s="29">
        <f t="shared" si="231"/>
        <v>0</v>
      </c>
      <c r="O285" s="29">
        <f t="shared" si="231"/>
        <v>0</v>
      </c>
      <c r="P285" s="29">
        <f t="shared" ref="P285" si="232">SUM(P281:P284)</f>
        <v>0</v>
      </c>
    </row>
    <row r="286" spans="2:16" ht="15" thickTop="1" x14ac:dyDescent="0.3">
      <c r="B286" s="2"/>
      <c r="C286" s="2"/>
      <c r="D286" s="174"/>
      <c r="E286" s="30"/>
      <c r="F286" s="30"/>
      <c r="G286" s="30"/>
      <c r="H286" s="181"/>
      <c r="I286" s="196"/>
      <c r="J286" s="196"/>
      <c r="K286" s="196"/>
      <c r="L286" s="196"/>
      <c r="M286" s="196"/>
      <c r="N286" s="68"/>
      <c r="O286" s="68"/>
      <c r="P286" s="68"/>
    </row>
    <row r="287" spans="2:16" x14ac:dyDescent="0.3">
      <c r="B287" s="2" t="s">
        <v>398</v>
      </c>
      <c r="C287" s="2"/>
      <c r="D287" s="174"/>
      <c r="E287" s="66"/>
      <c r="F287" s="66"/>
      <c r="G287" s="66"/>
      <c r="H287" s="181"/>
      <c r="I287" s="197"/>
      <c r="J287" s="197"/>
      <c r="K287" s="197"/>
      <c r="L287" s="197"/>
      <c r="M287" s="197"/>
      <c r="N287" s="68"/>
      <c r="O287" s="68"/>
      <c r="P287" s="68"/>
    </row>
    <row r="288" spans="2:16" x14ac:dyDescent="0.3">
      <c r="B288" t="s">
        <v>399</v>
      </c>
      <c r="D288" s="68">
        <v>0.33860000000000001</v>
      </c>
      <c r="E288" s="68">
        <v>0.32450000000000001</v>
      </c>
      <c r="F288" s="68">
        <v>0.36170000000000002</v>
      </c>
      <c r="G288" s="68">
        <v>0.34130000000000005</v>
      </c>
      <c r="H288" s="181">
        <v>0.33069999999999999</v>
      </c>
      <c r="I288" s="197"/>
      <c r="J288" s="197"/>
      <c r="K288" s="197"/>
      <c r="L288" s="197"/>
      <c r="M288" s="197"/>
      <c r="N288" s="68"/>
      <c r="O288" s="68"/>
      <c r="P288" s="68"/>
    </row>
    <row r="289" spans="2:16" x14ac:dyDescent="0.3">
      <c r="B289" t="s">
        <v>400</v>
      </c>
      <c r="D289" s="68">
        <v>0.15340000000000001</v>
      </c>
      <c r="E289" s="68">
        <v>0.18940000000000001</v>
      </c>
      <c r="F289" s="68">
        <v>0.21729999999999999</v>
      </c>
      <c r="G289" s="68">
        <v>0.2626</v>
      </c>
      <c r="H289" s="181">
        <v>0.31230000000000002</v>
      </c>
      <c r="I289" s="197"/>
      <c r="J289" s="197"/>
      <c r="K289" s="197"/>
      <c r="L289" s="197"/>
      <c r="M289" s="197"/>
      <c r="N289" s="68"/>
      <c r="O289" s="68"/>
      <c r="P289" s="68"/>
    </row>
    <row r="290" spans="2:16" s="2" customFormat="1" ht="15" thickBot="1" x14ac:dyDescent="0.35">
      <c r="B290" s="25" t="s">
        <v>123</v>
      </c>
      <c r="C290" s="25"/>
      <c r="D290" s="29">
        <f>SUM(D288:D289)</f>
        <v>0.49199999999999999</v>
      </c>
      <c r="E290" s="29">
        <f>SUM(E288:E289)</f>
        <v>0.51390000000000002</v>
      </c>
      <c r="F290" s="29">
        <f>SUM(F288:F289)</f>
        <v>0.57899999999999996</v>
      </c>
      <c r="G290" s="29">
        <f>SUM(G288:G289)</f>
        <v>0.6039000000000001</v>
      </c>
      <c r="H290" s="29">
        <f>SUM(H288:H289)</f>
        <v>0.64300000000000002</v>
      </c>
      <c r="I290" s="196"/>
      <c r="J290" s="196"/>
      <c r="K290" s="196"/>
      <c r="L290" s="196"/>
      <c r="M290" s="196"/>
      <c r="N290" s="174"/>
      <c r="O290" s="174"/>
      <c r="P290" s="174"/>
    </row>
    <row r="291" spans="2:16" ht="15" thickTop="1" x14ac:dyDescent="0.3">
      <c r="B291" s="2"/>
      <c r="C291" s="2"/>
      <c r="D291" s="174"/>
      <c r="E291" s="66"/>
      <c r="F291" s="66"/>
      <c r="G291" s="66"/>
      <c r="H291" s="181"/>
      <c r="I291" s="197"/>
      <c r="J291" s="197"/>
      <c r="K291" s="197"/>
      <c r="L291" s="197"/>
      <c r="M291" s="197"/>
      <c r="N291" s="68"/>
      <c r="O291" s="68"/>
      <c r="P291" s="68"/>
    </row>
    <row r="292" spans="2:16" x14ac:dyDescent="0.3">
      <c r="B292" s="2" t="s">
        <v>401</v>
      </c>
      <c r="C292" s="2"/>
      <c r="D292" s="174"/>
      <c r="E292" s="66"/>
      <c r="F292" s="66"/>
      <c r="G292" s="66"/>
      <c r="H292" s="181"/>
      <c r="I292" s="197"/>
      <c r="J292" s="197"/>
      <c r="K292" s="197"/>
      <c r="L292" s="197"/>
      <c r="M292" s="197"/>
      <c r="N292" s="68"/>
      <c r="O292" s="68"/>
      <c r="P292" s="68"/>
    </row>
    <row r="293" spans="2:16" x14ac:dyDescent="0.3">
      <c r="B293" t="s">
        <v>399</v>
      </c>
      <c r="D293" s="68">
        <v>3.4099999999999998E-2</v>
      </c>
      <c r="E293" s="68">
        <v>0.14990000000000001</v>
      </c>
      <c r="F293" s="68">
        <v>0.17050000000000001</v>
      </c>
      <c r="G293" s="68">
        <v>0.1888</v>
      </c>
      <c r="H293" s="181">
        <v>0.1888</v>
      </c>
      <c r="I293" s="197"/>
      <c r="J293" s="197"/>
      <c r="K293" s="197"/>
      <c r="L293" s="197"/>
      <c r="M293" s="197"/>
      <c r="N293" s="68"/>
      <c r="O293" s="68"/>
      <c r="P293" s="68"/>
    </row>
    <row r="294" spans="2:16" x14ac:dyDescent="0.3">
      <c r="B294" t="s">
        <v>400</v>
      </c>
      <c r="D294" s="68">
        <v>1.6E-2</v>
      </c>
      <c r="E294" s="68">
        <v>4.7E-2</v>
      </c>
      <c r="F294" s="68">
        <v>5.5300000000000002E-2</v>
      </c>
      <c r="G294" s="68">
        <v>7.8700000000000006E-2</v>
      </c>
      <c r="H294" s="181">
        <v>7.8700000000000006E-2</v>
      </c>
      <c r="I294" s="197"/>
      <c r="J294" s="197"/>
      <c r="K294" s="197"/>
      <c r="L294" s="197"/>
      <c r="M294" s="197"/>
      <c r="N294" s="68"/>
      <c r="O294" s="68"/>
      <c r="P294" s="68"/>
    </row>
    <row r="295" spans="2:16" ht="15" thickBot="1" x14ac:dyDescent="0.35">
      <c r="B295" s="25" t="s">
        <v>123</v>
      </c>
      <c r="C295" s="25"/>
      <c r="D295" s="29">
        <f>SUM(D293:D294)</f>
        <v>5.0099999999999999E-2</v>
      </c>
      <c r="E295" s="29">
        <f>SUM(E293:E294)</f>
        <v>0.19690000000000002</v>
      </c>
      <c r="F295" s="29">
        <f t="shared" ref="F295:H295" si="233">SUM(F293:F294)</f>
        <v>0.2258</v>
      </c>
      <c r="G295" s="29">
        <f t="shared" si="233"/>
        <v>0.26750000000000002</v>
      </c>
      <c r="H295" s="29">
        <f t="shared" si="233"/>
        <v>0.26750000000000002</v>
      </c>
      <c r="I295" s="197"/>
      <c r="J295" s="197"/>
      <c r="K295" s="197"/>
      <c r="L295" s="197"/>
      <c r="M295" s="197"/>
      <c r="N295" s="68"/>
      <c r="O295" s="68"/>
      <c r="P295" s="68"/>
    </row>
    <row r="296" spans="2:16" ht="15" thickTop="1" x14ac:dyDescent="0.3">
      <c r="B296" s="2"/>
      <c r="C296" s="2"/>
      <c r="D296" s="174"/>
      <c r="E296" s="66"/>
      <c r="F296" s="66"/>
      <c r="G296" s="66"/>
      <c r="H296" s="181"/>
      <c r="I296" s="197"/>
      <c r="J296" s="197"/>
      <c r="K296" s="197"/>
      <c r="L296" s="197"/>
      <c r="M296" s="197"/>
      <c r="N296" s="68"/>
      <c r="O296" s="68"/>
      <c r="P296" s="68"/>
    </row>
    <row r="297" spans="2:16" x14ac:dyDescent="0.3">
      <c r="B297" s="2" t="s">
        <v>138</v>
      </c>
      <c r="C297" s="2"/>
      <c r="D297" s="174"/>
      <c r="E297" s="66"/>
      <c r="F297" s="66"/>
      <c r="G297" s="66"/>
      <c r="H297" s="181"/>
      <c r="I297" s="197"/>
      <c r="J297" s="197"/>
      <c r="K297" s="197"/>
      <c r="L297" s="197"/>
      <c r="M297" s="197"/>
      <c r="N297" s="68"/>
      <c r="O297" s="68"/>
      <c r="P297" s="68"/>
    </row>
    <row r="298" spans="2:16" x14ac:dyDescent="0.3">
      <c r="B298" t="s">
        <v>149</v>
      </c>
      <c r="D298" s="68">
        <v>0</v>
      </c>
      <c r="E298" s="68">
        <v>1.0014000000000001</v>
      </c>
      <c r="F298" s="68">
        <v>0.41909999999999997</v>
      </c>
      <c r="G298" s="66">
        <v>0</v>
      </c>
      <c r="H298" s="181">
        <v>1.9220999999999999</v>
      </c>
      <c r="I298" s="197"/>
      <c r="J298" s="197"/>
      <c r="K298" s="197"/>
      <c r="L298" s="197"/>
      <c r="M298" s="197"/>
      <c r="N298" s="68"/>
      <c r="O298" s="68"/>
      <c r="P298" s="68"/>
    </row>
    <row r="299" spans="2:16" x14ac:dyDescent="0.3">
      <c r="B299" t="s">
        <v>163</v>
      </c>
      <c r="D299" s="68">
        <v>0</v>
      </c>
      <c r="E299" s="68">
        <v>0.79949999999999999</v>
      </c>
      <c r="F299" s="68">
        <v>0.75</v>
      </c>
      <c r="G299" s="68">
        <v>0.41909999999999997</v>
      </c>
      <c r="H299" s="181">
        <v>0.11799999999999999</v>
      </c>
      <c r="I299" s="197"/>
      <c r="J299" s="197"/>
      <c r="K299" s="197"/>
      <c r="L299" s="197"/>
      <c r="M299" s="197"/>
      <c r="N299" s="68"/>
      <c r="O299" s="68"/>
      <c r="P299" s="68"/>
    </row>
    <row r="300" spans="2:16" x14ac:dyDescent="0.3">
      <c r="B300" s="2"/>
      <c r="C300" s="2"/>
      <c r="D300" s="174"/>
      <c r="E300" s="66"/>
      <c r="F300" s="66"/>
      <c r="G300" s="66"/>
      <c r="H300" s="181"/>
      <c r="I300" s="197"/>
      <c r="J300" s="197"/>
      <c r="K300" s="197"/>
      <c r="L300" s="197"/>
      <c r="M300" s="197"/>
      <c r="N300" s="68"/>
      <c r="O300" s="68"/>
      <c r="P300" s="68"/>
    </row>
    <row r="301" spans="2:16" x14ac:dyDescent="0.3">
      <c r="B301" s="2" t="s">
        <v>47</v>
      </c>
      <c r="C301" s="2"/>
      <c r="D301" s="174"/>
      <c r="E301" s="30"/>
      <c r="F301" s="30"/>
      <c r="G301" s="30"/>
      <c r="H301" s="181"/>
      <c r="I301" s="68"/>
      <c r="J301" s="68"/>
      <c r="K301" s="68"/>
      <c r="L301" s="68"/>
      <c r="M301" s="68"/>
      <c r="N301" s="68"/>
      <c r="O301" s="68"/>
      <c r="P301" s="68"/>
    </row>
    <row r="302" spans="2:16" x14ac:dyDescent="0.3">
      <c r="B302" t="s">
        <v>141</v>
      </c>
      <c r="D302" s="68">
        <v>8.6400000000000005E-2</v>
      </c>
      <c r="E302" s="68">
        <v>1.0700000000000001E-2</v>
      </c>
      <c r="F302" s="68">
        <v>0.62719999999999998</v>
      </c>
      <c r="G302" s="68">
        <v>0.55299999999999994</v>
      </c>
      <c r="H302" s="181">
        <v>0.66239999999999999</v>
      </c>
      <c r="I302" s="68"/>
      <c r="J302" s="68"/>
      <c r="K302" s="68"/>
      <c r="L302" s="68"/>
      <c r="M302" s="68"/>
      <c r="N302" s="68"/>
      <c r="O302" s="68"/>
      <c r="P302" s="68"/>
    </row>
    <row r="303" spans="2:16" x14ac:dyDescent="0.3">
      <c r="B303" t="s">
        <v>402</v>
      </c>
      <c r="D303" s="68">
        <v>7.3614999999999995</v>
      </c>
      <c r="E303" s="68">
        <v>3.5268000000000002</v>
      </c>
      <c r="F303" s="68">
        <v>5.9910000000000005</v>
      </c>
      <c r="G303" s="68">
        <v>8.9915000000000003</v>
      </c>
      <c r="H303" s="181">
        <v>7.1562999999999999</v>
      </c>
      <c r="I303" s="68"/>
      <c r="J303" s="68"/>
      <c r="K303" s="68"/>
      <c r="L303" s="68"/>
      <c r="M303" s="68"/>
      <c r="N303" s="68"/>
      <c r="O303" s="68"/>
      <c r="P303" s="68"/>
    </row>
    <row r="304" spans="2:16" ht="15" thickBot="1" x14ac:dyDescent="0.35">
      <c r="B304" s="25" t="s">
        <v>76</v>
      </c>
      <c r="C304" s="25"/>
      <c r="D304" s="29">
        <f t="shared" ref="D304:H304" si="234">SUM(D302:D303)</f>
        <v>7.4478999999999997</v>
      </c>
      <c r="E304" s="29">
        <f t="shared" si="234"/>
        <v>3.5375000000000001</v>
      </c>
      <c r="F304" s="29">
        <f t="shared" si="234"/>
        <v>6.6182000000000007</v>
      </c>
      <c r="G304" s="29">
        <f t="shared" si="234"/>
        <v>9.5444999999999993</v>
      </c>
      <c r="H304" s="29">
        <f t="shared" si="234"/>
        <v>7.8186999999999998</v>
      </c>
      <c r="I304" s="68"/>
      <c r="J304" s="68"/>
      <c r="K304" s="68"/>
      <c r="L304" s="68"/>
      <c r="M304" s="68"/>
      <c r="N304" s="68"/>
      <c r="O304" s="68"/>
      <c r="P304" s="68"/>
    </row>
    <row r="305" spans="1:16" ht="15" thickTop="1" x14ac:dyDescent="0.3">
      <c r="B305" s="2"/>
      <c r="C305" s="2"/>
      <c r="D305" s="174"/>
      <c r="E305" s="30"/>
      <c r="F305" s="30"/>
      <c r="G305" s="30"/>
      <c r="H305" s="181"/>
      <c r="I305" s="68"/>
      <c r="J305" s="68"/>
      <c r="K305" s="68"/>
      <c r="L305" s="68"/>
      <c r="M305" s="68"/>
      <c r="N305" s="68"/>
      <c r="O305" s="68"/>
      <c r="P305" s="68"/>
    </row>
    <row r="306" spans="1:16" x14ac:dyDescent="0.3">
      <c r="A306">
        <v>18</v>
      </c>
      <c r="B306" s="2" t="s">
        <v>67</v>
      </c>
      <c r="C306" s="2"/>
      <c r="D306" s="174"/>
      <c r="E306" s="30"/>
      <c r="F306" s="30"/>
      <c r="G306" s="30"/>
      <c r="H306" s="181"/>
      <c r="I306" s="191"/>
      <c r="J306" s="68"/>
      <c r="K306" s="68"/>
      <c r="L306" s="68"/>
      <c r="M306" s="68"/>
      <c r="N306" s="68"/>
      <c r="O306" s="68"/>
      <c r="P306" s="68"/>
    </row>
    <row r="307" spans="1:16" x14ac:dyDescent="0.3">
      <c r="B307" t="s">
        <v>169</v>
      </c>
      <c r="D307" s="68"/>
      <c r="E307" s="30"/>
      <c r="F307" s="30"/>
      <c r="G307" s="30"/>
      <c r="H307" s="181"/>
      <c r="I307" s="191"/>
      <c r="J307" s="68"/>
      <c r="K307" s="68"/>
      <c r="L307" s="68"/>
      <c r="M307" s="68"/>
      <c r="N307" s="68"/>
      <c r="O307" s="68"/>
      <c r="P307" s="68"/>
    </row>
    <row r="308" spans="1:16" x14ac:dyDescent="0.3">
      <c r="B308" s="21" t="s">
        <v>170</v>
      </c>
      <c r="C308" s="21"/>
      <c r="D308" s="68">
        <v>4.7400000000000005E-2</v>
      </c>
      <c r="E308" s="68">
        <v>0.22989999999999999</v>
      </c>
      <c r="F308" s="68"/>
      <c r="G308" s="68"/>
      <c r="H308" s="181"/>
      <c r="I308" s="68"/>
      <c r="J308" s="68"/>
      <c r="K308" s="68"/>
      <c r="L308" s="68"/>
      <c r="M308" s="68"/>
      <c r="N308" s="68"/>
      <c r="O308" s="68"/>
      <c r="P308" s="68"/>
    </row>
    <row r="309" spans="1:16" x14ac:dyDescent="0.3">
      <c r="B309" s="21" t="s">
        <v>171</v>
      </c>
      <c r="C309" s="21"/>
      <c r="D309" s="68">
        <v>0.12189999999999999</v>
      </c>
      <c r="E309" s="68" t="s">
        <v>103</v>
      </c>
      <c r="F309" s="68">
        <v>1.4546000000000001</v>
      </c>
      <c r="G309" s="68" t="s">
        <v>103</v>
      </c>
      <c r="H309" s="181"/>
      <c r="I309" s="68"/>
      <c r="J309" s="68"/>
      <c r="K309" s="68"/>
      <c r="L309" s="68"/>
      <c r="M309" s="68"/>
      <c r="N309" s="68"/>
      <c r="O309" s="68"/>
      <c r="P309" s="68"/>
    </row>
    <row r="310" spans="1:16" x14ac:dyDescent="0.3">
      <c r="B310" s="21" t="s">
        <v>172</v>
      </c>
      <c r="C310" s="21"/>
      <c r="D310" s="68">
        <v>3.7119999999999997</v>
      </c>
      <c r="E310" s="68">
        <v>6.0603999999999996</v>
      </c>
      <c r="F310" s="68">
        <v>3.6768000000000001</v>
      </c>
      <c r="G310" s="68">
        <v>2.5936000000000003</v>
      </c>
      <c r="H310" s="181">
        <v>3.8056999999999999</v>
      </c>
      <c r="I310" s="68">
        <f>H310</f>
        <v>3.8056999999999999</v>
      </c>
      <c r="J310" s="68">
        <f t="shared" ref="J310:N310" si="235">I310</f>
        <v>3.8056999999999999</v>
      </c>
      <c r="K310" s="68">
        <f t="shared" si="235"/>
        <v>3.8056999999999999</v>
      </c>
      <c r="L310" s="68">
        <f t="shared" si="235"/>
        <v>3.8056999999999999</v>
      </c>
      <c r="M310" s="68">
        <f t="shared" si="235"/>
        <v>3.8056999999999999</v>
      </c>
      <c r="N310" s="68">
        <f t="shared" si="235"/>
        <v>3.8056999999999999</v>
      </c>
      <c r="O310" s="68">
        <f t="shared" ref="O310:P310" si="236">N310</f>
        <v>3.8056999999999999</v>
      </c>
      <c r="P310" s="68">
        <f t="shared" si="236"/>
        <v>3.8056999999999999</v>
      </c>
    </row>
    <row r="311" spans="1:16" x14ac:dyDescent="0.3">
      <c r="B311" s="21" t="s">
        <v>173</v>
      </c>
      <c r="C311" s="21"/>
      <c r="D311" s="68">
        <v>0</v>
      </c>
      <c r="E311" s="68" t="s">
        <v>103</v>
      </c>
      <c r="F311" s="68">
        <v>0.16940000000000002</v>
      </c>
      <c r="G311" s="68">
        <v>0.40060000000000001</v>
      </c>
      <c r="H311" s="181">
        <v>1.7273000000000001</v>
      </c>
      <c r="I311" s="68">
        <f>H311</f>
        <v>1.7273000000000001</v>
      </c>
      <c r="J311" s="68">
        <f t="shared" ref="J311:N311" si="237">I311</f>
        <v>1.7273000000000001</v>
      </c>
      <c r="K311" s="68">
        <f t="shared" si="237"/>
        <v>1.7273000000000001</v>
      </c>
      <c r="L311" s="68">
        <f t="shared" si="237"/>
        <v>1.7273000000000001</v>
      </c>
      <c r="M311" s="68">
        <f t="shared" si="237"/>
        <v>1.7273000000000001</v>
      </c>
      <c r="N311" s="68">
        <f t="shared" si="237"/>
        <v>1.7273000000000001</v>
      </c>
      <c r="O311" s="68">
        <f t="shared" ref="O311:P311" si="238">N311</f>
        <v>1.7273000000000001</v>
      </c>
      <c r="P311" s="68">
        <f t="shared" si="238"/>
        <v>1.7273000000000001</v>
      </c>
    </row>
    <row r="312" spans="1:16" x14ac:dyDescent="0.3">
      <c r="B312" s="21" t="s">
        <v>397</v>
      </c>
      <c r="C312" s="21"/>
      <c r="D312" s="68"/>
      <c r="E312" s="68"/>
      <c r="F312" s="68"/>
      <c r="G312" s="68"/>
      <c r="H312" s="181"/>
      <c r="I312" s="68">
        <f>'Debt Sch'!E34</f>
        <v>0</v>
      </c>
      <c r="J312" s="68">
        <f>'Debt Sch'!F34</f>
        <v>6</v>
      </c>
      <c r="K312" s="68">
        <f>'Debt Sch'!G34</f>
        <v>12</v>
      </c>
      <c r="L312" s="68">
        <f>'Debt Sch'!H34</f>
        <v>14</v>
      </c>
      <c r="M312" s="68">
        <f>'Debt Sch'!I34</f>
        <v>16</v>
      </c>
      <c r="N312" s="68">
        <f>'Debt Sch'!J34</f>
        <v>18</v>
      </c>
      <c r="O312" s="68">
        <f>'Debt Sch'!K34</f>
        <v>9</v>
      </c>
      <c r="P312" s="68">
        <f>'Debt Sch'!L34</f>
        <v>0</v>
      </c>
    </row>
    <row r="313" spans="1:16" ht="15" thickBot="1" x14ac:dyDescent="0.35">
      <c r="B313" s="25" t="s">
        <v>123</v>
      </c>
      <c r="C313" s="25"/>
      <c r="D313" s="29">
        <f>SUM(D308:D312)</f>
        <v>3.8812999999999995</v>
      </c>
      <c r="E313" s="29">
        <f t="shared" ref="E313:O313" si="239">SUM(E308:E312)</f>
        <v>6.2902999999999993</v>
      </c>
      <c r="F313" s="29">
        <f t="shared" si="239"/>
        <v>5.3008000000000006</v>
      </c>
      <c r="G313" s="29">
        <f t="shared" si="239"/>
        <v>2.9942000000000002</v>
      </c>
      <c r="H313" s="29">
        <f t="shared" si="239"/>
        <v>5.5329999999999995</v>
      </c>
      <c r="I313" s="29">
        <f t="shared" si="239"/>
        <v>5.5329999999999995</v>
      </c>
      <c r="J313" s="29">
        <f t="shared" si="239"/>
        <v>11.532999999999999</v>
      </c>
      <c r="K313" s="29">
        <f t="shared" si="239"/>
        <v>17.533000000000001</v>
      </c>
      <c r="L313" s="29">
        <f t="shared" si="239"/>
        <v>19.533000000000001</v>
      </c>
      <c r="M313" s="29">
        <f t="shared" si="239"/>
        <v>21.533000000000001</v>
      </c>
      <c r="N313" s="29">
        <f t="shared" si="239"/>
        <v>23.533000000000001</v>
      </c>
      <c r="O313" s="29">
        <f t="shared" si="239"/>
        <v>14.532999999999999</v>
      </c>
      <c r="P313" s="29">
        <f t="shared" ref="P313" si="240">SUM(P308:P312)</f>
        <v>5.5329999999999995</v>
      </c>
    </row>
    <row r="314" spans="1:16" ht="15" thickTop="1" x14ac:dyDescent="0.3">
      <c r="B314" s="2"/>
      <c r="C314" s="2"/>
      <c r="D314" s="174"/>
      <c r="E314" s="30"/>
      <c r="F314" s="30"/>
      <c r="G314" s="30"/>
      <c r="H314" s="181"/>
      <c r="I314" s="68"/>
      <c r="J314" s="68"/>
      <c r="K314" s="68"/>
      <c r="L314" s="68"/>
      <c r="M314" s="68"/>
      <c r="N314" s="68"/>
      <c r="O314" s="68"/>
      <c r="P314" s="68"/>
    </row>
    <row r="315" spans="1:16" x14ac:dyDescent="0.3">
      <c r="A315">
        <v>19</v>
      </c>
      <c r="B315" s="2" t="s">
        <v>49</v>
      </c>
      <c r="C315" s="2"/>
      <c r="D315" s="174"/>
      <c r="E315" s="30"/>
      <c r="F315" s="30"/>
      <c r="G315" s="30"/>
      <c r="H315" s="181"/>
      <c r="I315" s="68"/>
      <c r="J315" s="68"/>
      <c r="K315" s="68"/>
      <c r="L315" s="68"/>
      <c r="M315" s="68"/>
      <c r="N315" s="68"/>
      <c r="O315" s="68"/>
      <c r="P315" s="68"/>
    </row>
    <row r="316" spans="1:16" x14ac:dyDescent="0.3">
      <c r="B316" t="s">
        <v>174</v>
      </c>
      <c r="D316" s="68">
        <v>2E-3</v>
      </c>
      <c r="E316" s="68">
        <v>2.0999999999999999E-3</v>
      </c>
      <c r="F316" s="68">
        <v>1.9E-3</v>
      </c>
      <c r="G316" s="68">
        <v>0</v>
      </c>
      <c r="H316" s="181"/>
      <c r="I316" s="68"/>
      <c r="J316" s="68"/>
      <c r="K316" s="68"/>
      <c r="L316" s="68"/>
      <c r="M316" s="68"/>
      <c r="N316" s="68"/>
      <c r="O316" s="68"/>
      <c r="P316" s="68"/>
    </row>
    <row r="317" spans="1:16" x14ac:dyDescent="0.3">
      <c r="B317" t="s">
        <v>175</v>
      </c>
      <c r="D317" s="68">
        <v>0.3075</v>
      </c>
      <c r="E317" s="68">
        <v>0.74980000000000002</v>
      </c>
      <c r="F317" s="68">
        <v>2.5507</v>
      </c>
      <c r="G317" s="68">
        <v>1.5249000000000001</v>
      </c>
      <c r="H317" s="181">
        <v>1.2291000000000001</v>
      </c>
      <c r="I317" s="68"/>
      <c r="J317" s="68"/>
      <c r="K317" s="68"/>
      <c r="L317" s="68"/>
      <c r="M317" s="68"/>
      <c r="N317" s="68"/>
      <c r="O317" s="68"/>
      <c r="P317" s="68"/>
    </row>
    <row r="318" spans="1:16" ht="15" thickBot="1" x14ac:dyDescent="0.35">
      <c r="B318" s="25" t="s">
        <v>123</v>
      </c>
      <c r="C318" s="25"/>
      <c r="D318" s="29">
        <f>SUM(D316:D317)</f>
        <v>0.3095</v>
      </c>
      <c r="E318" s="29">
        <f>SUM(E316:E317)</f>
        <v>0.75190000000000001</v>
      </c>
      <c r="F318" s="29">
        <f>SUM(F316:F317)</f>
        <v>2.5526</v>
      </c>
      <c r="G318" s="29">
        <f>SUM(G316:G317)</f>
        <v>1.5249000000000001</v>
      </c>
      <c r="H318" s="29">
        <f>SUM(H316:H317)</f>
        <v>1.2291000000000001</v>
      </c>
      <c r="I318" s="68"/>
      <c r="J318" s="68"/>
      <c r="K318" s="68"/>
      <c r="L318" s="68"/>
      <c r="M318" s="68"/>
      <c r="N318" s="68"/>
      <c r="O318" s="68"/>
      <c r="P318" s="68"/>
    </row>
    <row r="319" spans="1:16" ht="15" thickTop="1" x14ac:dyDescent="0.3">
      <c r="B319" s="2"/>
      <c r="C319" s="2"/>
      <c r="D319" s="174"/>
      <c r="E319" s="30"/>
      <c r="F319" s="30"/>
      <c r="G319" s="30"/>
      <c r="H319" s="181"/>
      <c r="I319" s="68"/>
      <c r="J319" s="68"/>
      <c r="K319" s="68"/>
      <c r="L319" s="68"/>
      <c r="M319" s="68"/>
      <c r="N319" s="68"/>
      <c r="O319" s="68"/>
      <c r="P319" s="68"/>
    </row>
    <row r="320" spans="1:16" s="2" customFormat="1" x14ac:dyDescent="0.3">
      <c r="B320" s="67" t="s">
        <v>403</v>
      </c>
      <c r="C320" s="67"/>
      <c r="D320" s="174">
        <v>0.68629999999999991</v>
      </c>
      <c r="E320" s="174">
        <v>1.2187999999999999</v>
      </c>
      <c r="F320" s="174">
        <v>1.7102999999999999</v>
      </c>
      <c r="G320" s="174">
        <v>0.52800000000000002</v>
      </c>
      <c r="H320" s="210">
        <v>0</v>
      </c>
      <c r="I320" s="174"/>
      <c r="J320" s="174"/>
      <c r="K320" s="174"/>
      <c r="L320" s="174"/>
      <c r="M320" s="174"/>
      <c r="N320" s="174"/>
      <c r="O320" s="174"/>
      <c r="P320" s="174"/>
    </row>
    <row r="321" spans="4:16" x14ac:dyDescent="0.3">
      <c r="D321" s="68"/>
      <c r="E321" s="68"/>
      <c r="F321" s="68"/>
      <c r="G321" s="68"/>
      <c r="H321" s="181"/>
      <c r="I321" s="68"/>
      <c r="J321" s="68"/>
      <c r="K321" s="68"/>
      <c r="L321" s="68"/>
      <c r="M321" s="68"/>
      <c r="N321" s="68"/>
      <c r="O321" s="68"/>
      <c r="P321" s="68"/>
    </row>
    <row r="322" spans="4:16" x14ac:dyDescent="0.3">
      <c r="D322" s="68"/>
      <c r="E322" s="68"/>
      <c r="F322" s="68"/>
      <c r="G322" s="68"/>
      <c r="H322" s="181"/>
      <c r="I322" s="68"/>
      <c r="J322" s="68"/>
      <c r="K322" s="68"/>
      <c r="L322" s="68"/>
      <c r="M322" s="68"/>
      <c r="N322" s="68"/>
      <c r="O322" s="68"/>
      <c r="P322" s="68"/>
    </row>
    <row r="323" spans="4:16" x14ac:dyDescent="0.3">
      <c r="D323" s="68"/>
      <c r="E323" s="68"/>
      <c r="F323" s="68"/>
      <c r="G323" s="68"/>
      <c r="H323" s="181"/>
      <c r="I323" s="68"/>
      <c r="J323" s="68"/>
      <c r="K323" s="68"/>
      <c r="L323" s="68"/>
      <c r="M323" s="68"/>
      <c r="N323" s="68"/>
      <c r="O323" s="68"/>
      <c r="P323" s="68"/>
    </row>
  </sheetData>
  <pageMargins left="0.70866141732283472" right="0" top="0.74803149606299213" bottom="0.74803149606299213" header="0.31496062992125984" footer="0.31496062992125984"/>
  <pageSetup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62"/>
  <sheetViews>
    <sheetView topLeftCell="B1" workbookViewId="0">
      <pane ySplit="6" topLeftCell="A10" activePane="bottomLeft" state="frozen"/>
      <selection activeCell="B1" sqref="B1"/>
      <selection pane="bottomLeft" activeCell="B1" sqref="B1:O3"/>
    </sheetView>
  </sheetViews>
  <sheetFormatPr defaultRowHeight="14.4" x14ac:dyDescent="0.3"/>
  <cols>
    <col min="1" max="1" width="0" hidden="1" customWidth="1"/>
    <col min="2" max="2" width="43.88671875" customWidth="1"/>
    <col min="3" max="4" width="8.6640625" hidden="1" customWidth="1"/>
    <col min="5" max="6" width="7.6640625" bestFit="1" customWidth="1"/>
    <col min="7" max="13" width="8.44140625" customWidth="1"/>
    <col min="14" max="15" width="9" bestFit="1" customWidth="1"/>
  </cols>
  <sheetData>
    <row r="1" spans="2:15" ht="21" x14ac:dyDescent="0.4">
      <c r="B1" s="492" t="s">
        <v>415</v>
      </c>
      <c r="C1" s="492"/>
      <c r="D1" s="492"/>
      <c r="E1" s="492"/>
      <c r="F1" s="492"/>
      <c r="G1" s="492"/>
      <c r="H1" s="492"/>
      <c r="I1" s="492"/>
      <c r="J1" s="492"/>
      <c r="K1" s="492"/>
      <c r="L1" s="492"/>
      <c r="M1" s="492"/>
      <c r="N1" s="492"/>
      <c r="O1" s="492"/>
    </row>
    <row r="2" spans="2:15" ht="15.6" x14ac:dyDescent="0.3">
      <c r="B2" s="493" t="s">
        <v>528</v>
      </c>
      <c r="C2" s="493"/>
      <c r="D2" s="493"/>
      <c r="E2" s="493"/>
      <c r="F2" s="493"/>
      <c r="G2" s="494"/>
      <c r="H2" s="494"/>
      <c r="I2" s="494"/>
      <c r="J2" s="494"/>
      <c r="K2" s="494"/>
      <c r="L2" s="494"/>
      <c r="M2" s="494"/>
      <c r="N2" s="494"/>
      <c r="O2" s="494"/>
    </row>
    <row r="3" spans="2:15" x14ac:dyDescent="0.3">
      <c r="B3" s="495" t="s">
        <v>417</v>
      </c>
      <c r="C3" s="495"/>
      <c r="D3" s="495"/>
      <c r="E3" s="495"/>
      <c r="F3" s="495"/>
      <c r="G3" s="496"/>
      <c r="H3" s="496"/>
      <c r="I3" s="496"/>
      <c r="J3" s="496"/>
      <c r="K3" s="496"/>
      <c r="L3" s="496"/>
      <c r="M3" s="496"/>
      <c r="N3" s="496"/>
      <c r="O3" s="496"/>
    </row>
    <row r="4" spans="2:15" x14ac:dyDescent="0.3">
      <c r="B4" s="75" t="s">
        <v>525</v>
      </c>
      <c r="C4" s="75"/>
      <c r="D4" s="75"/>
      <c r="E4" s="76">
        <f>DATE(2020,4,1)</f>
        <v>43922</v>
      </c>
      <c r="F4" s="76">
        <f>E5+1</f>
        <v>44287</v>
      </c>
      <c r="G4" s="76">
        <f t="shared" ref="G4:H4" si="0">F5+1</f>
        <v>44652</v>
      </c>
      <c r="H4" s="76">
        <f t="shared" si="0"/>
        <v>45017</v>
      </c>
      <c r="I4" s="76">
        <f t="shared" ref="I4:O4" si="1">H5+1</f>
        <v>45383</v>
      </c>
      <c r="J4" s="76">
        <f t="shared" si="1"/>
        <v>45748</v>
      </c>
      <c r="K4" s="76">
        <f t="shared" si="1"/>
        <v>46113</v>
      </c>
      <c r="L4" s="76">
        <f t="shared" si="1"/>
        <v>46478</v>
      </c>
      <c r="M4" s="76">
        <f t="shared" si="1"/>
        <v>46844</v>
      </c>
      <c r="N4" s="76">
        <f t="shared" si="1"/>
        <v>47209</v>
      </c>
      <c r="O4" s="76">
        <f t="shared" si="1"/>
        <v>47574</v>
      </c>
    </row>
    <row r="5" spans="2:15" x14ac:dyDescent="0.3">
      <c r="B5" s="75" t="s">
        <v>418</v>
      </c>
      <c r="C5" s="75"/>
      <c r="D5" s="75"/>
      <c r="E5" s="78">
        <f>DATE((IF(MONTH(E4)&gt;3,YEAR(E4)+1,YEAR(E4))),3,31)</f>
        <v>44286</v>
      </c>
      <c r="F5" s="78">
        <f>DATE((IF(MONTH(F4)&gt;3,YEAR(F4)+1,YEAR(F4))),3,31)</f>
        <v>44651</v>
      </c>
      <c r="G5" s="78">
        <f t="shared" ref="G5:H5" si="2">DATE((IF(MONTH(G4)&gt;3,YEAR(G4)+1,YEAR(G4))),3,31)</f>
        <v>45016</v>
      </c>
      <c r="H5" s="78">
        <f t="shared" si="2"/>
        <v>45382</v>
      </c>
      <c r="I5" s="78">
        <f t="shared" ref="I5:N5" si="3">DATE((IF(MONTH(I4)&gt;3,YEAR(I4)+1,YEAR(I4))),3,31)</f>
        <v>45747</v>
      </c>
      <c r="J5" s="78">
        <f t="shared" si="3"/>
        <v>46112</v>
      </c>
      <c r="K5" s="78">
        <f t="shared" si="3"/>
        <v>46477</v>
      </c>
      <c r="L5" s="78">
        <f t="shared" si="3"/>
        <v>46843</v>
      </c>
      <c r="M5" s="78">
        <f t="shared" si="3"/>
        <v>47208</v>
      </c>
      <c r="N5" s="78">
        <f t="shared" si="3"/>
        <v>47573</v>
      </c>
      <c r="O5" s="78">
        <f t="shared" ref="O5" si="4">DATE((IF(MONTH(O4)&gt;3,YEAR(O4)+1,YEAR(O4))),3,31)</f>
        <v>47938</v>
      </c>
    </row>
    <row r="6" spans="2:15" x14ac:dyDescent="0.3">
      <c r="B6" s="75" t="s">
        <v>420</v>
      </c>
      <c r="C6" s="75"/>
      <c r="D6" s="75"/>
      <c r="E6" s="79">
        <f>E5-E4+1</f>
        <v>365</v>
      </c>
      <c r="F6" s="79">
        <f>F5-F4+1</f>
        <v>365</v>
      </c>
      <c r="G6" s="79">
        <f t="shared" ref="G6:H6" si="5">G5-G4+1</f>
        <v>365</v>
      </c>
      <c r="H6" s="79">
        <f t="shared" si="5"/>
        <v>366</v>
      </c>
      <c r="I6" s="79">
        <f t="shared" ref="I6:N6" si="6">I5-I4+1</f>
        <v>365</v>
      </c>
      <c r="J6" s="79">
        <f t="shared" si="6"/>
        <v>365</v>
      </c>
      <c r="K6" s="79">
        <f t="shared" si="6"/>
        <v>365</v>
      </c>
      <c r="L6" s="79">
        <f t="shared" si="6"/>
        <v>366</v>
      </c>
      <c r="M6" s="79">
        <f t="shared" si="6"/>
        <v>365</v>
      </c>
      <c r="N6" s="79">
        <f t="shared" si="6"/>
        <v>365</v>
      </c>
      <c r="O6" s="79">
        <f t="shared" ref="O6" si="7">O5-O4+1</f>
        <v>365</v>
      </c>
    </row>
    <row r="8" spans="2:15" x14ac:dyDescent="0.3">
      <c r="B8" s="411" t="s">
        <v>10</v>
      </c>
      <c r="C8" s="381"/>
      <c r="D8" s="381"/>
      <c r="E8" s="381">
        <f>Assumptions!D21</f>
        <v>44286</v>
      </c>
      <c r="F8" s="381">
        <f>Assumptions!E21</f>
        <v>44651</v>
      </c>
      <c r="G8" s="381">
        <f>Assumptions!F21</f>
        <v>45016</v>
      </c>
      <c r="H8" s="381">
        <f>Assumptions!G21</f>
        <v>45382</v>
      </c>
      <c r="I8" s="381">
        <f>Assumptions!H21</f>
        <v>45747</v>
      </c>
      <c r="J8" s="381">
        <f>Assumptions!I21</f>
        <v>46112</v>
      </c>
      <c r="K8" s="381">
        <f>Assumptions!J21</f>
        <v>46477</v>
      </c>
      <c r="L8" s="381">
        <f>Assumptions!K21</f>
        <v>46843</v>
      </c>
      <c r="M8" s="381">
        <f>Assumptions!L21</f>
        <v>47208</v>
      </c>
      <c r="N8" s="381">
        <f>Assumptions!M21</f>
        <v>47573</v>
      </c>
      <c r="O8" s="381">
        <f>Assumptions!N21</f>
        <v>47938</v>
      </c>
    </row>
    <row r="10" spans="2:15" x14ac:dyDescent="0.3">
      <c r="B10" s="6" t="s">
        <v>51</v>
      </c>
      <c r="C10" s="6"/>
      <c r="D10" s="6"/>
      <c r="E10" s="6"/>
      <c r="F10" s="6"/>
      <c r="G10" s="6"/>
    </row>
    <row r="11" spans="2:15" x14ac:dyDescent="0.3">
      <c r="B11" s="7" t="s">
        <v>334</v>
      </c>
      <c r="C11" s="7"/>
      <c r="D11" s="7"/>
      <c r="E11" s="186">
        <f>'P&amp;L'!E34</f>
        <v>40.881999999999984</v>
      </c>
      <c r="F11" s="186">
        <f>'P&amp;L'!F34</f>
        <v>59.034499999999994</v>
      </c>
      <c r="G11" s="186">
        <f>'P&amp;L'!G34</f>
        <v>77.464799999999983</v>
      </c>
      <c r="H11" s="186">
        <f>'P&amp;L'!I34</f>
        <v>68.646244935000013</v>
      </c>
      <c r="I11" s="186">
        <f>'P&amp;L'!J34</f>
        <v>102.28257636545054</v>
      </c>
      <c r="J11" s="186">
        <f>'P&amp;L'!K34</f>
        <v>141.65557842737221</v>
      </c>
      <c r="K11" s="186">
        <f>'P&amp;L'!L34</f>
        <v>290.1610518297021</v>
      </c>
      <c r="L11" s="186">
        <f>'P&amp;L'!M34</f>
        <v>349.89728275257573</v>
      </c>
      <c r="M11" s="186">
        <f>'P&amp;L'!N34</f>
        <v>375.24690185088809</v>
      </c>
      <c r="N11" s="186">
        <f>'P&amp;L'!O34</f>
        <v>399.1769607948541</v>
      </c>
      <c r="O11" s="186">
        <f>'P&amp;L'!P34</f>
        <v>424.74872366892527</v>
      </c>
    </row>
    <row r="12" spans="2:15" x14ac:dyDescent="0.3">
      <c r="B12" s="7" t="s">
        <v>21</v>
      </c>
      <c r="C12" s="7"/>
      <c r="D12" s="7"/>
      <c r="E12" s="186">
        <f>'P&amp;L'!E31</f>
        <v>1.7324999999999999</v>
      </c>
      <c r="F12" s="186">
        <f>'P&amp;L'!F31</f>
        <v>2.2330000000000001</v>
      </c>
      <c r="G12" s="226">
        <f>'P&amp;L'!G31</f>
        <v>2.5756999999999999</v>
      </c>
      <c r="H12" s="226">
        <f>'P&amp;L'!I31</f>
        <v>3.6664550649999992</v>
      </c>
      <c r="I12" s="226">
        <f>'P&amp;L'!J31</f>
        <v>4.3262995899999996</v>
      </c>
      <c r="J12" s="226">
        <f>'P&amp;L'!K31</f>
        <v>8.4972548024999988</v>
      </c>
      <c r="K12" s="226">
        <f>'P&amp;L'!L31</f>
        <v>13.805052064999996</v>
      </c>
      <c r="L12" s="226">
        <f>'P&amp;L'!M31</f>
        <v>13.789279514999997</v>
      </c>
      <c r="M12" s="226">
        <f>'P&amp;L'!N31</f>
        <v>13.774522764999997</v>
      </c>
      <c r="N12" s="226">
        <f>'P&amp;L'!O31</f>
        <v>13.774522764999997</v>
      </c>
      <c r="O12" s="226">
        <f>'P&amp;L'!P31</f>
        <v>13.774522764999997</v>
      </c>
    </row>
    <row r="13" spans="2:15" x14ac:dyDescent="0.3">
      <c r="B13" s="7" t="s">
        <v>335</v>
      </c>
      <c r="C13" s="7"/>
      <c r="D13" s="7"/>
      <c r="E13" s="186">
        <v>-1.8648</v>
      </c>
      <c r="F13" s="186">
        <v>-2.4369999999999998</v>
      </c>
      <c r="G13" s="226">
        <v>-4.3354999999999997</v>
      </c>
      <c r="H13" s="222"/>
      <c r="I13" s="222"/>
      <c r="J13" s="222"/>
      <c r="K13" s="222"/>
      <c r="L13" s="222"/>
      <c r="M13" s="222"/>
      <c r="N13" s="222"/>
      <c r="O13" s="222"/>
    </row>
    <row r="14" spans="2:15" x14ac:dyDescent="0.3">
      <c r="B14" s="7" t="s">
        <v>336</v>
      </c>
      <c r="C14" s="7"/>
      <c r="D14" s="7"/>
      <c r="E14" s="186">
        <f>-1.0971+0.0066</f>
        <v>-1.0905</v>
      </c>
      <c r="F14" s="186">
        <f>-0.7534+0.0538</f>
        <v>-0.6996</v>
      </c>
      <c r="G14" s="226">
        <v>-0.871</v>
      </c>
      <c r="H14" s="222"/>
      <c r="I14" s="222"/>
      <c r="J14" s="222"/>
      <c r="K14" s="222"/>
      <c r="L14" s="222"/>
      <c r="M14" s="222"/>
      <c r="N14" s="222"/>
      <c r="O14" s="222"/>
    </row>
    <row r="15" spans="2:15" x14ac:dyDescent="0.3">
      <c r="B15" s="7" t="s">
        <v>337</v>
      </c>
      <c r="C15" s="7"/>
      <c r="D15" s="7"/>
      <c r="E15" s="186"/>
      <c r="F15" s="186">
        <v>0.2394</v>
      </c>
      <c r="G15" s="226">
        <v>0</v>
      </c>
      <c r="H15" s="222"/>
      <c r="I15" s="222"/>
      <c r="J15" s="222"/>
      <c r="K15" s="222"/>
      <c r="L15" s="222"/>
      <c r="M15" s="222"/>
      <c r="N15" s="222"/>
      <c r="O15" s="222"/>
    </row>
    <row r="16" spans="2:15" x14ac:dyDescent="0.3">
      <c r="B16" s="7" t="s">
        <v>338</v>
      </c>
      <c r="C16" s="7"/>
      <c r="D16" s="7"/>
      <c r="E16" s="186">
        <v>1.5E-3</v>
      </c>
      <c r="F16" s="186">
        <v>-9.4000000000000004E-3</v>
      </c>
      <c r="G16" s="226">
        <v>0</v>
      </c>
      <c r="H16" s="222"/>
      <c r="I16" s="222"/>
      <c r="J16" s="222"/>
      <c r="K16" s="222"/>
      <c r="L16" s="222"/>
      <c r="M16" s="222"/>
      <c r="N16" s="222"/>
      <c r="O16" s="222"/>
    </row>
    <row r="17" spans="2:15" x14ac:dyDescent="0.3">
      <c r="B17" s="7" t="s">
        <v>23</v>
      </c>
      <c r="C17" s="7"/>
      <c r="D17" s="7"/>
      <c r="E17" s="186">
        <f>'P&amp;L'!E33</f>
        <v>0.98140000000000005</v>
      </c>
      <c r="F17" s="186">
        <f>'P&amp;L'!F33</f>
        <v>0.82779999999999987</v>
      </c>
      <c r="G17" s="226">
        <f>'P&amp;L'!G33</f>
        <v>0.20069999999999999</v>
      </c>
      <c r="H17" s="224">
        <f>'P&amp;L'!I33</f>
        <v>0.20613333333333334</v>
      </c>
      <c r="I17" s="224">
        <f>'P&amp;L'!J33</f>
        <v>2.8129826484018263</v>
      </c>
      <c r="J17" s="224">
        <f>'P&amp;L'!K33</f>
        <v>7.5490100456620999</v>
      </c>
      <c r="K17" s="224">
        <f>'P&amp;L'!L33</f>
        <v>7.3024894977168948</v>
      </c>
      <c r="L17" s="224">
        <f>'P&amp;L'!M33</f>
        <v>5.8986333333333327</v>
      </c>
      <c r="M17" s="224">
        <f>'P&amp;L'!N33</f>
        <v>4.2779415525114155</v>
      </c>
      <c r="N17" s="224">
        <f>'P&amp;L'!O33</f>
        <v>2.4356675799086758</v>
      </c>
      <c r="O17" s="224">
        <f>'P&amp;L'!P33</f>
        <v>0.20613333333333334</v>
      </c>
    </row>
    <row r="18" spans="2:15" x14ac:dyDescent="0.3">
      <c r="B18" s="7"/>
      <c r="C18" s="7"/>
      <c r="D18" s="7"/>
      <c r="E18" s="186"/>
      <c r="F18" s="186"/>
      <c r="G18" s="186"/>
      <c r="H18" s="188"/>
      <c r="I18" s="68"/>
      <c r="J18" s="68"/>
      <c r="K18" s="68"/>
      <c r="L18" s="68"/>
      <c r="M18" s="68"/>
      <c r="N18" s="68"/>
      <c r="O18" s="68"/>
    </row>
    <row r="19" spans="2:15" x14ac:dyDescent="0.3">
      <c r="B19" s="69" t="s">
        <v>339</v>
      </c>
      <c r="C19" s="69"/>
      <c r="D19" s="69"/>
      <c r="E19" s="186"/>
      <c r="F19" s="186"/>
      <c r="G19" s="186"/>
      <c r="H19" s="188"/>
      <c r="I19" s="68"/>
      <c r="J19" s="68"/>
      <c r="K19" s="68"/>
      <c r="L19" s="68"/>
      <c r="M19" s="68"/>
      <c r="N19" s="68"/>
      <c r="O19" s="68"/>
    </row>
    <row r="20" spans="2:15" x14ac:dyDescent="0.3">
      <c r="B20" s="70" t="s">
        <v>340</v>
      </c>
      <c r="C20" s="70"/>
      <c r="D20" s="70"/>
      <c r="E20" s="186">
        <f>-(BS!E22-BS!D22)</f>
        <v>5.5156000000000009</v>
      </c>
      <c r="F20" s="186">
        <f>-(BS!F22-BS!E22)</f>
        <v>-10.404200000000001</v>
      </c>
      <c r="G20" s="186">
        <f>-(BS!G22-BS!F22)</f>
        <v>7.2129000000000012</v>
      </c>
      <c r="H20" s="186">
        <f>-(BS!I22-BS!G22)</f>
        <v>-9.6835745899035111</v>
      </c>
      <c r="I20" s="186">
        <f>-(BS!J22-BS!I22)</f>
        <v>-12.75583823786652</v>
      </c>
      <c r="J20" s="186">
        <f>-(BS!K22-BS!J22)</f>
        <v>-17.509944669099546</v>
      </c>
      <c r="K20" s="186">
        <f>-(BS!L22-BS!K22)</f>
        <v>-55.632353480809513</v>
      </c>
      <c r="L20" s="186">
        <f>-(BS!M22-BS!L22)</f>
        <v>-13.092690716212843</v>
      </c>
      <c r="M20" s="186">
        <f>-(BS!N22-BS!M22)</f>
        <v>-7.1085725521984955</v>
      </c>
      <c r="N20" s="186">
        <f>-(BS!O22-BS!N22)</f>
        <v>-7.5121454598730963</v>
      </c>
      <c r="O20" s="186">
        <f>-(BS!P22-BS!O22)</f>
        <v>-7.9388456890999919</v>
      </c>
    </row>
    <row r="21" spans="2:15" x14ac:dyDescent="0.3">
      <c r="B21" s="70" t="s">
        <v>341</v>
      </c>
      <c r="C21" s="70"/>
      <c r="D21" s="70"/>
      <c r="E21" s="186">
        <f>-(BS!E21-BS!D21)</f>
        <v>-1.9799999999999152E-2</v>
      </c>
      <c r="F21" s="186">
        <f>-(BS!F21-BS!E21)</f>
        <v>-5.5607000000000006</v>
      </c>
      <c r="G21" s="186">
        <f>-(BS!G21-BS!F21)</f>
        <v>-3.0090999999999983</v>
      </c>
      <c r="H21" s="186">
        <f>-(BS!I21-BS!G21)</f>
        <v>3.939079796454461</v>
      </c>
      <c r="I21" s="186">
        <f>-(BS!J21-BS!I21)</f>
        <v>-7.1470244518379626</v>
      </c>
      <c r="J21" s="186">
        <f>-(BS!K21-BS!J21)</f>
        <v>-7.7370005054427153</v>
      </c>
      <c r="K21" s="186">
        <f>-(BS!L21-BS!K21)</f>
        <v>-24.581890756033221</v>
      </c>
      <c r="L21" s="186">
        <f>-(BS!M21-BS!L21)</f>
        <v>-5.7851784573430862</v>
      </c>
      <c r="M21" s="186">
        <f>-(BS!N21-BS!M21)</f>
        <v>-3.1410167461234053</v>
      </c>
      <c r="N21" s="186">
        <f>-(BS!O21-BS!N21)</f>
        <v>-3.3193407699663595</v>
      </c>
      <c r="O21" s="186">
        <f>-(BS!P21-BS!O21)</f>
        <v>-3.5078839065433272</v>
      </c>
    </row>
    <row r="22" spans="2:15" x14ac:dyDescent="0.3">
      <c r="B22" s="70" t="s">
        <v>342</v>
      </c>
      <c r="C22" s="70"/>
      <c r="D22" s="70"/>
      <c r="E22" s="186">
        <v>-4.0621999999999998</v>
      </c>
      <c r="F22" s="186">
        <v>3.1352000000000002</v>
      </c>
      <c r="G22" s="186">
        <v>2.9262999999999999</v>
      </c>
      <c r="H22" s="186">
        <f>(BS!I50+BS!I51-BS!G50-BS!G51)</f>
        <v>2.6834722609972044</v>
      </c>
      <c r="I22" s="186">
        <f>(BS!J50+BS!J51-BS!I50-BS!I51)</f>
        <v>4.1010579311158715</v>
      </c>
      <c r="J22" s="186">
        <f>(BS!K50+BS!K51-BS!J50-BS!J51)</f>
        <v>6.2764792711178004</v>
      </c>
      <c r="K22" s="186">
        <f>(BS!L50+BS!L51-BS!K50-BS!K51)</f>
        <v>24.771721203261801</v>
      </c>
      <c r="L22" s="186">
        <f>(BS!M50+BS!M51-BS!L50-BS!L51)</f>
        <v>-1.513950770883568</v>
      </c>
      <c r="M22" s="186">
        <f>(BS!N50+BS!N51-BS!M50-BS!M51)</f>
        <v>1.6176714936272703</v>
      </c>
      <c r="N22" s="186">
        <f>(BS!O50+BS!O51-BS!N50-BS!N51)</f>
        <v>2.668615177393761</v>
      </c>
      <c r="O22" s="186">
        <f>(BS!P50+BS!P51-BS!O50-BS!O51)</f>
        <v>2.820225260633336</v>
      </c>
    </row>
    <row r="23" spans="2:15" x14ac:dyDescent="0.3">
      <c r="B23" s="70" t="s">
        <v>343</v>
      </c>
      <c r="C23" s="70"/>
      <c r="D23" s="70"/>
      <c r="E23" s="186">
        <v>13.655900000000001</v>
      </c>
      <c r="F23" s="68">
        <v>-4.7726999999999995</v>
      </c>
      <c r="G23" s="68">
        <v>-20.6846</v>
      </c>
      <c r="H23" s="186">
        <f>-(BS!I26-BS!G26)</f>
        <v>0.1391</v>
      </c>
      <c r="I23" s="186">
        <f>-(BS!J26-BS!I26)</f>
        <v>0</v>
      </c>
      <c r="J23" s="186">
        <f>-(BS!K26-BS!J26)</f>
        <v>0</v>
      </c>
      <c r="K23" s="186">
        <f>-(BS!L26-BS!K26)</f>
        <v>0</v>
      </c>
      <c r="L23" s="186">
        <f>-(BS!M26-BS!L26)</f>
        <v>0</v>
      </c>
      <c r="M23" s="186">
        <f>-(BS!N26-BS!M26)</f>
        <v>0</v>
      </c>
      <c r="N23" s="186">
        <f>-(BS!O26-BS!N26)</f>
        <v>0</v>
      </c>
      <c r="O23" s="186">
        <f>-(BS!P26-BS!O26)</f>
        <v>0</v>
      </c>
    </row>
    <row r="24" spans="2:15" x14ac:dyDescent="0.3">
      <c r="B24" s="70" t="s">
        <v>344</v>
      </c>
      <c r="C24" s="70"/>
      <c r="D24" s="70"/>
      <c r="E24" s="186">
        <v>-0.23730000000000001</v>
      </c>
      <c r="F24" s="68">
        <v>-0.13970000000000002</v>
      </c>
      <c r="G24" s="68">
        <v>-8.1999999999999993</v>
      </c>
      <c r="H24" s="186">
        <f>-(BS!I27-BS!G27)</f>
        <v>-7.7899999999999969E-2</v>
      </c>
      <c r="I24" s="186">
        <f>-(BS!J27-BS!I27)</f>
        <v>0</v>
      </c>
      <c r="J24" s="186">
        <f>-(BS!K27-BS!J27)</f>
        <v>0</v>
      </c>
      <c r="K24" s="186">
        <f>-(BS!L27-BS!K27)</f>
        <v>0</v>
      </c>
      <c r="L24" s="186">
        <f>-(BS!M27-BS!L27)</f>
        <v>0</v>
      </c>
      <c r="M24" s="186">
        <f>-(BS!N27-BS!M27)</f>
        <v>0</v>
      </c>
      <c r="N24" s="186">
        <f>-(BS!O27-BS!N27)</f>
        <v>0</v>
      </c>
      <c r="O24" s="186">
        <f>-(BS!P27-BS!O27)</f>
        <v>0</v>
      </c>
    </row>
    <row r="25" spans="2:15" x14ac:dyDescent="0.3">
      <c r="B25" s="70" t="s">
        <v>345</v>
      </c>
      <c r="C25" s="70"/>
      <c r="D25" s="70"/>
      <c r="E25" s="186">
        <v>0.26219999999999999</v>
      </c>
      <c r="F25" s="68">
        <v>9.4E-2</v>
      </c>
      <c r="G25" s="68">
        <v>6.6600000000000006E-2</v>
      </c>
      <c r="H25" s="186">
        <f>(BS!I55-BS!G55)</f>
        <v>0</v>
      </c>
      <c r="I25" s="186">
        <f>BS!J55-BS!I55</f>
        <v>0</v>
      </c>
      <c r="J25" s="186">
        <f>BS!K55-BS!J55</f>
        <v>0</v>
      </c>
      <c r="K25" s="186">
        <f>BS!L55-BS!K55</f>
        <v>0</v>
      </c>
      <c r="L25" s="186">
        <f>BS!M55-BS!L55</f>
        <v>0</v>
      </c>
      <c r="M25" s="186">
        <f>BS!N55-BS!M55</f>
        <v>0</v>
      </c>
      <c r="N25" s="186">
        <f>BS!O55-BS!N55</f>
        <v>0</v>
      </c>
      <c r="O25" s="186">
        <f>BS!P55-BS!O55</f>
        <v>0</v>
      </c>
    </row>
    <row r="26" spans="2:15" x14ac:dyDescent="0.3">
      <c r="B26" s="70" t="s">
        <v>347</v>
      </c>
      <c r="C26" s="70"/>
      <c r="D26" s="70"/>
      <c r="E26" s="186">
        <v>-35.359000000000002</v>
      </c>
      <c r="F26" s="68">
        <v>11.775399999999999</v>
      </c>
      <c r="G26" s="68">
        <v>9.0404</v>
      </c>
      <c r="H26" s="186">
        <f>-(BS!I24-BS!G24)</f>
        <v>0.65629999999999988</v>
      </c>
      <c r="I26" s="186">
        <f>-(BS!J24-BS!I24)</f>
        <v>0</v>
      </c>
      <c r="J26" s="186">
        <f>-(BS!K24-BS!J24)</f>
        <v>0</v>
      </c>
      <c r="K26" s="186">
        <f>-(BS!L24-BS!K24)</f>
        <v>0</v>
      </c>
      <c r="L26" s="186">
        <f>-(BS!M24-BS!L24)</f>
        <v>0</v>
      </c>
      <c r="M26" s="186">
        <f>-(BS!N24-BS!M24)</f>
        <v>0</v>
      </c>
      <c r="N26" s="186">
        <f>-(BS!O24-BS!N24)</f>
        <v>0</v>
      </c>
      <c r="O26" s="186">
        <f>-(BS!P24-BS!O24)</f>
        <v>0</v>
      </c>
    </row>
    <row r="27" spans="2:15" x14ac:dyDescent="0.3">
      <c r="B27" s="70" t="s">
        <v>348</v>
      </c>
      <c r="C27" s="70"/>
      <c r="D27" s="70"/>
      <c r="E27" s="186">
        <v>-1.1247</v>
      </c>
      <c r="F27" s="68">
        <v>-0.28739999999999999</v>
      </c>
      <c r="G27" s="68">
        <v>-1.4356</v>
      </c>
      <c r="H27" s="186">
        <f>(BS!I52-BS!G52)</f>
        <v>2.5387999999999993</v>
      </c>
      <c r="I27" s="186">
        <f>BS!J52-BS!I52</f>
        <v>0</v>
      </c>
      <c r="J27" s="186">
        <f>BS!K52-BS!J52</f>
        <v>0</v>
      </c>
      <c r="K27" s="186">
        <f>BS!L52-BS!K52</f>
        <v>0</v>
      </c>
      <c r="L27" s="186">
        <f>BS!M52-BS!L52</f>
        <v>0</v>
      </c>
      <c r="M27" s="186">
        <f>BS!N52-BS!M52</f>
        <v>0</v>
      </c>
      <c r="N27" s="186">
        <f>BS!O52-BS!N52</f>
        <v>0</v>
      </c>
      <c r="O27" s="186">
        <f>BS!P52-BS!O52</f>
        <v>0</v>
      </c>
    </row>
    <row r="28" spans="2:15" x14ac:dyDescent="0.3">
      <c r="B28" s="70" t="s">
        <v>349</v>
      </c>
      <c r="C28" s="70"/>
      <c r="D28" s="70"/>
      <c r="E28" s="186">
        <v>1.3868</v>
      </c>
      <c r="F28" s="68">
        <v>1.8006</v>
      </c>
      <c r="G28" s="68">
        <v>-1.0276000000000001</v>
      </c>
      <c r="H28" s="186">
        <f>BS!I54-BS!G54</f>
        <v>-0.29580000000000006</v>
      </c>
      <c r="I28" s="186">
        <f>BS!J54-BS!I54</f>
        <v>0</v>
      </c>
      <c r="J28" s="186">
        <f>BS!K54-BS!J54</f>
        <v>0</v>
      </c>
      <c r="K28" s="186">
        <f>BS!L54-BS!K54</f>
        <v>0</v>
      </c>
      <c r="L28" s="186">
        <f>BS!M54-BS!L54</f>
        <v>0</v>
      </c>
      <c r="M28" s="186">
        <f>BS!N54-BS!M54</f>
        <v>0</v>
      </c>
      <c r="N28" s="186">
        <f>BS!O54-BS!N54</f>
        <v>0</v>
      </c>
      <c r="O28" s="186">
        <f>BS!P54-BS!O54</f>
        <v>0</v>
      </c>
    </row>
    <row r="29" spans="2:15" x14ac:dyDescent="0.3">
      <c r="B29" s="70" t="s">
        <v>410</v>
      </c>
      <c r="C29" s="70"/>
      <c r="D29" s="70"/>
      <c r="E29" s="186"/>
      <c r="F29" s="68"/>
      <c r="G29" s="68"/>
      <c r="H29" s="186">
        <f>(BS!I56-BS!G56)</f>
        <v>-0.52800000000000002</v>
      </c>
      <c r="I29" s="186"/>
      <c r="J29" s="186"/>
      <c r="K29" s="186"/>
      <c r="L29" s="186"/>
      <c r="M29" s="186"/>
      <c r="N29" s="186"/>
      <c r="O29" s="186"/>
    </row>
    <row r="30" spans="2:15" x14ac:dyDescent="0.3">
      <c r="B30" s="7"/>
      <c r="C30" s="7"/>
      <c r="D30" s="7"/>
      <c r="E30" s="186"/>
      <c r="F30" s="186"/>
      <c r="G30" s="186"/>
      <c r="H30" s="188"/>
      <c r="I30" s="188"/>
      <c r="J30" s="188"/>
      <c r="K30" s="188"/>
      <c r="L30" s="188"/>
      <c r="M30" s="188"/>
      <c r="N30" s="188"/>
      <c r="O30" s="188"/>
    </row>
    <row r="31" spans="2:15" x14ac:dyDescent="0.3">
      <c r="B31" s="9" t="s">
        <v>542</v>
      </c>
      <c r="C31" s="9"/>
      <c r="D31" s="9"/>
      <c r="E31" s="189">
        <f>SUM(E11:E28)</f>
        <v>20.659599999999994</v>
      </c>
      <c r="F31" s="189">
        <f>SUM(F11:F28)</f>
        <v>54.8292</v>
      </c>
      <c r="G31" s="189">
        <f>SUM(G11:G28)</f>
        <v>59.923999999999978</v>
      </c>
      <c r="H31" s="189">
        <f>SUM(H11:H29)</f>
        <v>71.89031080088148</v>
      </c>
      <c r="I31" s="189">
        <f>SUM(I11:I29)</f>
        <v>93.620053845263755</v>
      </c>
      <c r="J31" s="189">
        <f t="shared" ref="J31:M31" si="8">SUM(J11:J29)</f>
        <v>138.73137737210985</v>
      </c>
      <c r="K31" s="189">
        <f t="shared" si="8"/>
        <v>255.82607035883805</v>
      </c>
      <c r="L31" s="189">
        <f t="shared" si="8"/>
        <v>349.19337565646958</v>
      </c>
      <c r="M31" s="189">
        <f t="shared" si="8"/>
        <v>384.66744836370486</v>
      </c>
      <c r="N31" s="189">
        <f t="shared" ref="N31:O31" si="9">SUM(N11:N29)</f>
        <v>407.22428008731708</v>
      </c>
      <c r="O31" s="189">
        <f t="shared" si="9"/>
        <v>430.1028754322486</v>
      </c>
    </row>
    <row r="32" spans="2:15" x14ac:dyDescent="0.3">
      <c r="B32" s="7" t="s">
        <v>346</v>
      </c>
      <c r="C32" s="7"/>
      <c r="D32" s="7"/>
      <c r="E32" s="186">
        <v>-10.1288</v>
      </c>
      <c r="F32" s="186">
        <v>-14.5161</v>
      </c>
      <c r="G32" s="186">
        <v>-20.422899999999998</v>
      </c>
      <c r="H32" s="68">
        <f>-'P&amp;L'!I35</f>
        <v>-19.097385340917004</v>
      </c>
      <c r="I32" s="68">
        <f>-'P&amp;L'!J35</f>
        <v>-29.784686237619198</v>
      </c>
      <c r="J32" s="68">
        <f>-'P&amp;L'!K35</f>
        <v>-41.250104438050791</v>
      </c>
      <c r="K32" s="68">
        <f>-'P&amp;L'!L35</f>
        <v>-101.39387795137111</v>
      </c>
      <c r="L32" s="68">
        <f>-'P&amp;L'!M35</f>
        <v>-122.26810648506007</v>
      </c>
      <c r="M32" s="68">
        <f>-'P&amp;L'!N35</f>
        <v>-131.12627738277433</v>
      </c>
      <c r="N32" s="68">
        <f>-'P&amp;L'!O35</f>
        <v>-139.48839718015384</v>
      </c>
      <c r="O32" s="68">
        <f>-'P&amp;L'!P35</f>
        <v>-148.42419399886927</v>
      </c>
    </row>
    <row r="33" spans="2:15" x14ac:dyDescent="0.3">
      <c r="B33" s="216" t="s">
        <v>53</v>
      </c>
      <c r="C33" s="216"/>
      <c r="D33" s="216"/>
      <c r="E33" s="303">
        <f>E31+E32</f>
        <v>10.530799999999994</v>
      </c>
      <c r="F33" s="303">
        <f>F31+F32</f>
        <v>40.313099999999999</v>
      </c>
      <c r="G33" s="303">
        <f>G31+G32</f>
        <v>39.50109999999998</v>
      </c>
      <c r="H33" s="303">
        <f t="shared" ref="H33:M33" si="10">H31+H32</f>
        <v>52.792925459964479</v>
      </c>
      <c r="I33" s="303">
        <f t="shared" si="10"/>
        <v>63.835367607644557</v>
      </c>
      <c r="J33" s="303">
        <f t="shared" si="10"/>
        <v>97.481272934059064</v>
      </c>
      <c r="K33" s="303">
        <f t="shared" si="10"/>
        <v>154.43219240746694</v>
      </c>
      <c r="L33" s="303">
        <f t="shared" si="10"/>
        <v>226.92526917140952</v>
      </c>
      <c r="M33" s="303">
        <f t="shared" si="10"/>
        <v>253.54117098093053</v>
      </c>
      <c r="N33" s="303">
        <f t="shared" ref="N33:O33" si="11">N31+N32</f>
        <v>267.73588290716327</v>
      </c>
      <c r="O33" s="303">
        <f t="shared" si="11"/>
        <v>281.67868143337932</v>
      </c>
    </row>
    <row r="34" spans="2:15" x14ac:dyDescent="0.3">
      <c r="B34" s="7"/>
      <c r="C34" s="7"/>
      <c r="D34" s="7"/>
      <c r="E34" s="186"/>
      <c r="F34" s="186"/>
      <c r="G34" s="186"/>
      <c r="H34" s="68"/>
      <c r="I34" s="68"/>
      <c r="J34" s="68"/>
      <c r="K34" s="68"/>
      <c r="L34" s="68"/>
      <c r="M34" s="68"/>
      <c r="N34" s="68"/>
      <c r="O34" s="68"/>
    </row>
    <row r="35" spans="2:15" x14ac:dyDescent="0.3">
      <c r="B35" s="11" t="s">
        <v>56</v>
      </c>
      <c r="C35" s="11"/>
      <c r="D35" s="11"/>
      <c r="E35" s="192"/>
      <c r="F35" s="192"/>
      <c r="G35" s="192"/>
      <c r="H35" s="68"/>
      <c r="I35" s="68"/>
      <c r="J35" s="68"/>
      <c r="K35" s="68"/>
      <c r="L35" s="68"/>
      <c r="M35" s="68"/>
      <c r="N35" s="68"/>
      <c r="O35" s="68"/>
    </row>
    <row r="36" spans="2:15" x14ac:dyDescent="0.3">
      <c r="B36" s="10" t="s">
        <v>57</v>
      </c>
      <c r="C36" s="10"/>
      <c r="D36" s="10"/>
      <c r="E36" s="190">
        <f>-3.0576+0.0125</f>
        <v>-3.0450999999999997</v>
      </c>
      <c r="F36" s="190">
        <v>-13.897500000000001</v>
      </c>
      <c r="G36" s="190">
        <v>-23.702200000000001</v>
      </c>
      <c r="H36" s="187">
        <f>-BS!I161</f>
        <v>-65.039299999999997</v>
      </c>
      <c r="I36" s="187">
        <f>-BS!J161</f>
        <v>-100</v>
      </c>
      <c r="J36" s="187">
        <f>-BS!K161</f>
        <v>-41.970774999999975</v>
      </c>
      <c r="K36" s="187">
        <f>-BS!L161</f>
        <v>0</v>
      </c>
      <c r="L36" s="187">
        <f>-BS!M161</f>
        <v>0</v>
      </c>
      <c r="M36" s="187">
        <f>-BS!N161</f>
        <v>0</v>
      </c>
      <c r="N36" s="187">
        <f>-BS!O161</f>
        <v>0</v>
      </c>
      <c r="O36" s="187">
        <f>-BS!P161</f>
        <v>0</v>
      </c>
    </row>
    <row r="37" spans="2:15" x14ac:dyDescent="0.3">
      <c r="B37" s="10" t="s">
        <v>409</v>
      </c>
      <c r="C37" s="10"/>
      <c r="D37" s="10"/>
      <c r="E37" s="190"/>
      <c r="F37" s="190"/>
      <c r="G37" s="190"/>
      <c r="H37" s="187">
        <f>(-BS!I165)</f>
        <v>-2.4933000000000001</v>
      </c>
      <c r="I37" s="187">
        <f>(-BS!J165)</f>
        <v>0</v>
      </c>
      <c r="J37" s="187">
        <f>(-BS!K165)</f>
        <v>0</v>
      </c>
      <c r="K37" s="187">
        <f>(-BS!L165)</f>
        <v>0</v>
      </c>
      <c r="L37" s="187">
        <f>(-BS!M165)</f>
        <v>0</v>
      </c>
      <c r="M37" s="187">
        <f>(-BS!N165)</f>
        <v>0</v>
      </c>
      <c r="N37" s="187">
        <f>(-BS!O165)</f>
        <v>0</v>
      </c>
      <c r="O37" s="187">
        <f>(-BS!P165)</f>
        <v>0</v>
      </c>
    </row>
    <row r="38" spans="2:15" x14ac:dyDescent="0.3">
      <c r="B38" s="10" t="s">
        <v>407</v>
      </c>
      <c r="C38" s="10"/>
      <c r="D38" s="10"/>
      <c r="E38" s="190"/>
      <c r="F38" s="190"/>
      <c r="G38" s="191"/>
      <c r="H38" s="191">
        <f>-(BS!I17-BS!G17)</f>
        <v>3.881000000000002</v>
      </c>
      <c r="I38" s="191">
        <f>-(BS!J17-BS!I17)</f>
        <v>0</v>
      </c>
      <c r="J38" s="191">
        <f>-(BS!K17-BS!I17)</f>
        <v>0</v>
      </c>
      <c r="K38" s="191">
        <f>-(BS!L17-BS!J17)</f>
        <v>0</v>
      </c>
      <c r="L38" s="191">
        <f>-(BS!M17-BS!K17)</f>
        <v>0</v>
      </c>
      <c r="M38" s="191">
        <f>-(BS!N17-BS!L17)</f>
        <v>0</v>
      </c>
      <c r="N38" s="191">
        <f>-(BS!O17-BS!M17)</f>
        <v>0</v>
      </c>
      <c r="O38" s="191">
        <f>-(BS!P17-BS!N17)</f>
        <v>0</v>
      </c>
    </row>
    <row r="39" spans="2:15" x14ac:dyDescent="0.3">
      <c r="B39" s="10" t="s">
        <v>413</v>
      </c>
      <c r="C39" s="10"/>
      <c r="D39" s="10"/>
      <c r="E39" s="190"/>
      <c r="F39" s="190"/>
      <c r="G39" s="191"/>
      <c r="H39" s="191">
        <f>-(BS!I15-BS!G15)</f>
        <v>-1.2045999999999921</v>
      </c>
      <c r="I39" s="191">
        <f>-(BS!J15-BS!I15)</f>
        <v>0</v>
      </c>
      <c r="J39" s="191">
        <f>-(BS!K15-BS!I15)</f>
        <v>0</v>
      </c>
      <c r="K39" s="191">
        <f>-(BS!L15-BS!J15)</f>
        <v>0</v>
      </c>
      <c r="L39" s="191">
        <f>-(BS!M15-BS!K15)</f>
        <v>0</v>
      </c>
      <c r="M39" s="191">
        <f>-(BS!N15-BS!L15)</f>
        <v>0</v>
      </c>
      <c r="N39" s="191">
        <f>-(BS!O15-BS!M15)</f>
        <v>0</v>
      </c>
      <c r="O39" s="191">
        <f>-(BS!P15-BS!N15)</f>
        <v>0</v>
      </c>
    </row>
    <row r="40" spans="2:15" x14ac:dyDescent="0.3">
      <c r="B40" s="10" t="s">
        <v>350</v>
      </c>
      <c r="C40" s="10"/>
      <c r="D40" s="10"/>
      <c r="E40" s="190">
        <v>-2.8E-3</v>
      </c>
      <c r="F40" s="190">
        <v>-17.500900000000001</v>
      </c>
      <c r="G40" s="187">
        <v>1.9199999999999998E-2</v>
      </c>
      <c r="H40" s="187">
        <f>-(BS!I25-BS!G25)</f>
        <v>4.25</v>
      </c>
      <c r="I40" s="187"/>
      <c r="J40" s="187"/>
      <c r="K40" s="187"/>
      <c r="L40" s="187"/>
      <c r="M40" s="187"/>
      <c r="N40" s="187"/>
      <c r="O40" s="187"/>
    </row>
    <row r="41" spans="2:15" x14ac:dyDescent="0.3">
      <c r="B41" s="10" t="s">
        <v>351</v>
      </c>
      <c r="C41" s="10"/>
      <c r="D41" s="10"/>
      <c r="E41" s="190">
        <v>0.79139999999999999</v>
      </c>
      <c r="F41" s="190">
        <v>1.5665</v>
      </c>
      <c r="G41" s="187">
        <v>3.2753999999999999</v>
      </c>
      <c r="H41" s="187"/>
      <c r="I41" s="187"/>
      <c r="J41" s="187"/>
      <c r="K41" s="187"/>
      <c r="L41" s="187"/>
      <c r="M41" s="187"/>
      <c r="N41" s="187"/>
      <c r="O41" s="187"/>
    </row>
    <row r="42" spans="2:15" x14ac:dyDescent="0.3">
      <c r="B42" s="216" t="s">
        <v>672</v>
      </c>
      <c r="C42" s="216"/>
      <c r="D42" s="216"/>
      <c r="E42" s="217">
        <f>SUM(E36:E41)</f>
        <v>-2.2565</v>
      </c>
      <c r="F42" s="217">
        <f>SUM(F36:F41)</f>
        <v>-29.831900000000001</v>
      </c>
      <c r="G42" s="217">
        <f>SUM(G36:G41)</f>
        <v>-20.407599999999999</v>
      </c>
      <c r="H42" s="217">
        <f t="shared" ref="H42:M42" si="12">SUM(H36:H41)</f>
        <v>-60.606200000000001</v>
      </c>
      <c r="I42" s="217">
        <f t="shared" si="12"/>
        <v>-100</v>
      </c>
      <c r="J42" s="217">
        <f t="shared" si="12"/>
        <v>-41.970774999999975</v>
      </c>
      <c r="K42" s="217">
        <f t="shared" si="12"/>
        <v>0</v>
      </c>
      <c r="L42" s="217">
        <f t="shared" si="12"/>
        <v>0</v>
      </c>
      <c r="M42" s="217">
        <f t="shared" si="12"/>
        <v>0</v>
      </c>
      <c r="N42" s="217">
        <f t="shared" ref="N42:O42" si="13">SUM(N36:N41)</f>
        <v>0</v>
      </c>
      <c r="O42" s="217">
        <f t="shared" si="13"/>
        <v>0</v>
      </c>
    </row>
    <row r="43" spans="2:15" x14ac:dyDescent="0.3">
      <c r="B43" s="8"/>
      <c r="C43" s="8"/>
      <c r="D43" s="8"/>
      <c r="E43" s="186"/>
      <c r="F43" s="186"/>
      <c r="G43" s="186"/>
      <c r="H43" s="68"/>
      <c r="I43" s="68"/>
      <c r="J43" s="68"/>
      <c r="K43" s="68"/>
      <c r="L43" s="68"/>
      <c r="M43" s="68"/>
      <c r="N43" s="68"/>
      <c r="O43" s="68"/>
    </row>
    <row r="44" spans="2:15" x14ac:dyDescent="0.3">
      <c r="B44" s="6" t="s">
        <v>54</v>
      </c>
      <c r="C44" s="6"/>
      <c r="D44" s="6"/>
      <c r="E44" s="220"/>
      <c r="F44" s="220"/>
      <c r="G44" s="220"/>
      <c r="H44" s="181"/>
      <c r="I44" s="181"/>
      <c r="J44" s="181"/>
      <c r="K44" s="181"/>
      <c r="L44" s="181"/>
      <c r="M44" s="181"/>
      <c r="N44" s="181"/>
      <c r="O44" s="181"/>
    </row>
    <row r="45" spans="2:15" x14ac:dyDescent="0.3">
      <c r="B45" s="10" t="s">
        <v>177</v>
      </c>
      <c r="C45" s="10"/>
      <c r="D45" s="10"/>
      <c r="E45" s="221">
        <v>-2.0114000000000001</v>
      </c>
      <c r="F45" s="221">
        <v>-3.0727000000000002</v>
      </c>
      <c r="G45" s="221">
        <v>0</v>
      </c>
      <c r="H45" s="222"/>
      <c r="I45" s="181"/>
      <c r="J45" s="181"/>
      <c r="K45" s="181"/>
      <c r="L45" s="181"/>
      <c r="M45" s="181"/>
      <c r="N45" s="181"/>
      <c r="O45" s="181"/>
    </row>
    <row r="46" spans="2:15" x14ac:dyDescent="0.3">
      <c r="B46" s="32" t="s">
        <v>176</v>
      </c>
      <c r="C46" s="32"/>
      <c r="D46" s="32"/>
      <c r="E46" s="223"/>
      <c r="F46" s="223"/>
      <c r="G46" s="223"/>
      <c r="H46" s="224">
        <f>BS!I40-BS!G40</f>
        <v>5</v>
      </c>
      <c r="I46" s="224">
        <f>BS!J40-BS!I40</f>
        <v>44</v>
      </c>
      <c r="J46" s="224">
        <f>BS!K40-BS!J40</f>
        <v>8</v>
      </c>
      <c r="K46" s="224">
        <f>BS!L40-BS!K40</f>
        <v>-14</v>
      </c>
      <c r="L46" s="224">
        <f>BS!M40-BS!L40</f>
        <v>-16</v>
      </c>
      <c r="M46" s="224">
        <f>BS!N40-BS!M40</f>
        <v>-18</v>
      </c>
      <c r="N46" s="224">
        <f>BS!O40-BS!N40</f>
        <v>0</v>
      </c>
      <c r="O46" s="224">
        <f>BS!P40-BS!O40</f>
        <v>-9</v>
      </c>
    </row>
    <row r="47" spans="2:15" x14ac:dyDescent="0.3">
      <c r="B47" s="32" t="s">
        <v>163</v>
      </c>
      <c r="C47" s="32"/>
      <c r="D47" s="32"/>
      <c r="E47" s="223"/>
      <c r="F47" s="223"/>
      <c r="G47" s="223"/>
      <c r="H47" s="224">
        <f>BS!I53-BS!G53</f>
        <v>0</v>
      </c>
      <c r="I47" s="224">
        <f>BS!J53-BS!I53</f>
        <v>6</v>
      </c>
      <c r="J47" s="224">
        <f>BS!K53-BS!J53</f>
        <v>6</v>
      </c>
      <c r="K47" s="224">
        <f>BS!L53-BS!K53</f>
        <v>2</v>
      </c>
      <c r="L47" s="224">
        <f>BS!M53-BS!L53</f>
        <v>2</v>
      </c>
      <c r="M47" s="224">
        <f>BS!N53-BS!M53</f>
        <v>2</v>
      </c>
      <c r="N47" s="224">
        <f>BS!O53-BS!N53</f>
        <v>-9</v>
      </c>
      <c r="O47" s="224">
        <f>BS!P53-BS!O53</f>
        <v>-9</v>
      </c>
    </row>
    <row r="48" spans="2:15" x14ac:dyDescent="0.3">
      <c r="B48" s="10" t="s">
        <v>178</v>
      </c>
      <c r="C48" s="10"/>
      <c r="D48" s="10"/>
      <c r="E48" s="221">
        <v>-0.30580000000000002</v>
      </c>
      <c r="F48" s="221">
        <v>-0.7167</v>
      </c>
      <c r="G48" s="221">
        <v>-0.75249999999999995</v>
      </c>
      <c r="H48" s="225"/>
      <c r="I48" s="225"/>
      <c r="J48" s="225"/>
      <c r="K48" s="225"/>
      <c r="L48" s="225"/>
      <c r="M48" s="225"/>
      <c r="N48" s="225"/>
      <c r="O48" s="225"/>
    </row>
    <row r="49" spans="2:15" x14ac:dyDescent="0.3">
      <c r="B49" s="32" t="s">
        <v>176</v>
      </c>
      <c r="C49" s="32"/>
      <c r="D49" s="32"/>
      <c r="E49" s="223"/>
      <c r="F49" s="223"/>
      <c r="G49" s="223"/>
      <c r="H49" s="224">
        <f>BS!I41-BS!G41</f>
        <v>1.9220999999999999</v>
      </c>
      <c r="I49" s="224">
        <f>BS!J41-BS!I41</f>
        <v>0</v>
      </c>
      <c r="J49" s="224">
        <f>BS!K41-BS!I41</f>
        <v>0</v>
      </c>
      <c r="K49" s="224">
        <f>BS!L41-BS!J41</f>
        <v>0</v>
      </c>
      <c r="L49" s="224">
        <f>BS!M41-BS!K41</f>
        <v>0</v>
      </c>
      <c r="M49" s="224">
        <f>BS!N41-BS!L41</f>
        <v>0</v>
      </c>
      <c r="N49" s="224">
        <f>BS!O41-BS!M41</f>
        <v>0</v>
      </c>
      <c r="O49" s="224">
        <f>BS!P41-BS!N41</f>
        <v>0</v>
      </c>
    </row>
    <row r="50" spans="2:15" x14ac:dyDescent="0.3">
      <c r="B50" s="32" t="s">
        <v>163</v>
      </c>
      <c r="C50" s="32"/>
      <c r="D50" s="32"/>
      <c r="E50" s="223"/>
      <c r="F50" s="223"/>
      <c r="G50" s="223"/>
      <c r="H50" s="225">
        <f>BS!I49-BS!G49</f>
        <v>-0.30109999999999998</v>
      </c>
      <c r="I50" s="225">
        <f>BS!J49-BS!I49</f>
        <v>0</v>
      </c>
      <c r="J50" s="225">
        <f>BS!K49-BS!J49</f>
        <v>0</v>
      </c>
      <c r="K50" s="225">
        <f>BS!L49-BS!K49</f>
        <v>0</v>
      </c>
      <c r="L50" s="225">
        <f>BS!M49-BS!L49</f>
        <v>0</v>
      </c>
      <c r="M50" s="225">
        <f>BS!N49-BS!M49</f>
        <v>0</v>
      </c>
      <c r="N50" s="225">
        <f>BS!O49-BS!N49</f>
        <v>0</v>
      </c>
      <c r="O50" s="225">
        <f>BS!P49-BS!O49</f>
        <v>0</v>
      </c>
    </row>
    <row r="51" spans="2:15" x14ac:dyDescent="0.3">
      <c r="B51" s="10" t="s">
        <v>55</v>
      </c>
      <c r="C51" s="10"/>
      <c r="D51" s="10"/>
      <c r="E51" s="221"/>
      <c r="F51" s="221"/>
      <c r="G51" s="221"/>
      <c r="H51" s="225">
        <f>BS!I33-BS!G33</f>
        <v>0</v>
      </c>
      <c r="I51" s="225">
        <f>BS!J33-BS!I33</f>
        <v>0</v>
      </c>
      <c r="J51" s="225">
        <f>BS!K33-BS!J33</f>
        <v>0</v>
      </c>
      <c r="K51" s="225">
        <f>BS!L33-BS!K33</f>
        <v>0</v>
      </c>
      <c r="L51" s="225">
        <f>BS!M33-BS!L33</f>
        <v>0</v>
      </c>
      <c r="M51" s="225">
        <f>BS!N33-BS!M33</f>
        <v>0</v>
      </c>
      <c r="N51" s="225">
        <f>BS!O33-BS!N33</f>
        <v>0</v>
      </c>
      <c r="O51" s="225">
        <f>BS!P33-BS!O33</f>
        <v>0</v>
      </c>
    </row>
    <row r="52" spans="2:15" x14ac:dyDescent="0.3">
      <c r="B52" s="70" t="s">
        <v>411</v>
      </c>
      <c r="C52" s="70"/>
      <c r="D52" s="70"/>
      <c r="E52" s="190"/>
      <c r="F52" s="190"/>
      <c r="G52" s="190"/>
      <c r="H52" s="191">
        <f>BS!I42-BS!G42</f>
        <v>3.9099999999999913E-2</v>
      </c>
      <c r="I52" s="191">
        <f>BS!J42-BS!I42</f>
        <v>0</v>
      </c>
      <c r="J52" s="191">
        <f>BS!K42-BS!J42</f>
        <v>0</v>
      </c>
      <c r="K52" s="191">
        <f>BS!L42-BS!K42</f>
        <v>0</v>
      </c>
      <c r="L52" s="191">
        <f>BS!M42-BS!L42</f>
        <v>0</v>
      </c>
      <c r="M52" s="191">
        <f>BS!N42-BS!M42</f>
        <v>0</v>
      </c>
      <c r="N52" s="191">
        <f>BS!O42-BS!N42</f>
        <v>0</v>
      </c>
      <c r="O52" s="191">
        <f>BS!P42-BS!O42</f>
        <v>0</v>
      </c>
    </row>
    <row r="53" spans="2:15" x14ac:dyDescent="0.3">
      <c r="B53" s="70" t="s">
        <v>412</v>
      </c>
      <c r="C53" s="70"/>
      <c r="D53" s="70"/>
      <c r="E53" s="190"/>
      <c r="F53" s="190"/>
      <c r="G53" s="190"/>
      <c r="H53" s="191">
        <f>BS!I43-BS!G43</f>
        <v>0.29420000000000002</v>
      </c>
      <c r="I53" s="191">
        <f>BS!J43-BS!I43</f>
        <v>0</v>
      </c>
      <c r="J53" s="191">
        <f>BS!K43-BS!J43</f>
        <v>0</v>
      </c>
      <c r="K53" s="191">
        <f>BS!L43-BS!K43</f>
        <v>0</v>
      </c>
      <c r="L53" s="191">
        <f>BS!M43-BS!L43</f>
        <v>0</v>
      </c>
      <c r="M53" s="191">
        <f>BS!N43-BS!M43</f>
        <v>0</v>
      </c>
      <c r="N53" s="191">
        <f>BS!O43-BS!N43</f>
        <v>0</v>
      </c>
      <c r="O53" s="191">
        <f>BS!P43-BS!O43</f>
        <v>0</v>
      </c>
    </row>
    <row r="54" spans="2:15" x14ac:dyDescent="0.3">
      <c r="B54" s="10" t="s">
        <v>352</v>
      </c>
      <c r="C54" s="10"/>
      <c r="D54" s="10"/>
      <c r="E54" s="190">
        <v>-2.3972000000000002</v>
      </c>
      <c r="F54" s="190">
        <v>-10.0007</v>
      </c>
      <c r="G54" s="190">
        <v>-12.4354</v>
      </c>
      <c r="H54" s="191"/>
      <c r="I54" s="191"/>
      <c r="J54" s="191"/>
      <c r="K54" s="191"/>
      <c r="L54" s="191"/>
      <c r="M54" s="191"/>
      <c r="N54" s="191"/>
      <c r="O54" s="191"/>
    </row>
    <row r="55" spans="2:15" x14ac:dyDescent="0.3">
      <c r="B55" s="10" t="s">
        <v>52</v>
      </c>
      <c r="C55" s="10"/>
      <c r="D55" s="10"/>
      <c r="E55" s="190">
        <v>-0.4501</v>
      </c>
      <c r="F55" s="190">
        <v>-0.2051</v>
      </c>
      <c r="G55" s="190">
        <v>-0.1113</v>
      </c>
      <c r="H55" s="187">
        <f t="shared" ref="H55:O55" si="14">-H17</f>
        <v>-0.20613333333333334</v>
      </c>
      <c r="I55" s="187">
        <f t="shared" si="14"/>
        <v>-2.8129826484018263</v>
      </c>
      <c r="J55" s="187">
        <f t="shared" si="14"/>
        <v>-7.5490100456620999</v>
      </c>
      <c r="K55" s="187">
        <f t="shared" si="14"/>
        <v>-7.3024894977168948</v>
      </c>
      <c r="L55" s="187">
        <f t="shared" si="14"/>
        <v>-5.8986333333333327</v>
      </c>
      <c r="M55" s="187">
        <f t="shared" si="14"/>
        <v>-4.2779415525114155</v>
      </c>
      <c r="N55" s="187">
        <f t="shared" si="14"/>
        <v>-2.4356675799086758</v>
      </c>
      <c r="O55" s="187">
        <f t="shared" si="14"/>
        <v>-0.20613333333333334</v>
      </c>
    </row>
    <row r="56" spans="2:15" x14ac:dyDescent="0.3">
      <c r="B56" s="216" t="s">
        <v>673</v>
      </c>
      <c r="C56" s="216"/>
      <c r="D56" s="216"/>
      <c r="E56" s="217">
        <f t="shared" ref="E56:M56" si="15">SUM(E45:E55)</f>
        <v>-5.1645000000000003</v>
      </c>
      <c r="F56" s="217">
        <f t="shared" si="15"/>
        <v>-13.995200000000001</v>
      </c>
      <c r="G56" s="217">
        <f t="shared" si="15"/>
        <v>-13.299199999999999</v>
      </c>
      <c r="H56" s="217">
        <f t="shared" si="15"/>
        <v>6.7481666666666662</v>
      </c>
      <c r="I56" s="217">
        <f t="shared" si="15"/>
        <v>47.187017351598172</v>
      </c>
      <c r="J56" s="217">
        <f t="shared" si="15"/>
        <v>6.4509899543379001</v>
      </c>
      <c r="K56" s="217">
        <f t="shared" si="15"/>
        <v>-19.302489497716895</v>
      </c>
      <c r="L56" s="217">
        <f t="shared" si="15"/>
        <v>-19.898633333333333</v>
      </c>
      <c r="M56" s="217">
        <f t="shared" si="15"/>
        <v>-20.277941552511415</v>
      </c>
      <c r="N56" s="217">
        <f t="shared" ref="N56:O56" si="16">SUM(N45:N55)</f>
        <v>-11.435667579908676</v>
      </c>
      <c r="O56" s="217">
        <f t="shared" si="16"/>
        <v>-18.206133333333334</v>
      </c>
    </row>
    <row r="57" spans="2:15" x14ac:dyDescent="0.3">
      <c r="B57" s="7"/>
      <c r="C57" s="7"/>
      <c r="D57" s="7"/>
      <c r="E57" s="186"/>
      <c r="F57" s="186"/>
      <c r="G57" s="186"/>
      <c r="H57" s="68"/>
      <c r="I57" s="68"/>
      <c r="J57" s="68"/>
      <c r="K57" s="68"/>
      <c r="L57" s="68"/>
      <c r="M57" s="68"/>
      <c r="N57" s="68"/>
      <c r="O57" s="68"/>
    </row>
    <row r="58" spans="2:15" x14ac:dyDescent="0.3">
      <c r="B58" s="9" t="s">
        <v>58</v>
      </c>
      <c r="C58" s="9"/>
      <c r="D58" s="9"/>
      <c r="E58" s="193">
        <f t="shared" ref="E58:O58" si="17">E42+E56+E33</f>
        <v>3.1097999999999937</v>
      </c>
      <c r="F58" s="193">
        <f t="shared" si="17"/>
        <v>-3.5140000000000029</v>
      </c>
      <c r="G58" s="193">
        <f t="shared" si="17"/>
        <v>5.7942999999999785</v>
      </c>
      <c r="H58" s="193">
        <f t="shared" si="17"/>
        <v>-1.0651078733688593</v>
      </c>
      <c r="I58" s="193">
        <f t="shared" si="17"/>
        <v>11.022384959242729</v>
      </c>
      <c r="J58" s="193">
        <f t="shared" si="17"/>
        <v>61.961487888396988</v>
      </c>
      <c r="K58" s="193">
        <f t="shared" si="17"/>
        <v>135.12970290975005</v>
      </c>
      <c r="L58" s="193">
        <f t="shared" si="17"/>
        <v>207.0266358380762</v>
      </c>
      <c r="M58" s="193">
        <f t="shared" si="17"/>
        <v>233.26322942841912</v>
      </c>
      <c r="N58" s="193">
        <f t="shared" si="17"/>
        <v>256.30021532725459</v>
      </c>
      <c r="O58" s="193">
        <f t="shared" si="17"/>
        <v>263.47254810004597</v>
      </c>
    </row>
    <row r="59" spans="2:15" x14ac:dyDescent="0.3">
      <c r="B59" s="10" t="s">
        <v>59</v>
      </c>
      <c r="C59" s="10"/>
      <c r="D59" s="10"/>
      <c r="E59" s="194">
        <f>BS!D23</f>
        <v>0.85950000000000004</v>
      </c>
      <c r="F59" s="194">
        <f>E60</f>
        <v>3.9692999999999938</v>
      </c>
      <c r="G59" s="194">
        <v>0.26079999999999998</v>
      </c>
      <c r="H59" s="187">
        <f>G60</f>
        <v>6.0550999999999782</v>
      </c>
      <c r="I59" s="191">
        <f>H60</f>
        <v>4.9899921266311189</v>
      </c>
      <c r="J59" s="191">
        <f t="shared" ref="J59:O59" si="18">I60</f>
        <v>16.012377085873847</v>
      </c>
      <c r="K59" s="191">
        <f t="shared" si="18"/>
        <v>77.973864974270839</v>
      </c>
      <c r="L59" s="191">
        <f t="shared" si="18"/>
        <v>213.10356788402089</v>
      </c>
      <c r="M59" s="191">
        <f t="shared" si="18"/>
        <v>420.13020372209712</v>
      </c>
      <c r="N59" s="191">
        <f t="shared" si="18"/>
        <v>653.39343315051622</v>
      </c>
      <c r="O59" s="191">
        <f t="shared" si="18"/>
        <v>909.69364847777081</v>
      </c>
    </row>
    <row r="60" spans="2:15" ht="15" thickBot="1" x14ac:dyDescent="0.35">
      <c r="B60" s="218" t="s">
        <v>60</v>
      </c>
      <c r="C60" s="218"/>
      <c r="D60" s="218"/>
      <c r="E60" s="219">
        <f>E58+E59</f>
        <v>3.9692999999999938</v>
      </c>
      <c r="F60" s="219">
        <f>F58+F59</f>
        <v>0.45529999999999093</v>
      </c>
      <c r="G60" s="219">
        <f>G58+G59</f>
        <v>6.0550999999999782</v>
      </c>
      <c r="H60" s="219">
        <f>H58+H59</f>
        <v>4.9899921266311189</v>
      </c>
      <c r="I60" s="219">
        <f t="shared" ref="I60:M60" si="19">I58+I59</f>
        <v>16.012377085873847</v>
      </c>
      <c r="J60" s="219">
        <f t="shared" si="19"/>
        <v>77.973864974270839</v>
      </c>
      <c r="K60" s="219">
        <f t="shared" si="19"/>
        <v>213.10356788402089</v>
      </c>
      <c r="L60" s="219">
        <f t="shared" si="19"/>
        <v>420.13020372209712</v>
      </c>
      <c r="M60" s="219">
        <f t="shared" si="19"/>
        <v>653.39343315051622</v>
      </c>
      <c r="N60" s="219">
        <f t="shared" ref="N60:O60" si="20">N58+N59</f>
        <v>909.69364847777081</v>
      </c>
      <c r="O60" s="219">
        <f t="shared" si="20"/>
        <v>1173.1661965778167</v>
      </c>
    </row>
    <row r="62" spans="2:15" x14ac:dyDescent="0.3">
      <c r="G62" s="24"/>
    </row>
  </sheetData>
  <conditionalFormatting sqref="E60:O60">
    <cfRule type="cellIs" dxfId="0" priority="1" operator="lessThan">
      <formula>0</formula>
    </cfRule>
  </conditionalFormatting>
  <pageMargins left="0.4" right="0.4" top="0.75" bottom="0.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U197"/>
  <sheetViews>
    <sheetView workbookViewId="0">
      <selection activeCell="C11" sqref="C11"/>
    </sheetView>
  </sheetViews>
  <sheetFormatPr defaultRowHeight="14.4" x14ac:dyDescent="0.3"/>
  <cols>
    <col min="1" max="1" width="27.33203125" customWidth="1"/>
    <col min="2" max="2" width="5.5546875" bestFit="1" customWidth="1"/>
    <col min="3" max="3" width="6.6640625" bestFit="1" customWidth="1"/>
    <col min="4" max="11" width="9.33203125" bestFit="1" customWidth="1"/>
    <col min="12" max="91" width="8.33203125" customWidth="1"/>
  </cols>
  <sheetData>
    <row r="1" spans="1:88" ht="21" x14ac:dyDescent="0.4">
      <c r="A1" s="492" t="str">
        <f>Assumptions!A1</f>
        <v xml:space="preserve">GUJARAT THEMIS BIOSYN LIMITED </v>
      </c>
      <c r="B1" s="492"/>
      <c r="C1" s="492"/>
      <c r="D1" s="492"/>
      <c r="E1" s="492"/>
      <c r="F1" s="492"/>
      <c r="G1" s="492"/>
      <c r="H1" s="492"/>
      <c r="I1" s="492"/>
      <c r="J1" s="492"/>
      <c r="K1" s="492"/>
      <c r="L1" s="497"/>
      <c r="M1" s="497"/>
      <c r="N1" s="497"/>
      <c r="O1" s="497"/>
      <c r="P1" s="497"/>
      <c r="Q1" s="497"/>
      <c r="R1" s="497"/>
      <c r="S1" s="497"/>
      <c r="T1" s="497"/>
      <c r="U1" s="497"/>
      <c r="V1" s="497"/>
      <c r="W1" s="497"/>
      <c r="X1" s="497"/>
      <c r="Y1" s="497"/>
      <c r="Z1" s="497"/>
      <c r="AA1" s="497"/>
      <c r="AB1" s="497"/>
      <c r="AC1" s="497"/>
      <c r="AD1" s="497"/>
      <c r="AE1" s="497"/>
      <c r="AF1" s="497"/>
      <c r="AG1" s="497"/>
      <c r="AH1" s="497"/>
      <c r="AI1" s="497"/>
      <c r="AJ1" s="497"/>
      <c r="AK1" s="497"/>
      <c r="AL1" s="497"/>
      <c r="AM1" s="497"/>
      <c r="AN1" s="497"/>
      <c r="AO1" s="497"/>
      <c r="AP1" s="497"/>
      <c r="AQ1" s="497"/>
      <c r="AR1" s="497"/>
      <c r="AS1" s="497"/>
      <c r="AT1" s="497"/>
      <c r="AU1" s="497"/>
      <c r="AV1" s="497"/>
      <c r="AW1" s="497"/>
      <c r="AX1" s="497"/>
      <c r="AY1" s="497"/>
      <c r="AZ1" s="497"/>
      <c r="BA1" s="497"/>
      <c r="BB1" s="497"/>
      <c r="BC1" s="497"/>
      <c r="BD1" s="497"/>
      <c r="BE1" s="497"/>
      <c r="BF1" s="497"/>
      <c r="BG1" s="497"/>
      <c r="BH1" s="497"/>
      <c r="BI1" s="497"/>
      <c r="BJ1" s="497"/>
      <c r="BK1" s="497"/>
      <c r="BL1" s="497"/>
      <c r="BM1" s="497"/>
      <c r="BN1" s="497"/>
      <c r="BO1" s="497"/>
      <c r="BP1" s="497"/>
      <c r="BQ1" s="497"/>
      <c r="BR1" s="497"/>
      <c r="BS1" s="497"/>
      <c r="BT1" s="497"/>
      <c r="BU1" s="497"/>
      <c r="BV1" s="497"/>
      <c r="BW1" s="497"/>
      <c r="BX1" s="497"/>
      <c r="BY1" s="497"/>
      <c r="BZ1" s="497"/>
      <c r="CA1" s="497"/>
      <c r="CB1" s="497"/>
      <c r="CC1" s="497"/>
      <c r="CD1" s="497"/>
    </row>
    <row r="2" spans="1:88" s="184" customFormat="1" ht="15.6" x14ac:dyDescent="0.3">
      <c r="A2" s="493" t="s">
        <v>63</v>
      </c>
      <c r="B2" s="493"/>
      <c r="C2" s="493"/>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494"/>
      <c r="AO2" s="494"/>
      <c r="AP2" s="494"/>
      <c r="AQ2" s="494"/>
      <c r="AR2" s="494"/>
      <c r="AS2" s="494"/>
      <c r="AT2" s="494"/>
      <c r="AU2" s="494"/>
      <c r="AV2" s="494"/>
      <c r="AW2" s="494"/>
      <c r="AX2" s="494"/>
      <c r="AY2" s="494"/>
      <c r="AZ2" s="494"/>
      <c r="BA2" s="494"/>
      <c r="BB2" s="494"/>
      <c r="BC2" s="494"/>
      <c r="BD2" s="494"/>
      <c r="BE2" s="494"/>
      <c r="BF2" s="494"/>
      <c r="BG2" s="494"/>
      <c r="BH2" s="494"/>
      <c r="BI2" s="494"/>
      <c r="BJ2" s="494"/>
      <c r="BK2" s="494"/>
      <c r="BL2" s="494"/>
      <c r="BM2" s="494"/>
      <c r="BN2" s="494"/>
      <c r="BO2" s="494"/>
      <c r="BP2" s="494"/>
      <c r="BQ2" s="494"/>
      <c r="BR2" s="494"/>
      <c r="BS2" s="494"/>
      <c r="BT2" s="494"/>
      <c r="BU2" s="494"/>
      <c r="BV2" s="494"/>
      <c r="BW2" s="494"/>
      <c r="BX2" s="494"/>
      <c r="BY2" s="494"/>
      <c r="BZ2" s="494"/>
      <c r="CA2" s="494"/>
      <c r="CB2" s="494"/>
      <c r="CC2" s="494"/>
      <c r="CD2" s="494"/>
      <c r="CE2"/>
    </row>
    <row r="3" spans="1:88" s="74" customFormat="1" x14ac:dyDescent="0.3">
      <c r="A3" s="496" t="s">
        <v>481</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c r="AV3" s="496"/>
      <c r="AW3" s="496"/>
      <c r="AX3" s="496"/>
      <c r="AY3" s="496"/>
      <c r="AZ3" s="496"/>
      <c r="BA3" s="496"/>
      <c r="BB3" s="496"/>
      <c r="BC3" s="496"/>
      <c r="BD3" s="496"/>
      <c r="BE3" s="496"/>
      <c r="BF3" s="496"/>
      <c r="BG3" s="496"/>
      <c r="BH3" s="496"/>
      <c r="BI3" s="496"/>
      <c r="BJ3" s="496"/>
      <c r="BK3" s="496"/>
      <c r="BL3" s="496"/>
      <c r="BM3" s="496"/>
      <c r="BN3" s="496"/>
      <c r="BO3" s="496"/>
      <c r="BP3" s="496"/>
      <c r="BQ3" s="496"/>
      <c r="BR3" s="496"/>
      <c r="BS3" s="496"/>
      <c r="BT3" s="496"/>
      <c r="BU3" s="496"/>
      <c r="BV3" s="496"/>
      <c r="BW3" s="496"/>
      <c r="BX3" s="496"/>
      <c r="BY3" s="496"/>
      <c r="BZ3" s="496"/>
      <c r="CA3" s="496"/>
      <c r="CB3" s="496"/>
      <c r="CC3" s="496"/>
      <c r="CD3" s="496"/>
      <c r="CE3"/>
    </row>
    <row r="4" spans="1:88" x14ac:dyDescent="0.3">
      <c r="A4" s="75" t="s">
        <v>482</v>
      </c>
      <c r="B4" s="75"/>
      <c r="C4" s="75"/>
      <c r="D4" s="76">
        <f>DATE(2024,3,1)</f>
        <v>45352</v>
      </c>
      <c r="E4" s="76">
        <f t="shared" ref="E4:BP4" si="0">D5+1</f>
        <v>45383</v>
      </c>
      <c r="F4" s="76">
        <f t="shared" si="0"/>
        <v>45413</v>
      </c>
      <c r="G4" s="76">
        <f t="shared" si="0"/>
        <v>45444</v>
      </c>
      <c r="H4" s="76">
        <f t="shared" si="0"/>
        <v>45474</v>
      </c>
      <c r="I4" s="76">
        <f t="shared" si="0"/>
        <v>45505</v>
      </c>
      <c r="J4" s="76">
        <f t="shared" si="0"/>
        <v>45536</v>
      </c>
      <c r="K4" s="76">
        <f t="shared" si="0"/>
        <v>45566</v>
      </c>
      <c r="L4" s="76">
        <f t="shared" si="0"/>
        <v>45597</v>
      </c>
      <c r="M4" s="76">
        <f t="shared" si="0"/>
        <v>45627</v>
      </c>
      <c r="N4" s="76">
        <f t="shared" si="0"/>
        <v>45658</v>
      </c>
      <c r="O4" s="76">
        <f t="shared" si="0"/>
        <v>45689</v>
      </c>
      <c r="P4" s="76">
        <f t="shared" si="0"/>
        <v>45717</v>
      </c>
      <c r="Q4" s="76">
        <f t="shared" si="0"/>
        <v>45748</v>
      </c>
      <c r="R4" s="76">
        <f t="shared" si="0"/>
        <v>45778</v>
      </c>
      <c r="S4" s="76">
        <f t="shared" si="0"/>
        <v>45809</v>
      </c>
      <c r="T4" s="76">
        <f t="shared" si="0"/>
        <v>45839</v>
      </c>
      <c r="U4" s="76">
        <f t="shared" si="0"/>
        <v>45870</v>
      </c>
      <c r="V4" s="76">
        <f t="shared" si="0"/>
        <v>45901</v>
      </c>
      <c r="W4" s="76">
        <f t="shared" si="0"/>
        <v>45931</v>
      </c>
      <c r="X4" s="76">
        <f t="shared" si="0"/>
        <v>45962</v>
      </c>
      <c r="Y4" s="76">
        <f t="shared" si="0"/>
        <v>45992</v>
      </c>
      <c r="Z4" s="76">
        <f t="shared" si="0"/>
        <v>46023</v>
      </c>
      <c r="AA4" s="76">
        <f t="shared" si="0"/>
        <v>46054</v>
      </c>
      <c r="AB4" s="76">
        <f t="shared" si="0"/>
        <v>46082</v>
      </c>
      <c r="AC4" s="76">
        <f t="shared" si="0"/>
        <v>46113</v>
      </c>
      <c r="AD4" s="76">
        <f t="shared" si="0"/>
        <v>46143</v>
      </c>
      <c r="AE4" s="76">
        <f t="shared" si="0"/>
        <v>46174</v>
      </c>
      <c r="AF4" s="76">
        <f t="shared" si="0"/>
        <v>46204</v>
      </c>
      <c r="AG4" s="76">
        <f t="shared" si="0"/>
        <v>46235</v>
      </c>
      <c r="AH4" s="76">
        <f t="shared" si="0"/>
        <v>46266</v>
      </c>
      <c r="AI4" s="76">
        <f t="shared" si="0"/>
        <v>46296</v>
      </c>
      <c r="AJ4" s="76">
        <f t="shared" si="0"/>
        <v>46327</v>
      </c>
      <c r="AK4" s="76">
        <f t="shared" si="0"/>
        <v>46357</v>
      </c>
      <c r="AL4" s="76">
        <f t="shared" si="0"/>
        <v>46388</v>
      </c>
      <c r="AM4" s="76">
        <f t="shared" si="0"/>
        <v>46419</v>
      </c>
      <c r="AN4" s="76">
        <f t="shared" si="0"/>
        <v>46447</v>
      </c>
      <c r="AO4" s="76">
        <f t="shared" si="0"/>
        <v>46478</v>
      </c>
      <c r="AP4" s="76">
        <f t="shared" si="0"/>
        <v>46508</v>
      </c>
      <c r="AQ4" s="76">
        <f t="shared" si="0"/>
        <v>46539</v>
      </c>
      <c r="AR4" s="76">
        <f t="shared" si="0"/>
        <v>46569</v>
      </c>
      <c r="AS4" s="76">
        <f t="shared" si="0"/>
        <v>46600</v>
      </c>
      <c r="AT4" s="76">
        <f t="shared" si="0"/>
        <v>46631</v>
      </c>
      <c r="AU4" s="76">
        <f t="shared" si="0"/>
        <v>46661</v>
      </c>
      <c r="AV4" s="76">
        <f t="shared" si="0"/>
        <v>46692</v>
      </c>
      <c r="AW4" s="76">
        <f t="shared" si="0"/>
        <v>46722</v>
      </c>
      <c r="AX4" s="76">
        <f t="shared" si="0"/>
        <v>46753</v>
      </c>
      <c r="AY4" s="76">
        <f t="shared" si="0"/>
        <v>46784</v>
      </c>
      <c r="AZ4" s="76">
        <f t="shared" si="0"/>
        <v>46813</v>
      </c>
      <c r="BA4" s="76">
        <f t="shared" si="0"/>
        <v>46844</v>
      </c>
      <c r="BB4" s="76">
        <f t="shared" si="0"/>
        <v>46874</v>
      </c>
      <c r="BC4" s="76">
        <f t="shared" si="0"/>
        <v>46905</v>
      </c>
      <c r="BD4" s="76">
        <f t="shared" si="0"/>
        <v>46935</v>
      </c>
      <c r="BE4" s="76">
        <f t="shared" si="0"/>
        <v>46966</v>
      </c>
      <c r="BF4" s="76">
        <f t="shared" si="0"/>
        <v>46997</v>
      </c>
      <c r="BG4" s="76">
        <f t="shared" si="0"/>
        <v>47027</v>
      </c>
      <c r="BH4" s="76">
        <f t="shared" si="0"/>
        <v>47058</v>
      </c>
      <c r="BI4" s="76">
        <f t="shared" si="0"/>
        <v>47088</v>
      </c>
      <c r="BJ4" s="76">
        <f t="shared" si="0"/>
        <v>47119</v>
      </c>
      <c r="BK4" s="76">
        <f t="shared" si="0"/>
        <v>47150</v>
      </c>
      <c r="BL4" s="76">
        <f t="shared" si="0"/>
        <v>47178</v>
      </c>
      <c r="BM4" s="76">
        <f t="shared" si="0"/>
        <v>47209</v>
      </c>
      <c r="BN4" s="76">
        <f t="shared" si="0"/>
        <v>47239</v>
      </c>
      <c r="BO4" s="76">
        <f t="shared" si="0"/>
        <v>47270</v>
      </c>
      <c r="BP4" s="76">
        <f t="shared" si="0"/>
        <v>47300</v>
      </c>
      <c r="BQ4" s="76">
        <f t="shared" ref="BQ4:BX4" si="1">BP5+1</f>
        <v>47331</v>
      </c>
      <c r="BR4" s="76">
        <f t="shared" si="1"/>
        <v>47362</v>
      </c>
      <c r="BS4" s="76">
        <f t="shared" si="1"/>
        <v>47392</v>
      </c>
      <c r="BT4" s="76">
        <f t="shared" si="1"/>
        <v>47423</v>
      </c>
      <c r="BU4" s="76">
        <f t="shared" si="1"/>
        <v>47453</v>
      </c>
      <c r="BV4" s="76">
        <f t="shared" si="1"/>
        <v>47484</v>
      </c>
      <c r="BW4" s="76">
        <f t="shared" si="1"/>
        <v>47515</v>
      </c>
      <c r="BX4" s="76">
        <f t="shared" si="1"/>
        <v>47543</v>
      </c>
      <c r="BY4" s="76">
        <f t="shared" ref="BY4" si="2">BX5+1</f>
        <v>47574</v>
      </c>
      <c r="BZ4" s="76">
        <f t="shared" ref="BZ4" si="3">BY5+1</f>
        <v>47604</v>
      </c>
      <c r="CA4" s="76">
        <f t="shared" ref="CA4" si="4">BZ5+1</f>
        <v>47635</v>
      </c>
      <c r="CB4" s="76">
        <f t="shared" ref="CB4" si="5">CA5+1</f>
        <v>47665</v>
      </c>
      <c r="CC4" s="76">
        <f t="shared" ref="CC4" si="6">CB5+1</f>
        <v>47696</v>
      </c>
      <c r="CD4" s="76">
        <f t="shared" ref="CD4" si="7">CC5+1</f>
        <v>47727</v>
      </c>
    </row>
    <row r="5" spans="1:88" x14ac:dyDescent="0.3">
      <c r="A5" s="75" t="s">
        <v>483</v>
      </c>
      <c r="B5" s="75"/>
      <c r="C5" s="75"/>
      <c r="D5" s="78">
        <f>EOMONTH(D4,0)</f>
        <v>45382</v>
      </c>
      <c r="E5" s="78">
        <f t="shared" ref="E5:BP5" si="8">EOMONTH(E4,0)</f>
        <v>45412</v>
      </c>
      <c r="F5" s="78">
        <f t="shared" si="8"/>
        <v>45443</v>
      </c>
      <c r="G5" s="78">
        <f t="shared" si="8"/>
        <v>45473</v>
      </c>
      <c r="H5" s="78">
        <f t="shared" si="8"/>
        <v>45504</v>
      </c>
      <c r="I5" s="78">
        <f t="shared" si="8"/>
        <v>45535</v>
      </c>
      <c r="J5" s="78">
        <f t="shared" si="8"/>
        <v>45565</v>
      </c>
      <c r="K5" s="78">
        <f t="shared" si="8"/>
        <v>45596</v>
      </c>
      <c r="L5" s="78">
        <f t="shared" si="8"/>
        <v>45626</v>
      </c>
      <c r="M5" s="78">
        <f t="shared" si="8"/>
        <v>45657</v>
      </c>
      <c r="N5" s="78">
        <f t="shared" si="8"/>
        <v>45688</v>
      </c>
      <c r="O5" s="78">
        <f t="shared" si="8"/>
        <v>45716</v>
      </c>
      <c r="P5" s="78">
        <f t="shared" si="8"/>
        <v>45747</v>
      </c>
      <c r="Q5" s="78">
        <f t="shared" si="8"/>
        <v>45777</v>
      </c>
      <c r="R5" s="78">
        <f t="shared" si="8"/>
        <v>45808</v>
      </c>
      <c r="S5" s="78">
        <f t="shared" si="8"/>
        <v>45838</v>
      </c>
      <c r="T5" s="78">
        <f t="shared" si="8"/>
        <v>45869</v>
      </c>
      <c r="U5" s="78">
        <f t="shared" si="8"/>
        <v>45900</v>
      </c>
      <c r="V5" s="78">
        <f t="shared" si="8"/>
        <v>45930</v>
      </c>
      <c r="W5" s="78">
        <f t="shared" si="8"/>
        <v>45961</v>
      </c>
      <c r="X5" s="78">
        <f t="shared" si="8"/>
        <v>45991</v>
      </c>
      <c r="Y5" s="78">
        <f t="shared" si="8"/>
        <v>46022</v>
      </c>
      <c r="Z5" s="78">
        <f t="shared" si="8"/>
        <v>46053</v>
      </c>
      <c r="AA5" s="78">
        <f t="shared" si="8"/>
        <v>46081</v>
      </c>
      <c r="AB5" s="78">
        <f t="shared" si="8"/>
        <v>46112</v>
      </c>
      <c r="AC5" s="78">
        <f t="shared" si="8"/>
        <v>46142</v>
      </c>
      <c r="AD5" s="78">
        <f t="shared" si="8"/>
        <v>46173</v>
      </c>
      <c r="AE5" s="78">
        <f t="shared" si="8"/>
        <v>46203</v>
      </c>
      <c r="AF5" s="78">
        <f t="shared" si="8"/>
        <v>46234</v>
      </c>
      <c r="AG5" s="78">
        <f t="shared" si="8"/>
        <v>46265</v>
      </c>
      <c r="AH5" s="78">
        <f t="shared" si="8"/>
        <v>46295</v>
      </c>
      <c r="AI5" s="78">
        <f t="shared" si="8"/>
        <v>46326</v>
      </c>
      <c r="AJ5" s="78">
        <f t="shared" si="8"/>
        <v>46356</v>
      </c>
      <c r="AK5" s="78">
        <f t="shared" si="8"/>
        <v>46387</v>
      </c>
      <c r="AL5" s="78">
        <f t="shared" si="8"/>
        <v>46418</v>
      </c>
      <c r="AM5" s="78">
        <f t="shared" si="8"/>
        <v>46446</v>
      </c>
      <c r="AN5" s="78">
        <f t="shared" si="8"/>
        <v>46477</v>
      </c>
      <c r="AO5" s="78">
        <f t="shared" si="8"/>
        <v>46507</v>
      </c>
      <c r="AP5" s="78">
        <f t="shared" si="8"/>
        <v>46538</v>
      </c>
      <c r="AQ5" s="78">
        <f t="shared" si="8"/>
        <v>46568</v>
      </c>
      <c r="AR5" s="78">
        <f t="shared" si="8"/>
        <v>46599</v>
      </c>
      <c r="AS5" s="78">
        <f t="shared" si="8"/>
        <v>46630</v>
      </c>
      <c r="AT5" s="78">
        <f t="shared" si="8"/>
        <v>46660</v>
      </c>
      <c r="AU5" s="78">
        <f t="shared" si="8"/>
        <v>46691</v>
      </c>
      <c r="AV5" s="78">
        <f t="shared" si="8"/>
        <v>46721</v>
      </c>
      <c r="AW5" s="78">
        <f t="shared" si="8"/>
        <v>46752</v>
      </c>
      <c r="AX5" s="78">
        <f t="shared" si="8"/>
        <v>46783</v>
      </c>
      <c r="AY5" s="78">
        <f t="shared" si="8"/>
        <v>46812</v>
      </c>
      <c r="AZ5" s="78">
        <f t="shared" si="8"/>
        <v>46843</v>
      </c>
      <c r="BA5" s="78">
        <f t="shared" si="8"/>
        <v>46873</v>
      </c>
      <c r="BB5" s="78">
        <f t="shared" si="8"/>
        <v>46904</v>
      </c>
      <c r="BC5" s="78">
        <f t="shared" si="8"/>
        <v>46934</v>
      </c>
      <c r="BD5" s="78">
        <f t="shared" si="8"/>
        <v>46965</v>
      </c>
      <c r="BE5" s="78">
        <f t="shared" si="8"/>
        <v>46996</v>
      </c>
      <c r="BF5" s="78">
        <f t="shared" si="8"/>
        <v>47026</v>
      </c>
      <c r="BG5" s="78">
        <f t="shared" si="8"/>
        <v>47057</v>
      </c>
      <c r="BH5" s="78">
        <f t="shared" si="8"/>
        <v>47087</v>
      </c>
      <c r="BI5" s="78">
        <f t="shared" si="8"/>
        <v>47118</v>
      </c>
      <c r="BJ5" s="78">
        <f t="shared" si="8"/>
        <v>47149</v>
      </c>
      <c r="BK5" s="78">
        <f t="shared" si="8"/>
        <v>47177</v>
      </c>
      <c r="BL5" s="78">
        <f t="shared" si="8"/>
        <v>47208</v>
      </c>
      <c r="BM5" s="78">
        <f t="shared" si="8"/>
        <v>47238</v>
      </c>
      <c r="BN5" s="78">
        <f t="shared" si="8"/>
        <v>47269</v>
      </c>
      <c r="BO5" s="78">
        <f t="shared" si="8"/>
        <v>47299</v>
      </c>
      <c r="BP5" s="78">
        <f t="shared" si="8"/>
        <v>47330</v>
      </c>
      <c r="BQ5" s="78">
        <f t="shared" ref="BQ5:BX5" si="9">EOMONTH(BQ4,0)</f>
        <v>47361</v>
      </c>
      <c r="BR5" s="78">
        <f t="shared" si="9"/>
        <v>47391</v>
      </c>
      <c r="BS5" s="78">
        <f t="shared" si="9"/>
        <v>47422</v>
      </c>
      <c r="BT5" s="78">
        <f t="shared" si="9"/>
        <v>47452</v>
      </c>
      <c r="BU5" s="78">
        <f t="shared" si="9"/>
        <v>47483</v>
      </c>
      <c r="BV5" s="78">
        <f t="shared" si="9"/>
        <v>47514</v>
      </c>
      <c r="BW5" s="78">
        <f t="shared" si="9"/>
        <v>47542</v>
      </c>
      <c r="BX5" s="78">
        <f t="shared" si="9"/>
        <v>47573</v>
      </c>
      <c r="BY5" s="78">
        <f t="shared" ref="BY5:CD5" si="10">EOMONTH(BY4,0)</f>
        <v>47603</v>
      </c>
      <c r="BZ5" s="78">
        <f t="shared" si="10"/>
        <v>47634</v>
      </c>
      <c r="CA5" s="78">
        <f t="shared" si="10"/>
        <v>47664</v>
      </c>
      <c r="CB5" s="78">
        <f t="shared" si="10"/>
        <v>47695</v>
      </c>
      <c r="CC5" s="78">
        <f t="shared" si="10"/>
        <v>47726</v>
      </c>
      <c r="CD5" s="78">
        <f t="shared" si="10"/>
        <v>47756</v>
      </c>
    </row>
    <row r="6" spans="1:88" x14ac:dyDescent="0.3">
      <c r="A6" s="75" t="s">
        <v>418</v>
      </c>
      <c r="B6" s="75"/>
      <c r="C6" s="75"/>
      <c r="D6" s="78">
        <f t="shared" ref="D6:BO6" si="11">DATE((IF(MONTH(D5)&gt;3,YEAR(D5)+1,YEAR(D5))),3,31)</f>
        <v>45382</v>
      </c>
      <c r="E6" s="78">
        <f t="shared" si="11"/>
        <v>45747</v>
      </c>
      <c r="F6" s="78">
        <f t="shared" si="11"/>
        <v>45747</v>
      </c>
      <c r="G6" s="78">
        <f t="shared" si="11"/>
        <v>45747</v>
      </c>
      <c r="H6" s="78">
        <f t="shared" si="11"/>
        <v>45747</v>
      </c>
      <c r="I6" s="78">
        <f t="shared" si="11"/>
        <v>45747</v>
      </c>
      <c r="J6" s="78">
        <f t="shared" si="11"/>
        <v>45747</v>
      </c>
      <c r="K6" s="78">
        <f t="shared" si="11"/>
        <v>45747</v>
      </c>
      <c r="L6" s="78">
        <f t="shared" si="11"/>
        <v>45747</v>
      </c>
      <c r="M6" s="78">
        <f t="shared" si="11"/>
        <v>45747</v>
      </c>
      <c r="N6" s="78">
        <f t="shared" si="11"/>
        <v>45747</v>
      </c>
      <c r="O6" s="78">
        <f t="shared" si="11"/>
        <v>45747</v>
      </c>
      <c r="P6" s="78">
        <f t="shared" si="11"/>
        <v>45747</v>
      </c>
      <c r="Q6" s="78">
        <f t="shared" si="11"/>
        <v>46112</v>
      </c>
      <c r="R6" s="78">
        <f t="shared" si="11"/>
        <v>46112</v>
      </c>
      <c r="S6" s="78">
        <f t="shared" si="11"/>
        <v>46112</v>
      </c>
      <c r="T6" s="78">
        <f t="shared" si="11"/>
        <v>46112</v>
      </c>
      <c r="U6" s="78">
        <f t="shared" si="11"/>
        <v>46112</v>
      </c>
      <c r="V6" s="78">
        <f t="shared" si="11"/>
        <v>46112</v>
      </c>
      <c r="W6" s="78">
        <f t="shared" si="11"/>
        <v>46112</v>
      </c>
      <c r="X6" s="78">
        <f t="shared" si="11"/>
        <v>46112</v>
      </c>
      <c r="Y6" s="78">
        <f t="shared" si="11"/>
        <v>46112</v>
      </c>
      <c r="Z6" s="78">
        <f t="shared" si="11"/>
        <v>46112</v>
      </c>
      <c r="AA6" s="78">
        <f t="shared" si="11"/>
        <v>46112</v>
      </c>
      <c r="AB6" s="78">
        <f t="shared" si="11"/>
        <v>46112</v>
      </c>
      <c r="AC6" s="78">
        <f t="shared" si="11"/>
        <v>46477</v>
      </c>
      <c r="AD6" s="78">
        <f t="shared" si="11"/>
        <v>46477</v>
      </c>
      <c r="AE6" s="78">
        <f t="shared" si="11"/>
        <v>46477</v>
      </c>
      <c r="AF6" s="78">
        <f t="shared" si="11"/>
        <v>46477</v>
      </c>
      <c r="AG6" s="78">
        <f t="shared" si="11"/>
        <v>46477</v>
      </c>
      <c r="AH6" s="78">
        <f t="shared" si="11"/>
        <v>46477</v>
      </c>
      <c r="AI6" s="78">
        <f t="shared" si="11"/>
        <v>46477</v>
      </c>
      <c r="AJ6" s="78">
        <f t="shared" si="11"/>
        <v>46477</v>
      </c>
      <c r="AK6" s="78">
        <f t="shared" si="11"/>
        <v>46477</v>
      </c>
      <c r="AL6" s="78">
        <f t="shared" si="11"/>
        <v>46477</v>
      </c>
      <c r="AM6" s="78">
        <f t="shared" si="11"/>
        <v>46477</v>
      </c>
      <c r="AN6" s="78">
        <f t="shared" si="11"/>
        <v>46477</v>
      </c>
      <c r="AO6" s="78">
        <f t="shared" si="11"/>
        <v>46843</v>
      </c>
      <c r="AP6" s="78">
        <f t="shared" si="11"/>
        <v>46843</v>
      </c>
      <c r="AQ6" s="78">
        <f t="shared" si="11"/>
        <v>46843</v>
      </c>
      <c r="AR6" s="78">
        <f t="shared" si="11"/>
        <v>46843</v>
      </c>
      <c r="AS6" s="78">
        <f t="shared" si="11"/>
        <v>46843</v>
      </c>
      <c r="AT6" s="78">
        <f t="shared" si="11"/>
        <v>46843</v>
      </c>
      <c r="AU6" s="78">
        <f t="shared" si="11"/>
        <v>46843</v>
      </c>
      <c r="AV6" s="78">
        <f t="shared" si="11"/>
        <v>46843</v>
      </c>
      <c r="AW6" s="78">
        <f t="shared" si="11"/>
        <v>46843</v>
      </c>
      <c r="AX6" s="78">
        <f t="shared" si="11"/>
        <v>46843</v>
      </c>
      <c r="AY6" s="78">
        <f t="shared" si="11"/>
        <v>46843</v>
      </c>
      <c r="AZ6" s="78">
        <f t="shared" si="11"/>
        <v>46843</v>
      </c>
      <c r="BA6" s="78">
        <f t="shared" si="11"/>
        <v>47208</v>
      </c>
      <c r="BB6" s="78">
        <f t="shared" si="11"/>
        <v>47208</v>
      </c>
      <c r="BC6" s="78">
        <f t="shared" si="11"/>
        <v>47208</v>
      </c>
      <c r="BD6" s="78">
        <f t="shared" si="11"/>
        <v>47208</v>
      </c>
      <c r="BE6" s="78">
        <f t="shared" si="11"/>
        <v>47208</v>
      </c>
      <c r="BF6" s="78">
        <f t="shared" si="11"/>
        <v>47208</v>
      </c>
      <c r="BG6" s="78">
        <f t="shared" si="11"/>
        <v>47208</v>
      </c>
      <c r="BH6" s="78">
        <f t="shared" si="11"/>
        <v>47208</v>
      </c>
      <c r="BI6" s="78">
        <f t="shared" si="11"/>
        <v>47208</v>
      </c>
      <c r="BJ6" s="78">
        <f t="shared" si="11"/>
        <v>47208</v>
      </c>
      <c r="BK6" s="78">
        <f t="shared" si="11"/>
        <v>47208</v>
      </c>
      <c r="BL6" s="78">
        <f t="shared" si="11"/>
        <v>47208</v>
      </c>
      <c r="BM6" s="78">
        <f t="shared" si="11"/>
        <v>47573</v>
      </c>
      <c r="BN6" s="78">
        <f t="shared" si="11"/>
        <v>47573</v>
      </c>
      <c r="BO6" s="78">
        <f t="shared" si="11"/>
        <v>47573</v>
      </c>
      <c r="BP6" s="78">
        <f t="shared" ref="BP6:BX6" si="12">DATE((IF(MONTH(BP5)&gt;3,YEAR(BP5)+1,YEAR(BP5))),3,31)</f>
        <v>47573</v>
      </c>
      <c r="BQ6" s="78">
        <f t="shared" si="12"/>
        <v>47573</v>
      </c>
      <c r="BR6" s="78">
        <f t="shared" si="12"/>
        <v>47573</v>
      </c>
      <c r="BS6" s="78">
        <f t="shared" si="12"/>
        <v>47573</v>
      </c>
      <c r="BT6" s="78">
        <f t="shared" si="12"/>
        <v>47573</v>
      </c>
      <c r="BU6" s="78">
        <f t="shared" si="12"/>
        <v>47573</v>
      </c>
      <c r="BV6" s="78">
        <f t="shared" si="12"/>
        <v>47573</v>
      </c>
      <c r="BW6" s="78">
        <f t="shared" si="12"/>
        <v>47573</v>
      </c>
      <c r="BX6" s="78">
        <f t="shared" si="12"/>
        <v>47573</v>
      </c>
      <c r="BY6" s="78">
        <f t="shared" ref="BY6:CD6" si="13">DATE((IF(MONTH(BY5)&gt;3,YEAR(BY5)+1,YEAR(BY5))),3,31)</f>
        <v>47938</v>
      </c>
      <c r="BZ6" s="78">
        <f t="shared" si="13"/>
        <v>47938</v>
      </c>
      <c r="CA6" s="78">
        <f t="shared" si="13"/>
        <v>47938</v>
      </c>
      <c r="CB6" s="78">
        <f t="shared" si="13"/>
        <v>47938</v>
      </c>
      <c r="CC6" s="78">
        <f t="shared" si="13"/>
        <v>47938</v>
      </c>
      <c r="CD6" s="78">
        <f t="shared" si="13"/>
        <v>47938</v>
      </c>
    </row>
    <row r="7" spans="1:88" x14ac:dyDescent="0.3">
      <c r="A7" s="75" t="s">
        <v>419</v>
      </c>
      <c r="B7" s="75"/>
      <c r="C7" s="75"/>
      <c r="D7" s="79">
        <f t="shared" ref="D7:BO7" si="14">D5-D4+1</f>
        <v>31</v>
      </c>
      <c r="E7" s="79">
        <f t="shared" si="14"/>
        <v>30</v>
      </c>
      <c r="F7" s="79">
        <f t="shared" si="14"/>
        <v>31</v>
      </c>
      <c r="G7" s="79">
        <f t="shared" si="14"/>
        <v>30</v>
      </c>
      <c r="H7" s="79">
        <f t="shared" si="14"/>
        <v>31</v>
      </c>
      <c r="I7" s="79">
        <f t="shared" si="14"/>
        <v>31</v>
      </c>
      <c r="J7" s="79">
        <f t="shared" si="14"/>
        <v>30</v>
      </c>
      <c r="K7" s="79">
        <f t="shared" si="14"/>
        <v>31</v>
      </c>
      <c r="L7" s="79">
        <f t="shared" si="14"/>
        <v>30</v>
      </c>
      <c r="M7" s="79">
        <f t="shared" si="14"/>
        <v>31</v>
      </c>
      <c r="N7" s="79">
        <f t="shared" si="14"/>
        <v>31</v>
      </c>
      <c r="O7" s="79">
        <f t="shared" si="14"/>
        <v>28</v>
      </c>
      <c r="P7" s="79">
        <f t="shared" si="14"/>
        <v>31</v>
      </c>
      <c r="Q7" s="79">
        <f t="shared" si="14"/>
        <v>30</v>
      </c>
      <c r="R7" s="79">
        <f t="shared" si="14"/>
        <v>31</v>
      </c>
      <c r="S7" s="79">
        <f t="shared" si="14"/>
        <v>30</v>
      </c>
      <c r="T7" s="79">
        <f t="shared" si="14"/>
        <v>31</v>
      </c>
      <c r="U7" s="79">
        <f t="shared" si="14"/>
        <v>31</v>
      </c>
      <c r="V7" s="79">
        <f t="shared" si="14"/>
        <v>30</v>
      </c>
      <c r="W7" s="79">
        <f t="shared" si="14"/>
        <v>31</v>
      </c>
      <c r="X7" s="79">
        <f t="shared" si="14"/>
        <v>30</v>
      </c>
      <c r="Y7" s="79">
        <f t="shared" si="14"/>
        <v>31</v>
      </c>
      <c r="Z7" s="79">
        <f t="shared" si="14"/>
        <v>31</v>
      </c>
      <c r="AA7" s="79">
        <f t="shared" si="14"/>
        <v>28</v>
      </c>
      <c r="AB7" s="79">
        <f t="shared" si="14"/>
        <v>31</v>
      </c>
      <c r="AC7" s="79">
        <f t="shared" si="14"/>
        <v>30</v>
      </c>
      <c r="AD7" s="79">
        <f t="shared" si="14"/>
        <v>31</v>
      </c>
      <c r="AE7" s="79">
        <f t="shared" si="14"/>
        <v>30</v>
      </c>
      <c r="AF7" s="79">
        <f t="shared" si="14"/>
        <v>31</v>
      </c>
      <c r="AG7" s="79">
        <f t="shared" si="14"/>
        <v>31</v>
      </c>
      <c r="AH7" s="79">
        <f t="shared" si="14"/>
        <v>30</v>
      </c>
      <c r="AI7" s="79">
        <f t="shared" si="14"/>
        <v>31</v>
      </c>
      <c r="AJ7" s="79">
        <f t="shared" si="14"/>
        <v>30</v>
      </c>
      <c r="AK7" s="79">
        <f t="shared" si="14"/>
        <v>31</v>
      </c>
      <c r="AL7" s="79">
        <f t="shared" si="14"/>
        <v>31</v>
      </c>
      <c r="AM7" s="79">
        <f t="shared" si="14"/>
        <v>28</v>
      </c>
      <c r="AN7" s="79">
        <f t="shared" si="14"/>
        <v>31</v>
      </c>
      <c r="AO7" s="79">
        <f t="shared" si="14"/>
        <v>30</v>
      </c>
      <c r="AP7" s="79">
        <f t="shared" si="14"/>
        <v>31</v>
      </c>
      <c r="AQ7" s="79">
        <f t="shared" si="14"/>
        <v>30</v>
      </c>
      <c r="AR7" s="79">
        <f t="shared" si="14"/>
        <v>31</v>
      </c>
      <c r="AS7" s="79">
        <f t="shared" si="14"/>
        <v>31</v>
      </c>
      <c r="AT7" s="79">
        <f t="shared" si="14"/>
        <v>30</v>
      </c>
      <c r="AU7" s="79">
        <f t="shared" si="14"/>
        <v>31</v>
      </c>
      <c r="AV7" s="79">
        <f t="shared" si="14"/>
        <v>30</v>
      </c>
      <c r="AW7" s="79">
        <f t="shared" si="14"/>
        <v>31</v>
      </c>
      <c r="AX7" s="79">
        <f t="shared" si="14"/>
        <v>31</v>
      </c>
      <c r="AY7" s="79">
        <f t="shared" si="14"/>
        <v>29</v>
      </c>
      <c r="AZ7" s="79">
        <f t="shared" si="14"/>
        <v>31</v>
      </c>
      <c r="BA7" s="79">
        <f t="shared" si="14"/>
        <v>30</v>
      </c>
      <c r="BB7" s="79">
        <f t="shared" si="14"/>
        <v>31</v>
      </c>
      <c r="BC7" s="79">
        <f t="shared" si="14"/>
        <v>30</v>
      </c>
      <c r="BD7" s="79">
        <f t="shared" si="14"/>
        <v>31</v>
      </c>
      <c r="BE7" s="79">
        <f t="shared" si="14"/>
        <v>31</v>
      </c>
      <c r="BF7" s="79">
        <f t="shared" si="14"/>
        <v>30</v>
      </c>
      <c r="BG7" s="79">
        <f t="shared" si="14"/>
        <v>31</v>
      </c>
      <c r="BH7" s="79">
        <f t="shared" si="14"/>
        <v>30</v>
      </c>
      <c r="BI7" s="79">
        <f t="shared" si="14"/>
        <v>31</v>
      </c>
      <c r="BJ7" s="79">
        <f t="shared" si="14"/>
        <v>31</v>
      </c>
      <c r="BK7" s="79">
        <f t="shared" si="14"/>
        <v>28</v>
      </c>
      <c r="BL7" s="79">
        <f t="shared" si="14"/>
        <v>31</v>
      </c>
      <c r="BM7" s="79">
        <f t="shared" si="14"/>
        <v>30</v>
      </c>
      <c r="BN7" s="79">
        <f t="shared" si="14"/>
        <v>31</v>
      </c>
      <c r="BO7" s="79">
        <f t="shared" si="14"/>
        <v>30</v>
      </c>
      <c r="BP7" s="79">
        <f t="shared" ref="BP7:BX7" si="15">BP5-BP4+1</f>
        <v>31</v>
      </c>
      <c r="BQ7" s="79">
        <f t="shared" si="15"/>
        <v>31</v>
      </c>
      <c r="BR7" s="79">
        <f t="shared" si="15"/>
        <v>30</v>
      </c>
      <c r="BS7" s="79">
        <f t="shared" si="15"/>
        <v>31</v>
      </c>
      <c r="BT7" s="79">
        <f t="shared" si="15"/>
        <v>30</v>
      </c>
      <c r="BU7" s="79">
        <f t="shared" si="15"/>
        <v>31</v>
      </c>
      <c r="BV7" s="79">
        <f t="shared" si="15"/>
        <v>31</v>
      </c>
      <c r="BW7" s="79">
        <f t="shared" si="15"/>
        <v>28</v>
      </c>
      <c r="BX7" s="79">
        <f t="shared" si="15"/>
        <v>31</v>
      </c>
      <c r="BY7" s="79">
        <f t="shared" ref="BY7:CD7" si="16">BY5-BY4+1</f>
        <v>30</v>
      </c>
      <c r="BZ7" s="79">
        <f t="shared" si="16"/>
        <v>31</v>
      </c>
      <c r="CA7" s="79">
        <f t="shared" si="16"/>
        <v>30</v>
      </c>
      <c r="CB7" s="79">
        <f t="shared" si="16"/>
        <v>31</v>
      </c>
      <c r="CC7" s="79">
        <f t="shared" si="16"/>
        <v>31</v>
      </c>
      <c r="CD7" s="79">
        <f t="shared" si="16"/>
        <v>30</v>
      </c>
    </row>
    <row r="8" spans="1:88" x14ac:dyDescent="0.3">
      <c r="A8" s="75" t="s">
        <v>420</v>
      </c>
      <c r="B8" s="75"/>
      <c r="C8" s="75"/>
      <c r="D8" s="79">
        <v>365</v>
      </c>
      <c r="E8" s="79">
        <v>365</v>
      </c>
      <c r="F8" s="79">
        <v>365</v>
      </c>
      <c r="G8" s="79">
        <v>365</v>
      </c>
      <c r="H8" s="79">
        <v>365</v>
      </c>
      <c r="I8" s="79">
        <v>365</v>
      </c>
      <c r="J8" s="79">
        <v>365</v>
      </c>
      <c r="K8" s="79">
        <v>365</v>
      </c>
      <c r="L8" s="79">
        <v>365</v>
      </c>
      <c r="M8" s="79">
        <v>365</v>
      </c>
      <c r="N8" s="79">
        <v>365</v>
      </c>
      <c r="O8" s="79">
        <v>365</v>
      </c>
      <c r="P8" s="79">
        <v>365</v>
      </c>
      <c r="Q8" s="79">
        <v>365</v>
      </c>
      <c r="R8" s="79">
        <v>365</v>
      </c>
      <c r="S8" s="79">
        <v>365</v>
      </c>
      <c r="T8" s="79">
        <v>365</v>
      </c>
      <c r="U8" s="79">
        <v>365</v>
      </c>
      <c r="V8" s="79">
        <v>365</v>
      </c>
      <c r="W8" s="79">
        <v>365</v>
      </c>
      <c r="X8" s="79">
        <v>365</v>
      </c>
      <c r="Y8" s="79">
        <v>365</v>
      </c>
      <c r="Z8" s="79">
        <v>365</v>
      </c>
      <c r="AA8" s="79">
        <v>365</v>
      </c>
      <c r="AB8" s="79">
        <v>365</v>
      </c>
      <c r="AC8" s="79">
        <v>365</v>
      </c>
      <c r="AD8" s="79">
        <v>365</v>
      </c>
      <c r="AE8" s="79">
        <v>365</v>
      </c>
      <c r="AF8" s="79">
        <v>365</v>
      </c>
      <c r="AG8" s="79">
        <v>365</v>
      </c>
      <c r="AH8" s="79">
        <v>365</v>
      </c>
      <c r="AI8" s="79">
        <v>365</v>
      </c>
      <c r="AJ8" s="79">
        <v>365</v>
      </c>
      <c r="AK8" s="79">
        <v>365</v>
      </c>
      <c r="AL8" s="79">
        <v>365</v>
      </c>
      <c r="AM8" s="79">
        <v>365</v>
      </c>
      <c r="AN8" s="79">
        <v>365</v>
      </c>
      <c r="AO8" s="79">
        <v>366</v>
      </c>
      <c r="AP8" s="79">
        <v>366</v>
      </c>
      <c r="AQ8" s="79">
        <v>366</v>
      </c>
      <c r="AR8" s="79">
        <v>366</v>
      </c>
      <c r="AS8" s="79">
        <v>366</v>
      </c>
      <c r="AT8" s="79">
        <v>366</v>
      </c>
      <c r="AU8" s="79">
        <v>366</v>
      </c>
      <c r="AV8" s="79">
        <v>366</v>
      </c>
      <c r="AW8" s="79">
        <v>366</v>
      </c>
      <c r="AX8" s="79">
        <v>366</v>
      </c>
      <c r="AY8" s="79">
        <v>366</v>
      </c>
      <c r="AZ8" s="79">
        <v>366</v>
      </c>
      <c r="BA8" s="79">
        <v>365</v>
      </c>
      <c r="BB8" s="79">
        <v>365</v>
      </c>
      <c r="BC8" s="79">
        <v>365</v>
      </c>
      <c r="BD8" s="79">
        <v>365</v>
      </c>
      <c r="BE8" s="79">
        <v>365</v>
      </c>
      <c r="BF8" s="79">
        <v>365</v>
      </c>
      <c r="BG8" s="79">
        <v>365</v>
      </c>
      <c r="BH8" s="79">
        <v>365</v>
      </c>
      <c r="BI8" s="79">
        <v>365</v>
      </c>
      <c r="BJ8" s="79">
        <v>365</v>
      </c>
      <c r="BK8" s="79">
        <v>365</v>
      </c>
      <c r="BL8" s="79">
        <v>365</v>
      </c>
      <c r="BM8" s="79">
        <v>365</v>
      </c>
      <c r="BN8" s="79">
        <v>365</v>
      </c>
      <c r="BO8" s="79">
        <v>365</v>
      </c>
      <c r="BP8" s="79">
        <v>365</v>
      </c>
      <c r="BQ8" s="79">
        <v>365</v>
      </c>
      <c r="BR8" s="79">
        <v>365</v>
      </c>
      <c r="BS8" s="79">
        <v>365</v>
      </c>
      <c r="BT8" s="79">
        <v>365</v>
      </c>
      <c r="BU8" s="79">
        <v>365</v>
      </c>
      <c r="BV8" s="79">
        <v>365</v>
      </c>
      <c r="BW8" s="79">
        <v>365</v>
      </c>
      <c r="BX8" s="79">
        <v>365</v>
      </c>
      <c r="BY8" s="79">
        <v>365</v>
      </c>
      <c r="BZ8" s="79">
        <v>365</v>
      </c>
      <c r="CA8" s="79">
        <v>365</v>
      </c>
      <c r="CB8" s="79">
        <v>365</v>
      </c>
      <c r="CC8" s="79">
        <v>365</v>
      </c>
      <c r="CD8" s="79">
        <v>365</v>
      </c>
    </row>
    <row r="9" spans="1:88" s="74" customFormat="1" ht="13.8" x14ac:dyDescent="0.3"/>
    <row r="10" spans="1:88" s="74" customFormat="1" ht="13.8" x14ac:dyDescent="0.3">
      <c r="A10" s="136" t="s">
        <v>133</v>
      </c>
    </row>
    <row r="11" spans="1:88" s="74" customFormat="1" ht="13.8" x14ac:dyDescent="0.3">
      <c r="A11" s="140" t="s">
        <v>484</v>
      </c>
      <c r="B11" s="141" t="s">
        <v>485</v>
      </c>
      <c r="C11" s="291">
        <f>Assumptions!C180</f>
        <v>75</v>
      </c>
      <c r="D11" s="139"/>
      <c r="E11" s="139"/>
      <c r="F11" s="139"/>
      <c r="G11" s="139"/>
      <c r="H11" s="139"/>
      <c r="I11" s="139"/>
    </row>
    <row r="12" spans="1:88" s="74" customFormat="1" ht="13.8" x14ac:dyDescent="0.3">
      <c r="A12" s="282" t="s">
        <v>558</v>
      </c>
      <c r="B12" s="87" t="s">
        <v>485</v>
      </c>
      <c r="C12" s="142"/>
      <c r="D12" s="283">
        <f>Assumptions!G180/1</f>
        <v>5</v>
      </c>
      <c r="E12" s="281"/>
      <c r="F12" s="281"/>
      <c r="G12" s="283">
        <f>Assumptions!H180/4</f>
        <v>12.5</v>
      </c>
      <c r="H12" s="281"/>
      <c r="I12" s="281"/>
      <c r="J12" s="283">
        <f>G12</f>
        <v>12.5</v>
      </c>
      <c r="K12" s="154"/>
      <c r="L12" s="154"/>
      <c r="M12" s="283">
        <f>J12</f>
        <v>12.5</v>
      </c>
      <c r="N12" s="154"/>
      <c r="O12" s="154"/>
      <c r="P12" s="283">
        <f>M12</f>
        <v>12.5</v>
      </c>
      <c r="S12" s="146">
        <f>Assumptions!I180/2</f>
        <v>10</v>
      </c>
      <c r="V12" s="283">
        <f>S12</f>
        <v>10</v>
      </c>
      <c r="W12" s="154"/>
      <c r="X12" s="154"/>
      <c r="Y12" s="283">
        <f>V12*0</f>
        <v>0</v>
      </c>
      <c r="Z12" s="154"/>
      <c r="AA12" s="154"/>
      <c r="AB12" s="283">
        <f>Y12</f>
        <v>0</v>
      </c>
      <c r="AE12" s="146">
        <f>Assumptions!J180/4</f>
        <v>0</v>
      </c>
      <c r="AH12" s="283">
        <f>AE12</f>
        <v>0</v>
      </c>
      <c r="AI12" s="154"/>
      <c r="AJ12" s="154"/>
      <c r="AK12" s="283">
        <f>AH12</f>
        <v>0</v>
      </c>
      <c r="AL12" s="154"/>
      <c r="AM12" s="154"/>
      <c r="AN12" s="283">
        <f>AK12</f>
        <v>0</v>
      </c>
      <c r="AQ12" s="146">
        <f>Assumptions!K180/4</f>
        <v>0</v>
      </c>
      <c r="AT12" s="283">
        <f>AQ12</f>
        <v>0</v>
      </c>
      <c r="AU12" s="154"/>
      <c r="AV12" s="154"/>
      <c r="AW12" s="283">
        <f>AT12</f>
        <v>0</v>
      </c>
      <c r="AX12" s="154"/>
      <c r="AY12" s="154"/>
      <c r="AZ12" s="283">
        <f>AW12</f>
        <v>0</v>
      </c>
      <c r="BC12" s="146">
        <f>Assumptions!L180/4</f>
        <v>0</v>
      </c>
      <c r="BF12" s="283">
        <f>BC12</f>
        <v>0</v>
      </c>
      <c r="BG12" s="154"/>
      <c r="BH12" s="154"/>
      <c r="BI12" s="283">
        <f>BF12</f>
        <v>0</v>
      </c>
      <c r="BJ12" s="154"/>
      <c r="BK12" s="154"/>
      <c r="BL12" s="283">
        <f>BI12</f>
        <v>0</v>
      </c>
      <c r="BO12" s="146">
        <f>Assumptions!M180/4</f>
        <v>0</v>
      </c>
      <c r="BR12" s="283">
        <f>BO12</f>
        <v>0</v>
      </c>
      <c r="BS12" s="154"/>
      <c r="BT12" s="154"/>
      <c r="BU12" s="283">
        <f>BR12</f>
        <v>0</v>
      </c>
      <c r="BV12" s="154"/>
      <c r="BW12" s="154"/>
      <c r="BX12" s="283">
        <f>BU12</f>
        <v>0</v>
      </c>
      <c r="BY12" s="283"/>
      <c r="BZ12" s="283"/>
      <c r="CA12" s="146">
        <f>Assumptions!Y180/2</f>
        <v>0</v>
      </c>
      <c r="CD12" s="283">
        <f>CA12</f>
        <v>0</v>
      </c>
      <c r="CE12" s="154"/>
      <c r="CF12" s="154"/>
      <c r="CG12" s="283">
        <f>CD12</f>
        <v>0</v>
      </c>
      <c r="CH12" s="154"/>
      <c r="CI12" s="154"/>
      <c r="CJ12" s="283">
        <f>CG12</f>
        <v>0</v>
      </c>
    </row>
    <row r="13" spans="1:88" s="74" customFormat="1" ht="13.8" x14ac:dyDescent="0.3">
      <c r="A13" s="140"/>
      <c r="B13" s="141"/>
      <c r="C13" s="142"/>
      <c r="D13" s="139"/>
      <c r="E13" s="139"/>
      <c r="F13" s="139"/>
      <c r="H13" s="139"/>
      <c r="I13" s="139"/>
    </row>
    <row r="14" spans="1:88" s="74" customFormat="1" ht="13.8" x14ac:dyDescent="0.3">
      <c r="A14" s="136" t="s">
        <v>332</v>
      </c>
      <c r="B14" s="87"/>
      <c r="C14" s="138"/>
      <c r="D14" s="139"/>
      <c r="E14" s="139"/>
      <c r="F14" s="139"/>
      <c r="H14" s="139"/>
      <c r="I14" s="139"/>
    </row>
    <row r="15" spans="1:88" s="74" customFormat="1" ht="13.8" x14ac:dyDescent="0.3">
      <c r="A15" s="137" t="s">
        <v>484</v>
      </c>
      <c r="B15" s="87" t="s">
        <v>425</v>
      </c>
      <c r="C15" s="143">
        <f>[54]Sheet1!$C$108</f>
        <v>0.11</v>
      </c>
      <c r="D15" s="139"/>
      <c r="E15" s="139"/>
      <c r="F15" s="139"/>
      <c r="H15" s="139"/>
      <c r="I15" s="139"/>
    </row>
    <row r="16" spans="1:88" s="74" customFormat="1" ht="13.8" x14ac:dyDescent="0.3">
      <c r="A16" s="137"/>
      <c r="B16" s="87"/>
      <c r="C16" s="143"/>
      <c r="D16" s="139"/>
      <c r="E16" s="139"/>
      <c r="F16" s="139"/>
      <c r="H16" s="139"/>
      <c r="I16" s="139"/>
    </row>
    <row r="17" spans="1:99" s="74" customFormat="1" ht="13.8" x14ac:dyDescent="0.3">
      <c r="A17" s="136" t="s">
        <v>180</v>
      </c>
      <c r="B17" s="139"/>
      <c r="C17" s="139"/>
      <c r="D17" s="139"/>
      <c r="E17" s="139"/>
      <c r="F17" s="139"/>
      <c r="G17" s="139"/>
      <c r="H17" s="139"/>
      <c r="I17" s="139"/>
    </row>
    <row r="18" spans="1:99" s="74" customFormat="1" ht="13.8" x14ac:dyDescent="0.3">
      <c r="A18" s="137" t="s">
        <v>484</v>
      </c>
      <c r="B18" s="144"/>
      <c r="D18" s="139"/>
      <c r="E18" s="139"/>
      <c r="F18" s="139"/>
      <c r="G18" s="139"/>
      <c r="H18" s="139"/>
      <c r="I18" s="139"/>
      <c r="J18" s="139"/>
      <c r="K18" s="139"/>
    </row>
    <row r="19" spans="1:99" s="88" customFormat="1" ht="13.8" x14ac:dyDescent="0.3">
      <c r="A19" s="282" t="s">
        <v>180</v>
      </c>
      <c r="B19" s="87" t="s">
        <v>331</v>
      </c>
      <c r="C19" s="98"/>
      <c r="G19" s="88">
        <f>IF(Assumptions!$B$183=1,Assumptions!H184/4,0)</f>
        <v>0</v>
      </c>
      <c r="J19" s="88">
        <f>G19</f>
        <v>0</v>
      </c>
      <c r="M19" s="88">
        <f>J19</f>
        <v>0</v>
      </c>
      <c r="P19" s="88">
        <f>M19</f>
        <v>0</v>
      </c>
      <c r="S19" s="88">
        <f>IF(Assumptions!$B$183=1,Assumptions!I184/4,0)</f>
        <v>0</v>
      </c>
      <c r="V19" s="88">
        <f>S19</f>
        <v>0</v>
      </c>
      <c r="Y19" s="88">
        <f>V19</f>
        <v>0</v>
      </c>
      <c r="AB19" s="88">
        <f>Y19</f>
        <v>0</v>
      </c>
      <c r="AE19" s="88">
        <f>IF(Assumptions!$B$183=1,Assumptions!J184/4,0)</f>
        <v>0</v>
      </c>
      <c r="AH19" s="88">
        <f>AE19</f>
        <v>0</v>
      </c>
      <c r="AK19" s="88">
        <f>AH19</f>
        <v>0</v>
      </c>
      <c r="AN19" s="88">
        <f>AK19</f>
        <v>0</v>
      </c>
      <c r="AQ19" s="88">
        <f>IF(Assumptions!$B$183=1,Assumptions!K184/4,0)</f>
        <v>0</v>
      </c>
      <c r="AT19" s="88">
        <f>AQ19</f>
        <v>0</v>
      </c>
      <c r="AW19" s="88">
        <f>AT19</f>
        <v>0</v>
      </c>
      <c r="AZ19" s="88">
        <f>AW19</f>
        <v>0</v>
      </c>
      <c r="BC19" s="88">
        <f>IF(Assumptions!$B$183=1,Assumptions!L184/4,0)</f>
        <v>0</v>
      </c>
      <c r="BF19" s="88">
        <f>BC19</f>
        <v>0</v>
      </c>
      <c r="BI19" s="88">
        <f>BF19</f>
        <v>0</v>
      </c>
      <c r="BL19" s="88">
        <f>BI19</f>
        <v>0</v>
      </c>
      <c r="BO19" s="88">
        <f>IF(Assumptions!$B$183=1,Assumptions!M184/4,0)</f>
        <v>0</v>
      </c>
      <c r="BR19" s="88">
        <f>BO19</f>
        <v>0</v>
      </c>
      <c r="BU19" s="88">
        <f>BR19</f>
        <v>0</v>
      </c>
      <c r="BX19" s="88">
        <f>BU19</f>
        <v>0</v>
      </c>
      <c r="CA19" s="88">
        <f t="shared" ref="CA19:CD20" si="17">BX19</f>
        <v>0</v>
      </c>
      <c r="CD19" s="88">
        <f t="shared" si="17"/>
        <v>0</v>
      </c>
    </row>
    <row r="20" spans="1:99" s="98" customFormat="1" ht="13.8" x14ac:dyDescent="0.3">
      <c r="A20" s="282" t="s">
        <v>180</v>
      </c>
      <c r="B20" s="87" t="s">
        <v>485</v>
      </c>
      <c r="G20" s="98">
        <f>IF(Assumptions!$B$183=1,0,Assumptions!H185/4)</f>
        <v>0</v>
      </c>
      <c r="J20" s="98">
        <f>G20</f>
        <v>0</v>
      </c>
      <c r="M20" s="98">
        <f>J20</f>
        <v>0</v>
      </c>
      <c r="P20" s="98">
        <f>M20</f>
        <v>0</v>
      </c>
      <c r="S20" s="98">
        <f>IF(Assumptions!$B$183=1,0,Assumptions!I185/4)*0</f>
        <v>0</v>
      </c>
      <c r="V20" s="98">
        <f>S20</f>
        <v>0</v>
      </c>
      <c r="Y20" s="98">
        <f>IF(Assumptions!$B$183=1,0,Assumptions!I185/2)</f>
        <v>3</v>
      </c>
      <c r="AB20" s="98">
        <f>Y20</f>
        <v>3</v>
      </c>
      <c r="AE20" s="98">
        <f>IF(Assumptions!$B$183=0,Assumptions!J185/4)</f>
        <v>3</v>
      </c>
      <c r="AH20" s="98">
        <f>AE20</f>
        <v>3</v>
      </c>
      <c r="AK20" s="98">
        <f>AH20</f>
        <v>3</v>
      </c>
      <c r="AN20" s="98">
        <f>AK20</f>
        <v>3</v>
      </c>
      <c r="AQ20" s="98">
        <f>IF(Assumptions!$B$183=1,0,Assumptions!K185/4)</f>
        <v>3.5</v>
      </c>
      <c r="AT20" s="98">
        <f>AQ20</f>
        <v>3.5</v>
      </c>
      <c r="AW20" s="98">
        <f>AT20</f>
        <v>3.5</v>
      </c>
      <c r="AZ20" s="98">
        <f>AW20</f>
        <v>3.5</v>
      </c>
      <c r="BC20" s="98">
        <f>IF(Assumptions!$B$183=1,0,Assumptions!L185/4)</f>
        <v>4</v>
      </c>
      <c r="BF20" s="98">
        <f>BC20</f>
        <v>4</v>
      </c>
      <c r="BI20" s="98">
        <f>BF20</f>
        <v>4</v>
      </c>
      <c r="BL20" s="98">
        <f>BI20</f>
        <v>4</v>
      </c>
      <c r="BO20" s="98">
        <f>IF(Assumptions!$B$183=1,0,Assumptions!M185/4)</f>
        <v>4.5</v>
      </c>
      <c r="BR20" s="98">
        <f>BO20</f>
        <v>4.5</v>
      </c>
      <c r="BU20" s="98">
        <f>BR20</f>
        <v>4.5</v>
      </c>
      <c r="BX20" s="98">
        <f>BU20</f>
        <v>4.5</v>
      </c>
      <c r="CA20" s="98">
        <f>IF(Assumptions!$B$183=1,0,Assumptions!N185/2)</f>
        <v>4.5</v>
      </c>
      <c r="CD20" s="98">
        <f t="shared" si="17"/>
        <v>4.5</v>
      </c>
    </row>
    <row r="21" spans="1:99" s="98" customFormat="1" ht="13.8" x14ac:dyDescent="0.3">
      <c r="A21" s="282"/>
      <c r="B21" s="87"/>
    </row>
    <row r="22" spans="1:99" s="74" customFormat="1" ht="13.8" x14ac:dyDescent="0.3">
      <c r="A22" s="282" t="s">
        <v>66</v>
      </c>
      <c r="B22" s="87" t="s">
        <v>485</v>
      </c>
      <c r="D22" s="98">
        <v>0</v>
      </c>
      <c r="E22" s="98">
        <f>D25</f>
        <v>5</v>
      </c>
      <c r="F22" s="98">
        <f t="shared" ref="F22:BQ22" si="18">E25</f>
        <v>5</v>
      </c>
      <c r="G22" s="98">
        <f t="shared" si="18"/>
        <v>5</v>
      </c>
      <c r="H22" s="98">
        <f t="shared" si="18"/>
        <v>17.5</v>
      </c>
      <c r="I22" s="98">
        <f t="shared" si="18"/>
        <v>17.5</v>
      </c>
      <c r="J22" s="98">
        <f t="shared" si="18"/>
        <v>17.5</v>
      </c>
      <c r="K22" s="98">
        <f t="shared" si="18"/>
        <v>30</v>
      </c>
      <c r="L22" s="98">
        <f t="shared" si="18"/>
        <v>30</v>
      </c>
      <c r="M22" s="98">
        <f t="shared" si="18"/>
        <v>30</v>
      </c>
      <c r="N22" s="98">
        <f t="shared" si="18"/>
        <v>42.5</v>
      </c>
      <c r="O22" s="98">
        <f t="shared" si="18"/>
        <v>42.5</v>
      </c>
      <c r="P22" s="98">
        <f t="shared" si="18"/>
        <v>42.5</v>
      </c>
      <c r="Q22" s="98">
        <f t="shared" si="18"/>
        <v>55</v>
      </c>
      <c r="R22" s="98">
        <f t="shared" si="18"/>
        <v>55</v>
      </c>
      <c r="S22" s="98">
        <f t="shared" si="18"/>
        <v>55</v>
      </c>
      <c r="T22" s="98">
        <f t="shared" si="18"/>
        <v>65</v>
      </c>
      <c r="U22" s="98">
        <f t="shared" si="18"/>
        <v>65</v>
      </c>
      <c r="V22" s="98">
        <f t="shared" si="18"/>
        <v>65</v>
      </c>
      <c r="W22" s="98">
        <f t="shared" si="18"/>
        <v>75</v>
      </c>
      <c r="X22" s="98">
        <f t="shared" si="18"/>
        <v>75</v>
      </c>
      <c r="Y22" s="98">
        <f t="shared" si="18"/>
        <v>75</v>
      </c>
      <c r="Z22" s="98">
        <f t="shared" si="18"/>
        <v>72</v>
      </c>
      <c r="AA22" s="98">
        <f t="shared" si="18"/>
        <v>72</v>
      </c>
      <c r="AB22" s="98">
        <f t="shared" si="18"/>
        <v>72</v>
      </c>
      <c r="AC22" s="98">
        <f t="shared" si="18"/>
        <v>69</v>
      </c>
      <c r="AD22" s="98">
        <f t="shared" si="18"/>
        <v>69</v>
      </c>
      <c r="AE22" s="98">
        <f t="shared" si="18"/>
        <v>69</v>
      </c>
      <c r="AF22" s="98">
        <f t="shared" si="18"/>
        <v>66</v>
      </c>
      <c r="AG22" s="98">
        <f t="shared" si="18"/>
        <v>66</v>
      </c>
      <c r="AH22" s="98">
        <f t="shared" si="18"/>
        <v>66</v>
      </c>
      <c r="AI22" s="98">
        <f t="shared" si="18"/>
        <v>63</v>
      </c>
      <c r="AJ22" s="98">
        <f t="shared" si="18"/>
        <v>63</v>
      </c>
      <c r="AK22" s="98">
        <f t="shared" si="18"/>
        <v>63</v>
      </c>
      <c r="AL22" s="98">
        <f t="shared" si="18"/>
        <v>60</v>
      </c>
      <c r="AM22" s="98">
        <f t="shared" si="18"/>
        <v>60</v>
      </c>
      <c r="AN22" s="98">
        <f t="shared" si="18"/>
        <v>60</v>
      </c>
      <c r="AO22" s="98">
        <f t="shared" si="18"/>
        <v>57</v>
      </c>
      <c r="AP22" s="98">
        <f t="shared" si="18"/>
        <v>57</v>
      </c>
      <c r="AQ22" s="98">
        <f t="shared" si="18"/>
        <v>57</v>
      </c>
      <c r="AR22" s="98">
        <f t="shared" si="18"/>
        <v>53.5</v>
      </c>
      <c r="AS22" s="98">
        <f t="shared" si="18"/>
        <v>53.5</v>
      </c>
      <c r="AT22" s="98">
        <f t="shared" si="18"/>
        <v>53.5</v>
      </c>
      <c r="AU22" s="98">
        <f t="shared" si="18"/>
        <v>50</v>
      </c>
      <c r="AV22" s="98">
        <f t="shared" si="18"/>
        <v>50</v>
      </c>
      <c r="AW22" s="98">
        <f t="shared" si="18"/>
        <v>50</v>
      </c>
      <c r="AX22" s="98">
        <f t="shared" si="18"/>
        <v>46.5</v>
      </c>
      <c r="AY22" s="98">
        <f t="shared" si="18"/>
        <v>46.5</v>
      </c>
      <c r="AZ22" s="98">
        <f t="shared" si="18"/>
        <v>46.5</v>
      </c>
      <c r="BA22" s="98">
        <f t="shared" si="18"/>
        <v>43</v>
      </c>
      <c r="BB22" s="98">
        <f t="shared" si="18"/>
        <v>43</v>
      </c>
      <c r="BC22" s="98">
        <f t="shared" si="18"/>
        <v>43</v>
      </c>
      <c r="BD22" s="98">
        <f t="shared" si="18"/>
        <v>39</v>
      </c>
      <c r="BE22" s="98">
        <f t="shared" si="18"/>
        <v>39</v>
      </c>
      <c r="BF22" s="98">
        <f t="shared" si="18"/>
        <v>39</v>
      </c>
      <c r="BG22" s="98">
        <f t="shared" si="18"/>
        <v>35</v>
      </c>
      <c r="BH22" s="98">
        <f t="shared" si="18"/>
        <v>35</v>
      </c>
      <c r="BI22" s="98">
        <f t="shared" si="18"/>
        <v>35</v>
      </c>
      <c r="BJ22" s="98">
        <f t="shared" si="18"/>
        <v>31</v>
      </c>
      <c r="BK22" s="98">
        <f t="shared" si="18"/>
        <v>31</v>
      </c>
      <c r="BL22" s="98">
        <f t="shared" si="18"/>
        <v>31</v>
      </c>
      <c r="BM22" s="98">
        <f t="shared" si="18"/>
        <v>27</v>
      </c>
      <c r="BN22" s="98">
        <f t="shared" si="18"/>
        <v>27</v>
      </c>
      <c r="BO22" s="98">
        <f t="shared" si="18"/>
        <v>27</v>
      </c>
      <c r="BP22" s="98">
        <f t="shared" si="18"/>
        <v>22.5</v>
      </c>
      <c r="BQ22" s="98">
        <f t="shared" si="18"/>
        <v>22.5</v>
      </c>
      <c r="BR22" s="98">
        <f t="shared" ref="BR22:BX22" si="19">BQ25</f>
        <v>22.5</v>
      </c>
      <c r="BS22" s="98">
        <f t="shared" si="19"/>
        <v>18</v>
      </c>
      <c r="BT22" s="98">
        <f t="shared" si="19"/>
        <v>18</v>
      </c>
      <c r="BU22" s="98">
        <f t="shared" si="19"/>
        <v>18</v>
      </c>
      <c r="BV22" s="98">
        <f t="shared" si="19"/>
        <v>13.5</v>
      </c>
      <c r="BW22" s="98">
        <f t="shared" si="19"/>
        <v>13.5</v>
      </c>
      <c r="BX22" s="98">
        <f t="shared" si="19"/>
        <v>13.5</v>
      </c>
      <c r="BY22" s="98">
        <f t="shared" ref="BY22" si="20">BX25</f>
        <v>9</v>
      </c>
      <c r="BZ22" s="98">
        <f t="shared" ref="BZ22" si="21">BY25</f>
        <v>9</v>
      </c>
      <c r="CA22" s="98">
        <f t="shared" ref="CA22" si="22">BZ25</f>
        <v>9</v>
      </c>
      <c r="CB22" s="98">
        <f t="shared" ref="CB22" si="23">CA25</f>
        <v>4.5</v>
      </c>
      <c r="CC22" s="98">
        <f t="shared" ref="CC22" si="24">CB25</f>
        <v>4.5</v>
      </c>
      <c r="CD22" s="98">
        <f t="shared" ref="CD22" si="25">CC25</f>
        <v>4.5</v>
      </c>
      <c r="CE22" s="98"/>
      <c r="CF22" s="98"/>
      <c r="CG22" s="98"/>
      <c r="CH22" s="98"/>
      <c r="CI22" s="98"/>
      <c r="CJ22" s="98"/>
      <c r="CK22" s="98"/>
      <c r="CL22" s="98"/>
      <c r="CM22" s="98"/>
      <c r="CN22" s="98"/>
      <c r="CO22" s="98"/>
      <c r="CP22" s="98"/>
      <c r="CQ22" s="98"/>
      <c r="CR22" s="98"/>
      <c r="CS22" s="98"/>
      <c r="CT22" s="98"/>
      <c r="CU22" s="98"/>
    </row>
    <row r="23" spans="1:99" s="74" customFormat="1" ht="13.8" x14ac:dyDescent="0.3">
      <c r="A23" s="282" t="s">
        <v>64</v>
      </c>
      <c r="B23" s="87" t="s">
        <v>485</v>
      </c>
      <c r="D23" s="95">
        <f>D12</f>
        <v>5</v>
      </c>
      <c r="E23" s="95">
        <f t="shared" ref="E23:BP23" si="26">E12</f>
        <v>0</v>
      </c>
      <c r="F23" s="95">
        <f t="shared" si="26"/>
        <v>0</v>
      </c>
      <c r="G23" s="95">
        <f t="shared" si="26"/>
        <v>12.5</v>
      </c>
      <c r="H23" s="95">
        <f t="shared" si="26"/>
        <v>0</v>
      </c>
      <c r="I23" s="95">
        <f t="shared" si="26"/>
        <v>0</v>
      </c>
      <c r="J23" s="95">
        <f t="shared" si="26"/>
        <v>12.5</v>
      </c>
      <c r="K23" s="95">
        <f t="shared" si="26"/>
        <v>0</v>
      </c>
      <c r="L23" s="95">
        <f t="shared" si="26"/>
        <v>0</v>
      </c>
      <c r="M23" s="95">
        <f t="shared" si="26"/>
        <v>12.5</v>
      </c>
      <c r="N23" s="95">
        <f t="shared" si="26"/>
        <v>0</v>
      </c>
      <c r="O23" s="95">
        <f t="shared" si="26"/>
        <v>0</v>
      </c>
      <c r="P23" s="95">
        <f t="shared" si="26"/>
        <v>12.5</v>
      </c>
      <c r="Q23" s="95">
        <f t="shared" si="26"/>
        <v>0</v>
      </c>
      <c r="R23" s="95">
        <f t="shared" si="26"/>
        <v>0</v>
      </c>
      <c r="S23" s="95">
        <f t="shared" si="26"/>
        <v>10</v>
      </c>
      <c r="T23" s="95">
        <f t="shared" si="26"/>
        <v>0</v>
      </c>
      <c r="U23" s="95">
        <f t="shared" si="26"/>
        <v>0</v>
      </c>
      <c r="V23" s="95">
        <f t="shared" si="26"/>
        <v>10</v>
      </c>
      <c r="W23" s="95">
        <f t="shared" si="26"/>
        <v>0</v>
      </c>
      <c r="X23" s="95">
        <f t="shared" si="26"/>
        <v>0</v>
      </c>
      <c r="Y23" s="95">
        <f t="shared" si="26"/>
        <v>0</v>
      </c>
      <c r="Z23" s="95">
        <f t="shared" si="26"/>
        <v>0</v>
      </c>
      <c r="AA23" s="95">
        <f t="shared" si="26"/>
        <v>0</v>
      </c>
      <c r="AB23" s="95">
        <f t="shared" si="26"/>
        <v>0</v>
      </c>
      <c r="AC23" s="95">
        <f t="shared" si="26"/>
        <v>0</v>
      </c>
      <c r="AD23" s="95">
        <f t="shared" si="26"/>
        <v>0</v>
      </c>
      <c r="AE23" s="95">
        <f t="shared" si="26"/>
        <v>0</v>
      </c>
      <c r="AF23" s="95">
        <f t="shared" si="26"/>
        <v>0</v>
      </c>
      <c r="AG23" s="95">
        <f t="shared" si="26"/>
        <v>0</v>
      </c>
      <c r="AH23" s="95">
        <f t="shared" si="26"/>
        <v>0</v>
      </c>
      <c r="AI23" s="95">
        <f t="shared" si="26"/>
        <v>0</v>
      </c>
      <c r="AJ23" s="95">
        <f t="shared" si="26"/>
        <v>0</v>
      </c>
      <c r="AK23" s="95">
        <f t="shared" si="26"/>
        <v>0</v>
      </c>
      <c r="AL23" s="95">
        <f t="shared" si="26"/>
        <v>0</v>
      </c>
      <c r="AM23" s="95">
        <f t="shared" si="26"/>
        <v>0</v>
      </c>
      <c r="AN23" s="95">
        <f t="shared" si="26"/>
        <v>0</v>
      </c>
      <c r="AO23" s="95">
        <f t="shared" si="26"/>
        <v>0</v>
      </c>
      <c r="AP23" s="95">
        <f t="shared" si="26"/>
        <v>0</v>
      </c>
      <c r="AQ23" s="95">
        <f t="shared" si="26"/>
        <v>0</v>
      </c>
      <c r="AR23" s="95">
        <f t="shared" si="26"/>
        <v>0</v>
      </c>
      <c r="AS23" s="95">
        <f t="shared" si="26"/>
        <v>0</v>
      </c>
      <c r="AT23" s="95">
        <f t="shared" si="26"/>
        <v>0</v>
      </c>
      <c r="AU23" s="95">
        <f t="shared" si="26"/>
        <v>0</v>
      </c>
      <c r="AV23" s="95">
        <f t="shared" si="26"/>
        <v>0</v>
      </c>
      <c r="AW23" s="95">
        <f t="shared" si="26"/>
        <v>0</v>
      </c>
      <c r="AX23" s="95">
        <f t="shared" si="26"/>
        <v>0</v>
      </c>
      <c r="AY23" s="95">
        <f t="shared" si="26"/>
        <v>0</v>
      </c>
      <c r="AZ23" s="95">
        <f t="shared" si="26"/>
        <v>0</v>
      </c>
      <c r="BA23" s="95">
        <f t="shared" si="26"/>
        <v>0</v>
      </c>
      <c r="BB23" s="95">
        <f t="shared" si="26"/>
        <v>0</v>
      </c>
      <c r="BC23" s="95">
        <f t="shared" si="26"/>
        <v>0</v>
      </c>
      <c r="BD23" s="95">
        <f t="shared" si="26"/>
        <v>0</v>
      </c>
      <c r="BE23" s="95">
        <f t="shared" si="26"/>
        <v>0</v>
      </c>
      <c r="BF23" s="95">
        <f t="shared" si="26"/>
        <v>0</v>
      </c>
      <c r="BG23" s="95">
        <f t="shared" si="26"/>
        <v>0</v>
      </c>
      <c r="BH23" s="95">
        <f t="shared" si="26"/>
        <v>0</v>
      </c>
      <c r="BI23" s="95">
        <f t="shared" si="26"/>
        <v>0</v>
      </c>
      <c r="BJ23" s="95">
        <f t="shared" si="26"/>
        <v>0</v>
      </c>
      <c r="BK23" s="95">
        <f t="shared" si="26"/>
        <v>0</v>
      </c>
      <c r="BL23" s="95">
        <f t="shared" si="26"/>
        <v>0</v>
      </c>
      <c r="BM23" s="95">
        <f t="shared" si="26"/>
        <v>0</v>
      </c>
      <c r="BN23" s="95">
        <f t="shared" si="26"/>
        <v>0</v>
      </c>
      <c r="BO23" s="95">
        <f t="shared" si="26"/>
        <v>0</v>
      </c>
      <c r="BP23" s="95">
        <f t="shared" si="26"/>
        <v>0</v>
      </c>
      <c r="BQ23" s="95">
        <f t="shared" ref="BQ23:BX23" si="27">BQ12</f>
        <v>0</v>
      </c>
      <c r="BR23" s="95">
        <f t="shared" si="27"/>
        <v>0</v>
      </c>
      <c r="BS23" s="95">
        <f t="shared" si="27"/>
        <v>0</v>
      </c>
      <c r="BT23" s="95">
        <f t="shared" si="27"/>
        <v>0</v>
      </c>
      <c r="BU23" s="95">
        <f t="shared" si="27"/>
        <v>0</v>
      </c>
      <c r="BV23" s="95">
        <f t="shared" si="27"/>
        <v>0</v>
      </c>
      <c r="BW23" s="95">
        <f t="shared" si="27"/>
        <v>0</v>
      </c>
      <c r="BX23" s="95">
        <f t="shared" si="27"/>
        <v>0</v>
      </c>
      <c r="BY23" s="95">
        <f t="shared" ref="BY23:CD23" si="28">BY12</f>
        <v>0</v>
      </c>
      <c r="BZ23" s="95">
        <f t="shared" si="28"/>
        <v>0</v>
      </c>
      <c r="CA23" s="95">
        <f t="shared" si="28"/>
        <v>0</v>
      </c>
      <c r="CB23" s="95">
        <f t="shared" si="28"/>
        <v>0</v>
      </c>
      <c r="CC23" s="95">
        <f t="shared" si="28"/>
        <v>0</v>
      </c>
      <c r="CD23" s="95">
        <f t="shared" si="28"/>
        <v>0</v>
      </c>
      <c r="CE23" s="98"/>
      <c r="CF23" s="98"/>
      <c r="CG23" s="98"/>
      <c r="CH23" s="98"/>
      <c r="CI23" s="98"/>
      <c r="CJ23" s="98"/>
      <c r="CK23" s="98"/>
      <c r="CL23" s="98"/>
      <c r="CM23" s="98"/>
      <c r="CN23" s="98"/>
      <c r="CO23" s="98"/>
      <c r="CP23" s="98"/>
      <c r="CQ23" s="98"/>
      <c r="CR23" s="98"/>
      <c r="CS23" s="98"/>
      <c r="CT23" s="98"/>
      <c r="CU23" s="98"/>
    </row>
    <row r="24" spans="1:99" s="74" customFormat="1" ht="13.8" x14ac:dyDescent="0.3">
      <c r="A24" s="282" t="s">
        <v>486</v>
      </c>
      <c r="B24" s="87" t="s">
        <v>485</v>
      </c>
      <c r="D24" s="98"/>
      <c r="E24" s="98">
        <f t="shared" ref="E24:U24" si="29">$D$25*E19+E20</f>
        <v>0</v>
      </c>
      <c r="F24" s="98">
        <f t="shared" si="29"/>
        <v>0</v>
      </c>
      <c r="G24" s="98">
        <f t="shared" si="29"/>
        <v>0</v>
      </c>
      <c r="H24" s="98">
        <f t="shared" si="29"/>
        <v>0</v>
      </c>
      <c r="I24" s="98">
        <f t="shared" si="29"/>
        <v>0</v>
      </c>
      <c r="J24" s="98">
        <f t="shared" si="29"/>
        <v>0</v>
      </c>
      <c r="K24" s="98">
        <f t="shared" si="29"/>
        <v>0</v>
      </c>
      <c r="L24" s="98">
        <f t="shared" si="29"/>
        <v>0</v>
      </c>
      <c r="M24" s="98">
        <f t="shared" si="29"/>
        <v>0</v>
      </c>
      <c r="N24" s="98">
        <f t="shared" si="29"/>
        <v>0</v>
      </c>
      <c r="O24" s="98">
        <f t="shared" si="29"/>
        <v>0</v>
      </c>
      <c r="P24" s="98">
        <f t="shared" si="29"/>
        <v>0</v>
      </c>
      <c r="Q24" s="98">
        <f t="shared" si="29"/>
        <v>0</v>
      </c>
      <c r="R24" s="98">
        <f t="shared" si="29"/>
        <v>0</v>
      </c>
      <c r="S24" s="98">
        <f t="shared" si="29"/>
        <v>0</v>
      </c>
      <c r="T24" s="98">
        <f t="shared" si="29"/>
        <v>0</v>
      </c>
      <c r="U24" s="98">
        <f t="shared" si="29"/>
        <v>0</v>
      </c>
      <c r="V24" s="98">
        <f>$D$25*V19+V20</f>
        <v>0</v>
      </c>
      <c r="W24" s="98">
        <f t="shared" ref="W24:BX24" si="30">$D$25*W19+W20</f>
        <v>0</v>
      </c>
      <c r="X24" s="98">
        <f t="shared" si="30"/>
        <v>0</v>
      </c>
      <c r="Y24" s="98">
        <f t="shared" si="30"/>
        <v>3</v>
      </c>
      <c r="Z24" s="98">
        <f t="shared" si="30"/>
        <v>0</v>
      </c>
      <c r="AA24" s="98">
        <f t="shared" si="30"/>
        <v>0</v>
      </c>
      <c r="AB24" s="98">
        <f t="shared" si="30"/>
        <v>3</v>
      </c>
      <c r="AC24" s="98">
        <f t="shared" si="30"/>
        <v>0</v>
      </c>
      <c r="AD24" s="98">
        <f t="shared" si="30"/>
        <v>0</v>
      </c>
      <c r="AE24" s="98">
        <f t="shared" si="30"/>
        <v>3</v>
      </c>
      <c r="AF24" s="98">
        <f t="shared" si="30"/>
        <v>0</v>
      </c>
      <c r="AG24" s="98">
        <f t="shared" si="30"/>
        <v>0</v>
      </c>
      <c r="AH24" s="98">
        <f t="shared" si="30"/>
        <v>3</v>
      </c>
      <c r="AI24" s="98">
        <f t="shared" si="30"/>
        <v>0</v>
      </c>
      <c r="AJ24" s="98">
        <f t="shared" si="30"/>
        <v>0</v>
      </c>
      <c r="AK24" s="98">
        <f t="shared" si="30"/>
        <v>3</v>
      </c>
      <c r="AL24" s="98">
        <f t="shared" si="30"/>
        <v>0</v>
      </c>
      <c r="AM24" s="98">
        <f t="shared" si="30"/>
        <v>0</v>
      </c>
      <c r="AN24" s="98">
        <f t="shared" si="30"/>
        <v>3</v>
      </c>
      <c r="AO24" s="98">
        <f t="shared" si="30"/>
        <v>0</v>
      </c>
      <c r="AP24" s="98">
        <f t="shared" si="30"/>
        <v>0</v>
      </c>
      <c r="AQ24" s="98">
        <f t="shared" si="30"/>
        <v>3.5</v>
      </c>
      <c r="AR24" s="98">
        <f t="shared" si="30"/>
        <v>0</v>
      </c>
      <c r="AS24" s="98">
        <f t="shared" si="30"/>
        <v>0</v>
      </c>
      <c r="AT24" s="98">
        <f t="shared" si="30"/>
        <v>3.5</v>
      </c>
      <c r="AU24" s="98">
        <f t="shared" si="30"/>
        <v>0</v>
      </c>
      <c r="AV24" s="98">
        <f t="shared" si="30"/>
        <v>0</v>
      </c>
      <c r="AW24" s="98">
        <f t="shared" si="30"/>
        <v>3.5</v>
      </c>
      <c r="AX24" s="98">
        <f t="shared" si="30"/>
        <v>0</v>
      </c>
      <c r="AY24" s="98">
        <f t="shared" si="30"/>
        <v>0</v>
      </c>
      <c r="AZ24" s="98">
        <f t="shared" si="30"/>
        <v>3.5</v>
      </c>
      <c r="BA24" s="98">
        <f t="shared" si="30"/>
        <v>0</v>
      </c>
      <c r="BB24" s="98">
        <f t="shared" si="30"/>
        <v>0</v>
      </c>
      <c r="BC24" s="98">
        <f t="shared" si="30"/>
        <v>4</v>
      </c>
      <c r="BD24" s="98">
        <f t="shared" si="30"/>
        <v>0</v>
      </c>
      <c r="BE24" s="98">
        <f t="shared" si="30"/>
        <v>0</v>
      </c>
      <c r="BF24" s="98">
        <f t="shared" si="30"/>
        <v>4</v>
      </c>
      <c r="BG24" s="98">
        <f t="shared" si="30"/>
        <v>0</v>
      </c>
      <c r="BH24" s="98">
        <f t="shared" si="30"/>
        <v>0</v>
      </c>
      <c r="BI24" s="98">
        <f t="shared" si="30"/>
        <v>4</v>
      </c>
      <c r="BJ24" s="98">
        <f t="shared" si="30"/>
        <v>0</v>
      </c>
      <c r="BK24" s="98">
        <f t="shared" si="30"/>
        <v>0</v>
      </c>
      <c r="BL24" s="98">
        <f t="shared" si="30"/>
        <v>4</v>
      </c>
      <c r="BM24" s="98">
        <f t="shared" si="30"/>
        <v>0</v>
      </c>
      <c r="BN24" s="98">
        <f t="shared" si="30"/>
        <v>0</v>
      </c>
      <c r="BO24" s="98">
        <f t="shared" si="30"/>
        <v>4.5</v>
      </c>
      <c r="BP24" s="98">
        <f t="shared" si="30"/>
        <v>0</v>
      </c>
      <c r="BQ24" s="98">
        <f t="shared" si="30"/>
        <v>0</v>
      </c>
      <c r="BR24" s="98">
        <f t="shared" si="30"/>
        <v>4.5</v>
      </c>
      <c r="BS24" s="98">
        <f t="shared" si="30"/>
        <v>0</v>
      </c>
      <c r="BT24" s="98">
        <f t="shared" si="30"/>
        <v>0</v>
      </c>
      <c r="BU24" s="98">
        <f t="shared" si="30"/>
        <v>4.5</v>
      </c>
      <c r="BV24" s="98">
        <f t="shared" si="30"/>
        <v>0</v>
      </c>
      <c r="BW24" s="98">
        <f t="shared" si="30"/>
        <v>0</v>
      </c>
      <c r="BX24" s="98">
        <f t="shared" si="30"/>
        <v>4.5</v>
      </c>
      <c r="BY24" s="98">
        <f t="shared" ref="BY24:CD24" si="31">$D$25*BY19+BY20</f>
        <v>0</v>
      </c>
      <c r="BZ24" s="98">
        <f t="shared" si="31"/>
        <v>0</v>
      </c>
      <c r="CA24" s="98">
        <f t="shared" si="31"/>
        <v>4.5</v>
      </c>
      <c r="CB24" s="98">
        <f t="shared" si="31"/>
        <v>0</v>
      </c>
      <c r="CC24" s="98">
        <f t="shared" si="31"/>
        <v>0</v>
      </c>
      <c r="CD24" s="98">
        <f t="shared" si="31"/>
        <v>4.5</v>
      </c>
      <c r="CE24" s="98"/>
      <c r="CF24" s="98"/>
      <c r="CG24" s="98"/>
      <c r="CH24" s="98"/>
      <c r="CI24" s="98"/>
      <c r="CJ24" s="98"/>
      <c r="CK24" s="98"/>
      <c r="CL24" s="98"/>
      <c r="CM24" s="98"/>
      <c r="CN24" s="98"/>
      <c r="CO24" s="98"/>
      <c r="CP24" s="98"/>
      <c r="CQ24" s="98"/>
      <c r="CR24" s="98"/>
      <c r="CS24" s="98"/>
      <c r="CT24" s="98"/>
      <c r="CU24" s="98"/>
    </row>
    <row r="25" spans="1:99" s="74" customFormat="1" ht="13.8" x14ac:dyDescent="0.3">
      <c r="A25" s="282" t="s">
        <v>487</v>
      </c>
      <c r="B25" s="87" t="s">
        <v>485</v>
      </c>
      <c r="D25" s="98">
        <f>D22+D23-D24</f>
        <v>5</v>
      </c>
      <c r="E25" s="98">
        <f t="shared" ref="E25:BP25" si="32">E22+E23-E24</f>
        <v>5</v>
      </c>
      <c r="F25" s="98">
        <f t="shared" si="32"/>
        <v>5</v>
      </c>
      <c r="G25" s="98">
        <f t="shared" si="32"/>
        <v>17.5</v>
      </c>
      <c r="H25" s="98">
        <f t="shared" si="32"/>
        <v>17.5</v>
      </c>
      <c r="I25" s="98">
        <f t="shared" si="32"/>
        <v>17.5</v>
      </c>
      <c r="J25" s="98">
        <f t="shared" si="32"/>
        <v>30</v>
      </c>
      <c r="K25" s="98">
        <f t="shared" si="32"/>
        <v>30</v>
      </c>
      <c r="L25" s="98">
        <f t="shared" si="32"/>
        <v>30</v>
      </c>
      <c r="M25" s="98">
        <f t="shared" si="32"/>
        <v>42.5</v>
      </c>
      <c r="N25" s="98">
        <f t="shared" si="32"/>
        <v>42.5</v>
      </c>
      <c r="O25" s="98">
        <f t="shared" si="32"/>
        <v>42.5</v>
      </c>
      <c r="P25" s="98">
        <f t="shared" si="32"/>
        <v>55</v>
      </c>
      <c r="Q25" s="98">
        <f t="shared" si="32"/>
        <v>55</v>
      </c>
      <c r="R25" s="98">
        <f t="shared" si="32"/>
        <v>55</v>
      </c>
      <c r="S25" s="98">
        <f t="shared" si="32"/>
        <v>65</v>
      </c>
      <c r="T25" s="98">
        <f t="shared" si="32"/>
        <v>65</v>
      </c>
      <c r="U25" s="98">
        <f t="shared" si="32"/>
        <v>65</v>
      </c>
      <c r="V25" s="98">
        <f t="shared" si="32"/>
        <v>75</v>
      </c>
      <c r="W25" s="98">
        <f t="shared" si="32"/>
        <v>75</v>
      </c>
      <c r="X25" s="98">
        <f t="shared" si="32"/>
        <v>75</v>
      </c>
      <c r="Y25" s="98">
        <f t="shared" si="32"/>
        <v>72</v>
      </c>
      <c r="Z25" s="98">
        <f t="shared" si="32"/>
        <v>72</v>
      </c>
      <c r="AA25" s="98">
        <f t="shared" si="32"/>
        <v>72</v>
      </c>
      <c r="AB25" s="98">
        <f t="shared" si="32"/>
        <v>69</v>
      </c>
      <c r="AC25" s="98">
        <f t="shared" si="32"/>
        <v>69</v>
      </c>
      <c r="AD25" s="98">
        <f t="shared" si="32"/>
        <v>69</v>
      </c>
      <c r="AE25" s="98">
        <f t="shared" si="32"/>
        <v>66</v>
      </c>
      <c r="AF25" s="98">
        <f t="shared" si="32"/>
        <v>66</v>
      </c>
      <c r="AG25" s="98">
        <f t="shared" si="32"/>
        <v>66</v>
      </c>
      <c r="AH25" s="98">
        <f t="shared" si="32"/>
        <v>63</v>
      </c>
      <c r="AI25" s="98">
        <f t="shared" si="32"/>
        <v>63</v>
      </c>
      <c r="AJ25" s="98">
        <f t="shared" si="32"/>
        <v>63</v>
      </c>
      <c r="AK25" s="98">
        <f t="shared" si="32"/>
        <v>60</v>
      </c>
      <c r="AL25" s="98">
        <f t="shared" si="32"/>
        <v>60</v>
      </c>
      <c r="AM25" s="98">
        <f t="shared" si="32"/>
        <v>60</v>
      </c>
      <c r="AN25" s="98">
        <f t="shared" si="32"/>
        <v>57</v>
      </c>
      <c r="AO25" s="98">
        <f t="shared" si="32"/>
        <v>57</v>
      </c>
      <c r="AP25" s="98">
        <f t="shared" si="32"/>
        <v>57</v>
      </c>
      <c r="AQ25" s="98">
        <f t="shared" si="32"/>
        <v>53.5</v>
      </c>
      <c r="AR25" s="98">
        <f t="shared" si="32"/>
        <v>53.5</v>
      </c>
      <c r="AS25" s="98">
        <f t="shared" si="32"/>
        <v>53.5</v>
      </c>
      <c r="AT25" s="98">
        <f t="shared" si="32"/>
        <v>50</v>
      </c>
      <c r="AU25" s="98">
        <f t="shared" si="32"/>
        <v>50</v>
      </c>
      <c r="AV25" s="98">
        <f t="shared" si="32"/>
        <v>50</v>
      </c>
      <c r="AW25" s="98">
        <f t="shared" si="32"/>
        <v>46.5</v>
      </c>
      <c r="AX25" s="98">
        <f t="shared" si="32"/>
        <v>46.5</v>
      </c>
      <c r="AY25" s="98">
        <f t="shared" si="32"/>
        <v>46.5</v>
      </c>
      <c r="AZ25" s="98">
        <f t="shared" si="32"/>
        <v>43</v>
      </c>
      <c r="BA25" s="98">
        <f t="shared" si="32"/>
        <v>43</v>
      </c>
      <c r="BB25" s="98">
        <f t="shared" si="32"/>
        <v>43</v>
      </c>
      <c r="BC25" s="98">
        <f t="shared" si="32"/>
        <v>39</v>
      </c>
      <c r="BD25" s="98">
        <f t="shared" si="32"/>
        <v>39</v>
      </c>
      <c r="BE25" s="98">
        <f t="shared" si="32"/>
        <v>39</v>
      </c>
      <c r="BF25" s="98">
        <f t="shared" si="32"/>
        <v>35</v>
      </c>
      <c r="BG25" s="98">
        <f t="shared" si="32"/>
        <v>35</v>
      </c>
      <c r="BH25" s="98">
        <f t="shared" si="32"/>
        <v>35</v>
      </c>
      <c r="BI25" s="98">
        <f t="shared" si="32"/>
        <v>31</v>
      </c>
      <c r="BJ25" s="98">
        <f t="shared" si="32"/>
        <v>31</v>
      </c>
      <c r="BK25" s="98">
        <f t="shared" si="32"/>
        <v>31</v>
      </c>
      <c r="BL25" s="98">
        <f t="shared" si="32"/>
        <v>27</v>
      </c>
      <c r="BM25" s="98">
        <f t="shared" si="32"/>
        <v>27</v>
      </c>
      <c r="BN25" s="98">
        <f t="shared" si="32"/>
        <v>27</v>
      </c>
      <c r="BO25" s="98">
        <f t="shared" si="32"/>
        <v>22.5</v>
      </c>
      <c r="BP25" s="98">
        <f t="shared" si="32"/>
        <v>22.5</v>
      </c>
      <c r="BQ25" s="98">
        <f t="shared" ref="BQ25:BX25" si="33">BQ22+BQ23-BQ24</f>
        <v>22.5</v>
      </c>
      <c r="BR25" s="98">
        <f t="shared" si="33"/>
        <v>18</v>
      </c>
      <c r="BS25" s="98">
        <f t="shared" si="33"/>
        <v>18</v>
      </c>
      <c r="BT25" s="98">
        <f t="shared" si="33"/>
        <v>18</v>
      </c>
      <c r="BU25" s="98">
        <f t="shared" si="33"/>
        <v>13.5</v>
      </c>
      <c r="BV25" s="98">
        <f t="shared" si="33"/>
        <v>13.5</v>
      </c>
      <c r="BW25" s="98">
        <f t="shared" si="33"/>
        <v>13.5</v>
      </c>
      <c r="BX25" s="98">
        <f t="shared" si="33"/>
        <v>9</v>
      </c>
      <c r="BY25" s="98">
        <f t="shared" ref="BY25:CD25" si="34">BY22+BY23-BY24</f>
        <v>9</v>
      </c>
      <c r="BZ25" s="98">
        <f t="shared" si="34"/>
        <v>9</v>
      </c>
      <c r="CA25" s="98">
        <f t="shared" si="34"/>
        <v>4.5</v>
      </c>
      <c r="CB25" s="98">
        <f t="shared" si="34"/>
        <v>4.5</v>
      </c>
      <c r="CC25" s="98">
        <f t="shared" si="34"/>
        <v>4.5</v>
      </c>
      <c r="CD25" s="98">
        <f t="shared" si="34"/>
        <v>0</v>
      </c>
      <c r="CE25" s="98"/>
      <c r="CF25" s="98"/>
      <c r="CG25" s="98"/>
      <c r="CH25" s="98"/>
      <c r="CI25" s="98"/>
      <c r="CJ25" s="98"/>
      <c r="CK25" s="98"/>
      <c r="CL25" s="98"/>
      <c r="CM25" s="98"/>
      <c r="CN25" s="98"/>
      <c r="CO25" s="98"/>
      <c r="CP25" s="98"/>
      <c r="CQ25" s="98"/>
      <c r="CR25" s="98"/>
      <c r="CS25" s="98"/>
      <c r="CT25" s="98"/>
      <c r="CU25" s="98"/>
    </row>
    <row r="26" spans="1:99" s="74" customFormat="1" ht="13.8" x14ac:dyDescent="0.3">
      <c r="A26" s="282"/>
      <c r="B26" s="139"/>
      <c r="D26" s="139"/>
      <c r="E26" s="139"/>
      <c r="F26" s="139"/>
      <c r="G26" s="139"/>
      <c r="H26" s="139"/>
      <c r="I26" s="139"/>
      <c r="J26" s="139"/>
    </row>
    <row r="27" spans="1:99" s="74" customFormat="1" ht="13.8" x14ac:dyDescent="0.3">
      <c r="A27" s="282" t="s">
        <v>333</v>
      </c>
      <c r="B27" s="87" t="s">
        <v>485</v>
      </c>
      <c r="D27" s="138">
        <f t="shared" ref="D27:AI27" si="35">((D22*$C$15)/D8)*D7</f>
        <v>0</v>
      </c>
      <c r="E27" s="138">
        <f t="shared" si="35"/>
        <v>4.5205479452054796E-2</v>
      </c>
      <c r="F27" s="138">
        <f t="shared" si="35"/>
        <v>4.6712328767123293E-2</v>
      </c>
      <c r="G27" s="138">
        <f t="shared" si="35"/>
        <v>4.5205479452054796E-2</v>
      </c>
      <c r="H27" s="138">
        <f t="shared" si="35"/>
        <v>0.1634931506849315</v>
      </c>
      <c r="I27" s="138">
        <f t="shared" si="35"/>
        <v>0.1634931506849315</v>
      </c>
      <c r="J27" s="138">
        <f t="shared" si="35"/>
        <v>0.1582191780821918</v>
      </c>
      <c r="K27" s="138">
        <f t="shared" si="35"/>
        <v>0.28027397260273973</v>
      </c>
      <c r="L27" s="138">
        <f t="shared" si="35"/>
        <v>0.27123287671232876</v>
      </c>
      <c r="M27" s="138">
        <f t="shared" si="35"/>
        <v>0.28027397260273973</v>
      </c>
      <c r="N27" s="138">
        <f t="shared" si="35"/>
        <v>0.39705479452054793</v>
      </c>
      <c r="O27" s="138">
        <f t="shared" si="35"/>
        <v>0.35863013698630131</v>
      </c>
      <c r="P27" s="138">
        <f t="shared" si="35"/>
        <v>0.39705479452054793</v>
      </c>
      <c r="Q27" s="138">
        <f t="shared" si="35"/>
        <v>0.49726027397260275</v>
      </c>
      <c r="R27" s="138">
        <f t="shared" si="35"/>
        <v>0.51383561643835618</v>
      </c>
      <c r="S27" s="138">
        <f t="shared" si="35"/>
        <v>0.49726027397260275</v>
      </c>
      <c r="T27" s="138">
        <f t="shared" si="35"/>
        <v>0.60726027397260274</v>
      </c>
      <c r="U27" s="138">
        <f t="shared" si="35"/>
        <v>0.60726027397260274</v>
      </c>
      <c r="V27" s="138">
        <f t="shared" si="35"/>
        <v>0.5876712328767123</v>
      </c>
      <c r="W27" s="138">
        <f t="shared" si="35"/>
        <v>0.7006849315068493</v>
      </c>
      <c r="X27" s="138">
        <f t="shared" si="35"/>
        <v>0.67808219178082196</v>
      </c>
      <c r="Y27" s="138">
        <f t="shared" si="35"/>
        <v>0.7006849315068493</v>
      </c>
      <c r="Z27" s="138">
        <f t="shared" si="35"/>
        <v>0.67265753424657537</v>
      </c>
      <c r="AA27" s="138">
        <f t="shared" si="35"/>
        <v>0.60756164383561639</v>
      </c>
      <c r="AB27" s="138">
        <f t="shared" si="35"/>
        <v>0.67265753424657537</v>
      </c>
      <c r="AC27" s="138">
        <f t="shared" si="35"/>
        <v>0.62383561643835606</v>
      </c>
      <c r="AD27" s="138">
        <f t="shared" si="35"/>
        <v>0.64463013698630134</v>
      </c>
      <c r="AE27" s="138">
        <f t="shared" si="35"/>
        <v>0.62383561643835606</v>
      </c>
      <c r="AF27" s="138">
        <f t="shared" si="35"/>
        <v>0.61660273972602742</v>
      </c>
      <c r="AG27" s="138">
        <f t="shared" si="35"/>
        <v>0.61660273972602742</v>
      </c>
      <c r="AH27" s="138">
        <f t="shared" si="35"/>
        <v>0.59671232876712332</v>
      </c>
      <c r="AI27" s="138">
        <f t="shared" si="35"/>
        <v>0.58857534246575338</v>
      </c>
      <c r="AJ27" s="138">
        <f t="shared" ref="AJ27:BO27" si="36">((AJ22*$C$15)/AJ8)*AJ7</f>
        <v>0.56958904109589037</v>
      </c>
      <c r="AK27" s="138">
        <f t="shared" si="36"/>
        <v>0.58857534246575338</v>
      </c>
      <c r="AL27" s="138">
        <f t="shared" si="36"/>
        <v>0.56054794520547946</v>
      </c>
      <c r="AM27" s="138">
        <f t="shared" si="36"/>
        <v>0.50630136986301366</v>
      </c>
      <c r="AN27" s="138">
        <f t="shared" si="36"/>
        <v>0.56054794520547946</v>
      </c>
      <c r="AO27" s="138">
        <f t="shared" si="36"/>
        <v>0.51393442622950825</v>
      </c>
      <c r="AP27" s="138">
        <f t="shared" si="36"/>
        <v>0.53106557377049179</v>
      </c>
      <c r="AQ27" s="138">
        <f t="shared" si="36"/>
        <v>0.51393442622950825</v>
      </c>
      <c r="AR27" s="138">
        <f t="shared" si="36"/>
        <v>0.49845628415300547</v>
      </c>
      <c r="AS27" s="138">
        <f t="shared" si="36"/>
        <v>0.49845628415300547</v>
      </c>
      <c r="AT27" s="138">
        <f t="shared" si="36"/>
        <v>0.48237704918032787</v>
      </c>
      <c r="AU27" s="138">
        <f t="shared" si="36"/>
        <v>0.46584699453551909</v>
      </c>
      <c r="AV27" s="138">
        <f t="shared" si="36"/>
        <v>0.45081967213114754</v>
      </c>
      <c r="AW27" s="138">
        <f t="shared" si="36"/>
        <v>0.46584699453551909</v>
      </c>
      <c r="AX27" s="138">
        <f t="shared" si="36"/>
        <v>0.43323770491803276</v>
      </c>
      <c r="AY27" s="138">
        <f t="shared" si="36"/>
        <v>0.40528688524590162</v>
      </c>
      <c r="AZ27" s="138">
        <f t="shared" si="36"/>
        <v>0.43323770491803276</v>
      </c>
      <c r="BA27" s="138">
        <f t="shared" si="36"/>
        <v>0.38876712328767127</v>
      </c>
      <c r="BB27" s="138">
        <f t="shared" si="36"/>
        <v>0.40172602739726032</v>
      </c>
      <c r="BC27" s="138">
        <f t="shared" si="36"/>
        <v>0.38876712328767127</v>
      </c>
      <c r="BD27" s="138">
        <f t="shared" si="36"/>
        <v>0.36435616438356161</v>
      </c>
      <c r="BE27" s="138">
        <f t="shared" si="36"/>
        <v>0.36435616438356161</v>
      </c>
      <c r="BF27" s="138">
        <f t="shared" si="36"/>
        <v>0.3526027397260274</v>
      </c>
      <c r="BG27" s="138">
        <f t="shared" si="36"/>
        <v>0.32698630136986301</v>
      </c>
      <c r="BH27" s="138">
        <f t="shared" si="36"/>
        <v>0.31643835616438359</v>
      </c>
      <c r="BI27" s="138">
        <f t="shared" si="36"/>
        <v>0.32698630136986301</v>
      </c>
      <c r="BJ27" s="138">
        <f t="shared" si="36"/>
        <v>0.28961643835616435</v>
      </c>
      <c r="BK27" s="138">
        <f t="shared" si="36"/>
        <v>0.26158904109589043</v>
      </c>
      <c r="BL27" s="138">
        <f t="shared" si="36"/>
        <v>0.28961643835616435</v>
      </c>
      <c r="BM27" s="138">
        <f t="shared" si="36"/>
        <v>0.24410958904109592</v>
      </c>
      <c r="BN27" s="138">
        <f t="shared" si="36"/>
        <v>0.25224657534246575</v>
      </c>
      <c r="BO27" s="138">
        <f t="shared" si="36"/>
        <v>0.24410958904109592</v>
      </c>
      <c r="BP27" s="138">
        <f t="shared" ref="BP27:BX27" si="37">((BP22*$C$15)/BP8)*BP7</f>
        <v>0.21020547945205481</v>
      </c>
      <c r="BQ27" s="138">
        <f t="shared" si="37"/>
        <v>0.21020547945205481</v>
      </c>
      <c r="BR27" s="138">
        <f t="shared" si="37"/>
        <v>0.20342465753424657</v>
      </c>
      <c r="BS27" s="138">
        <f t="shared" si="37"/>
        <v>0.16816438356164384</v>
      </c>
      <c r="BT27" s="138">
        <f t="shared" si="37"/>
        <v>0.16273972602739725</v>
      </c>
      <c r="BU27" s="138">
        <f t="shared" si="37"/>
        <v>0.16816438356164384</v>
      </c>
      <c r="BV27" s="138">
        <f t="shared" si="37"/>
        <v>0.12612328767123288</v>
      </c>
      <c r="BW27" s="138">
        <f t="shared" si="37"/>
        <v>0.11391780821917809</v>
      </c>
      <c r="BX27" s="138">
        <f t="shared" si="37"/>
        <v>0.12612328767123288</v>
      </c>
      <c r="BY27" s="138">
        <f t="shared" ref="BY27:CD27" si="38">((BY22*$C$15)/BY8)*BY7</f>
        <v>8.1369863013698626E-2</v>
      </c>
      <c r="BZ27" s="138">
        <f t="shared" si="38"/>
        <v>8.4082191780821922E-2</v>
      </c>
      <c r="CA27" s="138">
        <f t="shared" si="38"/>
        <v>8.1369863013698626E-2</v>
      </c>
      <c r="CB27" s="138">
        <f t="shared" si="38"/>
        <v>4.2041095890410961E-2</v>
      </c>
      <c r="CC27" s="138">
        <f t="shared" si="38"/>
        <v>4.2041095890410961E-2</v>
      </c>
      <c r="CD27" s="138">
        <f t="shared" si="38"/>
        <v>4.0684931506849313E-2</v>
      </c>
    </row>
    <row r="28" spans="1:99" s="74" customFormat="1" ht="13.8" x14ac:dyDescent="0.3">
      <c r="A28" s="139"/>
      <c r="B28" s="139"/>
      <c r="D28" s="139"/>
      <c r="E28" s="138"/>
      <c r="F28" s="139"/>
      <c r="G28" s="139"/>
      <c r="H28" s="139"/>
      <c r="I28" s="139"/>
      <c r="J28" s="139"/>
    </row>
    <row r="29" spans="1:99" s="74" customFormat="1" ht="13.8" x14ac:dyDescent="0.3">
      <c r="A29" s="136" t="s">
        <v>488</v>
      </c>
      <c r="B29" s="87"/>
      <c r="C29" s="143"/>
      <c r="D29" s="139"/>
      <c r="E29" s="139"/>
      <c r="F29" s="139"/>
      <c r="G29" s="139"/>
      <c r="H29" s="139"/>
      <c r="I29" s="139"/>
    </row>
    <row r="30" spans="1:99" s="74" customFormat="1" ht="13.8" x14ac:dyDescent="0.3">
      <c r="A30" s="213" t="s">
        <v>422</v>
      </c>
      <c r="B30" s="213" t="s">
        <v>330</v>
      </c>
      <c r="C30" s="213"/>
      <c r="D30" s="287">
        <f>DATE(2024,3,31)</f>
        <v>45382</v>
      </c>
      <c r="E30" s="287">
        <f>EOMONTH(D30,12)</f>
        <v>45747</v>
      </c>
      <c r="F30" s="287">
        <f t="shared" ref="F30:K30" si="39">EOMONTH(E30,12)</f>
        <v>46112</v>
      </c>
      <c r="G30" s="287">
        <f t="shared" si="39"/>
        <v>46477</v>
      </c>
      <c r="H30" s="287">
        <f t="shared" si="39"/>
        <v>46843</v>
      </c>
      <c r="I30" s="287">
        <f t="shared" si="39"/>
        <v>47208</v>
      </c>
      <c r="J30" s="287">
        <f t="shared" si="39"/>
        <v>47573</v>
      </c>
      <c r="K30" s="287">
        <f t="shared" si="39"/>
        <v>47938</v>
      </c>
      <c r="L30" s="145"/>
    </row>
    <row r="31" spans="1:99" s="74" customFormat="1" ht="13.8" x14ac:dyDescent="0.3">
      <c r="A31" s="288" t="s">
        <v>484</v>
      </c>
      <c r="B31" s="289"/>
      <c r="C31" s="289"/>
      <c r="D31" s="289"/>
      <c r="E31" s="289"/>
      <c r="F31" s="289"/>
      <c r="G31" s="80"/>
      <c r="H31" s="80"/>
      <c r="I31" s="80"/>
      <c r="J31" s="80"/>
      <c r="K31" s="80"/>
    </row>
    <row r="32" spans="1:99" s="74" customFormat="1" ht="13.8" x14ac:dyDescent="0.3">
      <c r="A32" s="289" t="s">
        <v>66</v>
      </c>
      <c r="B32" s="203" t="s">
        <v>485</v>
      </c>
      <c r="C32" s="80"/>
      <c r="D32" s="202">
        <f>C35</f>
        <v>0</v>
      </c>
      <c r="E32" s="202">
        <f>D35</f>
        <v>5</v>
      </c>
      <c r="F32" s="202">
        <f t="shared" ref="F32:K32" si="40">E35</f>
        <v>55</v>
      </c>
      <c r="G32" s="202">
        <f t="shared" si="40"/>
        <v>69</v>
      </c>
      <c r="H32" s="202">
        <f t="shared" si="40"/>
        <v>57</v>
      </c>
      <c r="I32" s="202">
        <f t="shared" si="40"/>
        <v>43</v>
      </c>
      <c r="J32" s="202">
        <f t="shared" si="40"/>
        <v>27</v>
      </c>
      <c r="K32" s="202">
        <f t="shared" si="40"/>
        <v>9</v>
      </c>
    </row>
    <row r="33" spans="1:11" s="74" customFormat="1" ht="13.8" x14ac:dyDescent="0.3">
      <c r="A33" s="289" t="s">
        <v>64</v>
      </c>
      <c r="B33" s="203" t="s">
        <v>485</v>
      </c>
      <c r="C33" s="80"/>
      <c r="D33" s="110">
        <f>SUMIF($D$6:$CD$6,$D$30:$K$30,$D$23:$CD$23)</f>
        <v>5</v>
      </c>
      <c r="E33" s="110">
        <f t="shared" ref="E33:K33" si="41">SUMIF($D$6:$CD$6,$D$30:$K$30,$D$23:$CD$23)</f>
        <v>50</v>
      </c>
      <c r="F33" s="110">
        <f t="shared" si="41"/>
        <v>20</v>
      </c>
      <c r="G33" s="110">
        <f t="shared" si="41"/>
        <v>0</v>
      </c>
      <c r="H33" s="110">
        <f t="shared" si="41"/>
        <v>0</v>
      </c>
      <c r="I33" s="110">
        <f t="shared" si="41"/>
        <v>0</v>
      </c>
      <c r="J33" s="110">
        <f t="shared" si="41"/>
        <v>0</v>
      </c>
      <c r="K33" s="110">
        <f t="shared" si="41"/>
        <v>0</v>
      </c>
    </row>
    <row r="34" spans="1:11" s="74" customFormat="1" ht="13.8" x14ac:dyDescent="0.3">
      <c r="A34" s="289" t="s">
        <v>486</v>
      </c>
      <c r="B34" s="203" t="s">
        <v>485</v>
      </c>
      <c r="C34" s="80"/>
      <c r="D34" s="110">
        <f t="shared" ref="D34:I34" si="42">SUMIF($D$6:$CD$6,$D$30:$K$30,$D$24:$CD$24)</f>
        <v>0</v>
      </c>
      <c r="E34" s="110">
        <f t="shared" si="42"/>
        <v>0</v>
      </c>
      <c r="F34" s="110">
        <f t="shared" si="42"/>
        <v>6</v>
      </c>
      <c r="G34" s="110">
        <f t="shared" si="42"/>
        <v>12</v>
      </c>
      <c r="H34" s="110">
        <f t="shared" si="42"/>
        <v>14</v>
      </c>
      <c r="I34" s="110">
        <f t="shared" si="42"/>
        <v>16</v>
      </c>
      <c r="J34" s="110">
        <f>SUMIF($D$6:$CD$6,$D$30:$K$30,$D$24:$CD$24)</f>
        <v>18</v>
      </c>
      <c r="K34" s="110">
        <f t="shared" ref="K34" si="43">SUMIF($D$6:$CD$6,$D$30:$K$30,$D$24:$CD$24)</f>
        <v>9</v>
      </c>
    </row>
    <row r="35" spans="1:11" s="74" customFormat="1" ht="13.8" x14ac:dyDescent="0.3">
      <c r="A35" s="289" t="s">
        <v>487</v>
      </c>
      <c r="B35" s="203" t="s">
        <v>485</v>
      </c>
      <c r="C35" s="80"/>
      <c r="D35" s="202">
        <f t="shared" ref="D35:J35" si="44">D32+D33-D34</f>
        <v>5</v>
      </c>
      <c r="E35" s="202">
        <f t="shared" si="44"/>
        <v>55</v>
      </c>
      <c r="F35" s="202">
        <f t="shared" si="44"/>
        <v>69</v>
      </c>
      <c r="G35" s="202">
        <f t="shared" si="44"/>
        <v>57</v>
      </c>
      <c r="H35" s="202">
        <f t="shared" si="44"/>
        <v>43</v>
      </c>
      <c r="I35" s="202">
        <f t="shared" si="44"/>
        <v>27</v>
      </c>
      <c r="J35" s="202">
        <f t="shared" si="44"/>
        <v>9</v>
      </c>
      <c r="K35" s="202">
        <f t="shared" ref="K35" si="45">K32+K33-K34</f>
        <v>0</v>
      </c>
    </row>
    <row r="36" spans="1:11" s="74" customFormat="1" ht="13.8" x14ac:dyDescent="0.3">
      <c r="A36" s="289" t="s">
        <v>333</v>
      </c>
      <c r="B36" s="203" t="s">
        <v>485</v>
      </c>
      <c r="C36" s="80"/>
      <c r="D36" s="110">
        <f>SUMIF($D$6:$CD$6,$D$30:$K$30,$D$27:$CD$27)</f>
        <v>0</v>
      </c>
      <c r="E36" s="110">
        <f t="shared" ref="E36:K36" si="46">SUMIF($D$6:$CD$6,$D$30:$K$30,$D$27:$CD$27)</f>
        <v>2.606849315068493</v>
      </c>
      <c r="F36" s="110">
        <f t="shared" si="46"/>
        <v>7.342876712328767</v>
      </c>
      <c r="G36" s="110">
        <f t="shared" si="46"/>
        <v>7.096356164383562</v>
      </c>
      <c r="H36" s="110">
        <f t="shared" si="46"/>
        <v>5.6924999999999999</v>
      </c>
      <c r="I36" s="110">
        <f t="shared" si="46"/>
        <v>4.0718082191780827</v>
      </c>
      <c r="J36" s="110">
        <f t="shared" si="46"/>
        <v>2.2295342465753425</v>
      </c>
      <c r="K36" s="110">
        <f t="shared" si="46"/>
        <v>0.37158904109589036</v>
      </c>
    </row>
    <row r="37" spans="1:11" s="74" customFormat="1" ht="13.8" x14ac:dyDescent="0.3">
      <c r="A37" s="139"/>
      <c r="B37" s="139"/>
      <c r="C37" s="139"/>
      <c r="D37" s="139"/>
      <c r="E37" s="139"/>
      <c r="F37" s="139"/>
      <c r="G37" s="139"/>
      <c r="H37" s="139"/>
      <c r="I37" s="139"/>
    </row>
    <row r="38" spans="1:11" s="74" customFormat="1" ht="13.8" x14ac:dyDescent="0.3"/>
    <row r="39" spans="1:11" s="74" customFormat="1" ht="13.8" x14ac:dyDescent="0.3"/>
    <row r="40" spans="1:11" s="74" customFormat="1" ht="13.8" x14ac:dyDescent="0.3">
      <c r="A40" s="74" t="s">
        <v>734</v>
      </c>
      <c r="B40" s="74" t="s">
        <v>330</v>
      </c>
      <c r="D40" s="287">
        <f>DATE(2024,3,31)</f>
        <v>45382</v>
      </c>
      <c r="E40" s="287">
        <f>EOMONTH(D40,12)</f>
        <v>45747</v>
      </c>
      <c r="F40" s="287">
        <f t="shared" ref="F40" si="47">EOMONTH(E40,12)</f>
        <v>46112</v>
      </c>
      <c r="G40" s="287">
        <f t="shared" ref="G40" si="48">EOMONTH(F40,12)</f>
        <v>46477</v>
      </c>
      <c r="H40" s="287">
        <f t="shared" ref="H40" si="49">EOMONTH(G40,12)</f>
        <v>46843</v>
      </c>
      <c r="I40" s="287">
        <f t="shared" ref="I40" si="50">EOMONTH(H40,12)</f>
        <v>47208</v>
      </c>
      <c r="J40" s="287">
        <f t="shared" ref="J40" si="51">EOMONTH(I40,12)</f>
        <v>47573</v>
      </c>
      <c r="K40" s="287">
        <f t="shared" ref="K40" si="52">EOMONTH(J40,12)</f>
        <v>47938</v>
      </c>
    </row>
    <row r="41" spans="1:11" s="74" customFormat="1" ht="13.8" x14ac:dyDescent="0.3"/>
    <row r="42" spans="1:11" s="74" customFormat="1" ht="13.8" x14ac:dyDescent="0.3">
      <c r="A42" s="74" t="s">
        <v>735</v>
      </c>
      <c r="B42" s="74" t="s">
        <v>331</v>
      </c>
      <c r="D42" s="305">
        <v>0.11</v>
      </c>
      <c r="E42" s="305">
        <v>0.11</v>
      </c>
      <c r="F42" s="305">
        <v>0.11</v>
      </c>
      <c r="G42" s="305">
        <v>0.11</v>
      </c>
      <c r="H42" s="305">
        <v>0.11</v>
      </c>
      <c r="I42" s="305">
        <v>0.11</v>
      </c>
      <c r="J42" s="305">
        <v>0.11</v>
      </c>
      <c r="K42" s="305">
        <v>0.11</v>
      </c>
    </row>
    <row r="43" spans="1:11" s="74" customFormat="1" ht="13.8" x14ac:dyDescent="0.3">
      <c r="A43" s="74" t="s">
        <v>736</v>
      </c>
      <c r="D43" s="306"/>
      <c r="E43" s="306"/>
      <c r="F43" s="306"/>
      <c r="G43" s="306"/>
      <c r="H43" s="306"/>
      <c r="I43" s="306"/>
      <c r="J43" s="306"/>
      <c r="K43" s="306"/>
    </row>
    <row r="44" spans="1:11" s="74" customFormat="1" ht="13.8" x14ac:dyDescent="0.3">
      <c r="A44" s="74" t="s">
        <v>427</v>
      </c>
      <c r="B44" s="74" t="s">
        <v>738</v>
      </c>
      <c r="D44" s="307">
        <v>75</v>
      </c>
      <c r="E44" s="307"/>
      <c r="F44" s="307"/>
      <c r="G44" s="307"/>
      <c r="H44" s="307"/>
      <c r="I44" s="307"/>
      <c r="J44" s="307"/>
      <c r="K44" s="307"/>
    </row>
    <row r="45" spans="1:11" s="74" customFormat="1" ht="13.8" x14ac:dyDescent="0.3">
      <c r="A45" s="74" t="s">
        <v>737</v>
      </c>
      <c r="B45" s="74" t="s">
        <v>738</v>
      </c>
      <c r="D45" s="307">
        <v>5</v>
      </c>
      <c r="E45" s="307">
        <v>50</v>
      </c>
      <c r="F45" s="307">
        <v>20</v>
      </c>
      <c r="G45" s="307" t="s">
        <v>739</v>
      </c>
      <c r="H45" s="307" t="s">
        <v>739</v>
      </c>
      <c r="I45" s="307" t="s">
        <v>739</v>
      </c>
      <c r="J45" s="307" t="s">
        <v>739</v>
      </c>
      <c r="K45" s="307" t="s">
        <v>739</v>
      </c>
    </row>
    <row r="46" spans="1:11" s="74" customFormat="1" ht="13.8" x14ac:dyDescent="0.3">
      <c r="A46" s="74" t="s">
        <v>180</v>
      </c>
      <c r="B46" s="74" t="s">
        <v>738</v>
      </c>
      <c r="D46" s="307" t="s">
        <v>739</v>
      </c>
      <c r="E46" s="307" t="s">
        <v>739</v>
      </c>
      <c r="F46" s="307">
        <v>6</v>
      </c>
      <c r="G46" s="307">
        <v>12</v>
      </c>
      <c r="H46" s="307">
        <v>14</v>
      </c>
      <c r="I46" s="307">
        <v>16</v>
      </c>
      <c r="J46" s="307">
        <v>18</v>
      </c>
      <c r="K46" s="307">
        <v>9</v>
      </c>
    </row>
    <row r="47" spans="1:11" s="74" customFormat="1" ht="13.8" x14ac:dyDescent="0.3"/>
    <row r="48" spans="1:11" s="74" customFormat="1" ht="13.8" x14ac:dyDescent="0.3">
      <c r="A48" s="100" t="s">
        <v>740</v>
      </c>
    </row>
    <row r="49" spans="1:1" s="74" customFormat="1" ht="13.8" x14ac:dyDescent="0.3">
      <c r="A49" s="74" t="s">
        <v>741</v>
      </c>
    </row>
    <row r="50" spans="1:1" s="74" customFormat="1" ht="13.8" x14ac:dyDescent="0.3">
      <c r="A50" s="74" t="s">
        <v>742</v>
      </c>
    </row>
    <row r="51" spans="1:1" s="74" customFormat="1" ht="13.8" x14ac:dyDescent="0.3">
      <c r="A51" s="74" t="s">
        <v>743</v>
      </c>
    </row>
    <row r="52" spans="1:1" s="74" customFormat="1" ht="13.8" x14ac:dyDescent="0.3"/>
    <row r="53" spans="1:1" s="74" customFormat="1" ht="13.8" x14ac:dyDescent="0.3"/>
    <row r="54" spans="1:1" s="74" customFormat="1" ht="13.8" x14ac:dyDescent="0.3"/>
    <row r="55" spans="1:1" s="74" customFormat="1" ht="13.8" x14ac:dyDescent="0.3"/>
    <row r="56" spans="1:1" s="74" customFormat="1" ht="13.8" x14ac:dyDescent="0.3"/>
    <row r="57" spans="1:1" s="74" customFormat="1" ht="13.8" x14ac:dyDescent="0.3"/>
    <row r="58" spans="1:1" s="74" customFormat="1" ht="13.8" x14ac:dyDescent="0.3"/>
    <row r="59" spans="1:1" s="74" customFormat="1" ht="13.8" x14ac:dyDescent="0.3"/>
    <row r="60" spans="1:1" s="74" customFormat="1" ht="13.8" x14ac:dyDescent="0.3"/>
    <row r="61" spans="1:1" s="74" customFormat="1" ht="13.8" x14ac:dyDescent="0.3"/>
    <row r="62" spans="1:1" s="74" customFormat="1" ht="13.8" x14ac:dyDescent="0.3"/>
    <row r="63" spans="1:1" s="74" customFormat="1" ht="13.8" x14ac:dyDescent="0.3"/>
    <row r="64" spans="1:1" s="74" customFormat="1" ht="13.8" x14ac:dyDescent="0.3"/>
    <row r="65" s="74" customFormat="1" ht="13.8" x14ac:dyDescent="0.3"/>
    <row r="66" s="74" customFormat="1" ht="13.8" x14ac:dyDescent="0.3"/>
    <row r="67" s="74" customFormat="1" ht="13.8" x14ac:dyDescent="0.3"/>
    <row r="68" s="74" customFormat="1" ht="13.8" x14ac:dyDescent="0.3"/>
    <row r="69" s="74" customFormat="1" ht="13.8" x14ac:dyDescent="0.3"/>
    <row r="70" s="74" customFormat="1" ht="13.8" x14ac:dyDescent="0.3"/>
    <row r="71" s="74" customFormat="1" ht="13.8" x14ac:dyDescent="0.3"/>
    <row r="72" s="74" customFormat="1" ht="13.8" x14ac:dyDescent="0.3"/>
    <row r="73" s="74" customFormat="1" ht="13.8" x14ac:dyDescent="0.3"/>
    <row r="74" s="74" customFormat="1" ht="13.8" x14ac:dyDescent="0.3"/>
    <row r="75" s="74" customFormat="1" ht="13.8" x14ac:dyDescent="0.3"/>
    <row r="76" s="74" customFormat="1" ht="13.8" x14ac:dyDescent="0.3"/>
    <row r="77" s="74" customFormat="1" ht="13.8" x14ac:dyDescent="0.3"/>
    <row r="78" s="74" customFormat="1" ht="13.8" x14ac:dyDescent="0.3"/>
    <row r="79" s="74" customFormat="1" ht="13.8" x14ac:dyDescent="0.3"/>
    <row r="80" s="74" customFormat="1" ht="13.8" x14ac:dyDescent="0.3"/>
    <row r="81" s="74" customFormat="1" ht="13.8" x14ac:dyDescent="0.3"/>
    <row r="82" s="74" customFormat="1" ht="13.8" x14ac:dyDescent="0.3"/>
    <row r="83" s="74" customFormat="1" ht="13.8" x14ac:dyDescent="0.3"/>
    <row r="84" s="74" customFormat="1" ht="13.8" x14ac:dyDescent="0.3"/>
    <row r="85" s="74" customFormat="1" ht="13.8" x14ac:dyDescent="0.3"/>
    <row r="86" s="74" customFormat="1" ht="13.8" x14ac:dyDescent="0.3"/>
    <row r="87" s="74" customFormat="1" ht="13.8" x14ac:dyDescent="0.3"/>
    <row r="88" s="74" customFormat="1" ht="13.8" x14ac:dyDescent="0.3"/>
    <row r="89" s="74" customFormat="1" ht="13.8" x14ac:dyDescent="0.3"/>
    <row r="90" s="74" customFormat="1" ht="13.8" x14ac:dyDescent="0.3"/>
    <row r="91" s="74" customFormat="1" ht="13.8" x14ac:dyDescent="0.3"/>
    <row r="92" s="74" customFormat="1" ht="13.8" x14ac:dyDescent="0.3"/>
    <row r="93" s="74" customFormat="1" ht="13.8" x14ac:dyDescent="0.3"/>
    <row r="94" s="74" customFormat="1" ht="13.8" x14ac:dyDescent="0.3"/>
    <row r="95" s="74" customFormat="1" ht="13.8" x14ac:dyDescent="0.3"/>
    <row r="96" s="74" customFormat="1" ht="13.8" x14ac:dyDescent="0.3"/>
    <row r="97" s="74" customFormat="1" ht="13.8" x14ac:dyDescent="0.3"/>
    <row r="98" s="74" customFormat="1" ht="13.8" x14ac:dyDescent="0.3"/>
    <row r="99" s="74" customFormat="1" ht="13.8" x14ac:dyDescent="0.3"/>
    <row r="100" s="74" customFormat="1" ht="13.8" x14ac:dyDescent="0.3"/>
    <row r="101" s="74" customFormat="1" ht="13.8" x14ac:dyDescent="0.3"/>
    <row r="102" s="74" customFormat="1" ht="13.8" x14ac:dyDescent="0.3"/>
    <row r="103" s="74" customFormat="1" ht="13.8" x14ac:dyDescent="0.3"/>
    <row r="104" s="74" customFormat="1" ht="13.8" x14ac:dyDescent="0.3"/>
    <row r="105" s="74" customFormat="1" ht="13.8" x14ac:dyDescent="0.3"/>
    <row r="106" s="74" customFormat="1" ht="13.8" x14ac:dyDescent="0.3"/>
    <row r="107" s="74" customFormat="1" ht="13.8" x14ac:dyDescent="0.3"/>
    <row r="108" s="74" customFormat="1" ht="13.8" x14ac:dyDescent="0.3"/>
    <row r="109" s="74" customFormat="1" ht="13.8" x14ac:dyDescent="0.3"/>
    <row r="110" s="74" customFormat="1" ht="13.8" x14ac:dyDescent="0.3"/>
    <row r="111" s="74" customFormat="1" ht="13.8" x14ac:dyDescent="0.3"/>
    <row r="112" s="74" customFormat="1" ht="13.8" x14ac:dyDescent="0.3"/>
    <row r="113" s="74" customFormat="1" ht="13.8" x14ac:dyDescent="0.3"/>
    <row r="114" s="74" customFormat="1" ht="13.8" x14ac:dyDescent="0.3"/>
    <row r="115" s="74" customFormat="1" ht="13.8" x14ac:dyDescent="0.3"/>
    <row r="116" s="74" customFormat="1" ht="13.8" x14ac:dyDescent="0.3"/>
    <row r="117" s="74" customFormat="1" ht="13.8" x14ac:dyDescent="0.3"/>
    <row r="118" s="74" customFormat="1" ht="13.8" x14ac:dyDescent="0.3"/>
    <row r="119" s="74" customFormat="1" ht="13.8" x14ac:dyDescent="0.3"/>
    <row r="120" s="74" customFormat="1" ht="13.8" x14ac:dyDescent="0.3"/>
    <row r="121" s="74" customFormat="1" ht="13.8" x14ac:dyDescent="0.3"/>
    <row r="122" s="74" customFormat="1" ht="13.8" x14ac:dyDescent="0.3"/>
    <row r="123" s="74" customFormat="1" ht="13.8" x14ac:dyDescent="0.3"/>
    <row r="124" s="74" customFormat="1" ht="13.8" x14ac:dyDescent="0.3"/>
    <row r="125" s="74" customFormat="1" ht="13.8" x14ac:dyDescent="0.3"/>
    <row r="126" s="74" customFormat="1" ht="13.8" x14ac:dyDescent="0.3"/>
    <row r="127" s="74" customFormat="1" ht="13.8" x14ac:dyDescent="0.3"/>
    <row r="128" s="74" customFormat="1" ht="13.8" x14ac:dyDescent="0.3"/>
    <row r="129" s="74" customFormat="1" ht="13.8" x14ac:dyDescent="0.3"/>
    <row r="130" s="74" customFormat="1" ht="13.8" x14ac:dyDescent="0.3"/>
    <row r="131" s="74" customFormat="1" ht="13.8" x14ac:dyDescent="0.3"/>
    <row r="132" s="74" customFormat="1" ht="13.8" x14ac:dyDescent="0.3"/>
    <row r="133" s="74" customFormat="1" ht="13.8" x14ac:dyDescent="0.3"/>
    <row r="134" s="74" customFormat="1" ht="13.8" x14ac:dyDescent="0.3"/>
    <row r="135" s="74" customFormat="1" ht="13.8" x14ac:dyDescent="0.3"/>
    <row r="136" s="74" customFormat="1" ht="13.8" x14ac:dyDescent="0.3"/>
    <row r="137" s="74" customFormat="1" ht="13.8" x14ac:dyDescent="0.3"/>
    <row r="138" s="74" customFormat="1" ht="13.8" x14ac:dyDescent="0.3"/>
    <row r="139" s="74" customFormat="1" ht="13.8" x14ac:dyDescent="0.3"/>
    <row r="140" s="74" customFormat="1" ht="13.8" x14ac:dyDescent="0.3"/>
    <row r="141" s="74" customFormat="1" ht="13.8" x14ac:dyDescent="0.3"/>
    <row r="142" s="74" customFormat="1" ht="13.8" x14ac:dyDescent="0.3"/>
    <row r="143" s="74" customFormat="1" ht="13.8" x14ac:dyDescent="0.3"/>
    <row r="144" s="74" customFormat="1" ht="13.8" x14ac:dyDescent="0.3"/>
    <row r="145" s="74" customFormat="1" ht="13.8" x14ac:dyDescent="0.3"/>
    <row r="146" s="74" customFormat="1" ht="13.8" x14ac:dyDescent="0.3"/>
    <row r="147" s="74" customFormat="1" ht="13.8" x14ac:dyDescent="0.3"/>
    <row r="148" s="74" customFormat="1" ht="13.8" x14ac:dyDescent="0.3"/>
    <row r="149" s="74" customFormat="1" ht="13.8" x14ac:dyDescent="0.3"/>
    <row r="150" s="74" customFormat="1" ht="13.8" x14ac:dyDescent="0.3"/>
    <row r="151" s="74" customFormat="1" ht="13.8" x14ac:dyDescent="0.3"/>
    <row r="152" s="74" customFormat="1" ht="13.8" x14ac:dyDescent="0.3"/>
    <row r="153" s="74" customFormat="1" ht="13.8" x14ac:dyDescent="0.3"/>
    <row r="154" s="74" customFormat="1" ht="13.8" x14ac:dyDescent="0.3"/>
    <row r="155" s="74" customFormat="1" ht="13.8" x14ac:dyDescent="0.3"/>
    <row r="156" s="74" customFormat="1" ht="13.8" x14ac:dyDescent="0.3"/>
    <row r="157" s="74" customFormat="1" ht="13.8" x14ac:dyDescent="0.3"/>
    <row r="158" s="74" customFormat="1" ht="13.8" x14ac:dyDescent="0.3"/>
    <row r="159" s="74" customFormat="1" ht="13.8" x14ac:dyDescent="0.3"/>
    <row r="160" s="74" customFormat="1" ht="13.8" x14ac:dyDescent="0.3"/>
    <row r="161" s="74" customFormat="1" ht="13.8" x14ac:dyDescent="0.3"/>
    <row r="162" s="74" customFormat="1" ht="13.8" x14ac:dyDescent="0.3"/>
    <row r="163" s="74" customFormat="1" ht="13.8" x14ac:dyDescent="0.3"/>
    <row r="164" s="74" customFormat="1" ht="13.8" x14ac:dyDescent="0.3"/>
    <row r="165" s="74" customFormat="1" ht="13.8" x14ac:dyDescent="0.3"/>
    <row r="166" s="74" customFormat="1" ht="13.8" x14ac:dyDescent="0.3"/>
    <row r="167" s="74" customFormat="1" ht="13.8" x14ac:dyDescent="0.3"/>
    <row r="168" s="74" customFormat="1" ht="13.8" x14ac:dyDescent="0.3"/>
    <row r="169" s="74" customFormat="1" ht="13.8" x14ac:dyDescent="0.3"/>
    <row r="170" s="74" customFormat="1" ht="13.8" x14ac:dyDescent="0.3"/>
    <row r="171" s="74" customFormat="1" ht="13.8" x14ac:dyDescent="0.3"/>
    <row r="172" s="74" customFormat="1" ht="13.8" x14ac:dyDescent="0.3"/>
    <row r="173" s="74" customFormat="1" ht="13.8" x14ac:dyDescent="0.3"/>
    <row r="174" s="74" customFormat="1" ht="13.8" x14ac:dyDescent="0.3"/>
    <row r="175" s="74" customFormat="1" ht="13.8" x14ac:dyDescent="0.3"/>
    <row r="176" s="74" customFormat="1" ht="13.8" x14ac:dyDescent="0.3"/>
    <row r="177" s="74" customFormat="1" ht="13.8" x14ac:dyDescent="0.3"/>
    <row r="178" s="74" customFormat="1" ht="13.8" x14ac:dyDescent="0.3"/>
    <row r="179" s="74" customFormat="1" ht="13.8" x14ac:dyDescent="0.3"/>
    <row r="180" s="74" customFormat="1" ht="13.8" x14ac:dyDescent="0.3"/>
    <row r="181" s="74" customFormat="1" ht="13.8" x14ac:dyDescent="0.3"/>
    <row r="182" s="74" customFormat="1" ht="13.8" x14ac:dyDescent="0.3"/>
    <row r="183" s="74" customFormat="1" ht="13.8" x14ac:dyDescent="0.3"/>
    <row r="184" s="74" customFormat="1" ht="13.8" x14ac:dyDescent="0.3"/>
    <row r="185" s="74" customFormat="1" ht="13.8" x14ac:dyDescent="0.3"/>
    <row r="186" s="74" customFormat="1" ht="13.8" x14ac:dyDescent="0.3"/>
    <row r="187" s="74" customFormat="1" ht="13.8" x14ac:dyDescent="0.3"/>
    <row r="188" s="74" customFormat="1" ht="13.8" x14ac:dyDescent="0.3"/>
    <row r="189" s="74" customFormat="1" ht="13.8" x14ac:dyDescent="0.3"/>
    <row r="190" s="74" customFormat="1" ht="13.8" x14ac:dyDescent="0.3"/>
    <row r="191" s="74" customFormat="1" ht="13.8" x14ac:dyDescent="0.3"/>
    <row r="192" s="74" customFormat="1" ht="13.8" x14ac:dyDescent="0.3"/>
    <row r="193" s="74" customFormat="1" ht="13.8" x14ac:dyDescent="0.3"/>
    <row r="194" s="74" customFormat="1" ht="13.8" x14ac:dyDescent="0.3"/>
    <row r="195" s="74" customFormat="1" ht="13.8" x14ac:dyDescent="0.3"/>
    <row r="196" s="74" customFormat="1" ht="13.8" x14ac:dyDescent="0.3"/>
    <row r="197" s="74" customFormat="1" ht="13.8" x14ac:dyDescent="0.3"/>
  </sheetData>
  <printOptions horizontalCentered="1"/>
  <pageMargins left="0.4" right="0.4" top="0.75" bottom="0.5" header="0.3" footer="0.3"/>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5"/>
  <sheetViews>
    <sheetView workbookViewId="0">
      <selection activeCell="A23" sqref="A23"/>
    </sheetView>
  </sheetViews>
  <sheetFormatPr defaultRowHeight="14.4" x14ac:dyDescent="0.3"/>
  <cols>
    <col min="1" max="1" width="41.33203125" customWidth="1"/>
    <col min="3" max="3" width="8.88671875" customWidth="1"/>
  </cols>
  <sheetData>
    <row r="1" spans="1:15" ht="21" x14ac:dyDescent="0.4">
      <c r="A1" s="492" t="s">
        <v>415</v>
      </c>
      <c r="B1" s="492"/>
      <c r="C1" s="492"/>
      <c r="D1" s="492"/>
      <c r="E1" s="492"/>
      <c r="F1" s="492"/>
      <c r="G1" s="492"/>
      <c r="H1" s="492"/>
      <c r="I1" s="492"/>
      <c r="J1" s="492"/>
      <c r="K1" s="492"/>
      <c r="L1" s="492"/>
      <c r="M1" s="492"/>
      <c r="N1" s="492"/>
      <c r="O1" s="492"/>
    </row>
    <row r="2" spans="1:15" ht="15.6" x14ac:dyDescent="0.3">
      <c r="A2" s="493" t="s">
        <v>529</v>
      </c>
      <c r="B2" s="493"/>
      <c r="C2" s="493"/>
      <c r="D2" s="493"/>
      <c r="E2" s="493"/>
      <c r="F2" s="493"/>
      <c r="G2" s="494"/>
      <c r="H2" s="494"/>
      <c r="I2" s="494"/>
      <c r="J2" s="494"/>
      <c r="K2" s="494"/>
      <c r="L2" s="494"/>
      <c r="M2" s="494"/>
      <c r="N2" s="494"/>
      <c r="O2" s="494"/>
    </row>
    <row r="3" spans="1:15" x14ac:dyDescent="0.3">
      <c r="A3" s="495" t="s">
        <v>417</v>
      </c>
      <c r="B3" s="495"/>
      <c r="C3" s="495"/>
      <c r="D3" s="495"/>
      <c r="E3" s="495"/>
      <c r="F3" s="495"/>
      <c r="G3" s="496"/>
      <c r="H3" s="496"/>
      <c r="I3" s="496"/>
      <c r="J3" s="496"/>
      <c r="K3" s="496"/>
      <c r="L3" s="496"/>
      <c r="M3" s="496"/>
      <c r="N3" s="496"/>
      <c r="O3" s="496"/>
    </row>
    <row r="4" spans="1:15" x14ac:dyDescent="0.3">
      <c r="A4" s="75" t="s">
        <v>525</v>
      </c>
      <c r="B4" s="75"/>
      <c r="C4" s="75"/>
      <c r="D4" s="75"/>
      <c r="E4" s="76">
        <f>DATE(2020,4,1)</f>
        <v>43922</v>
      </c>
      <c r="F4" s="76">
        <f>E5+1</f>
        <v>44287</v>
      </c>
      <c r="G4" s="76">
        <f t="shared" ref="G4:H4" si="0">F5+1</f>
        <v>44652</v>
      </c>
      <c r="H4" s="76">
        <f t="shared" si="0"/>
        <v>45017</v>
      </c>
      <c r="I4" s="76">
        <f t="shared" ref="I4:O4" si="1">H5+1</f>
        <v>45383</v>
      </c>
      <c r="J4" s="76">
        <f t="shared" si="1"/>
        <v>45748</v>
      </c>
      <c r="K4" s="76">
        <f t="shared" si="1"/>
        <v>46113</v>
      </c>
      <c r="L4" s="76">
        <f t="shared" si="1"/>
        <v>46478</v>
      </c>
      <c r="M4" s="76">
        <f t="shared" si="1"/>
        <v>46844</v>
      </c>
      <c r="N4" s="76">
        <f t="shared" si="1"/>
        <v>47209</v>
      </c>
      <c r="O4" s="76">
        <f t="shared" si="1"/>
        <v>47574</v>
      </c>
    </row>
    <row r="5" spans="1:15" x14ac:dyDescent="0.3">
      <c r="A5" s="75" t="s">
        <v>418</v>
      </c>
      <c r="B5" s="75"/>
      <c r="C5" s="75"/>
      <c r="D5" s="75"/>
      <c r="E5" s="78">
        <f>DATE((IF(MONTH(E4)&gt;3,YEAR(E4)+1,YEAR(E4))),3,31)</f>
        <v>44286</v>
      </c>
      <c r="F5" s="78">
        <f>DATE((IF(MONTH(F4)&gt;3,YEAR(F4)+1,YEAR(F4))),3,31)</f>
        <v>44651</v>
      </c>
      <c r="G5" s="78">
        <f t="shared" ref="G5:H5" si="2">DATE((IF(MONTH(G4)&gt;3,YEAR(G4)+1,YEAR(G4))),3,31)</f>
        <v>45016</v>
      </c>
      <c r="H5" s="78">
        <f t="shared" si="2"/>
        <v>45382</v>
      </c>
      <c r="I5" s="78">
        <f t="shared" ref="I5:N5" si="3">DATE((IF(MONTH(I4)&gt;3,YEAR(I4)+1,YEAR(I4))),3,31)</f>
        <v>45747</v>
      </c>
      <c r="J5" s="78">
        <f t="shared" si="3"/>
        <v>46112</v>
      </c>
      <c r="K5" s="78">
        <f t="shared" si="3"/>
        <v>46477</v>
      </c>
      <c r="L5" s="78">
        <f t="shared" si="3"/>
        <v>46843</v>
      </c>
      <c r="M5" s="78">
        <f t="shared" si="3"/>
        <v>47208</v>
      </c>
      <c r="N5" s="78">
        <f t="shared" si="3"/>
        <v>47573</v>
      </c>
      <c r="O5" s="78">
        <f t="shared" ref="O5" si="4">DATE((IF(MONTH(O4)&gt;3,YEAR(O4)+1,YEAR(O4))),3,31)</f>
        <v>47938</v>
      </c>
    </row>
    <row r="6" spans="1:15" x14ac:dyDescent="0.3">
      <c r="A6" s="75" t="s">
        <v>420</v>
      </c>
      <c r="B6" s="75"/>
      <c r="C6" s="75"/>
      <c r="D6" s="75"/>
      <c r="E6" s="79">
        <f>E5-E4+1</f>
        <v>365</v>
      </c>
      <c r="F6" s="79">
        <f>F5-F4+1</f>
        <v>365</v>
      </c>
      <c r="G6" s="79">
        <f t="shared" ref="G6:H6" si="5">G5-G4+1</f>
        <v>365</v>
      </c>
      <c r="H6" s="79">
        <f t="shared" si="5"/>
        <v>366</v>
      </c>
      <c r="I6" s="79">
        <f t="shared" ref="I6:N6" si="6">I5-I4+1</f>
        <v>365</v>
      </c>
      <c r="J6" s="79">
        <f t="shared" si="6"/>
        <v>365</v>
      </c>
      <c r="K6" s="79">
        <f t="shared" si="6"/>
        <v>365</v>
      </c>
      <c r="L6" s="79">
        <f t="shared" si="6"/>
        <v>366</v>
      </c>
      <c r="M6" s="79">
        <f t="shared" si="6"/>
        <v>365</v>
      </c>
      <c r="N6" s="79">
        <f t="shared" si="6"/>
        <v>365</v>
      </c>
      <c r="O6" s="79">
        <f t="shared" ref="O6" si="7">O5-O4+1</f>
        <v>365</v>
      </c>
    </row>
    <row r="8" spans="1:15" x14ac:dyDescent="0.3">
      <c r="A8" s="304" t="s">
        <v>816</v>
      </c>
      <c r="B8" s="13"/>
      <c r="C8" s="13"/>
      <c r="D8" s="13"/>
      <c r="E8" s="13"/>
      <c r="F8" s="13"/>
    </row>
    <row r="9" spans="1:15" x14ac:dyDescent="0.3">
      <c r="A9" s="14" t="s">
        <v>36</v>
      </c>
      <c r="B9" s="227" t="s">
        <v>428</v>
      </c>
      <c r="C9" s="15"/>
      <c r="D9" s="228">
        <f>BS!D22</f>
        <v>20.229600000000001</v>
      </c>
      <c r="E9" s="228">
        <f>BS!E22</f>
        <v>14.714</v>
      </c>
      <c r="F9" s="228">
        <f>BS!F22</f>
        <v>25.118200000000002</v>
      </c>
      <c r="G9" s="228">
        <f>BS!G22</f>
        <v>17.9053</v>
      </c>
      <c r="H9" s="207">
        <f t="shared" ref="H9:N9" si="8">H10/365*H11</f>
        <v>27.588874589903511</v>
      </c>
      <c r="I9" s="207">
        <f t="shared" si="8"/>
        <v>40.344712827770032</v>
      </c>
      <c r="J9" s="207">
        <f t="shared" si="8"/>
        <v>57.854657496869578</v>
      </c>
      <c r="K9" s="207">
        <f t="shared" si="8"/>
        <v>113.48701097767909</v>
      </c>
      <c r="L9" s="207">
        <f t="shared" si="8"/>
        <v>126.57970169389193</v>
      </c>
      <c r="M9" s="207">
        <f t="shared" si="8"/>
        <v>133.68827424609043</v>
      </c>
      <c r="N9" s="207">
        <f t="shared" si="8"/>
        <v>141.20041970596353</v>
      </c>
      <c r="O9" s="207">
        <f t="shared" ref="O9" si="9">O10/365*O11</f>
        <v>149.13926539506352</v>
      </c>
    </row>
    <row r="10" spans="1:15" x14ac:dyDescent="0.3">
      <c r="A10" s="14" t="s">
        <v>147</v>
      </c>
      <c r="B10" s="227" t="s">
        <v>428</v>
      </c>
      <c r="C10" s="15"/>
      <c r="D10" s="228"/>
      <c r="E10" s="228">
        <f>'P&amp;L'!E11</f>
        <v>90.424999999999997</v>
      </c>
      <c r="F10" s="228">
        <f>'P&amp;L'!F11</f>
        <v>114.1917</v>
      </c>
      <c r="G10" s="228">
        <f>'P&amp;L'!G11</f>
        <v>148.12969999999999</v>
      </c>
      <c r="H10" s="207">
        <f>'P&amp;L'!I11</f>
        <v>161.38550000000001</v>
      </c>
      <c r="I10" s="207">
        <f>'P&amp;L'!J11</f>
        <v>236.00280000000001</v>
      </c>
      <c r="J10" s="207">
        <f>'P&amp;L'!K11</f>
        <v>338.43</v>
      </c>
      <c r="K10" s="207">
        <f>'P&amp;L'!L11</f>
        <v>663.86027999999999</v>
      </c>
      <c r="L10" s="207">
        <f>'P&amp;L'!M11</f>
        <v>740.44805202730254</v>
      </c>
      <c r="M10" s="207">
        <f>'P&amp;L'!N11</f>
        <v>782.03077523278876</v>
      </c>
      <c r="N10" s="207">
        <f>'P&amp;L'!O11</f>
        <v>825.97426220481702</v>
      </c>
      <c r="O10" s="207">
        <f>'P&amp;L'!P11</f>
        <v>872.41379988088897</v>
      </c>
    </row>
    <row r="11" spans="1:15" x14ac:dyDescent="0.3">
      <c r="A11" s="14" t="s">
        <v>543</v>
      </c>
      <c r="B11" s="227" t="s">
        <v>61</v>
      </c>
      <c r="C11" s="16"/>
      <c r="D11" s="228"/>
      <c r="E11" s="230">
        <f>(AVERAGE(D9:E9)/E10)*E6</f>
        <v>70.524821675421634</v>
      </c>
      <c r="F11" s="230">
        <f>(AVERAGE(E9:F9)/F10)*F6</f>
        <v>63.659412198960176</v>
      </c>
      <c r="G11" s="230">
        <f>(AVERAGE(F9:G9)/G10)*G6</f>
        <v>53.006174656399097</v>
      </c>
      <c r="H11" s="231">
        <f>AVERAGE($E$11:$G$11)</f>
        <v>62.39680284359364</v>
      </c>
      <c r="I11" s="232">
        <f>H11</f>
        <v>62.39680284359364</v>
      </c>
      <c r="J11" s="232">
        <f t="shared" ref="J11:O11" si="10">I11</f>
        <v>62.39680284359364</v>
      </c>
      <c r="K11" s="232">
        <f t="shared" si="10"/>
        <v>62.39680284359364</v>
      </c>
      <c r="L11" s="232">
        <f t="shared" si="10"/>
        <v>62.39680284359364</v>
      </c>
      <c r="M11" s="232">
        <f t="shared" si="10"/>
        <v>62.39680284359364</v>
      </c>
      <c r="N11" s="232">
        <f t="shared" si="10"/>
        <v>62.39680284359364</v>
      </c>
      <c r="O11" s="232">
        <f t="shared" si="10"/>
        <v>62.39680284359364</v>
      </c>
    </row>
    <row r="12" spans="1:15" x14ac:dyDescent="0.3">
      <c r="A12" s="13"/>
      <c r="B12" s="17"/>
      <c r="C12" s="18"/>
      <c r="D12" s="229"/>
      <c r="E12" s="229"/>
      <c r="F12" s="229"/>
      <c r="G12" s="68"/>
      <c r="H12" s="68"/>
      <c r="I12" s="68"/>
      <c r="J12" s="68"/>
      <c r="K12" s="68"/>
      <c r="L12" s="68"/>
      <c r="M12" s="68"/>
      <c r="N12" s="68"/>
      <c r="O12" s="68"/>
    </row>
    <row r="13" spans="1:15" x14ac:dyDescent="0.3">
      <c r="A13" s="304" t="s">
        <v>546</v>
      </c>
      <c r="B13" s="13"/>
      <c r="C13" s="13"/>
      <c r="D13" s="229"/>
      <c r="E13" s="229"/>
      <c r="F13" s="229"/>
      <c r="G13" s="68"/>
      <c r="H13" s="68"/>
      <c r="I13" s="68"/>
      <c r="J13" s="68"/>
      <c r="K13" s="68"/>
      <c r="L13" s="68"/>
      <c r="M13" s="68"/>
      <c r="N13" s="68"/>
      <c r="O13" s="68"/>
    </row>
    <row r="14" spans="1:15" x14ac:dyDescent="0.3">
      <c r="A14" s="14" t="s">
        <v>35</v>
      </c>
      <c r="B14" s="227" t="s">
        <v>428</v>
      </c>
      <c r="C14" s="15"/>
      <c r="D14" s="228">
        <f>BS!D21</f>
        <v>6.0293000000000001</v>
      </c>
      <c r="E14" s="228">
        <f>BS!E21</f>
        <v>6.0490999999999993</v>
      </c>
      <c r="F14" s="228">
        <f>BS!F21</f>
        <v>11.6098</v>
      </c>
      <c r="G14" s="228">
        <f>BS!G21</f>
        <v>14.618899999999998</v>
      </c>
      <c r="H14" s="207">
        <f t="shared" ref="H14:N14" si="11">H15/365*H16</f>
        <v>10.679820203545537</v>
      </c>
      <c r="I14" s="207">
        <f t="shared" si="11"/>
        <v>17.8268446553835</v>
      </c>
      <c r="J14" s="207">
        <f t="shared" si="11"/>
        <v>25.563845160826215</v>
      </c>
      <c r="K14" s="207">
        <f t="shared" si="11"/>
        <v>50.145735916859437</v>
      </c>
      <c r="L14" s="207">
        <f t="shared" si="11"/>
        <v>55.930914374202523</v>
      </c>
      <c r="M14" s="207">
        <f t="shared" si="11"/>
        <v>59.071931120325928</v>
      </c>
      <c r="N14" s="207">
        <f t="shared" si="11"/>
        <v>62.391271890292288</v>
      </c>
      <c r="O14" s="207">
        <f t="shared" ref="O14" si="12">O15/365*O16</f>
        <v>65.899155796835615</v>
      </c>
    </row>
    <row r="15" spans="1:15" x14ac:dyDescent="0.3">
      <c r="A15" s="14" t="s">
        <v>62</v>
      </c>
      <c r="B15" s="227" t="s">
        <v>428</v>
      </c>
      <c r="C15" s="16"/>
      <c r="D15" s="228"/>
      <c r="E15" s="207">
        <f>'P&amp;L'!E20</f>
        <v>15.752800000000001</v>
      </c>
      <c r="F15" s="207">
        <f>'P&amp;L'!F20</f>
        <v>21.746400000000001</v>
      </c>
      <c r="G15" s="207">
        <f>'P&amp;L'!G20</f>
        <v>29.730399999999999</v>
      </c>
      <c r="H15" s="207">
        <f>'P&amp;L'!I20</f>
        <v>26.037733333333335</v>
      </c>
      <c r="I15" s="207">
        <f>'P&amp;L'!J20</f>
        <v>43.462400907979386</v>
      </c>
      <c r="J15" s="207">
        <f>'P&amp;L'!K20</f>
        <v>62.325448423863882</v>
      </c>
      <c r="K15" s="207">
        <f>'P&amp;L'!L20</f>
        <v>122.25686151284413</v>
      </c>
      <c r="L15" s="207">
        <f>'P&amp;L'!M20</f>
        <v>136.36130625883678</v>
      </c>
      <c r="M15" s="207">
        <f>'P&amp;L'!N20</f>
        <v>144.01920263465257</v>
      </c>
      <c r="N15" s="207">
        <f>'P&amp;L'!O20</f>
        <v>152.11185851870505</v>
      </c>
      <c r="O15" s="207">
        <f>'P&amp;L'!P20</f>
        <v>160.66418842520892</v>
      </c>
    </row>
    <row r="16" spans="1:15" x14ac:dyDescent="0.3">
      <c r="A16" s="14" t="s">
        <v>502</v>
      </c>
      <c r="B16" s="227" t="s">
        <v>61</v>
      </c>
      <c r="C16" s="16"/>
      <c r="D16" s="228"/>
      <c r="E16" s="230">
        <f>(AVERAGE(D14:E14)/E15)*E6</f>
        <v>139.93118683662584</v>
      </c>
      <c r="F16" s="230">
        <f>(AVERAGE(E14:F14)/F15)*F6</f>
        <v>148.19690845381302</v>
      </c>
      <c r="G16" s="230">
        <f>(AVERAGE(F14:G14)/G15)*G6</f>
        <v>161.00482166402065</v>
      </c>
      <c r="H16" s="231">
        <f>AVERAGE($E$16:$G$16)</f>
        <v>149.71097231815318</v>
      </c>
      <c r="I16" s="232">
        <f>H16</f>
        <v>149.71097231815318</v>
      </c>
      <c r="J16" s="232">
        <f t="shared" ref="J16:O16" si="13">I16</f>
        <v>149.71097231815318</v>
      </c>
      <c r="K16" s="232">
        <f t="shared" si="13"/>
        <v>149.71097231815318</v>
      </c>
      <c r="L16" s="232">
        <f t="shared" si="13"/>
        <v>149.71097231815318</v>
      </c>
      <c r="M16" s="232">
        <f t="shared" si="13"/>
        <v>149.71097231815318</v>
      </c>
      <c r="N16" s="232">
        <f t="shared" si="13"/>
        <v>149.71097231815318</v>
      </c>
      <c r="O16" s="232">
        <f t="shared" si="13"/>
        <v>149.71097231815318</v>
      </c>
    </row>
    <row r="17" spans="1:15" x14ac:dyDescent="0.3">
      <c r="A17" s="13"/>
      <c r="B17" s="17"/>
      <c r="C17" s="18"/>
      <c r="D17" s="229"/>
      <c r="E17" s="229"/>
      <c r="F17" s="229"/>
      <c r="G17" s="68"/>
      <c r="H17" s="68"/>
      <c r="I17" s="68"/>
      <c r="J17" s="68"/>
      <c r="K17" s="68"/>
      <c r="L17" s="68"/>
      <c r="M17" s="68"/>
      <c r="N17" s="68"/>
      <c r="O17" s="68"/>
    </row>
    <row r="18" spans="1:15" x14ac:dyDescent="0.3">
      <c r="A18" s="304" t="s">
        <v>547</v>
      </c>
      <c r="B18" s="13"/>
      <c r="C18" s="13"/>
      <c r="D18" s="229"/>
      <c r="E18" s="229"/>
      <c r="F18" s="229"/>
      <c r="G18" s="68"/>
      <c r="H18" s="68"/>
      <c r="I18" s="68"/>
      <c r="J18" s="68"/>
      <c r="K18" s="68"/>
      <c r="L18" s="68"/>
      <c r="M18" s="68"/>
      <c r="N18" s="68"/>
      <c r="O18" s="68"/>
    </row>
    <row r="19" spans="1:15" x14ac:dyDescent="0.3">
      <c r="A19" s="14" t="s">
        <v>47</v>
      </c>
      <c r="B19" s="227" t="s">
        <v>428</v>
      </c>
      <c r="C19" s="15"/>
      <c r="D19" s="228">
        <f>BS!D50+BS!D51</f>
        <v>7.4478999999999997</v>
      </c>
      <c r="E19" s="228">
        <f>BS!E50+BS!E51</f>
        <v>3.5375000000000001</v>
      </c>
      <c r="F19" s="228">
        <f>BS!F50+BS!F51</f>
        <v>6.6182000000000007</v>
      </c>
      <c r="G19" s="228">
        <f>BS!G50+BS!G51</f>
        <v>9.5444999999999993</v>
      </c>
      <c r="H19" s="207">
        <f t="shared" ref="H19:N19" si="14">H20/365*H21</f>
        <v>12.227972260997205</v>
      </c>
      <c r="I19" s="207">
        <f t="shared" si="14"/>
        <v>16.329030192113077</v>
      </c>
      <c r="J19" s="207">
        <f t="shared" si="14"/>
        <v>22.605509463230877</v>
      </c>
      <c r="K19" s="207">
        <f t="shared" si="14"/>
        <v>47.377230666492679</v>
      </c>
      <c r="L19" s="207">
        <f t="shared" si="14"/>
        <v>45.863279895609111</v>
      </c>
      <c r="M19" s="207">
        <f t="shared" si="14"/>
        <v>47.480951389236381</v>
      </c>
      <c r="N19" s="207">
        <f t="shared" si="14"/>
        <v>50.149566566630142</v>
      </c>
      <c r="O19" s="207">
        <f t="shared" ref="O19" si="15">O20/365*O21</f>
        <v>52.969791827263478</v>
      </c>
    </row>
    <row r="20" spans="1:15" x14ac:dyDescent="0.3">
      <c r="A20" s="14" t="s">
        <v>545</v>
      </c>
      <c r="B20" s="227" t="s">
        <v>428</v>
      </c>
      <c r="C20" s="16"/>
      <c r="D20" s="228"/>
      <c r="E20" s="228">
        <f>'P&amp;L'!E20+'P&amp;L'!E21+'P&amp;L'!E22</f>
        <v>15.371700000000001</v>
      </c>
      <c r="F20" s="228">
        <f>'P&amp;L'!F20+'P&amp;L'!F21+'P&amp;L'!F22</f>
        <v>16.615700000000004</v>
      </c>
      <c r="G20" s="228">
        <f>'P&amp;L'!G20+'P&amp;L'!G21+'P&amp;L'!G22</f>
        <v>26.495099999999997</v>
      </c>
      <c r="H20" s="207">
        <f>'P&amp;L'!I20+'P&amp;L'!I21+'P&amp;L'!I22</f>
        <v>37.898800000000001</v>
      </c>
      <c r="I20" s="207">
        <f>'P&amp;L'!J20+'P&amp;L'!J21+'P&amp;L'!J22</f>
        <v>50.609425359817351</v>
      </c>
      <c r="J20" s="207">
        <f>'P&amp;L'!K20+'P&amp;L'!K21+'P&amp;L'!K22</f>
        <v>70.062448929306598</v>
      </c>
      <c r="K20" s="207">
        <f>'P&amp;L'!L20+'P&amp;L'!L21+'P&amp;L'!L22</f>
        <v>146.83875226887736</v>
      </c>
      <c r="L20" s="207">
        <f>'P&amp;L'!M20+'P&amp;L'!M21+'P&amp;L'!M22</f>
        <v>142.14648471617986</v>
      </c>
      <c r="M20" s="207">
        <f>'P&amp;L'!N20+'P&amp;L'!N21+'P&amp;L'!N22</f>
        <v>147.16021938077597</v>
      </c>
      <c r="N20" s="207">
        <f>'P&amp;L'!O20+'P&amp;L'!O21+'P&amp;L'!O22</f>
        <v>155.43119928867139</v>
      </c>
      <c r="O20" s="207">
        <f>'P&amp;L'!P20+'P&amp;L'!P21+'P&amp;L'!P22</f>
        <v>164.17207233175225</v>
      </c>
    </row>
    <row r="21" spans="1:15" x14ac:dyDescent="0.3">
      <c r="A21" s="14" t="s">
        <v>544</v>
      </c>
      <c r="B21" s="227" t="s">
        <v>61</v>
      </c>
      <c r="C21" s="16"/>
      <c r="D21" s="228"/>
      <c r="E21" s="230">
        <f>(AVERAGE(D19:E19)/E20)*E6</f>
        <v>130.42379827865494</v>
      </c>
      <c r="F21" s="230">
        <f>(AVERAGE(E19:F19)/F20)*F6</f>
        <v>111.54602273753136</v>
      </c>
      <c r="G21" s="230">
        <f>(AVERAGE(F19:G19)/G20)*G6</f>
        <v>111.32974587753964</v>
      </c>
      <c r="H21" s="231">
        <f>AVERAGE($E$21:$G$21)</f>
        <v>117.76652229790864</v>
      </c>
      <c r="I21" s="232">
        <f>H21</f>
        <v>117.76652229790864</v>
      </c>
      <c r="J21" s="232">
        <f t="shared" ref="J21:O21" si="16">I21</f>
        <v>117.76652229790864</v>
      </c>
      <c r="K21" s="232">
        <f t="shared" si="16"/>
        <v>117.76652229790864</v>
      </c>
      <c r="L21" s="232">
        <f t="shared" si="16"/>
        <v>117.76652229790864</v>
      </c>
      <c r="M21" s="232">
        <f t="shared" si="16"/>
        <v>117.76652229790864</v>
      </c>
      <c r="N21" s="232">
        <f t="shared" si="16"/>
        <v>117.76652229790864</v>
      </c>
      <c r="O21" s="232">
        <f t="shared" si="16"/>
        <v>117.76652229790864</v>
      </c>
    </row>
    <row r="22" spans="1:15" x14ac:dyDescent="0.3">
      <c r="A22" s="12"/>
      <c r="B22" s="12"/>
      <c r="C22" s="12"/>
      <c r="D22" s="12"/>
      <c r="E22" s="12"/>
      <c r="F22" s="12"/>
      <c r="G22" s="20"/>
    </row>
    <row r="23" spans="1:15" x14ac:dyDescent="0.3">
      <c r="A23" s="13" t="s">
        <v>871</v>
      </c>
      <c r="E23" s="68">
        <f>E11+E16-E21</f>
        <v>80.032210233392533</v>
      </c>
      <c r="F23" s="68">
        <f t="shared" ref="F23:O23" si="17">F11+F16-F21</f>
        <v>100.31029791524185</v>
      </c>
      <c r="G23" s="68">
        <f t="shared" si="17"/>
        <v>102.6812504428801</v>
      </c>
      <c r="H23" s="68">
        <f t="shared" si="17"/>
        <v>94.341252863838179</v>
      </c>
      <c r="I23" s="68">
        <f t="shared" si="17"/>
        <v>94.341252863838179</v>
      </c>
      <c r="J23" s="68">
        <f t="shared" si="17"/>
        <v>94.341252863838179</v>
      </c>
      <c r="K23" s="68">
        <f t="shared" si="17"/>
        <v>94.341252863838179</v>
      </c>
      <c r="L23" s="68">
        <f t="shared" si="17"/>
        <v>94.341252863838179</v>
      </c>
      <c r="M23" s="68">
        <f t="shared" si="17"/>
        <v>94.341252863838179</v>
      </c>
      <c r="N23" s="68">
        <f t="shared" si="17"/>
        <v>94.341252863838179</v>
      </c>
      <c r="O23" s="68">
        <f t="shared" si="17"/>
        <v>94.341252863838179</v>
      </c>
    </row>
    <row r="24" spans="1:15" x14ac:dyDescent="0.3">
      <c r="A24" s="13" t="s">
        <v>872</v>
      </c>
      <c r="H24" s="24"/>
      <c r="I24" s="24"/>
      <c r="J24" s="24"/>
      <c r="K24" s="24"/>
      <c r="L24" s="24"/>
      <c r="M24" s="24"/>
      <c r="N24" s="24"/>
      <c r="O24" s="24"/>
    </row>
    <row r="25" spans="1:15" x14ac:dyDescent="0.3">
      <c r="F25" s="24">
        <f>F23-E23</f>
        <v>20.278087681849314</v>
      </c>
      <c r="G25" s="24">
        <f t="shared" ref="G25:O25" si="18">G23-F23</f>
        <v>2.3709525276382521</v>
      </c>
      <c r="H25" s="24">
        <f t="shared" si="18"/>
        <v>-8.3399975790419205</v>
      </c>
      <c r="I25" s="24">
        <f t="shared" si="18"/>
        <v>0</v>
      </c>
      <c r="J25" s="24">
        <f t="shared" si="18"/>
        <v>0</v>
      </c>
      <c r="K25" s="24">
        <f t="shared" si="18"/>
        <v>0</v>
      </c>
      <c r="L25" s="24">
        <f t="shared" si="18"/>
        <v>0</v>
      </c>
      <c r="M25" s="24">
        <f t="shared" si="18"/>
        <v>0</v>
      </c>
      <c r="N25" s="24">
        <f t="shared" si="18"/>
        <v>0</v>
      </c>
      <c r="O25" s="24">
        <f t="shared" si="18"/>
        <v>0</v>
      </c>
    </row>
  </sheetData>
  <pageMargins left="0.4" right="0.4" top="0.75" bottom="0.5"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7</vt:i4>
      </vt:variant>
    </vt:vector>
  </HeadingPairs>
  <TitlesOfParts>
    <vt:vector size="31" baseType="lpstr">
      <vt:lpstr>Assumptions</vt:lpstr>
      <vt:lpstr>Capex Assumption</vt:lpstr>
      <vt:lpstr>NEW FERMENTOR (50KL) (2)</vt:lpstr>
      <vt:lpstr>Est Prod, Sales</vt:lpstr>
      <vt:lpstr>P&amp;L</vt:lpstr>
      <vt:lpstr>BS</vt:lpstr>
      <vt:lpstr>CFS</vt:lpstr>
      <vt:lpstr>Debt Sch</vt:lpstr>
      <vt:lpstr>WC</vt:lpstr>
      <vt:lpstr>Historical Ratio Analysis</vt:lpstr>
      <vt:lpstr>Forecasted Ratio Analysis</vt:lpstr>
      <vt:lpstr>Other Ratios</vt:lpstr>
      <vt:lpstr>BEP, Sensitivity </vt:lpstr>
      <vt:lpstr>NPV</vt:lpstr>
      <vt:lpstr>12% Debt Sch</vt:lpstr>
      <vt:lpstr>Costs</vt:lpstr>
      <vt:lpstr>Sheet1</vt:lpstr>
      <vt:lpstr>NEW FERMENTOR (50KL)</vt:lpstr>
      <vt:lpstr>Project Cost</vt:lpstr>
      <vt:lpstr>New Capacity</vt:lpstr>
      <vt:lpstr>Impact from add cap</vt:lpstr>
      <vt:lpstr>Current &amp; Proj.sales</vt:lpstr>
      <vt:lpstr>Last 3y prod,sales</vt:lpstr>
      <vt:lpstr>Fermentation Block work status</vt:lpstr>
      <vt:lpstr>Inflation</vt:lpstr>
      <vt:lpstr>Assumptions!Print_Area</vt:lpstr>
      <vt:lpstr>'Forecasted Ratio Analysis'!Print_Area</vt:lpstr>
      <vt:lpstr>'Historical Ratio Analysis'!Print_Area</vt:lpstr>
      <vt:lpstr>'P&amp;L'!Print_Area</vt:lpstr>
      <vt:lpstr>'Other Ratios'!Print_Titles</vt:lpstr>
      <vt:lpstr>ROI_TL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Niket Thakkar</dc:creator>
  <cp:lastModifiedBy>welcome</cp:lastModifiedBy>
  <cp:lastPrinted>2024-02-28T08:08:40Z</cp:lastPrinted>
  <dcterms:created xsi:type="dcterms:W3CDTF">2023-12-14T06:23:01Z</dcterms:created>
  <dcterms:modified xsi:type="dcterms:W3CDTF">2024-05-10T07:46:06Z</dcterms:modified>
</cp:coreProperties>
</file>