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cialanalyst3\Desktop\Al Saquib TEV Reviewed\"/>
    </mc:Choice>
  </mc:AlternateContent>
  <bookViews>
    <workbookView xWindow="0" yWindow="0" windowWidth="20490" windowHeight="7755" tabRatio="964" firstSheet="1" activeTab="1"/>
  </bookViews>
  <sheets>
    <sheet name="Sheet11" sheetId="16" state="hidden" r:id="rId1"/>
    <sheet name="Historicals" sheetId="2" r:id="rId2"/>
    <sheet name="Projected P&amp;L" sheetId="7" r:id="rId3"/>
    <sheet name="Projected BS" sheetId="8" r:id="rId4"/>
    <sheet name="Projected CFS" sheetId="9" r:id="rId5"/>
    <sheet name="Dep-WDV" sheetId="3" r:id="rId6"/>
    <sheet name="Debt Schedule" sheetId="5" r:id="rId7"/>
    <sheet name="DSCR" sheetId="10" r:id="rId8"/>
    <sheet name="NPV" sheetId="14" r:id="rId9"/>
    <sheet name="Ratio Analysis" sheetId="13" r:id="rId10"/>
    <sheet name="Breakeven" sheetId="12" r:id="rId11"/>
    <sheet name="Sensitivity" sheetId="15" r:id="rId12"/>
    <sheet name="Other Expenses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Nov09" localSheetId="6" hidden="1">{"'August 2000'!$A$1:$J$101"}</definedName>
    <definedName name="______Nov09" hidden="1">{"'August 2000'!$A$1:$J$101"}</definedName>
    <definedName name="_____as10" localSheetId="6" hidden="1">{"'August 2000'!$A$1:$J$101"}</definedName>
    <definedName name="_____as10" hidden="1">{"'August 2000'!$A$1:$J$101"}</definedName>
    <definedName name="_____Nov09" localSheetId="6" hidden="1">{"'August 2000'!$A$1:$J$101"}</definedName>
    <definedName name="_____Nov09" hidden="1">{"'August 2000'!$A$1:$J$101"}</definedName>
    <definedName name="____as10" localSheetId="6" hidden="1">{"'August 2000'!$A$1:$J$101"}</definedName>
    <definedName name="____as10" hidden="1">{"'August 2000'!$A$1:$J$101"}</definedName>
    <definedName name="___as10" localSheetId="6" hidden="1">{"'August 2000'!$A$1:$J$101"}</definedName>
    <definedName name="___as10" hidden="1">{"'August 2000'!$A$1:$J$101"}</definedName>
    <definedName name="___Nov09" localSheetId="6" hidden="1">{"'August 2000'!$A$1:$J$101"}</definedName>
    <definedName name="___Nov09" hidden="1">{"'August 2000'!$A$1:$J$101"}</definedName>
    <definedName name="__1" hidden="1">'[1]APR''04'!#REF!</definedName>
    <definedName name="__123Graph_A" hidden="1">'[2]TRIAL BALANCE'!#REF!</definedName>
    <definedName name="__123Graph_AChart1" hidden="1">'[1]APR''04'!#REF!</definedName>
    <definedName name="__123Graph_AChart10" hidden="1">'[1]APR''04'!#REF!</definedName>
    <definedName name="__123Graph_AChart11" hidden="1">'[1]APR''04'!#REF!</definedName>
    <definedName name="__123Graph_AChart12" hidden="1">'[1]APR''04'!#REF!</definedName>
    <definedName name="__123Graph_AChart2" hidden="1">'[1]APR''04'!#REF!</definedName>
    <definedName name="__123Graph_AChart3" hidden="1">'[1]APR''04'!#REF!</definedName>
    <definedName name="__123Graph_AChart4" hidden="1">'[1]APR''04'!#REF!</definedName>
    <definedName name="__123Graph_AChart5" hidden="1">'[1]APR''04'!#REF!</definedName>
    <definedName name="__123Graph_AChart6" hidden="1">'[1]APR''04'!#REF!</definedName>
    <definedName name="__123Graph_AChart7" hidden="1">'[1]APR''04'!#REF!</definedName>
    <definedName name="__123Graph_AChart8" hidden="1">'[1]APR''04'!#REF!</definedName>
    <definedName name="__123Graph_AChart9" hidden="1">'[1]APR''04'!#REF!</definedName>
    <definedName name="__123Graph_ACurrent" hidden="1">'[1]APR''04'!#REF!</definedName>
    <definedName name="__123Graph_B" hidden="1">'[2]TRIAL BALANCE'!#REF!</definedName>
    <definedName name="__123Graph_C" hidden="1">[3]concil!#REF!</definedName>
    <definedName name="__123Graph_D" hidden="1">'[1]APR''04'!#REF!</definedName>
    <definedName name="__123Graph_E" hidden="1">[4]Folder!#REF!</definedName>
    <definedName name="__123Graph_F" hidden="1">[3]concil!#REF!</definedName>
    <definedName name="__123Graph_X" hidden="1">'[2]TRIAL BALANCE'!#REF!</definedName>
    <definedName name="__drs8" localSheetId="6" hidden="1">{"'August 2000'!$A$1:$J$101"}</definedName>
    <definedName name="__drs8" hidden="1">{"'August 2000'!$A$1:$J$101"}</definedName>
    <definedName name="__fa1" localSheetId="6" hidden="1">{"plansummary",#N/A,FALSE,"PlanSummary";"sales",#N/A,FALSE,"Sales Rec";"productivity",#N/A,FALSE,"Productivity Rec";"capitalspending",#N/A,FALSE,"Capital Spending"}</definedName>
    <definedName name="__fa1" hidden="1">{"plansummary",#N/A,FALSE,"PlanSummary";"sales",#N/A,FALSE,"Sales Rec";"productivity",#N/A,FALSE,"Productivity Rec";"capitalspending",#N/A,FALSE,"Capital Spending"}</definedName>
    <definedName name="__fa2" localSheetId="6" hidden="1">{"plansummary",#N/A,FALSE,"PlanSummary";"sales",#N/A,FALSE,"Sales Rec";"productivity",#N/A,FALSE,"Productivity Rec";"capitalspending",#N/A,FALSE,"Capital Spending"}</definedName>
    <definedName name="__fa2" hidden="1">{"plansummary",#N/A,FALSE,"PlanSummary";"sales",#N/A,FALSE,"Sales Rec";"productivity",#N/A,FALSE,"Productivity Rec";"capitalspending",#N/A,FALSE,"Capital Spending"}</definedName>
    <definedName name="__fa3" localSheetId="6" hidden="1">{"plansummary",#N/A,FALSE,"PlanSummary";"sales",#N/A,FALSE,"Sales Rec";"productivity",#N/A,FALSE,"Productivity Rec";"capitalspending",#N/A,FALSE,"Capital Spending"}</definedName>
    <definedName name="__fa3" hidden="1">{"plansummary",#N/A,FALSE,"PlanSummary";"sales",#N/A,FALSE,"Sales Rec";"productivity",#N/A,FALSE,"Productivity Rec";"capitalspending",#N/A,FALSE,"Capital Spending"}</definedName>
    <definedName name="__FDS_HYPERLINK_TOGGLE_STATE__" hidden="1">"ON"</definedName>
    <definedName name="__Nov09" localSheetId="6" hidden="1">{"'August 2000'!$A$1:$J$101"}</definedName>
    <definedName name="__Nov09" hidden="1">{"'August 2000'!$A$1:$J$101"}</definedName>
    <definedName name="__xlfn.BAHTTEXT" hidden="1">#NAME?</definedName>
    <definedName name="_1__123Graph_ACHART_1" hidden="1">[5]Accidents!$C$4:$C$16</definedName>
    <definedName name="_10__123Graph_FCHART_1" hidden="1">[5]Accidents!$H$4:$H$16</definedName>
    <definedName name="_11__123Graph_LBL_ACHART_1" hidden="1">[5]Accidents!$H$15:$H$15</definedName>
    <definedName name="_12__123Graph_LBL_CCHART_1" hidden="1">[5]Accidents!$H$16:$H$16</definedName>
    <definedName name="_123" localSheetId="6" hidden="1">[6]Folder!#REF!</definedName>
    <definedName name="_123" hidden="1">[6]Folder!#REF!</definedName>
    <definedName name="_13__123Graph_LBL_DCHART_1" hidden="1">[5]Accidents!$H$18:$H$18</definedName>
    <definedName name="_14__123Graph_LBL_ECHART_1" hidden="1">[5]Accidents!$H$19:$H$19</definedName>
    <definedName name="_15__123Graph_XCHART_1" hidden="1">[5]Accidents!$A$4:$A$16</definedName>
    <definedName name="_2__123Graph_ACHART_2" hidden="1">'[5]ACC costs'!$B$2:$B$8</definedName>
    <definedName name="_3__123Graph_ACHART_3" hidden="1">[5]Accidents!$C$20:$K$20</definedName>
    <definedName name="_4__123Graph_BCHART_1" hidden="1">[5]Accidents!$D$4:$D$16</definedName>
    <definedName name="_5__123Graph_BCHART_3" hidden="1">[5]Accidents!$C$20:$K$20</definedName>
    <definedName name="_6__123Graph_CCHART_1" hidden="1">[5]Accidents!$E$4:$E$16</definedName>
    <definedName name="_7__123Graph_CCHART_3" hidden="1">[5]Accidents!$C$20:$K$20</definedName>
    <definedName name="_8__123Graph_DCHART_1" hidden="1">[5]Accidents!$F$4:$F$16</definedName>
    <definedName name="_9__123Graph_ECHART_1" hidden="1">[5]Accidents!$G$4:$G$16</definedName>
    <definedName name="_as10" localSheetId="6" hidden="1">{"'August 2000'!$A$1:$J$101"}</definedName>
    <definedName name="_as10" hidden="1">{"'August 2000'!$A$1:$J$101"}</definedName>
    <definedName name="_bdm.37A8781564CE406BBBA912C3F309BF50.edm" hidden="1">#REF!</definedName>
    <definedName name="_bdm.A6745B57B7754BAEBFCBA9DD822111E7.edm" hidden="1">'[7]Page 10,24,48_fig 2,10,34'!$A:$IV</definedName>
    <definedName name="_Dist_Bin" hidden="1">#REF!</definedName>
    <definedName name="_Dist_Values" hidden="1">#REF!</definedName>
    <definedName name="_fa1" localSheetId="6" hidden="1">{"plansummary",#N/A,FALSE,"PlanSummary";"sales",#N/A,FALSE,"Sales Rec";"productivity",#N/A,FALSE,"Productivity Rec";"capitalspending",#N/A,FALSE,"Capital Spending"}</definedName>
    <definedName name="_fa1" hidden="1">{"plansummary",#N/A,FALSE,"PlanSummary";"sales",#N/A,FALSE,"Sales Rec";"productivity",#N/A,FALSE,"Productivity Rec";"capitalspending",#N/A,FALSE,"Capital Spending"}</definedName>
    <definedName name="_fa2" localSheetId="6" hidden="1">{"plansummary",#N/A,FALSE,"PlanSummary";"sales",#N/A,FALSE,"Sales Rec";"productivity",#N/A,FALSE,"Productivity Rec";"capitalspending",#N/A,FALSE,"Capital Spending"}</definedName>
    <definedName name="_fa2" hidden="1">{"plansummary",#N/A,FALSE,"PlanSummary";"sales",#N/A,FALSE,"Sales Rec";"productivity",#N/A,FALSE,"Productivity Rec";"capitalspending",#N/A,FALSE,"Capital Spending"}</definedName>
    <definedName name="_fa3" localSheetId="6" hidden="1">{"plansummary",#N/A,FALSE,"PlanSummary";"sales",#N/A,FALSE,"Sales Rec";"productivity",#N/A,FALSE,"Productivity Rec";"capitalspending",#N/A,FALSE,"Capital Spending"}</definedName>
    <definedName name="_fa3" hidden="1">{"plansummary",#N/A,FALSE,"PlanSummary";"sales",#N/A,FALSE,"Sales Rec";"productivity",#N/A,FALSE,"Productivity Rec";"capitalspending",#N/A,FALSE,"Capital Spending"}</definedName>
    <definedName name="_Fill" localSheetId="6" hidden="1">[8]Cmiec!#REF!</definedName>
    <definedName name="_Fill" hidden="1">[8]Cmiec!#REF!</definedName>
    <definedName name="_xlnm._FilterDatabase" localSheetId="6" hidden="1">#REF!</definedName>
    <definedName name="_xlnm._FilterDatabase" hidden="1">#REF!</definedName>
    <definedName name="_Key1" localSheetId="6" hidden="1">[9]depreciation!#REF!</definedName>
    <definedName name="_Key1" hidden="1">[9]depreciation!#REF!</definedName>
    <definedName name="_Key2" localSheetId="6" hidden="1">[9]depreciation!#REF!</definedName>
    <definedName name="_Key2" hidden="1">[9]depreciation!#REF!</definedName>
    <definedName name="_Nov09" localSheetId="6" hidden="1">{"'August 2000'!$A$1:$J$101"}</definedName>
    <definedName name="_Nov09" hidden="1">{"'August 2000'!$A$1:$J$101"}</definedName>
    <definedName name="_Order2" hidden="1">255</definedName>
    <definedName name="_Parse_Out" hidden="1">[10]BS!$E$3</definedName>
    <definedName name="_Regression_X" hidden="1">[11]ENGG_VAL!#REF!</definedName>
    <definedName name="_sale" hidden="1">#REF!</definedName>
    <definedName name="_Sort" localSheetId="6" hidden="1">[9]depreciation!#REF!</definedName>
    <definedName name="_Sort" hidden="1">[9]depreciation!#REF!</definedName>
    <definedName name="_Table1_In1" localSheetId="6" hidden="1">[12]BUDGET!#REF!</definedName>
    <definedName name="_Table1_In1" hidden="1">[12]BUDGET!#REF!</definedName>
    <definedName name="_Table1_Out" localSheetId="6" hidden="1">[12]BUDGET!#REF!</definedName>
    <definedName name="_Table1_Out" hidden="1">[12]BUDGET!#REF!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.doc" localSheetId="6" hidden="1">{"'Income Statement'!$D$96:$E$101"}</definedName>
    <definedName name="abc.doc" hidden="1">{"'Income Statement'!$D$96:$E$101"}</definedName>
    <definedName name="AKA" localSheetId="6" hidden="1">{"'August 2000'!$A$1:$J$101"}</definedName>
    <definedName name="AKA" hidden="1">{"'August 2000'!$A$1:$J$101"}</definedName>
    <definedName name="anscount" hidden="1">1</definedName>
    <definedName name="ar" hidden="1">[6]Folder!#REF!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as" hidden="1">[6]Folder!#REF!</definedName>
    <definedName name="atish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BG_Del" hidden="1">15</definedName>
    <definedName name="BG_Ins" hidden="1">4</definedName>
    <definedName name="BG_Mod" hidden="1">6</definedName>
    <definedName name="Bgr" localSheetId="6" hidden="1">[13]pendrr!#REF!</definedName>
    <definedName name="Bgr" hidden="1">[13]pendrr!#REF!</definedName>
    <definedName name="BSDEC02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DEC02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s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s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envat" localSheetId="6" hidden="1">{"'August 2000'!$A$1:$J$101"}</definedName>
    <definedName name="cenvat" hidden="1">{"'August 2000'!$A$1:$J$101"}</definedName>
    <definedName name="CIQWBGuid" hidden="1">"7e008688-8c01-4423-bae3-1c1436774555"</definedName>
    <definedName name="Code" localSheetId="5" hidden="1">#REF!</definedName>
    <definedName name="Code" hidden="1">#REF!</definedName>
    <definedName name="comp2003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omp2003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opy" localSheetId="6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copy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Csdfs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sdfs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data1" localSheetId="5" hidden="1">#REF!</definedName>
    <definedName name="data1" hidden="1">#REF!</definedName>
    <definedName name="data2" localSheetId="5" hidden="1">#REF!</definedName>
    <definedName name="data2" hidden="1">#REF!</definedName>
    <definedName name="data3" localSheetId="5" hidden="1">#REF!</definedName>
    <definedName name="data3" hidden="1">#REF!</definedName>
    <definedName name="ÐCompanyName" hidden="1">[14]ÐLists!$E$2</definedName>
    <definedName name="DDDD" localSheetId="6" hidden="1">#REF!</definedName>
    <definedName name="DDDD" hidden="1">#REF!</definedName>
    <definedName name="ddddddggg" localSheetId="6" hidden="1">#REF!</definedName>
    <definedName name="ddddddggg" hidden="1">#REF!</definedName>
    <definedName name="dev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hakjs" localSheetId="6" hidden="1">{"'August 2000'!$A$1:$J$101"}</definedName>
    <definedName name="dhakjs" hidden="1">{"'August 2000'!$A$1:$J$101"}</definedName>
    <definedName name="Discount" localSheetId="5" hidden="1">#REF!</definedName>
    <definedName name="Discount" hidden="1">#REF!</definedName>
    <definedName name="display_area_2" localSheetId="6" hidden="1">#REF!</definedName>
    <definedName name="display_area_2" localSheetId="5" hidden="1">#REF!</definedName>
    <definedName name="display_area_2" hidden="1">#REF!</definedName>
    <definedName name="DM" localSheetId="6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DM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DME_BeforeCloseCompleted" hidden="1">"True"</definedName>
    <definedName name="DME_DocumentFlags" hidden="1">"1"</definedName>
    <definedName name="DME_DocumentID" hidden="1">"::ODMA\DME-MSE\London-24631"</definedName>
    <definedName name="DME_DocumentOpened" hidden="1">"True"</definedName>
    <definedName name="DME_DocumentTitle" hidden="1">"London-24631 - Standard Model"</definedName>
    <definedName name="DME_LocalFile" hidden="1">"False"</definedName>
    <definedName name="DME_NextWindowNumber" hidden="1">"2"</definedName>
    <definedName name="ÐYesNoDropdown" hidden="1">[14]ÐLists!$AK$2:$AK$3</definedName>
    <definedName name="Electricity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lectricit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NGEL" localSheetId="6" hidden="1">#REF!</definedName>
    <definedName name="ENGEL" hidden="1">#REF!</definedName>
    <definedName name="EPMWorkbookOptions_1" hidden="1">"SAEAAB|LCAAAAAAABADtvQdgHEmWJSYvbcp7f0r1StfgdKEIgGATJNiQQBDswYjN5pLsHWlHIymrKoHKZVZlXWYWQMztnbz33nvvvffee||997o7nU4n99//P1xmZAFs9s5K2smeIYCqyB8/fnwfPyIe/x7vFmV6mddNUS0/|2h3vPNRmi|n1axYXnz20bo939799KPf4|g3Th5/t6rfTqrq7Zerlpo2Kb23bB69a4rPPpq37erR3btXV1fjq3v"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"Mi8WGb7wvvl3MZvnSdtx0OvCbbhCY1/PqqmMwge7ju5EvNr3KxIy8GSHy7fyE27WKk/7o|OTky69evPkhOhP/L/cllCChE3u8u7Oz//Dn7erwEE12d/d|RJMunzzc/xFNujTZvfcjmnRlZ//g//M0|Qb9UR/Nr2HGnrw6fvH0A0JiUu/kDN7eiO3|v9uICTlCnnvykJ7/r3PcN0qQ/z|stf2/RwRPjt|cfv7lq9/nawvhvXv37|/v799eCPf|3y"</definedName>
    <definedName name="EPMWorkbookOptions_11" hidden="1">"2EhiAd1X/y5iuKLH/Edl6zW7UaYLunx2|OX786|dpc9|mD3Z2Dgwe357p7/|/mOqVHyHRvvqQ0wu//|asvv/p/82K6DOlnyQJE6XLy5avT3//sxcuv3vxIIP1mt2o1IJBE27M3X98KkCv26af37r2HL7b//26BFHo4vtujX093dh/8f977/6YIsisEuf8jgvgEeXP6|v/zSukbJQjSTT8iiKdD7n366af/XyfI/3vM1stXXz796uTNB|QQ3jsTf"</definedName>
    <definedName name="EPMWorkbookOptions_12" hidden="1">"v//3YbLUCSUw5c/n9MIAyT5USLhm5TEV25B8ocojJ/|v1sYPaJ8/31WaRXg/ytZ7hujxelXP6KFocXzk/|vk|L/PZrozdkXpz9EFfTg/90qCNQIDd8eDXC8c|//6wz3TRNk/0cE8QiyN97d|xFBDEGe/T57OzsPx5yQ/f86Vf7fo6i/OD1|/dWr0x9m8Hbw/25lbSgiTsHv8|bpj5jtfRoF2MQbPb57vFqVxTRrCY79PPjUNCdo1XJJiNNnT7M2"</definedName>
    <definedName name="EPMWorkbookOptions_13" hidden="1">"44/9D99U3cE/fpWf13kz/3L55SpfHp1nZZM/vht|yO1OyjyrAfTL5evsMjctux9z2|9W9dtJVb0lxmyZjKZ1/4uw/dWMZ801/HIl4/t/AMtf0Z6zeQAA"</definedName>
    <definedName name="EPMWorkbookOptions_15" hidden="1">"v8vM6b|ZfLL1f50qzYhR9yu5Myz2oA/XL5OrvMTcvux9z2u1X9dlJVb4kxWyajad3/Imx/NdNZe3zW/GRWF9mkzL/I6wsHoff5b5w4sF|uhBr/DzxHj7hvfAAA"</definedName>
    <definedName name="EPMWorkbookOptions_2" hidden="1">"jqr64u7ezs3v39/7i|evpPF9k28WyabPlNP/IvjW7|a2PqNc0ffwqP6/zZv7l8stVvjw6z8omf3w3/JDbnZR5Vj/N2uzL5evsMjctux9zWzOWl3XV5tM2n5nW/S/C9lez9C6IYRsqNY7|H0p|MExIAQAA"</definedName>
    <definedName name="EPMWorkbookOptions_3" hidden="1">"4tb42ngRFC8T7W4R8FmHQQEOL16HmLr|jLL/LFJK|/Wha/aJ0z1O|dHL85/fzLV7/P98ffe3n86vTFm2/v0q/HJ2||On5OY||90AP57SKvs3o6v3aNUmKuR8ui/Oyjtl4T79ztv/W0WORLsO7t33p895sb9dPjN8evX52Eg37z5Zvj57//y1env//ZyZf//x07DffsjTffe/Tr6c7ug53//w752fMvvxvO9bPnL758cfr/4xF/9eLkzdmXL153h"</definedName>
    <definedName name="EPMWorkbookOptions_4" hidden="1">"v3/71GfvXhz|opkNxjz2e///|9Bf3F6/PqrV6eYafrf7/Pm6f9XhrrhG||LbxezWb60HTcbqGUb/WTRFJOiLNrrWw3h6Pjk5MuvXrx5fDf2ZYR0wOgIw318V//YMOabsfpGxmAM|f|nB6F2|f/TYxD7|v/pIcBe/n97AMb8/X96FGrO/j89hlcv35x89YqM8cn/t0Xi9cmXL0//Pz2CN2df/H97AMbR|bkZRNB4o1PiD9alAHqOy|t55To9qcqq"</definedName>
    <definedName name="EPMWorkbookOptions_5" hidden="1">"PuKMw|O7kW82vcvDj70aoYsj7DBmt201ME3v5Uz5MGSklLe6v7N772DXAxCjAb/7ZT3L66Odx3fllyj0ZlVm1y/rapXX7XXEqaVGz7OmfZ2XlI7KZ|I6x0Ybzmy0QRpz0JUgnQzL7s5Dem7jqyvgr|Wx67uRqbjdu5sCFW3xTdJkd2fndnkIBfzzgyYP9n9Ek4Amezv3DvZ|RJMOn/z/QZ88vnsbXeyZhp81M/Z|8bQPxNixnZ19Wmi4vRnb/X|"</definedName>
    <definedName name="EPMWorkbookOptions_6" hidden="1">"3GfvQlQIF/P9KtvtmafL89Pd/uXPwI5r0aPL/efX0s0CT/R/RpEeT3f|v0|Rn34zd1oy9V0Y1YsXu3bt/f39///ZWbO//3VZsw8rvq9PPKWX4/3XW|1kgzOevvvzq5Y/o4tHl5MtXp7//2YuXX735EVk8snz55tunr35EEY8ip8/Pvnj9/3WK/L/Hmr3P2poPQo3Zpw92dw4OHtzemN37f7cxE3I4jtsDx|3s/vxNoXUJwiJIgfj9HxEkJMjP20"</definedName>
    <definedName name="EPMWorkbookOptions_7" hidden="1">"gsSpB7|7sPfkSQkCD/n89f/L/Haj17/uV3v7bNImH99NN7994jj7j//26jBWqE7Pbs|YsvX5z|f53fvkl60KT/f96G/79I/r56cfKGQvvXX18I33tN|v7/y4XQkKTDeT|vBXGAJns7P3/XGodpsvsjmnRo8qP1129SaZ|9eHP66uTLH6LK/vT/3SpbCRIy3dnv//8Hjf3/Hq579fLNyVeviLwnXz/L9P6c9|D/3ZznEYVYjv73/OT/6xz3jZHi7"</definedName>
    <definedName name="EPMWorkbookOptions_8" hidden="1">"MXP24R3jxafP/n//CrR/3s00euTL1|e/hB10MH/u3UQkyO0fa///2D6vi49IvQ4|/z4|P/zAvhN0uPZqx8tvQXNbtVqQB|9Ofvih6mOHv6/Wx2BGiG3UUR8b7zz83YZYYgg/59fRviGCbK79yOCeATZ|xFBeiKz//91gvy/x2h9cXr8|qtXpz/MxP/uzv|7LZchiYRsv8|bp/9f57ZvhhAvT1|dffn07OdtYiOkxk/8f58tvkEldItGATbxRo/v"</definedName>
    <definedName name="EPMWorkbookOptions_9" hidden="1">"Hq9WZTHNWoJjPw8|Nc0JWrVcEuL02dOszczH0U/pc6Haolw2n300b9vVo7t323yxWtfFuKov7n7V5LXDafyumX109Ps/e/nF7//k5cmL7|7u/P7f05dm071ZM5le7uyO28nF|KKsJllZNOOLevXogJak7zbZ6u5kNb37/d//e28|f0L/fvvLV2c/9eWLN8fP6Y/zrGxy4puAVx7743tPJD3ixWhnx37k0Oj0LmQbZJSNsnKblNct039fT0S|jnA"</definedName>
    <definedName name="ev.Calculation" hidden="1">2</definedName>
    <definedName name="ev.Initialized" hidden="1">FALSE</definedName>
    <definedName name="excise" localSheetId="6" hidden="1">{"'August 2000'!$A$1:$J$101"}</definedName>
    <definedName name="excise" hidden="1">{"'August 2000'!$A$1:$J$101"}</definedName>
    <definedName name="FA_SCHEDULE" localSheetId="6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A_SCHEDULE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Code" localSheetId="5" hidden="1">#REF!</definedName>
    <definedName name="FCode" hidden="1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" hidden="1">#REF!</definedName>
    <definedName name="fffffffffffffff" localSheetId="6" hidden="1">#REF!</definedName>
    <definedName name="fffffffffffffff" hidden="1">#REF!</definedName>
    <definedName name="FFFYYJ" localSheetId="6" hidden="1">#REF!</definedName>
    <definedName name="FFFYYJ" hidden="1">#REF!</definedName>
    <definedName name="FHDFDFH" localSheetId="6" hidden="1">#REF!</definedName>
    <definedName name="FHDFDFH" hidden="1">#REF!</definedName>
    <definedName name="fix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fix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FixedAssets" localSheetId="6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ixedAssets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ORM4B1" localSheetId="6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FORM4B1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fr" localSheetId="6" hidden="1">'[1]APR''04'!#REF!</definedName>
    <definedName name="fr" hidden="1">'[1]APR''04'!#REF!</definedName>
    <definedName name="ggggg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ggggg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gh" localSheetId="6" hidden="1">#REF!</definedName>
    <definedName name="gh" hidden="1">#REF!</definedName>
    <definedName name="ghh" localSheetId="6" hidden="1">#REF!</definedName>
    <definedName name="ghh" hidden="1">#REF!</definedName>
    <definedName name="gsfds" localSheetId="6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urudhan" localSheetId="6" hidden="1">#REF!</definedName>
    <definedName name="gurudhan" hidden="1">#REF!</definedName>
    <definedName name="Header1" hidden="1">IF(COUNTA(#REF!)=0,0,INDEX(#REF!,MATCH(ROW(#REF!),#REF!,TRUE)))+1</definedName>
    <definedName name="Header2" localSheetId="6" hidden="1">[0]!Header1-1 &amp; "." &amp; MAX(1,COUNTA(INDEX('[15]#REF'!#REF!,MATCH([0]!Header1-1,'[15]#REF'!#REF!,FALSE)):'[15]#REF'!#REF!))</definedName>
    <definedName name="Header2" hidden="1">[0]!Header1-1 &amp; "." &amp; MAX(1,COUNTA(INDEX('[15]#REF'!#REF!,MATCH([0]!Header1-1,'[15]#REF'!#REF!,FALSE)):'[15]#REF'!#REF!))</definedName>
    <definedName name="Header3Find" localSheetId="6" hidden="1">MID('Debt Schedule'!Header2,1,FIND(".",'Debt Schedule'!Header2,1))&amp;MID('Debt Schedule'!Header2,FIND(".",'Debt Schedule'!Header2,1)+1,LEN('Debt Schedule'!Header2))-1</definedName>
    <definedName name="Header3Find" hidden="1">MID([0]!Header2,1,FIND(".",[0]!Header2,1))&amp;MID([0]!Header2,FIND(".",[0]!Header2,1)+1,LEN([0]!Header2))-1</definedName>
    <definedName name="hi" localSheetId="5" hidden="1">#REF!</definedName>
    <definedName name="hi" hidden="1">#REF!</definedName>
    <definedName name="HiddenRows" localSheetId="5" hidden="1">#REF!</definedName>
    <definedName name="HiddenRows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" localSheetId="6" hidden="1">{"'August 2000'!$A$1:$J$101"}</definedName>
    <definedName name="ht" hidden="1">{"'August 2000'!$A$1:$J$101"}</definedName>
    <definedName name="HTML_CodePage" hidden="1">1252</definedName>
    <definedName name="HTML_Control" localSheetId="6" hidden="1">{"'Income Statement'!$D$96:$E$101"}</definedName>
    <definedName name="HTML_Control" hidden="1">{"'Income Statement'!$D$96:$E$101"}</definedName>
    <definedName name="HTML_Control_1" localSheetId="6" hidden="1">{"'August 2000'!$A$1:$J$101"}</definedName>
    <definedName name="HTML_Control_1" hidden="1">{"'August 2000'!$A$1:$J$101"}</definedName>
    <definedName name="HTML_CONTROL_15" localSheetId="6" hidden="1">{"'August 2000'!$A$1:$J$101"}</definedName>
    <definedName name="HTML_CONTROL_15" hidden="1">{"'August 2000'!$A$1:$J$101"}</definedName>
    <definedName name="HTML_CONTROL_16" localSheetId="6" hidden="1">{"'August 2000'!$A$1:$J$101"}</definedName>
    <definedName name="HTML_CONTROL_16" hidden="1">{"'August 2000'!$A$1:$J$101"}</definedName>
    <definedName name="HTML_CONTROL_19" localSheetId="6" hidden="1">{"'August 2000'!$A$1:$J$101"}</definedName>
    <definedName name="HTML_CONTROL_19" hidden="1">{"'August 2000'!$A$1:$J$101"}</definedName>
    <definedName name="HTML_Control_2" localSheetId="6" hidden="1">{"'August 2000'!$A$1:$J$101"}</definedName>
    <definedName name="HTML_Control_2" hidden="1">{"'August 2000'!$A$1:$J$101"}</definedName>
    <definedName name="HTML_control_3" localSheetId="6" hidden="1">{"'August 2000'!$A$1:$J$101"}</definedName>
    <definedName name="HTML_control_3" hidden="1">{"'August 2000'!$A$1:$J$101"}</definedName>
    <definedName name="HTML_control1" localSheetId="6" hidden="1">{"'August 2000'!$A$1:$J$101"}</definedName>
    <definedName name="HTML_control1" hidden="1">{"'August 2000'!$A$1:$J$101"}</definedName>
    <definedName name="HTML_control1_1" localSheetId="6" hidden="1">{"'August 2000'!$A$1:$J$101"}</definedName>
    <definedName name="HTML_control1_1" hidden="1">{"'August 2000'!$A$1:$J$101"}</definedName>
    <definedName name="HTML_control1_2" localSheetId="6" hidden="1">{"'August 2000'!$A$1:$J$101"}</definedName>
    <definedName name="HTML_control1_2" hidden="1">{"'August 2000'!$A$1:$J$101"}</definedName>
    <definedName name="HTML_Description" hidden="1">"Profit &amp; Loss Account"</definedName>
    <definedName name="HTML_Email" hidden="1">""</definedName>
    <definedName name="HTML_Header" hidden="1">"Income Statement"</definedName>
    <definedName name="HTML_LastUpdate" hidden="1">"6/14/99"</definedName>
    <definedName name="HTML_LineAfter" hidden="1">TRUE</definedName>
    <definedName name="HTML_LineBefore" hidden="1">TRUE</definedName>
    <definedName name="HTML_Name" hidden="1">"Prakash Mishra"</definedName>
    <definedName name="HTML_OBDlg2" hidden="1">TRUE</definedName>
    <definedName name="HTML_OBDlg4" hidden="1">TRUE</definedName>
    <definedName name="HTML_OS" hidden="1">0</definedName>
    <definedName name="HTML_PathFile" hidden="1">"D:\Temp\MyHTML.htm"</definedName>
    <definedName name="HTML_PathFileMac" hidden="1">"Macintosh HD:HomePageStuff:New_Home_Page:datafile:ctryprem.html"</definedName>
    <definedName name="HTML_Title" hidden="1">"Forecast Book2"</definedName>
    <definedName name="huy" localSheetId="6" hidden="1">{"'Sheet1'!$L$16"}</definedName>
    <definedName name="huy" hidden="1">{"'Sheet1'!$L$16"}</definedName>
    <definedName name="Insurance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"interior specialists"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"07/24/2022 09:17:48"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39191.5891666667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RAA10" hidden="1">"$AA$11"</definedName>
    <definedName name="IQRAA11" hidden="1">"$AA$12"</definedName>
    <definedName name="IQRAB11" hidden="1">"$AB$12"</definedName>
    <definedName name="IQRAC10" hidden="1">"$AC$11"</definedName>
    <definedName name="IQRAC11" hidden="1">"$AC$12"</definedName>
    <definedName name="IQRAD11" hidden="1">"$AD$12"</definedName>
    <definedName name="IQRAE10" hidden="1">"$AE$11"</definedName>
    <definedName name="IQRAE11" hidden="1">"$AE$12"</definedName>
    <definedName name="IQRAF11" hidden="1">"$AF$12"</definedName>
    <definedName name="IQRAF1709" hidden="1">"$AF$1710"</definedName>
    <definedName name="IQRAF23" hidden="1">"$AF$24"</definedName>
    <definedName name="IQRAF864" hidden="1">"$AF$865"</definedName>
    <definedName name="IQRAG10" hidden="1">"$AG$11"</definedName>
    <definedName name="IQRAI10" hidden="1">"$AI$11"</definedName>
    <definedName name="IQRAK10" hidden="1">"$AK$11"</definedName>
    <definedName name="IQRAM10" hidden="1">"$AM$11"</definedName>
    <definedName name="IQRAO10" hidden="1">"$AO$11"</definedName>
    <definedName name="IQRAQ10" hidden="1">"$AQ$11"</definedName>
    <definedName name="IQRAS10" hidden="1">"$AS$11"</definedName>
    <definedName name="IQRAU10" hidden="1">"$AU$11"</definedName>
    <definedName name="IQRAU1709" hidden="1">"$AU$1710"</definedName>
    <definedName name="IQRAU23" hidden="1">"$AU$24"</definedName>
    <definedName name="IQRAU864" hidden="1">"$AU$865"</definedName>
    <definedName name="IQRAW10" hidden="1">"$AW$11"</definedName>
    <definedName name="IQRAY10" hidden="1">"$AY$11"</definedName>
    <definedName name="IQRAZ865" hidden="1">"$AZ$866:$AZ$1624"</definedName>
    <definedName name="IQRB1709" hidden="1">"$B$1710"</definedName>
    <definedName name="IQRB23" hidden="1">"$B$24"</definedName>
    <definedName name="IQRB24" hidden="1">"$B$25:$B$780"</definedName>
    <definedName name="IQRB864" hidden="1">"$B$865"</definedName>
    <definedName name="IQRBA10" hidden="1">"$BA$11"</definedName>
    <definedName name="IQRBetaAC13" hidden="1">#REF!</definedName>
    <definedName name="IQRBetaAC14" hidden="1">#REF!</definedName>
    <definedName name="IQRBetaAL14" hidden="1">#REF!</definedName>
    <definedName name="IQRBetaAU13" hidden="1">#REF!</definedName>
    <definedName name="IQRBetaAU14" hidden="1">#REF!</definedName>
    <definedName name="IQRBetaB13" hidden="1">#REF!</definedName>
    <definedName name="IQRBetaB14" hidden="1">#REF!</definedName>
    <definedName name="IQRBetaBD13" hidden="1">#REF!</definedName>
    <definedName name="IQRBetaBD14" hidden="1">#REF!</definedName>
    <definedName name="IQRBetaBM13" hidden="1">#REF!</definedName>
    <definedName name="IQRBetaBM14" hidden="1">#REF!</definedName>
    <definedName name="IQRBetaBV13" hidden="1">#REF!</definedName>
    <definedName name="IQRBetaBV14" hidden="1">#REF!</definedName>
    <definedName name="IQRBetaCE13" hidden="1">#REF!</definedName>
    <definedName name="IQRBetaCE14" hidden="1">#REF!</definedName>
    <definedName name="IQRBetaCN13" hidden="1">#REF!</definedName>
    <definedName name="IQRBetaCN14" hidden="1">#REF!</definedName>
    <definedName name="IQRBetaCW13" hidden="1">#REF!</definedName>
    <definedName name="IQRBetaCW14" hidden="1">#REF!</definedName>
    <definedName name="IQRBetaDF13" hidden="1">#REF!</definedName>
    <definedName name="IQRBetaDF14" hidden="1">#REF!</definedName>
    <definedName name="IQRBetaDO13" hidden="1">#REF!</definedName>
    <definedName name="IQRBetaDO14" hidden="1">#REF!</definedName>
    <definedName name="IQRBetaDX13" hidden="1">#REF!</definedName>
    <definedName name="IQRBetaDX14" hidden="1">#REF!</definedName>
    <definedName name="IQRBetaEG13" hidden="1">#REF!</definedName>
    <definedName name="IQRBetaEG14" hidden="1">#REF!</definedName>
    <definedName name="IQRBetaEP13" hidden="1">#REF!</definedName>
    <definedName name="IQRBetaEP14" hidden="1">#REF!</definedName>
    <definedName name="IQRBetaEY13" hidden="1">#REF!</definedName>
    <definedName name="IQRBetaEY14" hidden="1">#REF!</definedName>
    <definedName name="IQRBetaFH13" hidden="1">#REF!</definedName>
    <definedName name="IQRBetaFH14" hidden="1">#REF!</definedName>
    <definedName name="IQRBetaFQ13" hidden="1">#REF!</definedName>
    <definedName name="IQRBetaFQ14" hidden="1">#REF!</definedName>
    <definedName name="IQRBetaK13" hidden="1">#REF!</definedName>
    <definedName name="IQRBetaK14" hidden="1">#REF!</definedName>
    <definedName name="IQRBetaT13" hidden="1">#REF!</definedName>
    <definedName name="IQRBetaT14" hidden="1">#REF!</definedName>
    <definedName name="IQRBJ1709" hidden="1">"$BJ$1710"</definedName>
    <definedName name="IQRBJ23" hidden="1">"$BJ$24"</definedName>
    <definedName name="IQRBJ864" hidden="1">"$BJ$865"</definedName>
    <definedName name="IQRBY1709" hidden="1">"$BY$1710"</definedName>
    <definedName name="IQRBY23" hidden="1">"$BY$24"</definedName>
    <definedName name="IQRBY864" hidden="1">"$BY$865"</definedName>
    <definedName name="IQRC23" hidden="1">"$C$24:$C$778"</definedName>
    <definedName name="IQRC24" hidden="1">"$C$25:$C$779"</definedName>
    <definedName name="IQRCapStruA5" hidden="1">#REF!</definedName>
    <definedName name="IQRCapStruA6" hidden="1">#REF!</definedName>
    <definedName name="IQRCapStruA7" hidden="1">#REF!</definedName>
    <definedName name="IQRCapStruA8" hidden="1">#REF!</definedName>
    <definedName name="IQRCapStruAG5" hidden="1">#REF!</definedName>
    <definedName name="IQRCapStruAG6" hidden="1">#REF!</definedName>
    <definedName name="IQRCapStruAG7" hidden="1">#REF!</definedName>
    <definedName name="IQRCapStruAG8" hidden="1">#REF!</definedName>
    <definedName name="IQRCapStruAO5" hidden="1">#REF!</definedName>
    <definedName name="IQRCapStruAO6" hidden="1">#REF!</definedName>
    <definedName name="IQRCapStruAO7" hidden="1">#REF!</definedName>
    <definedName name="IQRCapStruAO8" hidden="1">#REF!</definedName>
    <definedName name="IQRCapStruAW5" hidden="1">#REF!</definedName>
    <definedName name="IQRCapStruAW6" hidden="1">#REF!</definedName>
    <definedName name="IQRCapStruAW7" hidden="1">#REF!</definedName>
    <definedName name="IQRCapStruAW8" hidden="1">#REF!</definedName>
    <definedName name="IQRCapStruBE5" hidden="1">#REF!</definedName>
    <definedName name="IQRCapStruBE6" hidden="1">#REF!</definedName>
    <definedName name="IQRCapStruBE7" hidden="1">#REF!</definedName>
    <definedName name="IQRCapStruBE8" hidden="1">#REF!</definedName>
    <definedName name="IQRCapStruBM5" hidden="1">#REF!</definedName>
    <definedName name="IQRCapStruBM6" hidden="1">#REF!</definedName>
    <definedName name="IQRCapStruBM7" hidden="1">#REF!</definedName>
    <definedName name="IQRCapStruBM8" hidden="1">#REF!</definedName>
    <definedName name="IQRCapStruBU5" hidden="1">#REF!</definedName>
    <definedName name="IQRCapStruBU6" hidden="1">#REF!</definedName>
    <definedName name="IQRCapStruBU7" hidden="1">#REF!</definedName>
    <definedName name="IQRCapStruBU8" hidden="1">#REF!</definedName>
    <definedName name="IQRCapStruCC5" hidden="1">#REF!</definedName>
    <definedName name="IQRCapStruCC6" hidden="1">#REF!</definedName>
    <definedName name="IQRCapStruCC7" hidden="1">#REF!</definedName>
    <definedName name="IQRCapStruCC8" hidden="1">#REF!</definedName>
    <definedName name="IQRCapStruCK5" hidden="1">#REF!</definedName>
    <definedName name="IQRCapStruCK6" hidden="1">#REF!</definedName>
    <definedName name="IQRCapStruCK7" hidden="1">#REF!</definedName>
    <definedName name="IQRCapStruCK8" hidden="1">#REF!</definedName>
    <definedName name="IQRCapStruCS5" hidden="1">#REF!</definedName>
    <definedName name="IQRCapStruCS6" hidden="1">#REF!</definedName>
    <definedName name="IQRCapStruCS7" hidden="1">#REF!</definedName>
    <definedName name="IQRCapStruCS8" hidden="1">#REF!</definedName>
    <definedName name="IQRCapStruDA5" hidden="1">#REF!</definedName>
    <definedName name="IQRCapStruDA6" hidden="1">#REF!</definedName>
    <definedName name="IQRCapStruDA7" hidden="1">#REF!</definedName>
    <definedName name="IQRCapStruDA8" hidden="1">#REF!</definedName>
    <definedName name="IQRCapStruDI5" hidden="1">#REF!</definedName>
    <definedName name="IQRCapStruDI6" hidden="1">#REF!</definedName>
    <definedName name="IQRCapStruDI7" hidden="1">#REF!</definedName>
    <definedName name="IQRCapStruDI8" hidden="1">#REF!</definedName>
    <definedName name="IQRCapStruDQ5" hidden="1">#REF!</definedName>
    <definedName name="IQRCapStruDQ6" hidden="1">#REF!</definedName>
    <definedName name="IQRCapStruDQ7" hidden="1">#REF!</definedName>
    <definedName name="IQRCapStruDQ8" hidden="1">#REF!</definedName>
    <definedName name="IQRCapStruDY5" hidden="1">#REF!</definedName>
    <definedName name="IQRCapStruDY6" hidden="1">#REF!</definedName>
    <definedName name="IQRCapStruDY7" hidden="1">#REF!</definedName>
    <definedName name="IQRCapStruDY8" hidden="1">#REF!</definedName>
    <definedName name="IQRCapStruEG5" hidden="1">#REF!</definedName>
    <definedName name="IQRCapStruEG6" hidden="1">#REF!</definedName>
    <definedName name="IQRCapStruEG7" hidden="1">#REF!</definedName>
    <definedName name="IQRCapStruEG8" hidden="1">#REF!</definedName>
    <definedName name="IQRCapStruEO5" hidden="1">#REF!</definedName>
    <definedName name="IQRCapStruEO6" hidden="1">#REF!</definedName>
    <definedName name="IQRCapStruEO7" hidden="1">#REF!</definedName>
    <definedName name="IQRCapStruEO8" hidden="1">#REF!</definedName>
    <definedName name="IQRCapStruEW5" hidden="1">#REF!</definedName>
    <definedName name="IQRCapStruEW6" hidden="1">#REF!</definedName>
    <definedName name="IQRCapStruEW7" hidden="1">#REF!</definedName>
    <definedName name="IQRCapStruEW8" hidden="1">#REF!</definedName>
    <definedName name="IQRCapStruI5" hidden="1">#REF!</definedName>
    <definedName name="IQRCapStruI6" hidden="1">#REF!</definedName>
    <definedName name="IQRCapStruI7" hidden="1">#REF!</definedName>
    <definedName name="IQRCapStruI8" hidden="1">#REF!</definedName>
    <definedName name="IQRCapStruQ5" hidden="1">#REF!</definedName>
    <definedName name="IQRCapStruQ6" hidden="1">#REF!</definedName>
    <definedName name="IQRCapStruQ7" hidden="1">#REF!</definedName>
    <definedName name="IQRCapStruQ8" hidden="1">#REF!</definedName>
    <definedName name="IQRCapStruY5" hidden="1">#REF!</definedName>
    <definedName name="IQRCapStruY6" hidden="1">#REF!</definedName>
    <definedName name="IQRCapStruY7" hidden="1">#REF!</definedName>
    <definedName name="IQRCapStruY8" hidden="1">#REF!</definedName>
    <definedName name="IQRCN1709" hidden="1">"$CN$1710"</definedName>
    <definedName name="IQRCN23" hidden="1">"$CN$24"</definedName>
    <definedName name="IQRCN864" hidden="1">"$CN$865"</definedName>
    <definedName name="IQRCompsPLAAN67" hidden="1">#REF!</definedName>
    <definedName name="IQRD10" hidden="1">"$D$11"</definedName>
    <definedName name="IQRD23" hidden="1">"$D$24:$D$778"</definedName>
    <definedName name="IQRD24" hidden="1">"$D$25:$D$779"</definedName>
    <definedName name="IQRDC1709" hidden="1">"$DC$1710"</definedName>
    <definedName name="IQRDC23" hidden="1">"$DC$24"</definedName>
    <definedName name="IQRDC864" hidden="1">"$DC$865"</definedName>
    <definedName name="IQRDR23" hidden="1">"$DR$24"</definedName>
    <definedName name="IQRDR864" hidden="1">"$DR$865"</definedName>
    <definedName name="IQRE23" hidden="1">"$E$24:$E$778"</definedName>
    <definedName name="IQRE24" hidden="1">"$E$25:$E$779"</definedName>
    <definedName name="IQREG23" hidden="1">"$EG$24"</definedName>
    <definedName name="IQREG864" hidden="1">"$EG$865"</definedName>
    <definedName name="IQREV23" hidden="1">"$EV$24"</definedName>
    <definedName name="IQREV864" hidden="1">"$EV$865"</definedName>
    <definedName name="IQRExchangerateAC9" hidden="1">#REF!</definedName>
    <definedName name="IQRExchangerateAF9" hidden="1">#REF!</definedName>
    <definedName name="IQRExchangerateAI9" hidden="1">#REF!</definedName>
    <definedName name="IQRExchangerateAL9" hidden="1">#REF!</definedName>
    <definedName name="IQRExchangerateAO9" hidden="1">#REF!</definedName>
    <definedName name="IQRExchangerateAR9" hidden="1">#REF!</definedName>
    <definedName name="IQRExchangerateAU9" hidden="1">#REF!</definedName>
    <definedName name="IQRExchangerateAX9" hidden="1">#REF!</definedName>
    <definedName name="IQRExchangerateB8" hidden="1">#REF!</definedName>
    <definedName name="IQRExchangerateB9" hidden="1">#REF!</definedName>
    <definedName name="IQRExchangerateBA9" hidden="1">#REF!</definedName>
    <definedName name="IQRExchangerateBD9" hidden="1">#REF!</definedName>
    <definedName name="IQRExchangerateBG9" hidden="1">#REF!</definedName>
    <definedName name="IQRExchangerateE9" hidden="1">#REF!</definedName>
    <definedName name="IQRExchangerateH9" hidden="1">#REF!</definedName>
    <definedName name="IQRExchangerateK9" hidden="1">#REF!</definedName>
    <definedName name="IQRExchangerateN9" hidden="1">#REF!</definedName>
    <definedName name="IQRExchangerateQ9" hidden="1">#REF!</definedName>
    <definedName name="IQRExchangerateT9" hidden="1">#REF!</definedName>
    <definedName name="IQRExchangerateW9" hidden="1">#REF!</definedName>
    <definedName name="IQRExchangerateZ9" hidden="1">#REF!</definedName>
    <definedName name="IQRF23" hidden="1">"$F$24:$F$778"</definedName>
    <definedName name="IQRF24" hidden="1">"$F$25:$F$779"</definedName>
    <definedName name="IQRFK23" hidden="1">"$FK$24"</definedName>
    <definedName name="IQRFK864" hidden="1">"$FK$865"</definedName>
    <definedName name="IQRFZ23" hidden="1">"$FZ$24"</definedName>
    <definedName name="IQRFZ864" hidden="1">"$FZ$865"</definedName>
    <definedName name="IQRG23" hidden="1">"$G$24:$G$778"</definedName>
    <definedName name="IQRG24" hidden="1">"$G$25:$G$779"</definedName>
    <definedName name="IQRGO23" hidden="1">"$GO$24"</definedName>
    <definedName name="IQRGO864" hidden="1">"$GO$865"</definedName>
    <definedName name="IQRGS6AF1365" hidden="1">#REF!</definedName>
    <definedName name="IQRGS6AF1366" hidden="1">#REF!</definedName>
    <definedName name="IQRGS6AF1709" hidden="1">#REF!</definedName>
    <definedName name="IQRGS6AF1710" hidden="1">#REF!</definedName>
    <definedName name="IQRGS6AF2210" hidden="1">#REF!</definedName>
    <definedName name="IQRGS6AF23" hidden="1">#REF!</definedName>
    <definedName name="IQRGS6AF24" hidden="1">#REF!</definedName>
    <definedName name="IQRGS6AF25" hidden="1">#REF!</definedName>
    <definedName name="IQRGS6AF2710" hidden="1">#REF!</definedName>
    <definedName name="IQRGS6AF2711" hidden="1">#REF!</definedName>
    <definedName name="IQRGS6AF2712" hidden="1">#REF!</definedName>
    <definedName name="IQRGS6AF864" hidden="1">#REF!</definedName>
    <definedName name="IQRGS6AF865" hidden="1">#REF!</definedName>
    <definedName name="IQRGS6AH1366" hidden="1">#REF!</definedName>
    <definedName name="IQRGS6AH24" hidden="1">#REF!</definedName>
    <definedName name="IQRGS6AH2712" hidden="1">#REF!</definedName>
    <definedName name="IQRGS6AU1365" hidden="1">#REF!</definedName>
    <definedName name="IQRGS6AU1366" hidden="1">#REF!</definedName>
    <definedName name="IQRGS6AU1709" hidden="1">#REF!</definedName>
    <definedName name="IQRGS6AU1710" hidden="1">#REF!</definedName>
    <definedName name="IQRGS6AU2210" hidden="1">#REF!</definedName>
    <definedName name="IQRGS6AU23" hidden="1">#REF!</definedName>
    <definedName name="IQRGS6AU24" hidden="1">#REF!</definedName>
    <definedName name="IQRGS6AU25" hidden="1">#REF!</definedName>
    <definedName name="IQRGS6AU2710" hidden="1">#REF!</definedName>
    <definedName name="IQRGS6AU2711" hidden="1">#REF!</definedName>
    <definedName name="IQRGS6AU2712" hidden="1">#REF!</definedName>
    <definedName name="IQRGS6AU864" hidden="1">#REF!</definedName>
    <definedName name="IQRGS6AU865" hidden="1">#REF!</definedName>
    <definedName name="IQRGS6AX1366" hidden="1">#REF!</definedName>
    <definedName name="IQRGS6AX24" hidden="1">#REF!</definedName>
    <definedName name="IQRGS6AX2712" hidden="1">#REF!</definedName>
    <definedName name="IQRGS6B1365" hidden="1">#REF!</definedName>
    <definedName name="IQRGS6B1366" hidden="1">#REF!</definedName>
    <definedName name="IQRGS6B1709" hidden="1">#REF!</definedName>
    <definedName name="IQRGS6B1710" hidden="1">#REF!</definedName>
    <definedName name="IQRGS6B2210" hidden="1">#REF!</definedName>
    <definedName name="IQRGS6B23" hidden="1">#REF!</definedName>
    <definedName name="IQRGS6B24" hidden="1">#REF!</definedName>
    <definedName name="IQRGS6B25" hidden="1">#REF!</definedName>
    <definedName name="IQRGS6B2710" hidden="1">#REF!</definedName>
    <definedName name="IQRGS6B2711" hidden="1">#REF!</definedName>
    <definedName name="IQRGS6B2712" hidden="1">#REF!</definedName>
    <definedName name="IQRGS6B864" hidden="1">#REF!</definedName>
    <definedName name="IQRGS6B865" hidden="1">#REF!</definedName>
    <definedName name="IQRGS6BetasheetAC24" hidden="1">#REF!</definedName>
    <definedName name="IQRGS6BetasheetAD24" hidden="1">#REF!</definedName>
    <definedName name="IQRGS6BetasheetAF1366" hidden="1">#REF!</definedName>
    <definedName name="IQRGS6BetasheetAF24" hidden="1">#REF!</definedName>
    <definedName name="IQRGS6BetasheetAF2712" hidden="1">#REF!</definedName>
    <definedName name="IQRGS6BetasheetAL24" hidden="1">#REF!</definedName>
    <definedName name="IQRGS6BetasheetAN24" hidden="1">#REF!</definedName>
    <definedName name="IQRGS6BetasheetAP1366" hidden="1">#REF!</definedName>
    <definedName name="IQRGS6BetasheetAP24" hidden="1">#REF!</definedName>
    <definedName name="IQRGS6BetasheetAU24" hidden="1">#REF!</definedName>
    <definedName name="IQRGS6BetasheetAX24" hidden="1">#REF!</definedName>
    <definedName name="IQRGS6BetasheetAZ1366" hidden="1">#REF!</definedName>
    <definedName name="IQRGS6BetasheetAZ24" hidden="1">#REF!</definedName>
    <definedName name="IQRGS6BetasheetB1366" hidden="1">#REF!</definedName>
    <definedName name="IQRGS6BetasheetB24" hidden="1">#REF!</definedName>
    <definedName name="IQRGS6BetasheetB2712" hidden="1">#REF!</definedName>
    <definedName name="IQRGS6BetasheetBD24" hidden="1">#REF!</definedName>
    <definedName name="IQRGS6BetasheetBH24" hidden="1">#REF!</definedName>
    <definedName name="IQRGS6BetasheetBJ1366" hidden="1">#REF!</definedName>
    <definedName name="IQRGS6BetasheetBJ24" hidden="1">#REF!</definedName>
    <definedName name="IQRGS6BetasheetBM24" hidden="1">#REF!</definedName>
    <definedName name="IQRGS6BetasheetBR24" hidden="1">#REF!</definedName>
    <definedName name="IQRGS6BetasheetBT1366" hidden="1">#REF!</definedName>
    <definedName name="IQRGS6BetasheetBT24" hidden="1">#REF!</definedName>
    <definedName name="IQRGS6BetasheetBV24" hidden="1">#REF!</definedName>
    <definedName name="IQRGS6BetasheetCB24" hidden="1">#REF!</definedName>
    <definedName name="IQRGS6BetasheetCD24" hidden="1">#REF!</definedName>
    <definedName name="IQRGS6BetasheetCE24" hidden="1">#REF!</definedName>
    <definedName name="IQRGS6BetasheetCL24" hidden="1">#REF!</definedName>
    <definedName name="IQRGS6BetasheetCN24" hidden="1">#REF!</definedName>
    <definedName name="IQRGS6BetasheetCV24" hidden="1">#REF!</definedName>
    <definedName name="IQRGS6BetasheetCW24" hidden="1">#REF!</definedName>
    <definedName name="IQRGS6BetasheetCX24" hidden="1">#REF!</definedName>
    <definedName name="IQRGS6BetasheetDF24" hidden="1">#REF!</definedName>
    <definedName name="IQRGS6BetasheetDH24" hidden="1">#REF!</definedName>
    <definedName name="IQRGS6BetasheetDO24" hidden="1">#REF!</definedName>
    <definedName name="IQRGS6BetasheetDP24" hidden="1">#REF!</definedName>
    <definedName name="IQRGS6BetasheetDR24" hidden="1">#REF!</definedName>
    <definedName name="IQRGS6BetasheetDX24" hidden="1">#REF!</definedName>
    <definedName name="IQRGS6BetasheetDZ24" hidden="1">#REF!</definedName>
    <definedName name="IQRGS6BetasheetEB24" hidden="1">#REF!</definedName>
    <definedName name="IQRGS6BetasheetEG24" hidden="1">#REF!</definedName>
    <definedName name="IQRGS6BetasheetEJ24" hidden="1">#REF!</definedName>
    <definedName name="IQRGS6BetasheetEL24" hidden="1">#REF!</definedName>
    <definedName name="IQRGS6BetasheetEP24" hidden="1">#REF!</definedName>
    <definedName name="IQRGS6BetasheetET24" hidden="1">#REF!</definedName>
    <definedName name="IQRGS6BetasheetEV24" hidden="1">#REF!</definedName>
    <definedName name="IQRGS6BetasheetEY24" hidden="1">#REF!</definedName>
    <definedName name="IQRGS6BetasheetFD24" hidden="1">#REF!</definedName>
    <definedName name="IQRGS6BetasheetFF24" hidden="1">#REF!</definedName>
    <definedName name="IQRGS6BetasheetFH24" hidden="1">#REF!</definedName>
    <definedName name="IQRGS6BetasheetFN24" hidden="1">#REF!</definedName>
    <definedName name="IQRGS6BetasheetFP24" hidden="1">#REF!</definedName>
    <definedName name="IQRGS6BetasheetFQ24" hidden="1">#REF!</definedName>
    <definedName name="IQRGS6BetasheetFX24" hidden="1">#REF!</definedName>
    <definedName name="IQRGS6BetasheetFZ24" hidden="1">#REF!</definedName>
    <definedName name="IQRGS6BetasheetGH24" hidden="1">#REF!</definedName>
    <definedName name="IQRGS6BetasheetGJ24" hidden="1">#REF!</definedName>
    <definedName name="IQRGS6BetasheetK24" hidden="1">#REF!</definedName>
    <definedName name="IQRGS6BetasheetL1366" hidden="1">#REF!</definedName>
    <definedName name="IQRGS6BetasheetL24" hidden="1">#REF!</definedName>
    <definedName name="IQRGS6BetasheetL2712" hidden="1">#REF!</definedName>
    <definedName name="IQRGS6BetasheetT24" hidden="1">#REF!</definedName>
    <definedName name="IQRGS6BetasheetV1366" hidden="1">#REF!</definedName>
    <definedName name="IQRGS6BetasheetV24" hidden="1">#REF!</definedName>
    <definedName name="IQRGS6BetasheetV2712" hidden="1">#REF!</definedName>
    <definedName name="IQRGS6Betashet1AH1366" hidden="1">#REF!</definedName>
    <definedName name="IQRGS6Betashet1AH2712" hidden="1">#REF!</definedName>
    <definedName name="IQRGS6Betashet1AX1366" hidden="1">#REF!</definedName>
    <definedName name="IQRGS6Betashet1AX2712" hidden="1">#REF!</definedName>
    <definedName name="IQRGS6Betashet1B1366" hidden="1">#REF!</definedName>
    <definedName name="IQRGS6Betashet1B2712" hidden="1">#REF!</definedName>
    <definedName name="IQRGS6Betashet1BN1366" hidden="1">#REF!</definedName>
    <definedName name="IQRGS6Betashet1CD1366" hidden="1">#REF!</definedName>
    <definedName name="IQRGS6Betashet1CT1366" hidden="1">#REF!</definedName>
    <definedName name="IQRGS6Betashet1DJ1366" hidden="1">#REF!</definedName>
    <definedName name="IQRGS6Betashet1R1366" hidden="1">#REF!</definedName>
    <definedName name="IQRGS6Betashet1R2712" hidden="1">#REF!</definedName>
    <definedName name="IQRGS6BetashetA1366" hidden="1">#REF!</definedName>
    <definedName name="IQRGS6BetashetAF1366" hidden="1">#REF!</definedName>
    <definedName name="IQRGS6BetashetAF24" hidden="1">#REF!</definedName>
    <definedName name="IQRGS6BetashetAF2712" hidden="1">#REF!</definedName>
    <definedName name="IQRGS6BetashetAH1366" hidden="1">#REF!</definedName>
    <definedName name="IQRGS6BetashetAH24" hidden="1">#REF!</definedName>
    <definedName name="IQRGS6BetashetAH2712" hidden="1">#REF!</definedName>
    <definedName name="IQRGS6BetashetAP1366" hidden="1">#REF!</definedName>
    <definedName name="IQRGS6BetashetAP24" hidden="1">#REF!</definedName>
    <definedName name="IQRGS6BetashetAX1366" hidden="1">#REF!</definedName>
    <definedName name="IQRGS6BetashetAX24" hidden="1">#REF!</definedName>
    <definedName name="IQRGS6BetashetAX2712" hidden="1">#REF!</definedName>
    <definedName name="IQRGS6BetashetAZ1366" hidden="1">#REF!</definedName>
    <definedName name="IQRGS6BetashetAZ24" hidden="1">#REF!</definedName>
    <definedName name="IQRGS6BetashetB1366" hidden="1">#REF!</definedName>
    <definedName name="IQRGS6BetashetB24" hidden="1">#REF!</definedName>
    <definedName name="IQRGS6BetashetB2712" hidden="1">#REF!</definedName>
    <definedName name="IQRGS6BetashetBJ1366" hidden="1">#REF!</definedName>
    <definedName name="IQRGS6BetashetBJ24" hidden="1">#REF!</definedName>
    <definedName name="IQRGS6BetashetBN1366" hidden="1">#REF!</definedName>
    <definedName name="IQRGS6BetashetBN24" hidden="1">#REF!</definedName>
    <definedName name="IQRGS6BetashetBT1366" hidden="1">#REF!</definedName>
    <definedName name="IQRGS6BetashetBT24" hidden="1">#REF!</definedName>
    <definedName name="IQRGS6BetashetCD1366" hidden="1">#REF!</definedName>
    <definedName name="IQRGS6BetashetCD24" hidden="1">#REF!</definedName>
    <definedName name="IQRGS6BetashetCT1366" hidden="1">#REF!</definedName>
    <definedName name="IQRGS6BetashetCT24" hidden="1">#REF!</definedName>
    <definedName name="IQRGS6BetashetDJ1366" hidden="1">#REF!</definedName>
    <definedName name="IQRGS6BetashetDJ24" hidden="1">#REF!</definedName>
    <definedName name="IQRGS6BetashetL1366" hidden="1">#REF!</definedName>
    <definedName name="IQRGS6BetashetL24" hidden="1">#REF!</definedName>
    <definedName name="IQRGS6BetashetL2712" hidden="1">#REF!</definedName>
    <definedName name="IQRGS6BetashetR1366" hidden="1">#REF!</definedName>
    <definedName name="IQRGS6BetashetR24" hidden="1">#REF!</definedName>
    <definedName name="IQRGS6BetashetR2712" hidden="1">#REF!</definedName>
    <definedName name="IQRGS6BetashetV1366" hidden="1">#REF!</definedName>
    <definedName name="IQRGS6BetashetV24" hidden="1">#REF!</definedName>
    <definedName name="IQRGS6BetashetV2712" hidden="1">#REF!</definedName>
    <definedName name="IQRGS6BJ1365" hidden="1">#REF!</definedName>
    <definedName name="IQRGS6BJ1366" hidden="1">#REF!</definedName>
    <definedName name="IQRGS6BJ1709" hidden="1">#REF!</definedName>
    <definedName name="IQRGS6BJ1710" hidden="1">#REF!</definedName>
    <definedName name="IQRGS6BJ2210" hidden="1">#REF!</definedName>
    <definedName name="IQRGS6BJ23" hidden="1">#REF!</definedName>
    <definedName name="IQRGS6BJ24" hidden="1">#REF!</definedName>
    <definedName name="IQRGS6BJ25" hidden="1">#REF!</definedName>
    <definedName name="IQRGS6BJ2710" hidden="1">#REF!</definedName>
    <definedName name="IQRGS6BJ2711" hidden="1">#REF!</definedName>
    <definedName name="IQRGS6BJ2712" hidden="1">#REF!</definedName>
    <definedName name="IQRGS6BJ864" hidden="1">#REF!</definedName>
    <definedName name="IQRGS6BJ865" hidden="1">#REF!</definedName>
    <definedName name="IQRGS6BN1366" hidden="1">#REF!</definedName>
    <definedName name="IQRGS6BN24" hidden="1">#REF!</definedName>
    <definedName name="IQRGS6BY1365" hidden="1">#REF!</definedName>
    <definedName name="IQRGS6BY1366" hidden="1">#REF!</definedName>
    <definedName name="IQRGS6BY1709" hidden="1">#REF!</definedName>
    <definedName name="IQRGS6BY1710" hidden="1">#REF!</definedName>
    <definedName name="IQRGS6BY2210" hidden="1">#REF!</definedName>
    <definedName name="IQRGS6BY23" hidden="1">#REF!</definedName>
    <definedName name="IQRGS6BY24" hidden="1">#REF!</definedName>
    <definedName name="IQRGS6BY25" hidden="1">#REF!</definedName>
    <definedName name="IQRGS6BY2710" hidden="1">#REF!</definedName>
    <definedName name="IQRGS6BY2711" hidden="1">#REF!</definedName>
    <definedName name="IQRGS6BY2712" hidden="1">#REF!</definedName>
    <definedName name="IQRGS6BY864" hidden="1">#REF!</definedName>
    <definedName name="IQRGS6BY865" hidden="1">#REF!</definedName>
    <definedName name="IQRGS6CD1366" hidden="1">#REF!</definedName>
    <definedName name="IQRGS6CD24" hidden="1">#REF!</definedName>
    <definedName name="IQRGS6CN1365" hidden="1">#REF!</definedName>
    <definedName name="IQRGS6CN1366" hidden="1">#REF!</definedName>
    <definedName name="IQRGS6CN1709" hidden="1">#REF!</definedName>
    <definedName name="IQRGS6CN1710" hidden="1">#REF!</definedName>
    <definedName name="IQRGS6CN2210" hidden="1">#REF!</definedName>
    <definedName name="IQRGS6CN23" hidden="1">#REF!</definedName>
    <definedName name="IQRGS6CN24" hidden="1">#REF!</definedName>
    <definedName name="IQRGS6CN25" hidden="1">#REF!</definedName>
    <definedName name="IQRGS6CN2710" hidden="1">#REF!</definedName>
    <definedName name="IQRGS6CN2711" hidden="1">#REF!</definedName>
    <definedName name="IQRGS6CN2712" hidden="1">#REF!</definedName>
    <definedName name="IQRGS6CN864" hidden="1">#REF!</definedName>
    <definedName name="IQRGS6CN865" hidden="1">#REF!</definedName>
    <definedName name="IQRGS6CT1366" hidden="1">#REF!</definedName>
    <definedName name="IQRGS6CT24" hidden="1">#REF!</definedName>
    <definedName name="IQRGS6DC1365" hidden="1">#REF!</definedName>
    <definedName name="IQRGS6DC1366" hidden="1">#REF!</definedName>
    <definedName name="IQRGS6DC1709" hidden="1">#REF!</definedName>
    <definedName name="IQRGS6DC1710" hidden="1">#REF!</definedName>
    <definedName name="IQRGS6DC2210" hidden="1">#REF!</definedName>
    <definedName name="IQRGS6DC23" hidden="1">#REF!</definedName>
    <definedName name="IQRGS6DC24" hidden="1">#REF!</definedName>
    <definedName name="IQRGS6DC25" hidden="1">#REF!</definedName>
    <definedName name="IQRGS6DC2710" hidden="1">#REF!</definedName>
    <definedName name="IQRGS6DC2711" hidden="1">#REF!</definedName>
    <definedName name="IQRGS6DC2712" hidden="1">#REF!</definedName>
    <definedName name="IQRGS6DC864" hidden="1">#REF!</definedName>
    <definedName name="IQRGS6DC865" hidden="1">#REF!</definedName>
    <definedName name="IQRGS6DJ1366" hidden="1">#REF!</definedName>
    <definedName name="IQRGS6DJ24" hidden="1">#REF!</definedName>
    <definedName name="IQRGS6DR1365" hidden="1">#REF!</definedName>
    <definedName name="IQRGS6DR1366" hidden="1">#REF!</definedName>
    <definedName name="IQRGS6DR23" hidden="1">#REF!</definedName>
    <definedName name="IQRGS6DR24" hidden="1">#REF!</definedName>
    <definedName name="IQRGS6DR25" hidden="1">#REF!</definedName>
    <definedName name="IQRGS6DR864" hidden="1">#REF!</definedName>
    <definedName name="IQRGS6DR865" hidden="1">#REF!</definedName>
    <definedName name="IQRGS6EG1365" hidden="1">#REF!</definedName>
    <definedName name="IQRGS6EG1366" hidden="1">#REF!</definedName>
    <definedName name="IQRGS6EG23" hidden="1">#REF!</definedName>
    <definedName name="IQRGS6EG24" hidden="1">#REF!</definedName>
    <definedName name="IQRGS6EG25" hidden="1">#REF!</definedName>
    <definedName name="IQRGS6EG864" hidden="1">#REF!</definedName>
    <definedName name="IQRGS6EG865" hidden="1">#REF!</definedName>
    <definedName name="IQRGS6EV1365" hidden="1">#REF!</definedName>
    <definedName name="IQRGS6EV1366" hidden="1">#REF!</definedName>
    <definedName name="IQRGS6EV23" hidden="1">#REF!</definedName>
    <definedName name="IQRGS6EV24" hidden="1">#REF!</definedName>
    <definedName name="IQRGS6EV25" hidden="1">#REF!</definedName>
    <definedName name="IQRGS6EV864" hidden="1">#REF!</definedName>
    <definedName name="IQRGS6EV865" hidden="1">#REF!</definedName>
    <definedName name="IQRGS6FK1365" hidden="1">#REF!</definedName>
    <definedName name="IQRGS6FK1366" hidden="1">#REF!</definedName>
    <definedName name="IQRGS6FK23" hidden="1">#REF!</definedName>
    <definedName name="IQRGS6FK24" hidden="1">#REF!</definedName>
    <definedName name="IQRGS6FK25" hidden="1">#REF!</definedName>
    <definedName name="IQRGS6FK864" hidden="1">#REF!</definedName>
    <definedName name="IQRGS6FK865" hidden="1">#REF!</definedName>
    <definedName name="IQRGS6FZ1365" hidden="1">#REF!</definedName>
    <definedName name="IQRGS6FZ1366" hidden="1">#REF!</definedName>
    <definedName name="IQRGS6FZ23" hidden="1">#REF!</definedName>
    <definedName name="IQRGS6FZ24" hidden="1">#REF!</definedName>
    <definedName name="IQRGS6FZ25" hidden="1">#REF!</definedName>
    <definedName name="IQRGS6FZ864" hidden="1">#REF!</definedName>
    <definedName name="IQRGS6FZ865" hidden="1">#REF!</definedName>
    <definedName name="IQRGS6GO1365" hidden="1">#REF!</definedName>
    <definedName name="IQRGS6GO1366" hidden="1">#REF!</definedName>
    <definedName name="IQRGS6GO23" hidden="1">#REF!</definedName>
    <definedName name="IQRGS6GO24" hidden="1">#REF!</definedName>
    <definedName name="IQRGS6GO25" hidden="1">#REF!</definedName>
    <definedName name="IQRGS6GO864" hidden="1">#REF!</definedName>
    <definedName name="IQRGS6GO865" hidden="1">#REF!</definedName>
    <definedName name="IQRGS6HD1365" hidden="1">#REF!</definedName>
    <definedName name="IQRGS6HD1366" hidden="1">#REF!</definedName>
    <definedName name="IQRGS6HD23" hidden="1">#REF!</definedName>
    <definedName name="IQRGS6HD24" hidden="1">#REF!</definedName>
    <definedName name="IQRGS6HD25" hidden="1">#REF!</definedName>
    <definedName name="IQRGS6HD864" hidden="1">#REF!</definedName>
    <definedName name="IQRGS6HD865" hidden="1">#REF!</definedName>
    <definedName name="IQRGS6HS1365" hidden="1">#REF!</definedName>
    <definedName name="IQRGS6HS1366" hidden="1">#REF!</definedName>
    <definedName name="IQRGS6HS23" hidden="1">#REF!</definedName>
    <definedName name="IQRGS6HS24" hidden="1">#REF!</definedName>
    <definedName name="IQRGS6HS25" hidden="1">#REF!</definedName>
    <definedName name="IQRGS6HS864" hidden="1">#REF!</definedName>
    <definedName name="IQRGS6HS865" hidden="1">#REF!</definedName>
    <definedName name="IQRGS6MktCapAC22" hidden="1">#REF!</definedName>
    <definedName name="IQRGS6MktCapAD15" hidden="1">#REF!</definedName>
    <definedName name="IQRGS6MktCapAE15" hidden="1">#REF!</definedName>
    <definedName name="IQRGS6MktCapAF15" hidden="1">#REF!</definedName>
    <definedName name="IQRGS6MktCapAG15" hidden="1">#REF!</definedName>
    <definedName name="IQRGS6MktCapAH15" hidden="1">#REF!</definedName>
    <definedName name="IQRGS6MktCapAK15" hidden="1">#REF!</definedName>
    <definedName name="IQRGS6MktCapAL15" hidden="1">#REF!</definedName>
    <definedName name="IQRGS6MktCapAL22" hidden="1">#REF!</definedName>
    <definedName name="IQRGS6MktCapAM15" hidden="1">#REF!</definedName>
    <definedName name="IQRGS6MktCapAN15" hidden="1">#REF!</definedName>
    <definedName name="IQRGS6MktCapAO15" hidden="1">#REF!</definedName>
    <definedName name="IQRGS6MktCapAP15" hidden="1">#REF!</definedName>
    <definedName name="IQRGS6MktCapAR15" hidden="1">#REF!</definedName>
    <definedName name="IQRGS6MktCapAS15" hidden="1">#REF!</definedName>
    <definedName name="IQRGS6MktCapAT15" hidden="1">#REF!</definedName>
    <definedName name="IQRGS6MktCapAU15" hidden="1">#REF!</definedName>
    <definedName name="IQRGS6MktCapAU22" hidden="1">#REF!</definedName>
    <definedName name="IQRGS6MktCapAV15" hidden="1">#REF!</definedName>
    <definedName name="IQRGS6MktCapAW15" hidden="1">#REF!</definedName>
    <definedName name="IQRGS6MktCapAX15" hidden="1">#REF!</definedName>
    <definedName name="IQRGS6MktCapAY15" hidden="1">#REF!</definedName>
    <definedName name="IQRGS6MktCapAZ15" hidden="1">#REF!</definedName>
    <definedName name="IQRGS6MktCapB15" hidden="1">#REF!</definedName>
    <definedName name="IQRGS6MktCapB22" hidden="1">#REF!</definedName>
    <definedName name="IQRGS6MktCapBA15" hidden="1">#REF!</definedName>
    <definedName name="IQRGS6MktCapBB15" hidden="1">#REF!</definedName>
    <definedName name="IQRGS6MktCapBC15" hidden="1">#REF!</definedName>
    <definedName name="IQRGS6MktCapBD15" hidden="1">#REF!</definedName>
    <definedName name="IQRGS6MktCapBD22" hidden="1">#REF!</definedName>
    <definedName name="IQRGS6MktCapBE15" hidden="1">#REF!</definedName>
    <definedName name="IQRGS6MktCapBF15" hidden="1">#REF!</definedName>
    <definedName name="IQRGS6MktCapBG15" hidden="1">#REF!</definedName>
    <definedName name="IQRGS6MktCapBH15" hidden="1">#REF!</definedName>
    <definedName name="IQRGS6MktCapBI15" hidden="1">#REF!</definedName>
    <definedName name="IQRGS6MktCapBJ15" hidden="1">#REF!</definedName>
    <definedName name="IQRGS6MktCapBK15" hidden="1">#REF!</definedName>
    <definedName name="IQRGS6MktCapBL15" hidden="1">#REF!</definedName>
    <definedName name="IQRGS6MktCapBM15" hidden="1">#REF!</definedName>
    <definedName name="IQRGS6MktCapBM22" hidden="1">#REF!</definedName>
    <definedName name="IQRGS6MktCapBN15" hidden="1">#REF!</definedName>
    <definedName name="IQRGS6MktCapBO15" hidden="1">#REF!</definedName>
    <definedName name="IQRGS6MktCapBP15" hidden="1">#REF!</definedName>
    <definedName name="IQRGS6MktCapBQ15" hidden="1">#REF!</definedName>
    <definedName name="IQRGS6MktCapBR15" hidden="1">#REF!</definedName>
    <definedName name="IQRGS6MktCapBS15" hidden="1">#REF!</definedName>
    <definedName name="IQRGS6MktCapBT15" hidden="1">#REF!</definedName>
    <definedName name="IQRGS6MktCapBU15" hidden="1">#REF!</definedName>
    <definedName name="IQRGS6MktCapBV15" hidden="1">#REF!</definedName>
    <definedName name="IQRGS6MktCapBV22" hidden="1">#REF!</definedName>
    <definedName name="IQRGS6MktCapBW15" hidden="1">#REF!</definedName>
    <definedName name="IQRGS6MktCapBX15" hidden="1">#REF!</definedName>
    <definedName name="IQRGS6MktCapBY15" hidden="1">#REF!</definedName>
    <definedName name="IQRGS6MktCapBZ15" hidden="1">#REF!</definedName>
    <definedName name="IQRGS6MktCapCA15" hidden="1">#REF!</definedName>
    <definedName name="IQRGS6MktCapCB15" hidden="1">#REF!</definedName>
    <definedName name="IQRGS6MktCapCC15" hidden="1">#REF!</definedName>
    <definedName name="IQRGS6MktCapCD15" hidden="1">#REF!</definedName>
    <definedName name="IQRGS6MktCapCE15" hidden="1">#REF!</definedName>
    <definedName name="IQRGS6MktCapCE22" hidden="1">#REF!</definedName>
    <definedName name="IQRGS6MktCapCF15" hidden="1">#REF!</definedName>
    <definedName name="IQRGS6MktCapCG15" hidden="1">#REF!</definedName>
    <definedName name="IQRGS6MktCapCH15" hidden="1">#REF!</definedName>
    <definedName name="IQRGS6MktCapCI15" hidden="1">#REF!</definedName>
    <definedName name="IQRGS6MktCapCJ15" hidden="1">#REF!</definedName>
    <definedName name="IQRGS6MktCapCK15" hidden="1">#REF!</definedName>
    <definedName name="IQRGS6MktCapCL15" hidden="1">#REF!</definedName>
    <definedName name="IQRGS6MktCapCM15" hidden="1">#REF!</definedName>
    <definedName name="IQRGS6MktCapCN15" hidden="1">#REF!</definedName>
    <definedName name="IQRGS6MktCapCN22" hidden="1">#REF!</definedName>
    <definedName name="IQRGS6MktCapCO15" hidden="1">#REF!</definedName>
    <definedName name="IQRGS6MktCapCP15" hidden="1">#REF!</definedName>
    <definedName name="IQRGS6MktCapCQ15" hidden="1">#REF!</definedName>
    <definedName name="IQRGS6MktCapCR15" hidden="1">#REF!</definedName>
    <definedName name="IQRGS6MktCapCS15" hidden="1">#REF!</definedName>
    <definedName name="IQRGS6MktCapCT15" hidden="1">#REF!</definedName>
    <definedName name="IQRGS6MktCapCU15" hidden="1">#REF!</definedName>
    <definedName name="IQRGS6MktCapCV15" hidden="1">#REF!</definedName>
    <definedName name="IQRGS6MktCapCW15" hidden="1">#REF!</definedName>
    <definedName name="IQRGS6MktCapCW22" hidden="1">#REF!</definedName>
    <definedName name="IQRGS6MktCapCX15" hidden="1">#REF!</definedName>
    <definedName name="IQRGS6MktCapCY15" hidden="1">#REF!</definedName>
    <definedName name="IQRGS6MktCapCZ15" hidden="1">#REF!</definedName>
    <definedName name="IQRGS6MktCapDA15" hidden="1">#REF!</definedName>
    <definedName name="IQRGS6MktCapDB15" hidden="1">#REF!</definedName>
    <definedName name="IQRGS6MktCapDC15" hidden="1">#REF!</definedName>
    <definedName name="IQRGS6MktCapDD15" hidden="1">#REF!</definedName>
    <definedName name="IQRGS6MktCapDE15" hidden="1">#REF!</definedName>
    <definedName name="IQRGS6MktCapDF15" hidden="1">#REF!</definedName>
    <definedName name="IQRGS6MktCapDF22" hidden="1">#REF!</definedName>
    <definedName name="IQRGS6MktCapDG15" hidden="1">#REF!</definedName>
    <definedName name="IQRGS6MktCapDH15" hidden="1">#REF!</definedName>
    <definedName name="IQRGS6MktCapDI15" hidden="1">#REF!</definedName>
    <definedName name="IQRGS6MktCapDJ15" hidden="1">#REF!</definedName>
    <definedName name="IQRGS6MktCapDK15" hidden="1">#REF!</definedName>
    <definedName name="IQRGS6MktCapDL15" hidden="1">#REF!</definedName>
    <definedName name="IQRGS6MktCapDM15" hidden="1">#REF!</definedName>
    <definedName name="IQRGS6MktCapDN15" hidden="1">#REF!</definedName>
    <definedName name="IQRGS6MktCapDO15" hidden="1">#REF!</definedName>
    <definedName name="IQRGS6MktCapDO22" hidden="1">#REF!</definedName>
    <definedName name="IQRGS6MktCapDP15" hidden="1">#REF!</definedName>
    <definedName name="IQRGS6MktCapDQ15" hidden="1">#REF!</definedName>
    <definedName name="IQRGS6MktCapDR15" hidden="1">#REF!</definedName>
    <definedName name="IQRGS6MktCapDS15" hidden="1">#REF!</definedName>
    <definedName name="IQRGS6MktCapDT15" hidden="1">#REF!</definedName>
    <definedName name="IQRGS6MktCapDU15" hidden="1">#REF!</definedName>
    <definedName name="IQRGS6MktCapDV15" hidden="1">#REF!</definedName>
    <definedName name="IQRGS6MktCapDW15" hidden="1">#REF!</definedName>
    <definedName name="IQRGS6MktCapDX15" hidden="1">#REF!</definedName>
    <definedName name="IQRGS6MktCapDX22" hidden="1">#REF!</definedName>
    <definedName name="IQRGS6MktCapDY15" hidden="1">#REF!</definedName>
    <definedName name="IQRGS6MktCapDZ15" hidden="1">#REF!</definedName>
    <definedName name="IQRGS6MktCapEA15" hidden="1">#REF!</definedName>
    <definedName name="IQRGS6MktCapEB15" hidden="1">#REF!</definedName>
    <definedName name="IQRGS6MktCapEC15" hidden="1">#REF!</definedName>
    <definedName name="IQRGS6MktCapED15" hidden="1">#REF!</definedName>
    <definedName name="IQRGS6MktCapEE15" hidden="1">#REF!</definedName>
    <definedName name="IQRGS6MktCapEF15" hidden="1">#REF!</definedName>
    <definedName name="IQRGS6MktCapEG15" hidden="1">#REF!</definedName>
    <definedName name="IQRGS6MktCapEG22" hidden="1">#REF!</definedName>
    <definedName name="IQRGS6MktCapEH15" hidden="1">#REF!</definedName>
    <definedName name="IQRGS6MktCapEI15" hidden="1">#REF!</definedName>
    <definedName name="IQRGS6MktCapEJ15" hidden="1">#REF!</definedName>
    <definedName name="IQRGS6MktCapEK15" hidden="1">#REF!</definedName>
    <definedName name="IQRGS6MktCapEL15" hidden="1">#REF!</definedName>
    <definedName name="IQRGS6MktCapEM15" hidden="1">#REF!</definedName>
    <definedName name="IQRGS6MktCapEN15" hidden="1">#REF!</definedName>
    <definedName name="IQRGS6MktCapEO15" hidden="1">#REF!</definedName>
    <definedName name="IQRGS6MktCapEP15" hidden="1">#REF!</definedName>
    <definedName name="IQRGS6MktCapEP22" hidden="1">#REF!</definedName>
    <definedName name="IQRGS6MktCapEQ15" hidden="1">#REF!</definedName>
    <definedName name="IQRGS6MktCapER15" hidden="1">#REF!</definedName>
    <definedName name="IQRGS6MktCapES15" hidden="1">#REF!</definedName>
    <definedName name="IQRGS6MktCapET15" hidden="1">#REF!</definedName>
    <definedName name="IQRGS6MktCapEU15" hidden="1">#REF!</definedName>
    <definedName name="IQRGS6MktCapEV15" hidden="1">#REF!</definedName>
    <definedName name="IQRGS6MktCapEW15" hidden="1">#REF!</definedName>
    <definedName name="IQRGS6MktCapEX15" hidden="1">#REF!</definedName>
    <definedName name="IQRGS6MktCapEY22" hidden="1">#REF!</definedName>
    <definedName name="IQRGS6MktCapFH22" hidden="1">#REF!</definedName>
    <definedName name="IQRGS6MktCapFQ22" hidden="1">#REF!</definedName>
    <definedName name="IQRGS6MktCapI15" hidden="1">#REF!</definedName>
    <definedName name="IQRGS6MktCapJ15" hidden="1">#REF!</definedName>
    <definedName name="IQRGS6MktCapK22" hidden="1">#REF!</definedName>
    <definedName name="IQRGS6MktCapP15" hidden="1">#REF!</definedName>
    <definedName name="IQRGS6MktCapQ15" hidden="1">#REF!</definedName>
    <definedName name="IQRGS6MktCapR15" hidden="1">#REF!</definedName>
    <definedName name="IQRGS6MktCapT22" hidden="1">#REF!</definedName>
    <definedName name="IQRGS6MktCapW15" hidden="1">#REF!</definedName>
    <definedName name="IQRGS6MktCapX15" hidden="1">#REF!</definedName>
    <definedName name="IQRGS6MktCapY15" hidden="1">#REF!</definedName>
    <definedName name="IQRGS6MktCapZ15" hidden="1">#REF!</definedName>
    <definedName name="IQRGS6Q1365" hidden="1">#REF!</definedName>
    <definedName name="IQRGS6Q1366" hidden="1">#REF!</definedName>
    <definedName name="IQRGS6Q1709" hidden="1">#REF!</definedName>
    <definedName name="IQRGS6Q1710" hidden="1">#REF!</definedName>
    <definedName name="IQRGS6Q2210" hidden="1">#REF!</definedName>
    <definedName name="IQRGS6Q23" hidden="1">#REF!</definedName>
    <definedName name="IQRGS6Q24" hidden="1">#REF!</definedName>
    <definedName name="IQRGS6Q25" hidden="1">#REF!</definedName>
    <definedName name="IQRGS6Q2710" hidden="1">#REF!</definedName>
    <definedName name="IQRGS6Q2711" hidden="1">#REF!</definedName>
    <definedName name="IQRGS6Q2712" hidden="1">#REF!</definedName>
    <definedName name="IQRGS6Q864" hidden="1">#REF!</definedName>
    <definedName name="IQRGS6Q865" hidden="1">#REF!</definedName>
    <definedName name="IQRGS6R1366" hidden="1">#REF!</definedName>
    <definedName name="IQRGS6R2712" hidden="1">#REF!</definedName>
    <definedName name="IQRH10" hidden="1">"$H$11:$H$24"</definedName>
    <definedName name="IQRH11" hidden="1">"$H$12:$H$21"</definedName>
    <definedName name="IQRHD23" hidden="1">"$HD$24"</definedName>
    <definedName name="IQRHD864" hidden="1">"$HD$865"</definedName>
    <definedName name="IQRHS23" hidden="1">"$HS$24"</definedName>
    <definedName name="IQRHS864" hidden="1">"$HS$865"</definedName>
    <definedName name="IQRM10" hidden="1">"$M$11:$M$24"</definedName>
    <definedName name="IQRM11" hidden="1">"$M$12:$M$25"</definedName>
    <definedName name="IQRMktCapAH14" hidden="1">#REF!</definedName>
    <definedName name="IQRMktCapAH15" hidden="1">#REF!</definedName>
    <definedName name="IQRMktCapAH16" hidden="1">#REF!</definedName>
    <definedName name="IQRMktCapAP14" hidden="1">#REF!</definedName>
    <definedName name="IQRMktCapAP15" hidden="1">#REF!</definedName>
    <definedName name="IQRMktCapAP16" hidden="1">#REF!</definedName>
    <definedName name="IQRMktCapAX14" hidden="1">#REF!</definedName>
    <definedName name="IQRMktCapAX15" hidden="1">#REF!</definedName>
    <definedName name="IQRMktCapAX16" hidden="1">#REF!</definedName>
    <definedName name="IQRMktCapB14" hidden="1">#REF!</definedName>
    <definedName name="IQRMktCapB15" hidden="1">#REF!</definedName>
    <definedName name="IQRMktCapB16" hidden="1">#REF!</definedName>
    <definedName name="IQRMktCapBF14" hidden="1">#REF!</definedName>
    <definedName name="IQRMktCapBF15" hidden="1">#REF!</definedName>
    <definedName name="IQRMktCapBF16" hidden="1">#REF!</definedName>
    <definedName name="IQRMktCapBN14" hidden="1">#REF!</definedName>
    <definedName name="IQRMktCapBN15" hidden="1">#REF!</definedName>
    <definedName name="IQRMktCapBN16" hidden="1">#REF!</definedName>
    <definedName name="IQRMktCapBV14" hidden="1">#REF!</definedName>
    <definedName name="IQRMktCapBV15" hidden="1">#REF!</definedName>
    <definedName name="IQRMktCapBV16" hidden="1">#REF!</definedName>
    <definedName name="IQRMktCapCD14" hidden="1">#REF!</definedName>
    <definedName name="IQRMktCapCD15" hidden="1">#REF!</definedName>
    <definedName name="IQRMktCapCD16" hidden="1">#REF!</definedName>
    <definedName name="IQRMktCapCL14" hidden="1">#REF!</definedName>
    <definedName name="IQRMktCapCL15" hidden="1">#REF!</definedName>
    <definedName name="IQRMktCapCL16" hidden="1">#REF!</definedName>
    <definedName name="IQRMktCapCT14" hidden="1">#REF!</definedName>
    <definedName name="IQRMktCapCT15" hidden="1">#REF!</definedName>
    <definedName name="IQRMktCapCT16" hidden="1">#REF!</definedName>
    <definedName name="IQRMktCapDB14" hidden="1">#REF!</definedName>
    <definedName name="IQRMktCapDB15" hidden="1">#REF!</definedName>
    <definedName name="IQRMktCapDB16" hidden="1">#REF!</definedName>
    <definedName name="IQRMktCapDJ14" hidden="1">#REF!</definedName>
    <definedName name="IQRMktCapDJ15" hidden="1">#REF!</definedName>
    <definedName name="IQRMktCapDJ16" hidden="1">#REF!</definedName>
    <definedName name="IQRMktCapDR14" hidden="1">#REF!</definedName>
    <definedName name="IQRMktCapDR15" hidden="1">#REF!</definedName>
    <definedName name="IQRMktCapDR16" hidden="1">#REF!</definedName>
    <definedName name="IQRMktCapDZ14" hidden="1">#REF!</definedName>
    <definedName name="IQRMktCapDZ15" hidden="1">#REF!</definedName>
    <definedName name="IQRMktCapDZ16" hidden="1">#REF!</definedName>
    <definedName name="IQRMktCapEH14" hidden="1">#REF!</definedName>
    <definedName name="IQRMktCapEH15" hidden="1">#REF!</definedName>
    <definedName name="IQRMktCapEH16" hidden="1">#REF!</definedName>
    <definedName name="IQRMktCapEP14" hidden="1">#REF!</definedName>
    <definedName name="IQRMktCapEP15" hidden="1">#REF!</definedName>
    <definedName name="IQRMktCapEP16" hidden="1">#REF!</definedName>
    <definedName name="IQRMktCapEX14" hidden="1">#REF!</definedName>
    <definedName name="IQRMktCapEX15" hidden="1">#REF!</definedName>
    <definedName name="IQRMktCapEX16" hidden="1">#REF!</definedName>
    <definedName name="IQRMktCapJ14" hidden="1">#REF!</definedName>
    <definedName name="IQRMktCapJ15" hidden="1">#REF!</definedName>
    <definedName name="IQRMktCapJ16" hidden="1">#REF!</definedName>
    <definedName name="IQRMktCapR14" hidden="1">#REF!</definedName>
    <definedName name="IQRMktCapR15" hidden="1">#REF!</definedName>
    <definedName name="IQRMktCapR16" hidden="1">#REF!</definedName>
    <definedName name="IQRMktCapZ14" hidden="1">#REF!</definedName>
    <definedName name="IQRMktCapZ15" hidden="1">#REF!</definedName>
    <definedName name="IQRMktCapZ16" hidden="1">#REF!</definedName>
    <definedName name="IQRN11" hidden="1">"$N$12:$N$16"</definedName>
    <definedName name="IQRO10" hidden="1">"$O$11:$O$24"</definedName>
    <definedName name="IQRO11" hidden="1">"$O$12"</definedName>
    <definedName name="IQRP11" hidden="1">"$P$12"</definedName>
    <definedName name="IQRPrefShareAA6" hidden="1">#REF!</definedName>
    <definedName name="IQRPrefShareAC6" hidden="1">#REF!</definedName>
    <definedName name="IQRPrefShareAE6" hidden="1">#REF!</definedName>
    <definedName name="IQRPrefShareAG6" hidden="1">#REF!</definedName>
    <definedName name="IQRPrefShareAI6" hidden="1">#REF!</definedName>
    <definedName name="IQRPrefShareAK6" hidden="1">#REF!</definedName>
    <definedName name="IQRPrefShareAM6" hidden="1">#REF!</definedName>
    <definedName name="IQRPrefShareAO6" hidden="1">#REF!</definedName>
    <definedName name="IQRPrefShareAQ6" hidden="1">#REF!</definedName>
    <definedName name="IQRPrefShareAS6" hidden="1">#REF!</definedName>
    <definedName name="IQRPrefShareAU6" hidden="1">#REF!</definedName>
    <definedName name="IQRPrefShareAW6" hidden="1">#REF!</definedName>
    <definedName name="IQRPrefShareAY6" hidden="1">#REF!</definedName>
    <definedName name="IQRPrefShareB6" hidden="1">#REF!</definedName>
    <definedName name="IQRPrefShareBA6" hidden="1">#REF!</definedName>
    <definedName name="IQRPrefShareBC6" hidden="1">#REF!</definedName>
    <definedName name="IQRPrefShareQ5" hidden="1">#REF!</definedName>
    <definedName name="IQRPrefShareQ6" hidden="1">#REF!</definedName>
    <definedName name="IQRPrefShareS6" hidden="1">#REF!</definedName>
    <definedName name="IQRPrefShareU6" hidden="1">#REF!</definedName>
    <definedName name="IQRPrefShareW6" hidden="1">#REF!</definedName>
    <definedName name="IQRPrefShareY6" hidden="1">#REF!</definedName>
    <definedName name="IQRQ10" hidden="1">"$Q$11:$Q$15"</definedName>
    <definedName name="IQRQ11" hidden="1">"$Q$12"</definedName>
    <definedName name="IQRQ1709" hidden="1">"$Q$1710"</definedName>
    <definedName name="IQRQ23" hidden="1">"$Q$24"</definedName>
    <definedName name="IQRQ864" hidden="1">"$Q$865"</definedName>
    <definedName name="IQRR11" hidden="1">"$R$12"</definedName>
    <definedName name="IQRS10" hidden="1">"$S$11"</definedName>
    <definedName name="IQRS11" hidden="1">"$S$12"</definedName>
    <definedName name="IQRSheet1A6" hidden="1">#REF!</definedName>
    <definedName name="IQRSheet1A7" hidden="1">#REF!</definedName>
    <definedName name="IQRSheet1A8" hidden="1">#REF!</definedName>
    <definedName name="IQRSheet1A9" hidden="1">#REF!</definedName>
    <definedName name="IQRSheet1AG8" hidden="1">#REF!</definedName>
    <definedName name="IQRSheet1AO8" hidden="1">#REF!</definedName>
    <definedName name="IQRSheet1AW8" hidden="1">#REF!</definedName>
    <definedName name="IQRSheet1B6" hidden="1">#REF!</definedName>
    <definedName name="IQRSheet1B7" hidden="1">#REF!</definedName>
    <definedName name="IQRSheet1B8" hidden="1">#REF!</definedName>
    <definedName name="IQRSheet1BE8" hidden="1">#REF!</definedName>
    <definedName name="IQRSheet1BM8" hidden="1">#REF!</definedName>
    <definedName name="IQRSheet1BU8" hidden="1">#REF!</definedName>
    <definedName name="IQRSheet1CB8" hidden="1">#REF!</definedName>
    <definedName name="IQRSheet1CC8" hidden="1">#REF!</definedName>
    <definedName name="IQRSheet1CJ8" hidden="1">#REF!</definedName>
    <definedName name="IQRSheet1CK8" hidden="1">#REF!</definedName>
    <definedName name="IQRSheet1CR8" hidden="1">#REF!</definedName>
    <definedName name="IQRSheet1CS8" hidden="1">#REF!</definedName>
    <definedName name="IQRSheet1CZ8" hidden="1">#REF!</definedName>
    <definedName name="IQRSheet1DA8" hidden="1">#REF!</definedName>
    <definedName name="IQRSheet1DH8" hidden="1">#REF!</definedName>
    <definedName name="IQRSheet1DI8" hidden="1">#REF!</definedName>
    <definedName name="IQRSheet1DP8" hidden="1">#REF!</definedName>
    <definedName name="IQRSheet1DQ8" hidden="1">#REF!</definedName>
    <definedName name="IQRSheet1DX8" hidden="1">#REF!</definedName>
    <definedName name="IQRSheet1DY8" hidden="1">#REF!</definedName>
    <definedName name="IQRSheet1EF8" hidden="1">#REF!</definedName>
    <definedName name="IQRSheet1EG8" hidden="1">#REF!</definedName>
    <definedName name="IQRSheet1EN8" hidden="1">#REF!</definedName>
    <definedName name="IQRSheet1EO8" hidden="1">#REF!</definedName>
    <definedName name="IQRSheet1EV8" hidden="1">#REF!</definedName>
    <definedName name="IQRSheet1EW8" hidden="1">#REF!</definedName>
    <definedName name="IQRSheet1I8" hidden="1">#REF!</definedName>
    <definedName name="IQRSheet1Q8" hidden="1">#REF!</definedName>
    <definedName name="IQRSheet1Y8" hidden="1">#REF!</definedName>
    <definedName name="IQRT11" hidden="1">"$T$12"</definedName>
    <definedName name="IQRTradingVolA6" hidden="1">#REF!</definedName>
    <definedName name="IQRTradingVolA7" hidden="1">#REF!</definedName>
    <definedName name="IQRTradingVolA8" hidden="1">#REF!</definedName>
    <definedName name="IQRTradingVolAA10" hidden="1">#REF!</definedName>
    <definedName name="IQRTradingVolAA6" hidden="1">#REF!</definedName>
    <definedName name="IQRTradingVolAA7" hidden="1">#REF!</definedName>
    <definedName name="IQRTradingVolAA8" hidden="1">#REF!</definedName>
    <definedName name="IQRTradingVolAA9" hidden="1">#REF!</definedName>
    <definedName name="IQRTradingVolAB11" hidden="1">#REF!</definedName>
    <definedName name="IQRTradingVolAB6" hidden="1">#REF!</definedName>
    <definedName name="IQRTradingVolAB7" hidden="1">#REF!</definedName>
    <definedName name="IQRTradingVolAB8" hidden="1">#REF!</definedName>
    <definedName name="IQRTradingVolAB9" hidden="1">#REF!</definedName>
    <definedName name="IQRTradingVolAC10" hidden="1">#REF!</definedName>
    <definedName name="IQRTradingVolAC6" hidden="1">#REF!</definedName>
    <definedName name="IQRTradingVolAC7" hidden="1">#REF!</definedName>
    <definedName name="IQRTradingVolAC8" hidden="1">#REF!</definedName>
    <definedName name="IQRTradingVolAC9" hidden="1">#REF!</definedName>
    <definedName name="IQRTradingVolAD11" hidden="1">#REF!</definedName>
    <definedName name="IQRTradingVolAD6" hidden="1">#REF!</definedName>
    <definedName name="IQRTradingVolAD7" hidden="1">#REF!</definedName>
    <definedName name="IQRTradingVolAD8" hidden="1">#REF!</definedName>
    <definedName name="IQRTradingVolAD9" hidden="1">#REF!</definedName>
    <definedName name="IQRTradingVolAE10" hidden="1">#REF!</definedName>
    <definedName name="IQRTradingVolAE6" hidden="1">#REF!</definedName>
    <definedName name="IQRTradingVolAE7" hidden="1">#REF!</definedName>
    <definedName name="IQRTradingVolAE8" hidden="1">#REF!</definedName>
    <definedName name="IQRTradingVolAE9" hidden="1">#REF!</definedName>
    <definedName name="IQRTradingVolAF11" hidden="1">#REF!</definedName>
    <definedName name="IQRTradingVolAF6" hidden="1">#REF!</definedName>
    <definedName name="IQRTradingVolAF7" hidden="1">#REF!</definedName>
    <definedName name="IQRTradingVolAF8" hidden="1">#REF!</definedName>
    <definedName name="IQRTradingVolAF9" hidden="1">#REF!</definedName>
    <definedName name="IQRTradingVolAG10" hidden="1">#REF!</definedName>
    <definedName name="IQRTradingVolAG6" hidden="1">#REF!</definedName>
    <definedName name="IQRTradingVolAG7" hidden="1">#REF!</definedName>
    <definedName name="IQRTradingVolAG8" hidden="1">#REF!</definedName>
    <definedName name="IQRTradingVolAG9" hidden="1">#REF!</definedName>
    <definedName name="IQRTradingVolAH11" hidden="1">#REF!</definedName>
    <definedName name="IQRTradingVolAH6" hidden="1">#REF!</definedName>
    <definedName name="IQRTradingVolAH7" hidden="1">#REF!</definedName>
    <definedName name="IQRTradingVolAH8" hidden="1">#REF!</definedName>
    <definedName name="IQRTradingVolAH9" hidden="1">#REF!</definedName>
    <definedName name="IQRTradingVolAI10" hidden="1">#REF!</definedName>
    <definedName name="IQRTradingVolAI6" hidden="1">#REF!</definedName>
    <definedName name="IQRTradingVolAI7" hidden="1">#REF!</definedName>
    <definedName name="IQRTradingVolAI8" hidden="1">#REF!</definedName>
    <definedName name="IQRTradingVolAI9" hidden="1">#REF!</definedName>
    <definedName name="IQRTradingVolAJ11" hidden="1">#REF!</definedName>
    <definedName name="IQRTradingVolAJ6" hidden="1">#REF!</definedName>
    <definedName name="IQRTradingVolAJ7" hidden="1">#REF!</definedName>
    <definedName name="IQRTradingVolAJ8" hidden="1">#REF!</definedName>
    <definedName name="IQRTradingVolAJ9" hidden="1">#REF!</definedName>
    <definedName name="IQRTradingVolAK10" hidden="1">#REF!</definedName>
    <definedName name="IQRTradingVolAK6" hidden="1">#REF!</definedName>
    <definedName name="IQRTradingVolAK7" hidden="1">#REF!</definedName>
    <definedName name="IQRTradingVolAK8" hidden="1">#REF!</definedName>
    <definedName name="IQRTradingVolAK9" hidden="1">#REF!</definedName>
    <definedName name="IQRTradingVolAL11" hidden="1">#REF!</definedName>
    <definedName name="IQRTradingVolAL6" hidden="1">#REF!</definedName>
    <definedName name="IQRTradingVolAL7" hidden="1">#REF!</definedName>
    <definedName name="IQRTradingVolAL8" hidden="1">#REF!</definedName>
    <definedName name="IQRTradingVolAL9" hidden="1">#REF!</definedName>
    <definedName name="IQRTradingVolAM10" hidden="1">#REF!</definedName>
    <definedName name="IQRTradingVolAM6" hidden="1">#REF!</definedName>
    <definedName name="IQRTradingVolAM7" hidden="1">#REF!</definedName>
    <definedName name="IQRTradingVolAM8" hidden="1">#REF!</definedName>
    <definedName name="IQRTradingVolAM9" hidden="1">#REF!</definedName>
    <definedName name="IQRTradingVolAN11" hidden="1">#REF!</definedName>
    <definedName name="IQRTradingVolAN6" hidden="1">#REF!</definedName>
    <definedName name="IQRTradingVolAN7" hidden="1">#REF!</definedName>
    <definedName name="IQRTradingVolAN8" hidden="1">#REF!</definedName>
    <definedName name="IQRTradingVolAN9" hidden="1">#REF!</definedName>
    <definedName name="IQRTradingVolAO10" hidden="1">#REF!</definedName>
    <definedName name="IQRTradingVolAO8" hidden="1">#REF!</definedName>
    <definedName name="IQRTradingVolAO9" hidden="1">#REF!</definedName>
    <definedName name="IQRTradingVolAR8" hidden="1">#REF!</definedName>
    <definedName name="IQRTradingVolAR9" hidden="1">#REF!</definedName>
    <definedName name="IQRTradingVolAU8" hidden="1">#REF!</definedName>
    <definedName name="IQRTradingVolAU9" hidden="1">#REF!</definedName>
    <definedName name="IQRTradingVolAX8" hidden="1">#REF!</definedName>
    <definedName name="IQRTradingVolAX9" hidden="1">#REF!</definedName>
    <definedName name="IQRTradingVolB10" hidden="1">#REF!</definedName>
    <definedName name="IQRTradingVolB11" hidden="1">#REF!</definedName>
    <definedName name="IQRTradingVolB6" hidden="1">#REF!</definedName>
    <definedName name="IQRTradingVolB7" hidden="1">#REF!</definedName>
    <definedName name="IQRTradingVolB8" hidden="1">#REF!</definedName>
    <definedName name="IQRTradingVolB9" hidden="1">#REF!</definedName>
    <definedName name="IQRTradingVolBA8" hidden="1">#REF!</definedName>
    <definedName name="IQRTradingVolBA9" hidden="1">#REF!</definedName>
    <definedName name="IQRTradingVolBD8" hidden="1">#REF!</definedName>
    <definedName name="IQRTradingVolBD9" hidden="1">#REF!</definedName>
    <definedName name="IQRTradingVolBG8" hidden="1">#REF!</definedName>
    <definedName name="IQRTradingVolBG9" hidden="1">#REF!</definedName>
    <definedName name="IQRTradingVolC6" hidden="1">#REF!</definedName>
    <definedName name="IQRTradingVolC7" hidden="1">#REF!</definedName>
    <definedName name="IQRTradingVolC8" hidden="1">#REF!</definedName>
    <definedName name="IQRTradingVolD11" hidden="1">#REF!</definedName>
    <definedName name="IQRTradingVolD6" hidden="1">#REF!</definedName>
    <definedName name="IQRTradingVolD7" hidden="1">#REF!</definedName>
    <definedName name="IQRTradingVolD8" hidden="1">#REF!</definedName>
    <definedName name="IQRTradingVolD9" hidden="1">#REF!</definedName>
    <definedName name="IQRTradingVolE10" hidden="1">#REF!</definedName>
    <definedName name="IQRTradingVolE6" hidden="1">#REF!</definedName>
    <definedName name="IQRTradingVolE7" hidden="1">#REF!</definedName>
    <definedName name="IQRTradingVolE8" hidden="1">#REF!</definedName>
    <definedName name="IQRTradingVolE9" hidden="1">#REF!</definedName>
    <definedName name="IQRTradingVolF11" hidden="1">#REF!</definedName>
    <definedName name="IQRTradingVolF6" hidden="1">#REF!</definedName>
    <definedName name="IQRTradingVolF7" hidden="1">#REF!</definedName>
    <definedName name="IQRTradingVolF8" hidden="1">#REF!</definedName>
    <definedName name="IQRTradingVolF9" hidden="1">#REF!</definedName>
    <definedName name="IQRTradingVolG10" hidden="1">#REF!</definedName>
    <definedName name="IQRTradingVolG6" hidden="1">#REF!</definedName>
    <definedName name="IQRTradingVolG7" hidden="1">#REF!</definedName>
    <definedName name="IQRTradingVolG8" hidden="1">#REF!</definedName>
    <definedName name="IQRTradingVolG9" hidden="1">#REF!</definedName>
    <definedName name="IQRTradingVolH11" hidden="1">#REF!</definedName>
    <definedName name="IQRTradingVolH6" hidden="1">#REF!</definedName>
    <definedName name="IQRTradingVolH7" hidden="1">#REF!</definedName>
    <definedName name="IQRTradingVolH8" hidden="1">#REF!</definedName>
    <definedName name="IQRTradingVolH9" hidden="1">#REF!</definedName>
    <definedName name="IQRTradingVolI10" hidden="1">#REF!</definedName>
    <definedName name="IQRTradingVolI6" hidden="1">#REF!</definedName>
    <definedName name="IQRTradingVolI7" hidden="1">#REF!</definedName>
    <definedName name="IQRTradingVolI8" hidden="1">#REF!</definedName>
    <definedName name="IQRTradingVolI9" hidden="1">#REF!</definedName>
    <definedName name="IQRTradingVolJ11" hidden="1">#REF!</definedName>
    <definedName name="IQRTradingVolJ6" hidden="1">#REF!</definedName>
    <definedName name="IQRTradingVolJ7" hidden="1">#REF!</definedName>
    <definedName name="IQRTradingVolJ8" hidden="1">#REF!</definedName>
    <definedName name="IQRTradingVolJ9" hidden="1">#REF!</definedName>
    <definedName name="IQRTradingVolK10" hidden="1">#REF!</definedName>
    <definedName name="IQRTradingVolK6" hidden="1">#REF!</definedName>
    <definedName name="IQRTradingVolK7" hidden="1">#REF!</definedName>
    <definedName name="IQRTradingVolK8" hidden="1">#REF!</definedName>
    <definedName name="IQRTradingVolK9" hidden="1">#REF!</definedName>
    <definedName name="IQRTradingVolL11" hidden="1">#REF!</definedName>
    <definedName name="IQRTradingVolL6" hidden="1">#REF!</definedName>
    <definedName name="IQRTradingVolL7" hidden="1">#REF!</definedName>
    <definedName name="IQRTradingVolL8" hidden="1">#REF!</definedName>
    <definedName name="IQRTradingVolL9" hidden="1">#REF!</definedName>
    <definedName name="IQRTradingVolM10" hidden="1">#REF!</definedName>
    <definedName name="IQRTradingVolM6" hidden="1">#REF!</definedName>
    <definedName name="IQRTradingVolM7" hidden="1">#REF!</definedName>
    <definedName name="IQRTradingVolM8" hidden="1">#REF!</definedName>
    <definedName name="IQRTradingVolM9" hidden="1">#REF!</definedName>
    <definedName name="IQRTradingVolN11" hidden="1">#REF!</definedName>
    <definedName name="IQRTradingVolN6" hidden="1">#REF!</definedName>
    <definedName name="IQRTradingVolN7" hidden="1">#REF!</definedName>
    <definedName name="IQRTradingVolN8" hidden="1">#REF!</definedName>
    <definedName name="IQRTradingVolN9" hidden="1">#REF!</definedName>
    <definedName name="IQRTradingVolO10" hidden="1">#REF!</definedName>
    <definedName name="IQRTradingVolO6" hidden="1">#REF!</definedName>
    <definedName name="IQRTradingVolO7" hidden="1">#REF!</definedName>
    <definedName name="IQRTradingVolO8" hidden="1">#REF!</definedName>
    <definedName name="IQRTradingVolO9" hidden="1">#REF!</definedName>
    <definedName name="IQRTradingVolP11" hidden="1">#REF!</definedName>
    <definedName name="IQRTradingVolP6" hidden="1">#REF!</definedName>
    <definedName name="IQRTradingVolP7" hidden="1">#REF!</definedName>
    <definedName name="IQRTradingVolP8" hidden="1">#REF!</definedName>
    <definedName name="IQRTradingVolP9" hidden="1">#REF!</definedName>
    <definedName name="IQRTradingVolQ10" hidden="1">#REF!</definedName>
    <definedName name="IQRTradingVolQ6" hidden="1">#REF!</definedName>
    <definedName name="IQRTradingVolQ7" hidden="1">#REF!</definedName>
    <definedName name="IQRTradingVolQ8" hidden="1">#REF!</definedName>
    <definedName name="IQRTradingVolQ9" hidden="1">#REF!</definedName>
    <definedName name="IQRTradingVolR11" hidden="1">#REF!</definedName>
    <definedName name="IQRTradingVolR6" hidden="1">#REF!</definedName>
    <definedName name="IQRTradingVolR7" hidden="1">#REF!</definedName>
    <definedName name="IQRTradingVolR8" hidden="1">#REF!</definedName>
    <definedName name="IQRTradingVolR9" hidden="1">#REF!</definedName>
    <definedName name="IQRTradingVolS10" hidden="1">#REF!</definedName>
    <definedName name="IQRTradingVolS6" hidden="1">#REF!</definedName>
    <definedName name="IQRTradingVolS7" hidden="1">#REF!</definedName>
    <definedName name="IQRTradingVolS8" hidden="1">#REF!</definedName>
    <definedName name="IQRTradingVolS9" hidden="1">#REF!</definedName>
    <definedName name="IQRTradingVolT11" hidden="1">#REF!</definedName>
    <definedName name="IQRTradingVolT6" hidden="1">#REF!</definedName>
    <definedName name="IQRTradingVolT7" hidden="1">#REF!</definedName>
    <definedName name="IQRTradingVolT8" hidden="1">#REF!</definedName>
    <definedName name="IQRTradingVolT9" hidden="1">#REF!</definedName>
    <definedName name="IQRTradingVolU10" hidden="1">#REF!</definedName>
    <definedName name="IQRTradingVolU6" hidden="1">#REF!</definedName>
    <definedName name="IQRTradingVolU7" hidden="1">#REF!</definedName>
    <definedName name="IQRTradingVolU8" hidden="1">#REF!</definedName>
    <definedName name="IQRTradingVolU9" hidden="1">#REF!</definedName>
    <definedName name="IQRTradingVolV11" hidden="1">#REF!</definedName>
    <definedName name="IQRTradingVolV6" hidden="1">#REF!</definedName>
    <definedName name="IQRTradingVolV7" hidden="1">#REF!</definedName>
    <definedName name="IQRTradingVolV8" hidden="1">#REF!</definedName>
    <definedName name="IQRTradingVolV9" hidden="1">#REF!</definedName>
    <definedName name="IQRTradingVolW10" hidden="1">#REF!</definedName>
    <definedName name="IQRTradingVolW6" hidden="1">#REF!</definedName>
    <definedName name="IQRTradingVolW7" hidden="1">#REF!</definedName>
    <definedName name="IQRTradingVolW8" hidden="1">#REF!</definedName>
    <definedName name="IQRTradingVolW9" hidden="1">#REF!</definedName>
    <definedName name="IQRTradingVolX11" hidden="1">#REF!</definedName>
    <definedName name="IQRTradingVolX6" hidden="1">#REF!</definedName>
    <definedName name="IQRTradingVolX7" hidden="1">#REF!</definedName>
    <definedName name="IQRTradingVolX8" hidden="1">#REF!</definedName>
    <definedName name="IQRTradingVolX9" hidden="1">#REF!</definedName>
    <definedName name="IQRTradingVolY10" hidden="1">#REF!</definedName>
    <definedName name="IQRTradingVolY6" hidden="1">#REF!</definedName>
    <definedName name="IQRTradingVolY7" hidden="1">#REF!</definedName>
    <definedName name="IQRTradingVolY8" hidden="1">#REF!</definedName>
    <definedName name="IQRTradingVolY9" hidden="1">#REF!</definedName>
    <definedName name="IQRTradingVolZ11" hidden="1">#REF!</definedName>
    <definedName name="IQRTradingVolZ6" hidden="1">#REF!</definedName>
    <definedName name="IQRTradingVolZ7" hidden="1">#REF!</definedName>
    <definedName name="IQRTradingVolZ8" hidden="1">#REF!</definedName>
    <definedName name="IQRTradingVolZ9" hidden="1">#REF!</definedName>
    <definedName name="IQRU10" hidden="1">"$U$11"</definedName>
    <definedName name="IQRU11" hidden="1">"$U$12"</definedName>
    <definedName name="IQRV11" hidden="1">"$V$12"</definedName>
    <definedName name="IQRW10" hidden="1">"$W$11"</definedName>
    <definedName name="IQRW11" hidden="1">"$W$12"</definedName>
    <definedName name="IQRX11" hidden="1">"$X$12"</definedName>
    <definedName name="IQRY10" hidden="1">"$Y$11"</definedName>
    <definedName name="IQRY11" hidden="1">"$Y$12"</definedName>
    <definedName name="IQRZ11" hidden="1">"$Z$12"</definedName>
    <definedName name="IsColHidden" hidden="1">FALSE</definedName>
    <definedName name="IsLTMColHidden" hidden="1">FALSE</definedName>
    <definedName name="jjj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jjj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jkl" hidden="1">'[1]APR''04'!#REF!</definedName>
    <definedName name="june15_Ajustmenst" hidden="1">#REF!</definedName>
    <definedName name="KUULSD" localSheetId="6" hidden="1">{#N/A,#N/A,FALSE,"COMP"}</definedName>
    <definedName name="KUULSD" hidden="1">{#N/A,#N/A,FALSE,"COMP"}</definedName>
    <definedName name="limcount" hidden="1">1</definedName>
    <definedName name="ListOffset" hidden="1">1</definedName>
    <definedName name="madhavi" localSheetId="6" hidden="1">{"plansummary",#N/A,FALSE,"PlanSummary";"sales",#N/A,FALSE,"Sales Rec";"productivity",#N/A,FALSE,"Productivity Rec";"capitalspending",#N/A,FALSE,"Capital Spending"}</definedName>
    <definedName name="madhavi" hidden="1">{"plansummary",#N/A,FALSE,"PlanSummary";"sales",#N/A,FALSE,"Sales Rec";"productivity",#N/A,FALSE,"Productivity Rec";"capitalspending",#N/A,FALSE,"Capital Spending"}</definedName>
    <definedName name="March2008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March2008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navneet" localSheetId="6" hidden="1">{"'Sheet3'!$A$1:$B$30"}</definedName>
    <definedName name="navneet" hidden="1">{"'Sheet3'!$A$1:$B$30"}</definedName>
    <definedName name="new" localSheetId="6" hidden="1">'[1]APR''04'!#REF!</definedName>
    <definedName name="new" hidden="1">'[1]APR''04'!#REF!</definedName>
    <definedName name="Nil" localSheetId="6" hidden="1">{#N/A,#N/A,FALSE,"Aging Summary";#N/A,#N/A,FALSE,"Ratio Analysis";#N/A,#N/A,FALSE,"Test 120 Day Accts";#N/A,#N/A,FALSE,"Tickmarks"}</definedName>
    <definedName name="Nil" hidden="1">{#N/A,#N/A,FALSE,"Aging Summary";#N/A,#N/A,FALSE,"Ratio Analysis";#N/A,#N/A,FALSE,"Test 120 Day Accts";#N/A,#N/A,FALSE,"Tickmarks"}</definedName>
    <definedName name="nnn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nnn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open" localSheetId="6" hidden="1">{"plansummary",#N/A,FALSE,"PlanSummary";"sales",#N/A,FALSE,"Sales Rec";"productivity",#N/A,FALSE,"Productivity Rec";"capitalspending",#N/A,FALSE,"Capital Spending"}</definedName>
    <definedName name="open" hidden="1">{"plansummary",#N/A,FALSE,"PlanSummary";"sales",#N/A,FALSE,"Sales Rec";"productivity",#N/A,FALSE,"Productivity Rec";"capitalspending",#N/A,FALSE,"Capital Spending"}</definedName>
    <definedName name="OrderTable" localSheetId="5" hidden="1">#REF!</definedName>
    <definedName name="OrderTable" hidden="1">#REF!</definedName>
    <definedName name="payal" localSheetId="6" hidden="1">{"'Sheet3'!$A$1:$B$30"}</definedName>
    <definedName name="payal" hidden="1">{"'Sheet3'!$A$1:$B$30"}</definedName>
    <definedName name="pd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pd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ProdForm" localSheetId="5" hidden="1">#REF!</definedName>
    <definedName name="ProdForm" hidden="1">#REF!</definedName>
    <definedName name="Product" localSheetId="5" hidden="1">#REF!</definedName>
    <definedName name="Product" hidden="1">#REF!</definedName>
    <definedName name="Provision2" localSheetId="6" hidden="1">{"plansummary",#N/A,FALSE,"PlanSummary";"sales",#N/A,FALSE,"Sales Rec";"productivity",#N/A,FALSE,"Productivity Rec";"capitalspending",#N/A,FALSE,"Capital Spending"}</definedName>
    <definedName name="Provision2" hidden="1">{"plansummary",#N/A,FALSE,"PlanSummary";"sales",#N/A,FALSE,"Sales Rec";"productivity",#N/A,FALSE,"Productivity Rec";"capitalspending",#N/A,FALSE,"Capital Spending"}</definedName>
    <definedName name="ptl" localSheetId="6" hidden="1">{"'August 2000'!$A$1:$J$101"}</definedName>
    <definedName name="ptl" hidden="1">{"'August 2000'!$A$1:$J$101"}</definedName>
    <definedName name="PUB_UserID" hidden="1">"MAYERX"</definedName>
    <definedName name="RCArea" localSheetId="5" hidden="1">#REF!</definedName>
    <definedName name="RCArea" hidden="1">#REF!</definedName>
    <definedName name="REF" localSheetId="6" hidden="1">{#N/A,#N/A,FALSE,"COMP"}</definedName>
    <definedName name="REF" hidden="1">{#N/A,#N/A,FALSE,"COMP"}</definedName>
    <definedName name="rr" localSheetId="6" hidden="1">{"plansummary",#N/A,FALSE,"PlanSummary";"sales",#N/A,FALSE,"Sales Rec";"productivity",#N/A,FALSE,"Productivity Rec";"capitalspending",#N/A,FALSE,"Capital Spending"}</definedName>
    <definedName name="rr" hidden="1">{"plansummary",#N/A,FALSE,"PlanSummary";"sales",#N/A,FALSE,"Sales Rec";"productivity",#N/A,FALSE,"Productivity Rec";"capitalspending",#N/A,FALSE,"Capital Spending"}</definedName>
    <definedName name="SAPBEXrevision" hidden="1">1</definedName>
    <definedName name="SAPBEXsysID" hidden="1">"CSR"</definedName>
    <definedName name="SAPBEXwbID" hidden="1">"3XQBW78D16A2EDUNTS3NPBKLN"</definedName>
    <definedName name="sds" localSheetId="6" hidden="1">{"plansummary",#N/A,FALSE,"PlanSummary";"sales",#N/A,FALSE,"Sales Rec";"productivity",#N/A,FALSE,"Productivity Rec";"capitalspending",#N/A,FALSE,"Capital Spending"}</definedName>
    <definedName name="sds" hidden="1">{"plansummary",#N/A,FALSE,"PlanSummary";"sales",#N/A,FALSE,"Sales Rec";"productivity",#N/A,FALSE,"Productivity Rec";"capitalspending",#N/A,FALSE,"Capital Spending"}</definedName>
    <definedName name="sencount" hidden="1">1</definedName>
    <definedName name="sf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sf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SLFHDOJHGDLKJGBD" hidden="1">#REF!</definedName>
    <definedName name="SpecialPrice" localSheetId="5" hidden="1">#REF!</definedName>
    <definedName name="SpecialPrice" hidden="1">#REF!</definedName>
    <definedName name="SSSA" hidden="1">#REF!</definedName>
    <definedName name="tbl_ProdInfo" localSheetId="5" hidden="1">#REF!</definedName>
    <definedName name="tbl_ProdInfo" hidden="1">#REF!</definedName>
    <definedName name="TextRefCopyRangeCount" hidden="1">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vip" localSheetId="6" hidden="1">#REF!</definedName>
    <definedName name="vip" hidden="1">#REF!</definedName>
    <definedName name="we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e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Reports." localSheetId="6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Belgium_Total." localSheetId="6" hidden="1">{"Belgium_Total",#N/A,FALSE,"Belg Wksheet"}</definedName>
    <definedName name="wrn.Belgium_Total." hidden="1">{"Belgium_Total",#N/A,FALSE,"Belg Wksheet"}</definedName>
    <definedName name="wrn.BelgSummary." localSheetId="6" hidden="1">{"BelgSummary",#N/A,FALSE,"Belg Summary"}</definedName>
    <definedName name="wrn.BelgSummary." hidden="1">{"BelgSummary",#N/A,FALSE,"Belg Summary"}</definedName>
    <definedName name="wrn.BSPL." localSheetId="6" hidden="1">{"BS",#N/A,FALSE,"Accounts2002 New";"PL",#N/A,FALSE,"Accounts2002 New"}</definedName>
    <definedName name="wrn.BSPL." hidden="1">{"BS",#N/A,FALSE,"Accounts2002 New";"PL",#N/A,FALSE,"Accounts2002 New"}</definedName>
    <definedName name="wrn.Country._.Summary." localSheetId="6" hidden="1">{"Summary",#N/A,FALSE,"Country Summary"}</definedName>
    <definedName name="wrn.Country._.Summary." hidden="1">{"Summary",#N/A,FALSE,"Country Summary"}</definedName>
    <definedName name="wrn.Country._.Worksheet." localSheetId="6" hidden="1">{"WkSheet",#N/A,FALSE,"Country Wksheet"}</definedName>
    <definedName name="wrn.Country._.Worksheet." hidden="1">{"WkSheet",#N/A,FALSE,"Country Wksheet"}</definedName>
    <definedName name="wrn.final.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wrn.final.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wrn.Financials._.April._.02._.Rs._.000." localSheetId="6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ood._.Packaging." localSheetId="6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wrn.Food._.Packaging.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wrn.Food._.Service." localSheetId="6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wrn.Food._.Service.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wrn.FORM1." localSheetId="6" hidden="1">{#N/A,#N/A,FALSE,"COMP"}</definedName>
    <definedName name="wrn.FORM1." hidden="1">{#N/A,#N/A,FALSE,"COMP"}</definedName>
    <definedName name="wrn.imprim." localSheetId="6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MDS1.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pp97schedules." localSheetId="6" hidden="1">{"plansummary",#N/A,FALSE,"PlanSummary";"sales",#N/A,FALSE,"Sales Rec";"productivity",#N/A,FALSE,"Productivity Rec";"capitalspending",#N/A,FALSE,"Capital Spending"}</definedName>
    <definedName name="wrn.pp97schedules." hidden="1">{"plansummary",#N/A,FALSE,"PlanSummary";"sales",#N/A,FALSE,"Sales Rec";"productivity",#N/A,FALSE,"Productivity Rec";"capitalspending",#N/A,FALSE,"Capital Spending"}</definedName>
    <definedName name="wrn.PrintAll." localSheetId="6" hidden="1">{#N/A,#N/A,FALSE,"Australia";#N/A,#N/A,FALSE,"Belgium";#N/A,#N/A,FALSE,"Canada RP";#N/A,#N/A,FALSE,"Canada SP";#N/A,#N/A,FALSE,"France RI";#N/A,#N/A,FALSE,"France SP";#N/A,#N/A,FALSE,"Germany";#N/A,#N/A,FALSE,"Ireland Marsh";#N/A,#N/A,FALSE,"Ireland Mercer";#N/A,#N/A,FALSE,"Netherlands";#N/A,#N/A,FALSE,"UK Bowring";#N/A,#N/A,FALSE,"UK Frizzell";#N/A,#N/A,FALSE,"UK Mercer";#N/A,#N/A,FALSE,"Summary"}</definedName>
    <definedName name="wrn.PrintAll." hidden="1">{#N/A,#N/A,FALSE,"Australia";#N/A,#N/A,FALSE,"Belgium";#N/A,#N/A,FALSE,"Canada RP";#N/A,#N/A,FALSE,"Canada SP";#N/A,#N/A,FALSE,"France RI";#N/A,#N/A,FALSE,"France SP";#N/A,#N/A,FALSE,"Germany";#N/A,#N/A,FALSE,"Ireland Marsh";#N/A,#N/A,FALSE,"Ireland Mercer";#N/A,#N/A,FALSE,"Netherlands";#N/A,#N/A,FALSE,"UK Bowring";#N/A,#N/A,FALSE,"UK Frizzell";#N/A,#N/A,FALSE,"UK Mercer";#N/A,#N/A,FALSE,"Summary"}</definedName>
    <definedName name="wrn.REPORT." localSheetId="6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";#N/A,#N/A,FALSE,"Schedule-5";#N/A,#N/A,FALSE,"Schedule-6,7,8,9";#N/A,#N/A,FALSE,"Schedule-10,11";#N/A,#N/A,FALSE,"Schedule-12,13,14,15";#N/A,#N/A,FALSE,"Scdedule-16"}</definedName>
    <definedName name="wrn.REPORT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";#N/A,#N/A,FALSE,"Schedule-5";#N/A,#N/A,FALSE,"Schedule-6,7,8,9";#N/A,#N/A,FALSE,"Schedule-10,11";#N/A,#N/A,FALSE,"Schedule-12,13,14,15";#N/A,#N/A,FALSE,"Scdedule-16"}</definedName>
    <definedName name="wrn.Schedules." localSheetId="6" hidden="1">{"S 1 2",#N/A,FALSE,"Accounts2002 New";"S 3 4",#N/A,FALSE,"Accounts2002 New";"S 6 7 8",#N/A,FALSE,"Accounts2002 New";"S 9 10 11 12 13",#N/A,FALSE,"Accounts2002 New";"S 14 15 16 17",#N/A,FALSE,"Accounts2002 New";"S 18 19",#N/A,FALSE,"Accounts2002 New"}</definedName>
    <definedName name="wrn.Schedules." hidden="1">{"S 1 2",#N/A,FALSE,"Accounts2002 New";"S 3 4",#N/A,FALSE,"Accounts2002 New";"S 6 7 8",#N/A,FALSE,"Accounts2002 New";"S 9 10 11 12 13",#N/A,FALSE,"Accounts2002 New";"S 14 15 16 17",#N/A,FALSE,"Accounts2002 New";"S 18 19",#N/A,FALSE,"Accounts2002 New"}</definedName>
    <definedName name="wrn.TRAVELLING." localSheetId="6" hidden="1">{#N/A,#N/A,FALSE,"Sheet3"}</definedName>
    <definedName name="wrn.TRAVELLING." hidden="1">{#N/A,#N/A,FALSE,"Sheet3"}</definedName>
    <definedName name="wvu.BTP." localSheetId="6" hidden="1">{TRUE,TRUE,7.75,2.5,467.25,234,FALSE,TRUE,TRUE,TRUE,0,21,#N/A,70,#N/A,3.96551724137931,9.21428571428571,1,FALSE,FALSE,1,TRUE,1,FALSE,100,"Swvu.BTP.","ACwvu.BTP.",#N/A,FALSE,FALSE,0.5,0.75,0.5,0.5,2,"","",TRUE,TRUE,FALSE,FALSE,1,#N/A,1,1,"=R2C1:R75C2",FALSE,"Rwvu.BTP.",#N/A,FALSE,FALSE,FALSE,8,180,180,FALSE,FALSE,TRUE,TRUE,TRUE}</definedName>
    <definedName name="wvu.BTP." hidden="1">{TRUE,TRUE,7.75,2.5,467.25,234,FALSE,TRUE,TRUE,TRUE,0,21,#N/A,70,#N/A,3.96551724137931,9.21428571428571,1,FALSE,FALSE,1,TRUE,1,FALSE,100,"Swvu.BTP.","ACwvu.BTP.",#N/A,FALSE,FALSE,0.5,0.75,0.5,0.5,2,"","",TRUE,TRUE,FALSE,FALSE,1,#N/A,1,1,"=R2C1:R75C2",FALSE,"Rwvu.BTP.",#N/A,FALSE,FALSE,FALSE,8,180,180,FALSE,FALSE,TRUE,TRUE,TRUE}</definedName>
    <definedName name="wvu.KTP." localSheetId="6" hidden="1">{TRUE,TRUE,7.75,2.5,467.25,234,FALSE,TRUE,TRUE,TRUE,0,10,#N/A,73,#N/A,3.96551724137931,9.17857142857143,1,FALSE,FALSE,1,TRUE,1,FALSE,100,"Swvu.KTP.","ACwvu.KTP.",#N/A,FALSE,FALSE,0.5,0.75,0.5,0.5,2,"","",TRUE,TRUE,FALSE,FALSE,1,#N/A,1,1,"=R2C1:R75C2",FALSE,#N/A,#N/A,FALSE,FALSE,FALSE,8,180,180,FALSE,FALSE,TRUE,TRUE,TRUE}</definedName>
    <definedName name="wvu.KTP." hidden="1">{TRUE,TRUE,7.75,2.5,467.25,234,FALSE,TRUE,TRUE,TRUE,0,10,#N/A,73,#N/A,3.96551724137931,9.17857142857143,1,FALSE,FALSE,1,TRUE,1,FALSE,100,"Swvu.KTP.","ACwvu.KTP.",#N/A,FALSE,FALSE,0.5,0.75,0.5,0.5,2,"","",TRUE,TRUE,FALSE,FALSE,1,#N/A,1,1,"=R2C1:R75C2",FALSE,#N/A,#N/A,FALSE,FALSE,FALSE,8,180,180,FALSE,FALSE,TRUE,TRUE,TRUE}</definedName>
    <definedName name="wvu.TOTAL." localSheetId="6" hidden="1">{TRUE,TRUE,7.75,2.5,467.25,234,FALSE,TRUE,TRUE,TRUE,0,32,#N/A,69,#N/A,4.55555555555556,9.21428571428571,1,FALSE,FALSE,1,TRUE,1,FALSE,100,"Swvu.TOTAL.","ACwvu.TOTAL.",#N/A,FALSE,FALSE,0.5,0.75,0.5,0.5,2,"","",TRUE,TRUE,FALSE,FALSE,1,#N/A,1,1,"=R2C1:R75C2",FALSE,"Rwvu.TOTAL.",#N/A,FALSE,FALSE,FALSE,8,180,180,FALSE,FALSE,TRUE,TRUE,TRUE}</definedName>
    <definedName name="wvu.TOTAL." hidden="1">{TRUE,TRUE,7.75,2.5,467.25,234,FALSE,TRUE,TRUE,TRUE,0,32,#N/A,69,#N/A,4.55555555555556,9.21428571428571,1,FALSE,FALSE,1,TRUE,1,FALSE,100,"Swvu.TOTAL.","ACwvu.TOTAL.",#N/A,FALSE,FALSE,0.5,0.75,0.5,0.5,2,"","",TRUE,TRUE,FALSE,FALSE,1,#N/A,1,1,"=R2C1:R75C2",FALSE,"Rwvu.TOTAL.",#N/A,FALSE,FALSE,FALSE,8,180,180,FALSE,FALSE,TRUE,TRUE,TRUE}</definedName>
    <definedName name="xa" localSheetId="6" hidden="1">{#N/A,#N/A,FALSE,"Aging Summary";#N/A,#N/A,FALSE,"Ratio Analysis";#N/A,#N/A,FALSE,"Test 120 Day Accts";#N/A,#N/A,FALSE,"Tickmarks"}</definedName>
    <definedName name="xa" hidden="1">{#N/A,#N/A,FALSE,"Aging Summary";#N/A,#N/A,FALSE,"Ratio Analysis";#N/A,#N/A,FALSE,"Test 120 Day Accts";#N/A,#N/A,FALSE,"Tickmarks"}</definedName>
    <definedName name="XREF_COLUMN_1" localSheetId="6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'[16]Schedule Final'!#REF!</definedName>
    <definedName name="XREF_COLUMN_2" localSheetId="6" hidden="1">#REF!</definedName>
    <definedName name="XREF_COLUMN_2" hidden="1">#REF!</definedName>
    <definedName name="XREF_COLUMN_20" localSheetId="6" hidden="1">#REF!</definedName>
    <definedName name="XREF_COLUMN_20" hidden="1">#REF!</definedName>
    <definedName name="XREF_COLUMN_3" localSheetId="6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3Row" hidden="1">[17]XREF!#REF!</definedName>
    <definedName name="XRefCopy14" hidden="1">'[17]Fixed asset register'!#REF!</definedName>
    <definedName name="XRefCopy14Row" hidden="1">[17]XREF!#REF!</definedName>
    <definedName name="XRefCopy15Row" hidden="1">[17]XREF!#REF!</definedName>
    <definedName name="XRefCopy16" localSheetId="6" hidden="1">#REF!</definedName>
    <definedName name="XRefCopy16" hidden="1">#REF!</definedName>
    <definedName name="XRefCopy16Row" localSheetId="6" hidden="1">#REF!</definedName>
    <definedName name="XRefCopy16Row" hidden="1">#REF!</definedName>
    <definedName name="XRefCopy17" localSheetId="6" hidden="1">[18]Stockchange_Leadsheet!#REF!</definedName>
    <definedName name="XRefCopy17" hidden="1">[18]Stockchange_Leadsheet!#REF!</definedName>
    <definedName name="XRefCopy1Row" localSheetId="6" hidden="1">#REF!</definedName>
    <definedName name="XRefCopy1Row" hidden="1">#REF!</definedName>
    <definedName name="XRefCopy2" localSheetId="6" hidden="1">#REF!</definedName>
    <definedName name="XRefCopy2" hidden="1">#REF!</definedName>
    <definedName name="XRefCopy20" localSheetId="6" hidden="1">#REF!</definedName>
    <definedName name="XRefCopy20" hidden="1">#REF!</definedName>
    <definedName name="XRefCopy21" hidden="1">#REF!</definedName>
    <definedName name="XRefCopy22" hidden="1">#REF!</definedName>
    <definedName name="XRefCopy23" hidden="1">#REF!</definedName>
    <definedName name="XRefCopy24" hidden="1">#REF!</definedName>
    <definedName name="XRefCopy24Row" hidden="1">[19]XREF!#REF!</definedName>
    <definedName name="XRefCopy25" localSheetId="6" hidden="1">#REF!</definedName>
    <definedName name="XRefCopy25" hidden="1">#REF!</definedName>
    <definedName name="XRefCopy26" localSheetId="6" hidden="1">#REF!</definedName>
    <definedName name="XRefCopy26" hidden="1">#REF!</definedName>
    <definedName name="XRefCopy27" localSheetId="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[20]XREF!#REF!</definedName>
    <definedName name="XRefCopy3" localSheetId="6" hidden="1">#REF!</definedName>
    <definedName name="XRefCopy3" hidden="1">#REF!</definedName>
    <definedName name="XRefCopy30" localSheetId="6" hidden="1">#REF!</definedName>
    <definedName name="XRefCopy30" hidden="1">#REF!</definedName>
    <definedName name="XRefCopy31" localSheetId="6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'[21]Notes 14(v)-(xi)'!#REF!</definedName>
    <definedName name="XRefCopy3Row" hidden="1">[20]XREF!#REF!</definedName>
    <definedName name="XRefCopy4" localSheetId="6" hidden="1">#REF!</definedName>
    <definedName name="XRefCopy4" hidden="1">#REF!</definedName>
    <definedName name="XRefCopy40" localSheetId="6" hidden="1">#REF!</definedName>
    <definedName name="XRefCopy40" hidden="1">#REF!</definedName>
    <definedName name="XRefCopy41" localSheetId="6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6" hidden="1">#REF!</definedName>
    <definedName name="XRefCopy47" hidden="1">#REF!</definedName>
    <definedName name="XRefCopy48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3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'[22]cost of sales'!#REF!</definedName>
    <definedName name="XRefCopy59Row" localSheetId="6" hidden="1">#REF!</definedName>
    <definedName name="XRefCopy59Row" hidden="1">#REF!</definedName>
    <definedName name="XRefCopy5Row" localSheetId="6" hidden="1">#REF!</definedName>
    <definedName name="XRefCopy5Row" hidden="1">#REF!</definedName>
    <definedName name="XRefCopy6" localSheetId="6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'[22]cost of sales'!#REF!</definedName>
    <definedName name="XRefCopy63" localSheetId="6" hidden="1">#REF!</definedName>
    <definedName name="XRefCopy63" hidden="1">#REF!</definedName>
    <definedName name="XRefCopy63Row" localSheetId="6" hidden="1">#REF!</definedName>
    <definedName name="XRefCopy63Row" hidden="1">#REF!</definedName>
    <definedName name="XRefCopy64" localSheetId="6" hidden="1">#REF!</definedName>
    <definedName name="XRefCopy64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'[23]Notes 1-11'!#REF!</definedName>
    <definedName name="XRefCopy70" localSheetId="6" hidden="1">#REF!</definedName>
    <definedName name="XRefCopy70" hidden="1">#REF!</definedName>
    <definedName name="XRefCopy70Row" localSheetId="6" hidden="1">#REF!</definedName>
    <definedName name="XRefCopy70Row" hidden="1">#REF!</definedName>
    <definedName name="XRefCopy71" localSheetId="6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'[23]Notes 1-11'!#REF!</definedName>
    <definedName name="XRefCopy90" localSheetId="6" hidden="1">#REF!</definedName>
    <definedName name="XRefCopy90" hidden="1">#REF!</definedName>
    <definedName name="XRefCopy90Row" localSheetId="6" hidden="1">#REF!</definedName>
    <definedName name="XRefCopy90Row" hidden="1">#REF!</definedName>
    <definedName name="XRefCopy91" localSheetId="6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50</definedName>
    <definedName name="XRefPaste1" hidden="1">[18]Inventories_Leadsheet!#REF!</definedName>
    <definedName name="XRefPaste10" localSheetId="6" hidden="1">#REF!</definedName>
    <definedName name="XRefPaste10" hidden="1">#REF!</definedName>
    <definedName name="XRefPaste10Row" localSheetId="6" hidden="1">#REF!</definedName>
    <definedName name="XRefPaste10Row" hidden="1">#REF!</definedName>
    <definedName name="XRefPaste11" localSheetId="6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Row" hidden="1">[17]XREF!#REF!</definedName>
    <definedName name="XRefPaste14" localSheetId="6" hidden="1">#REF!</definedName>
    <definedName name="XRefPaste14" hidden="1">#REF!</definedName>
    <definedName name="XRefPaste14Row" localSheetId="6" hidden="1">#REF!</definedName>
    <definedName name="XRefPaste14Row" hidden="1">#REF!</definedName>
    <definedName name="XRefPaste15" localSheetId="6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[20]XREF!#REF!</definedName>
    <definedName name="XRefPaste2" localSheetId="6" hidden="1">#REF!</definedName>
    <definedName name="XRefPaste2" hidden="1">#REF!</definedName>
    <definedName name="XRefPaste20" localSheetId="6" hidden="1">#REF!</definedName>
    <definedName name="XRefPaste20" hidden="1">#REF!</definedName>
    <definedName name="XRefPaste20Row" localSheetId="6" hidden="1">#REF!</definedName>
    <definedName name="XRefPaste20Row" hidden="1">#REF!</definedName>
    <definedName name="XRefPaste21" hidden="1">#REF!</definedName>
    <definedName name="XRefPaste21Row" hidden="1">#REF!</definedName>
    <definedName name="XRefPaste23" hidden="1">#REF!</definedName>
    <definedName name="XRefPaste23Row" hidden="1">#REF!</definedName>
    <definedName name="XRefPaste2Row" hidden="1">[20]XREF!#REF!</definedName>
    <definedName name="XRefPaste3" localSheetId="6" hidden="1">#REF!</definedName>
    <definedName name="XRefPaste3" hidden="1">#REF!</definedName>
    <definedName name="XRefPaste31Row" localSheetId="6" hidden="1">#REF!</definedName>
    <definedName name="XRefPaste31Row" hidden="1">#REF!</definedName>
    <definedName name="XRefPaste3Row" localSheetId="6" hidden="1">[20]XREF!#REF!</definedName>
    <definedName name="XRefPaste3Row" hidden="1">[20]XREF!#REF!</definedName>
    <definedName name="XRefPaste4" localSheetId="6" hidden="1">#REF!</definedName>
    <definedName name="XRefPaste4" hidden="1">#REF!</definedName>
    <definedName name="XRefPaste4Row" localSheetId="6" hidden="1">#REF!</definedName>
    <definedName name="XRefPaste4Row" hidden="1">#REF!</definedName>
    <definedName name="XRefPaste5" localSheetId="6" hidden="1">#REF!</definedName>
    <definedName name="XRefPaste5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Row" hidden="1">#REF!</definedName>
    <definedName name="XRefPasteRangeCount" hidden="1">8</definedName>
    <definedName name="xss" hidden="1">[4]Folder!#REF!</definedName>
    <definedName name="xy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xy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Z_14975FFC_4F72_4AAC_B05A_7E3F2538B3AD_.wvu.FilterData" localSheetId="6" hidden="1">#REF!</definedName>
    <definedName name="Z_14975FFC_4F72_4AAC_B05A_7E3F2538B3AD_.wvu.FilterData" hidden="1">#REF!</definedName>
    <definedName name="Z_1A3E9F40_4FCC_11D2_A7FF_0060971217C0_.wvu.PrintArea" localSheetId="6" hidden="1">[4]Folder!#REF!</definedName>
    <definedName name="Z_1A3E9F40_4FCC_11D2_A7FF_0060971217C0_.wvu.PrintArea" hidden="1">[4]Folder!#REF!</definedName>
    <definedName name="Z_1A3E9F40_4FCC_11D2_A7FF_0060971217C0_.wvu.PrintTitles" localSheetId="6" hidden="1">#REF!</definedName>
    <definedName name="Z_1A3E9F40_4FCC_11D2_A7FF_0060971217C0_.wvu.PrintTitles" hidden="1">#REF!</definedName>
    <definedName name="Z_2F0BD9A2_457D_11D2_8EE8_0060971217D4_.wvu.PrintArea" localSheetId="6" hidden="1">[4]Folder!#REF!</definedName>
    <definedName name="Z_2F0BD9A2_457D_11D2_8EE8_0060971217D4_.wvu.PrintArea" hidden="1">[4]Folder!#REF!</definedName>
    <definedName name="Z_2F0BD9A2_457D_11D2_8EE8_0060971217D4_.wvu.PrintTitles" localSheetId="6" hidden="1">#REF!</definedName>
    <definedName name="Z_2F0BD9A2_457D_11D2_8EE8_0060971217D4_.wvu.PrintTitles" hidden="1">#REF!</definedName>
    <definedName name="Z_3AB84060_44C7_11D2_8EE8_0060971217D4_.wvu.PrintArea" localSheetId="6" hidden="1">[4]Folder!#REF!</definedName>
    <definedName name="Z_3AB84060_44C7_11D2_8EE8_0060971217D4_.wvu.PrintArea" hidden="1">[4]Folder!#REF!</definedName>
    <definedName name="Z_3AB84060_44C7_11D2_8EE8_0060971217D4_.wvu.PrintTitles" localSheetId="6" hidden="1">#REF!</definedName>
    <definedName name="Z_3AB84060_44C7_11D2_8EE8_0060971217D4_.wvu.PrintTitles" hidden="1">#REF!</definedName>
    <definedName name="Z_40BD8C62_D3AE_11D2_BB99_006097121403_.wvu.Cols" localSheetId="6" hidden="1">#REF!,#REF!,#REF!,#REF!,#REF!,#REF!</definedName>
    <definedName name="Z_40BD8C62_D3AE_11D2_BB99_006097121403_.wvu.Cols" hidden="1">#REF!,#REF!,#REF!,#REF!,#REF!,#REF!</definedName>
    <definedName name="Z_40BD8C62_D3AE_11D2_BB99_006097121403_.wvu.FilterData" hidden="1">#REF!</definedName>
    <definedName name="Z_40BD8C62_D3AE_11D2_BB99_006097121403_.wvu.PrintArea" hidden="1">#REF!</definedName>
    <definedName name="Z_42082262_47C5_4083_A75E_526FAD58A78A_.wvu.Rows" localSheetId="6" hidden="1">#REF!,#REF!,#REF!,#REF!,#REF!,#REF!</definedName>
    <definedName name="Z_42082262_47C5_4083_A75E_526FAD58A78A_.wvu.Rows" hidden="1">#REF!,#REF!,#REF!,#REF!,#REF!,#REF!</definedName>
    <definedName name="Z_42CB23D9_FE0D_4360_B7CD_56A3AF127F7C_.wvu.Rows" localSheetId="6" hidden="1">#REF!,#REF!,#REF!,#REF!,#REF!,#REF!</definedName>
    <definedName name="Z_42CB23D9_FE0D_4360_B7CD_56A3AF127F7C_.wvu.Rows" hidden="1">#REF!,#REF!,#REF!,#REF!,#REF!,#REF!</definedName>
    <definedName name="Z_53D5D240_D3BC_11D2_B7DD_000001014838_.wvu.Cols" localSheetId="6" hidden="1">#REF!,#REF!,#REF!,#REF!,#REF!,#REF!,#REF!</definedName>
    <definedName name="Z_53D5D240_D3BC_11D2_B7DD_000001014838_.wvu.Cols" hidden="1">#REF!,#REF!,#REF!,#REF!,#REF!,#REF!,#REF!</definedName>
    <definedName name="Z_53D5D240_D3BC_11D2_B7DD_000001014838_.wvu.FilterData" hidden="1">#REF!</definedName>
    <definedName name="Z_5F72E90E_5306_4453_8ECA_43061516744D_.wvu.Rows" hidden="1">#REF!,#REF!,#REF!,#REF!,#REF!,#REF!</definedName>
    <definedName name="Z_7268092C_48A6_11D6_BF00_0048545546A4_.wvu.PrintArea" hidden="1">#REF!</definedName>
    <definedName name="Z_7268092C_48A6_11D6_BF00_0048545546A4_.wvu.Rows" hidden="1">#REF!,#REF!,#REF!,#REF!,#REF!,#REF!</definedName>
    <definedName name="Z_746852D3_BFD6_47E8_9DA9_56CF052FA174_.wvu.Rows" hidden="1">#REF!</definedName>
    <definedName name="Z_7CC30400_52D6_11D2_91E6_0060971217D4_.wvu.PrintArea" hidden="1">[4]Folder!#REF!</definedName>
    <definedName name="Z_7CC30400_52D6_11D2_91E6_0060971217D4_.wvu.PrintTitles" hidden="1">#REF!</definedName>
    <definedName name="Z_95199381_509B_11D2_A368_00001C3AD7D3_.wvu.PrintArea" hidden="1">[4]Folder!#REF!</definedName>
    <definedName name="Z_95199381_509B_11D2_A368_00001C3AD7D3_.wvu.PrintTitles" hidden="1">#REF!</definedName>
    <definedName name="Z_A1FB87D3_2893_43D1_8E7A_26B23B8067F7_.wvu.FilterData" hidden="1">#REF!</definedName>
    <definedName name="Z_A3876EF3_8056_414D_9895_185A0A47AC3D_.wvu.Rows" hidden="1">#REF!,#REF!,#REF!,#REF!,#REF!,#REF!</definedName>
    <definedName name="Z_BF010B80_D537_11D2_8F10_000001014271_.wvu.Cols" localSheetId="6" hidden="1">#REF!,#REF!,#REF!,#REF!,#REF!,#REF!,#REF!</definedName>
    <definedName name="Z_BF010B80_D537_11D2_8F10_000001014271_.wvu.Cols" hidden="1">#REF!,#REF!,#REF!,#REF!,#REF!,#REF!,#REF!</definedName>
    <definedName name="Z_C2C0FF43_603F_11D2_A368_00001C3AD7D3_.wvu.PrintArea" hidden="1">#REF!</definedName>
    <definedName name="Z_C2C0FF43_603F_11D2_A368_00001C3AD7D3_.wvu.PrintTitles" hidden="1">#REF!</definedName>
    <definedName name="Z_D068BBA0_44C0_11D2_8EE8_0060971217D4_.wvu.Cols" hidden="1">[4]Folder!#REF!,[4]Folder!#REF!,[4]Folder!#REF!,[4]Folder!#REF!</definedName>
    <definedName name="Z_D068BBA0_44C0_11D2_8EE8_0060971217D4_.wvu.PrintArea" hidden="1">[4]Folder!#REF!</definedName>
    <definedName name="Z_D068BBA0_44C0_11D2_8EE8_0060971217D4_.wvu.PrintTitles" hidden="1">#REF!</definedName>
    <definedName name="Z_DE54EB4E_7288_4CBC_B1F8_54C2468A83E6_.wvu.Cols" hidden="1">#REF!,#REF!</definedName>
    <definedName name="Z_DE54EB4E_7288_4CBC_B1F8_54C2468A83E6_.wvu.PrintArea" hidden="1">#REF!</definedName>
    <definedName name="Z_DE54EB4E_7288_4CBC_B1F8_54C2468A83E6_.wvu.Rows" hidden="1">#REF!,#REF!,#REF!,#REF!</definedName>
    <definedName name="Z_F3F2DB71_7CF8_11D4_AF24_0080AD91B2FE_.wvu.Rows" hidden="1">#REF!,#REF!,#REF!,#REF!,#REF!,#REF!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I85" i="17"/>
  <c r="E104" i="5" l="1"/>
  <c r="G104" i="5"/>
  <c r="C15" i="14"/>
  <c r="J48" i="15"/>
  <c r="J24" i="15"/>
  <c r="C9" i="9"/>
  <c r="C7" i="9"/>
  <c r="D38" i="15"/>
  <c r="C38" i="15"/>
  <c r="C14" i="15"/>
  <c r="C43" i="8"/>
  <c r="C40" i="14"/>
  <c r="C13" i="14" s="1"/>
  <c r="S10" i="2"/>
  <c r="R10" i="2"/>
  <c r="D30" i="8"/>
  <c r="E30" i="8"/>
  <c r="F30" i="8"/>
  <c r="G30" i="8"/>
  <c r="H30" i="8"/>
  <c r="I30" i="8"/>
  <c r="D16" i="8"/>
  <c r="E16" i="8"/>
  <c r="F16" i="8"/>
  <c r="G16" i="8"/>
  <c r="G18" i="9" s="1"/>
  <c r="H16" i="8"/>
  <c r="I16" i="8"/>
  <c r="C41" i="8"/>
  <c r="D41" i="8" s="1"/>
  <c r="C16" i="8" s="1"/>
  <c r="C18" i="9" s="1"/>
  <c r="C40" i="8"/>
  <c r="D40" i="8" s="1"/>
  <c r="C30" i="8" s="1"/>
  <c r="N26" i="7"/>
  <c r="D12" i="8"/>
  <c r="E12" i="8"/>
  <c r="F12" i="8"/>
  <c r="G12" i="8"/>
  <c r="H12" i="8"/>
  <c r="I12" i="8"/>
  <c r="C12" i="8"/>
  <c r="C33" i="8"/>
  <c r="C20" i="13" s="1"/>
  <c r="C32" i="8"/>
  <c r="D32" i="8" s="1"/>
  <c r="E32" i="8" s="1"/>
  <c r="F32" i="8" s="1"/>
  <c r="G32" i="8" s="1"/>
  <c r="H32" i="8" s="1"/>
  <c r="I32" i="8" s="1"/>
  <c r="C17" i="8"/>
  <c r="C11" i="8"/>
  <c r="D11" i="8" s="1"/>
  <c r="E11" i="8" s="1"/>
  <c r="F11" i="8" s="1"/>
  <c r="I15" i="8"/>
  <c r="C6" i="7"/>
  <c r="F7" i="5"/>
  <c r="M7" i="5" s="1"/>
  <c r="F181" i="5"/>
  <c r="E13" i="5" s="1"/>
  <c r="L13" i="5" s="1"/>
  <c r="H17" i="9" s="1"/>
  <c r="H8" i="10" s="1"/>
  <c r="H25" i="15" s="1"/>
  <c r="H49" i="15" s="1"/>
  <c r="K106" i="5"/>
  <c r="E88" i="5"/>
  <c r="G63" i="5"/>
  <c r="F63" i="5" s="1"/>
  <c r="B2" i="5"/>
  <c r="B2" i="15"/>
  <c r="B3" i="14"/>
  <c r="B2" i="13"/>
  <c r="B2" i="12"/>
  <c r="B2" i="3"/>
  <c r="B2" i="10"/>
  <c r="B2" i="9"/>
  <c r="B2" i="8"/>
  <c r="B2" i="7"/>
  <c r="D19" i="7"/>
  <c r="D15" i="12" s="1"/>
  <c r="C16" i="7"/>
  <c r="C23" i="9"/>
  <c r="S27" i="2"/>
  <c r="R27" i="2"/>
  <c r="P31" i="2"/>
  <c r="P34" i="2"/>
  <c r="P33" i="2"/>
  <c r="P32" i="2"/>
  <c r="P30" i="2"/>
  <c r="O31" i="2"/>
  <c r="O34" i="2"/>
  <c r="O33" i="2"/>
  <c r="O32" i="2"/>
  <c r="O30" i="2"/>
  <c r="N31" i="2"/>
  <c r="N34" i="2"/>
  <c r="N33" i="2"/>
  <c r="N32" i="2"/>
  <c r="N30" i="2"/>
  <c r="M31" i="2"/>
  <c r="M34" i="2"/>
  <c r="M33" i="2"/>
  <c r="M32" i="2"/>
  <c r="M30" i="2"/>
  <c r="Q13" i="2"/>
  <c r="I20" i="2"/>
  <c r="I18" i="2"/>
  <c r="I16" i="2"/>
  <c r="I13" i="2"/>
  <c r="I12" i="2"/>
  <c r="I11" i="2"/>
  <c r="I8" i="2"/>
  <c r="I7" i="2"/>
  <c r="H20" i="2"/>
  <c r="H18" i="2"/>
  <c r="H16" i="2"/>
  <c r="H13" i="2"/>
  <c r="H12" i="2"/>
  <c r="H11" i="2"/>
  <c r="H10" i="2"/>
  <c r="H8" i="2"/>
  <c r="H7" i="2"/>
  <c r="F20" i="2"/>
  <c r="F18" i="2"/>
  <c r="F16" i="2"/>
  <c r="F13" i="2"/>
  <c r="F12" i="2"/>
  <c r="F11" i="2"/>
  <c r="F10" i="2"/>
  <c r="F8" i="2"/>
  <c r="F7" i="2"/>
  <c r="E20" i="2"/>
  <c r="E18" i="2"/>
  <c r="E16" i="2"/>
  <c r="E13" i="2"/>
  <c r="E12" i="2"/>
  <c r="E11" i="2"/>
  <c r="E10" i="2"/>
  <c r="E8" i="2"/>
  <c r="E7" i="2"/>
  <c r="D20" i="2"/>
  <c r="D18" i="2"/>
  <c r="D16" i="2"/>
  <c r="D13" i="2"/>
  <c r="D12" i="2"/>
  <c r="D11" i="2"/>
  <c r="D10" i="2"/>
  <c r="D8" i="2"/>
  <c r="D7" i="2"/>
  <c r="G18" i="2"/>
  <c r="G16" i="2"/>
  <c r="G13" i="2"/>
  <c r="G12" i="2"/>
  <c r="G11" i="2"/>
  <c r="G10" i="2"/>
  <c r="G8" i="2"/>
  <c r="G7" i="2"/>
  <c r="G20" i="2"/>
  <c r="C20" i="2"/>
  <c r="C18" i="2"/>
  <c r="C16" i="2"/>
  <c r="C14" i="2"/>
  <c r="C13" i="2"/>
  <c r="C12" i="2"/>
  <c r="C10" i="2"/>
  <c r="C11" i="2"/>
  <c r="C8" i="2"/>
  <c r="C7" i="2"/>
  <c r="S31" i="2"/>
  <c r="S34" i="2"/>
  <c r="S33" i="2"/>
  <c r="S32" i="2"/>
  <c r="S30" i="2"/>
  <c r="R33" i="2"/>
  <c r="R32" i="2"/>
  <c r="R30" i="2"/>
  <c r="R34" i="2"/>
  <c r="R31" i="2"/>
  <c r="Q31" i="2"/>
  <c r="Q34" i="2"/>
  <c r="Q33" i="2"/>
  <c r="Q32" i="2"/>
  <c r="Q30" i="2"/>
  <c r="Q27" i="2"/>
  <c r="R26" i="2"/>
  <c r="Q26" i="2"/>
  <c r="P26" i="2"/>
  <c r="O26" i="2"/>
  <c r="N26" i="2"/>
  <c r="M26" i="2"/>
  <c r="S26" i="2"/>
  <c r="S25" i="2"/>
  <c r="R25" i="2"/>
  <c r="Q25" i="2"/>
  <c r="P25" i="2"/>
  <c r="O25" i="2"/>
  <c r="N25" i="2"/>
  <c r="M25" i="2"/>
  <c r="M19" i="2"/>
  <c r="N19" i="2"/>
  <c r="O19" i="2"/>
  <c r="P19" i="2"/>
  <c r="R19" i="2"/>
  <c r="Q19" i="2"/>
  <c r="Q17" i="2"/>
  <c r="R17" i="2"/>
  <c r="S19" i="2"/>
  <c r="S17" i="2"/>
  <c r="S18" i="2"/>
  <c r="R18" i="2"/>
  <c r="Q18" i="2"/>
  <c r="P18" i="2"/>
  <c r="O18" i="2"/>
  <c r="N18" i="2"/>
  <c r="M18" i="2"/>
  <c r="Q14" i="2"/>
  <c r="P14" i="2"/>
  <c r="O14" i="2"/>
  <c r="N14" i="2"/>
  <c r="M14" i="2"/>
  <c r="R14" i="2"/>
  <c r="S14" i="2"/>
  <c r="S13" i="2"/>
  <c r="R13" i="2"/>
  <c r="P13" i="2"/>
  <c r="O13" i="2"/>
  <c r="N13" i="2"/>
  <c r="M13" i="2"/>
  <c r="M10" i="2"/>
  <c r="P9" i="2"/>
  <c r="Q9" i="2"/>
  <c r="R9" i="2"/>
  <c r="S9" i="2"/>
  <c r="O9" i="2"/>
  <c r="N9" i="2"/>
  <c r="M9" i="2"/>
  <c r="C6" i="8"/>
  <c r="D26" i="8"/>
  <c r="E26" i="8"/>
  <c r="F26" i="8"/>
  <c r="G26" i="8"/>
  <c r="H26" i="8"/>
  <c r="I26" i="8"/>
  <c r="C26" i="8"/>
  <c r="C25" i="8"/>
  <c r="F121" i="3"/>
  <c r="C23" i="8" s="1"/>
  <c r="G121" i="3"/>
  <c r="H121" i="3"/>
  <c r="I121" i="3"/>
  <c r="J121" i="3"/>
  <c r="K121" i="3"/>
  <c r="L121" i="3"/>
  <c r="E121" i="3"/>
  <c r="F120" i="3"/>
  <c r="C22" i="8" s="1"/>
  <c r="G120" i="3"/>
  <c r="D22" i="8" s="1"/>
  <c r="H120" i="3"/>
  <c r="E22" i="8" s="1"/>
  <c r="I120" i="3"/>
  <c r="F22" i="8" s="1"/>
  <c r="J120" i="3"/>
  <c r="G22" i="8" s="1"/>
  <c r="K120" i="3"/>
  <c r="H22" i="8" s="1"/>
  <c r="L120" i="3"/>
  <c r="I22" i="8" s="1"/>
  <c r="E120" i="3"/>
  <c r="C20" i="17"/>
  <c r="I80" i="17"/>
  <c r="I61" i="17"/>
  <c r="G20" i="17"/>
  <c r="H20" i="17"/>
  <c r="I20" i="17"/>
  <c r="D20" i="17"/>
  <c r="D80" i="17"/>
  <c r="C80" i="17"/>
  <c r="F80" i="17"/>
  <c r="G80" i="17"/>
  <c r="H80" i="17"/>
  <c r="E80" i="17"/>
  <c r="D61" i="17"/>
  <c r="C61" i="17"/>
  <c r="H61" i="17"/>
  <c r="G61" i="17"/>
  <c r="F61" i="17"/>
  <c r="E61" i="17"/>
  <c r="F20" i="17"/>
  <c r="E20" i="17"/>
  <c r="D6" i="7"/>
  <c r="E6" i="7"/>
  <c r="F6" i="7"/>
  <c r="G6" i="7"/>
  <c r="G11" i="15" s="1"/>
  <c r="H6" i="7"/>
  <c r="I6" i="7"/>
  <c r="C10" i="12"/>
  <c r="D15" i="14"/>
  <c r="E15" i="14" s="1"/>
  <c r="I8" i="12"/>
  <c r="H8" i="12"/>
  <c r="G8" i="12"/>
  <c r="F8" i="12"/>
  <c r="E8" i="12"/>
  <c r="D8" i="12"/>
  <c r="G6" i="12"/>
  <c r="C6" i="12"/>
  <c r="C25" i="13"/>
  <c r="H24" i="15"/>
  <c r="C48" i="15"/>
  <c r="C8" i="12"/>
  <c r="H6" i="12"/>
  <c r="F6" i="12"/>
  <c r="D6" i="12"/>
  <c r="D14" i="15" l="1"/>
  <c r="D43" i="8"/>
  <c r="D44" i="8" s="1"/>
  <c r="C11" i="9"/>
  <c r="C10" i="14" s="1"/>
  <c r="D18" i="9"/>
  <c r="F18" i="9"/>
  <c r="I18" i="9"/>
  <c r="E18" i="9"/>
  <c r="H18" i="9"/>
  <c r="D11" i="9"/>
  <c r="F11" i="9"/>
  <c r="E11" i="9"/>
  <c r="E10" i="14" s="1"/>
  <c r="G15" i="8"/>
  <c r="C24" i="8"/>
  <c r="C27" i="8" s="1"/>
  <c r="D17" i="8"/>
  <c r="D25" i="13" s="1"/>
  <c r="D33" i="8"/>
  <c r="E33" i="8" s="1"/>
  <c r="D25" i="8"/>
  <c r="I82" i="17"/>
  <c r="E82" i="17"/>
  <c r="C82" i="17"/>
  <c r="G82" i="17"/>
  <c r="F82" i="17"/>
  <c r="H82" i="17"/>
  <c r="D82" i="17"/>
  <c r="G10" i="12"/>
  <c r="D11" i="15"/>
  <c r="D35" i="15"/>
  <c r="D10" i="12"/>
  <c r="D19" i="13"/>
  <c r="H11" i="15"/>
  <c r="H10" i="12"/>
  <c r="H19" i="13"/>
  <c r="H35" i="15"/>
  <c r="G24" i="13"/>
  <c r="F15" i="14"/>
  <c r="E16" i="14"/>
  <c r="E35" i="15"/>
  <c r="E11" i="15"/>
  <c r="E10" i="12"/>
  <c r="E19" i="13"/>
  <c r="I35" i="15"/>
  <c r="I11" i="15"/>
  <c r="I10" i="12"/>
  <c r="I19" i="13"/>
  <c r="D24" i="13"/>
  <c r="G16" i="13"/>
  <c r="G11" i="8"/>
  <c r="H11" i="8" s="1"/>
  <c r="I11" i="8" s="1"/>
  <c r="E6" i="12"/>
  <c r="I6" i="12"/>
  <c r="E19" i="7"/>
  <c r="C15" i="12"/>
  <c r="E48" i="15"/>
  <c r="E24" i="15"/>
  <c r="I48" i="15"/>
  <c r="I24" i="15"/>
  <c r="D6" i="8"/>
  <c r="F24" i="15"/>
  <c r="F48" i="15"/>
  <c r="F15" i="13"/>
  <c r="F35" i="15"/>
  <c r="F11" i="15"/>
  <c r="F10" i="12"/>
  <c r="D16" i="13"/>
  <c r="G48" i="15"/>
  <c r="G24" i="15"/>
  <c r="C24" i="15"/>
  <c r="C35" i="15"/>
  <c r="C11" i="15"/>
  <c r="C19" i="13"/>
  <c r="G35" i="15"/>
  <c r="G19" i="13"/>
  <c r="D48" i="15"/>
  <c r="D24" i="15"/>
  <c r="H48" i="15"/>
  <c r="D16" i="14"/>
  <c r="C16" i="14"/>
  <c r="E38" i="15" l="1"/>
  <c r="E14" i="15"/>
  <c r="F10" i="14"/>
  <c r="E43" i="8"/>
  <c r="E44" i="8" s="1"/>
  <c r="D10" i="14"/>
  <c r="F19" i="13"/>
  <c r="G11" i="9"/>
  <c r="G10" i="14" s="1"/>
  <c r="I11" i="9"/>
  <c r="I10" i="14" s="1"/>
  <c r="H11" i="9"/>
  <c r="H10" i="14" s="1"/>
  <c r="D20" i="13"/>
  <c r="E17" i="8"/>
  <c r="E25" i="13" s="1"/>
  <c r="E25" i="8"/>
  <c r="F33" i="8"/>
  <c r="E20" i="13"/>
  <c r="D26" i="13"/>
  <c r="I15" i="13"/>
  <c r="G15" i="14"/>
  <c r="F16" i="14"/>
  <c r="C15" i="13"/>
  <c r="E15" i="13"/>
  <c r="F19" i="7"/>
  <c r="E15" i="12"/>
  <c r="H15" i="13"/>
  <c r="E6" i="8"/>
  <c r="D15" i="13"/>
  <c r="G15" i="13"/>
  <c r="F14" i="15" l="1"/>
  <c r="F38" i="15"/>
  <c r="G43" i="8"/>
  <c r="F43" i="8"/>
  <c r="F44" i="8" s="1"/>
  <c r="F17" i="8"/>
  <c r="F25" i="8"/>
  <c r="F15" i="12"/>
  <c r="G19" i="7"/>
  <c r="H15" i="14"/>
  <c r="G16" i="14"/>
  <c r="G17" i="8"/>
  <c r="G18" i="8" s="1"/>
  <c r="F25" i="13"/>
  <c r="F20" i="13"/>
  <c r="G33" i="8"/>
  <c r="H43" i="8" s="1"/>
  <c r="F6" i="8"/>
  <c r="G14" i="15" l="1"/>
  <c r="G38" i="15"/>
  <c r="H44" i="8"/>
  <c r="G44" i="8"/>
  <c r="G25" i="8"/>
  <c r="C24" i="13"/>
  <c r="C26" i="13" s="1"/>
  <c r="G25" i="13"/>
  <c r="G26" i="13" s="1"/>
  <c r="H17" i="8"/>
  <c r="G15" i="12"/>
  <c r="H19" i="7"/>
  <c r="C16" i="13"/>
  <c r="G6" i="8"/>
  <c r="E16" i="13"/>
  <c r="H24" i="13"/>
  <c r="I16" i="13"/>
  <c r="F16" i="13"/>
  <c r="G20" i="13"/>
  <c r="H33" i="8"/>
  <c r="I43" i="8" s="1"/>
  <c r="I44" i="8" s="1"/>
  <c r="I15" i="14"/>
  <c r="H16" i="14"/>
  <c r="H16" i="13"/>
  <c r="F24" i="13"/>
  <c r="F26" i="13" s="1"/>
  <c r="E24" i="13"/>
  <c r="E26" i="13" s="1"/>
  <c r="I24" i="13"/>
  <c r="H38" i="15" l="1"/>
  <c r="H14" i="15"/>
  <c r="H25" i="8"/>
  <c r="I16" i="14"/>
  <c r="H20" i="13"/>
  <c r="I33" i="8"/>
  <c r="J43" i="8" s="1"/>
  <c r="J44" i="8" s="1"/>
  <c r="H6" i="8"/>
  <c r="H15" i="12"/>
  <c r="I19" i="7"/>
  <c r="H25" i="13"/>
  <c r="H26" i="13" s="1"/>
  <c r="I17" i="8"/>
  <c r="I18" i="8" s="1"/>
  <c r="I38" i="15" l="1"/>
  <c r="I14" i="15"/>
  <c r="I25" i="8"/>
  <c r="I20" i="13"/>
  <c r="I25" i="13"/>
  <c r="I26" i="13" s="1"/>
  <c r="I15" i="12"/>
  <c r="I6" i="8"/>
  <c r="F116" i="3" l="1"/>
  <c r="C16" i="9" s="1"/>
  <c r="C11" i="14" s="1"/>
  <c r="G116" i="3"/>
  <c r="D16" i="9" s="1"/>
  <c r="D11" i="14" s="1"/>
  <c r="H116" i="3"/>
  <c r="E16" i="9" s="1"/>
  <c r="E11" i="14" s="1"/>
  <c r="I116" i="3"/>
  <c r="F16" i="9" s="1"/>
  <c r="F11" i="14" s="1"/>
  <c r="J116" i="3"/>
  <c r="G16" i="9" s="1"/>
  <c r="G11" i="14" s="1"/>
  <c r="K116" i="3"/>
  <c r="H16" i="9" s="1"/>
  <c r="H11" i="14" s="1"/>
  <c r="L116" i="3"/>
  <c r="I16" i="9" s="1"/>
  <c r="I11" i="14" s="1"/>
  <c r="F117" i="3"/>
  <c r="G117" i="3"/>
  <c r="H117" i="3"/>
  <c r="I117" i="3"/>
  <c r="J117" i="3"/>
  <c r="K117" i="3"/>
  <c r="L117" i="3"/>
  <c r="E118" i="3"/>
  <c r="E117" i="3"/>
  <c r="E116" i="3"/>
  <c r="E110" i="3"/>
  <c r="E108" i="3"/>
  <c r="E105" i="3"/>
  <c r="E100" i="3"/>
  <c r="E95" i="3"/>
  <c r="E90" i="3"/>
  <c r="E88" i="3"/>
  <c r="E85" i="3"/>
  <c r="E80" i="3"/>
  <c r="E78" i="3"/>
  <c r="E75" i="3"/>
  <c r="E70" i="3"/>
  <c r="E68" i="3"/>
  <c r="E65" i="3"/>
  <c r="E60" i="3"/>
  <c r="E58" i="3"/>
  <c r="E55" i="3"/>
  <c r="E50" i="3"/>
  <c r="E48" i="3"/>
  <c r="E45" i="3"/>
  <c r="E40" i="3"/>
  <c r="E38" i="3"/>
  <c r="E35" i="3"/>
  <c r="E30" i="3"/>
  <c r="E28" i="3"/>
  <c r="E25" i="3"/>
  <c r="E22" i="3"/>
  <c r="E20" i="3"/>
  <c r="E17" i="3"/>
  <c r="F168" i="5"/>
  <c r="E12" i="5" s="1"/>
  <c r="L12" i="5" s="1"/>
  <c r="F155" i="5"/>
  <c r="F142" i="5"/>
  <c r="F129" i="5"/>
  <c r="F116" i="5"/>
  <c r="C105" i="5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3" i="5" s="1"/>
  <c r="C144" i="5" s="1"/>
  <c r="C145" i="5" s="1"/>
  <c r="C146" i="5" s="1"/>
  <c r="C147" i="5" s="1"/>
  <c r="C148" i="5" s="1"/>
  <c r="C149" i="5" s="1"/>
  <c r="C150" i="5" s="1"/>
  <c r="C151" i="5" s="1"/>
  <c r="C152" i="5" s="1"/>
  <c r="C153" i="5" s="1"/>
  <c r="C154" i="5" s="1"/>
  <c r="C156" i="5" s="1"/>
  <c r="C157" i="5" s="1"/>
  <c r="C158" i="5" s="1"/>
  <c r="C159" i="5" s="1"/>
  <c r="C160" i="5" s="1"/>
  <c r="C161" i="5" s="1"/>
  <c r="C162" i="5" s="1"/>
  <c r="C163" i="5" s="1"/>
  <c r="C164" i="5" s="1"/>
  <c r="C165" i="5" s="1"/>
  <c r="C166" i="5" s="1"/>
  <c r="C167" i="5" s="1"/>
  <c r="C169" i="5" s="1"/>
  <c r="C170" i="5" s="1"/>
  <c r="C171" i="5" s="1"/>
  <c r="C172" i="5" s="1"/>
  <c r="C173" i="5" s="1"/>
  <c r="C174" i="5" s="1"/>
  <c r="C175" i="5" s="1"/>
  <c r="C176" i="5" s="1"/>
  <c r="C177" i="5" s="1"/>
  <c r="C178" i="5" s="1"/>
  <c r="C179" i="5" s="1"/>
  <c r="C180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B105" i="5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C64" i="5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9" i="5" s="1"/>
  <c r="C90" i="5" s="1"/>
  <c r="C91" i="5" s="1"/>
  <c r="C92" i="5" s="1"/>
  <c r="C93" i="5" s="1"/>
  <c r="C94" i="5" s="1"/>
  <c r="C95" i="5" s="1"/>
  <c r="B64" i="5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F47" i="5"/>
  <c r="F34" i="5"/>
  <c r="C23" i="5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8" i="5" s="1"/>
  <c r="C49" i="5" s="1"/>
  <c r="C50" i="5" s="1"/>
  <c r="C51" i="5" s="1"/>
  <c r="C52" i="5" s="1"/>
  <c r="C53" i="5" s="1"/>
  <c r="C54" i="5" s="1"/>
  <c r="C55" i="5" s="1"/>
  <c r="C56" i="5" s="1"/>
  <c r="B23" i="5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8" i="5" s="1"/>
  <c r="B49" i="5" s="1"/>
  <c r="B50" i="5" s="1"/>
  <c r="B51" i="5" s="1"/>
  <c r="B52" i="5" s="1"/>
  <c r="B53" i="5" s="1"/>
  <c r="B54" i="5" s="1"/>
  <c r="B55" i="5" s="1"/>
  <c r="B56" i="5" s="1"/>
  <c r="I22" i="5"/>
  <c r="G23" i="5" s="1"/>
  <c r="E23" i="5" s="1"/>
  <c r="G22" i="5"/>
  <c r="E22" i="5" s="1"/>
  <c r="L7" i="5"/>
  <c r="K7" i="5"/>
  <c r="E11" i="5" l="1"/>
  <c r="L11" i="5" s="1"/>
  <c r="F15" i="8"/>
  <c r="F18" i="8" s="1"/>
  <c r="G17" i="9"/>
  <c r="G8" i="10" s="1"/>
  <c r="G25" i="15" s="1"/>
  <c r="G49" i="15" s="1"/>
  <c r="I23" i="5"/>
  <c r="E75" i="5"/>
  <c r="I63" i="5"/>
  <c r="I104" i="5"/>
  <c r="G105" i="5" s="1"/>
  <c r="E105" i="5" s="1"/>
  <c r="E15" i="8" l="1"/>
  <c r="E18" i="8" s="1"/>
  <c r="F17" i="9"/>
  <c r="F8" i="10" s="1"/>
  <c r="F25" i="15" s="1"/>
  <c r="F49" i="15" s="1"/>
  <c r="G64" i="5"/>
  <c r="F64" i="5" s="1"/>
  <c r="G24" i="5"/>
  <c r="E24" i="5" s="1"/>
  <c r="I24" i="5"/>
  <c r="I64" i="5" l="1"/>
  <c r="G65" i="5" s="1"/>
  <c r="F65" i="5" s="1"/>
  <c r="I25" i="5"/>
  <c r="G25" i="5"/>
  <c r="E25" i="5" s="1"/>
  <c r="I105" i="5"/>
  <c r="G106" i="5" s="1"/>
  <c r="E106" i="5" s="1"/>
  <c r="I65" i="5" l="1"/>
  <c r="G66" i="5" s="1"/>
  <c r="F66" i="5" s="1"/>
  <c r="G26" i="5"/>
  <c r="E26" i="5" s="1"/>
  <c r="I26" i="5"/>
  <c r="I66" i="5" l="1"/>
  <c r="G27" i="5"/>
  <c r="E27" i="5" s="1"/>
  <c r="I27" i="5"/>
  <c r="I106" i="5"/>
  <c r="G107" i="5" s="1"/>
  <c r="E107" i="5" s="1"/>
  <c r="G67" i="5" l="1"/>
  <c r="F67" i="5" s="1"/>
  <c r="I28" i="5"/>
  <c r="G28" i="5"/>
  <c r="E28" i="5" s="1"/>
  <c r="I67" i="5" l="1"/>
  <c r="G29" i="5"/>
  <c r="E29" i="5" s="1"/>
  <c r="I29" i="5"/>
  <c r="I107" i="5"/>
  <c r="G108" i="5" s="1"/>
  <c r="E108" i="5" s="1"/>
  <c r="G68" i="5" l="1"/>
  <c r="G30" i="5"/>
  <c r="E30" i="5" s="1"/>
  <c r="I30" i="5"/>
  <c r="I68" i="5" l="1"/>
  <c r="F68" i="5"/>
  <c r="G69" i="5"/>
  <c r="I31" i="5"/>
  <c r="G31" i="5"/>
  <c r="E31" i="5" s="1"/>
  <c r="I108" i="5"/>
  <c r="I69" i="5" l="1"/>
  <c r="F69" i="5"/>
  <c r="G70" i="5"/>
  <c r="I32" i="5"/>
  <c r="G32" i="5"/>
  <c r="G109" i="5"/>
  <c r="I70" i="5" l="1"/>
  <c r="G71" i="5" s="1"/>
  <c r="F70" i="5"/>
  <c r="E32" i="5"/>
  <c r="G33" i="5"/>
  <c r="E33" i="5" s="1"/>
  <c r="I33" i="5"/>
  <c r="E109" i="5"/>
  <c r="I109" i="5" s="1"/>
  <c r="E34" i="5" l="1"/>
  <c r="I71" i="5"/>
  <c r="G72" i="5" s="1"/>
  <c r="F71" i="5"/>
  <c r="G35" i="5"/>
  <c r="E35" i="5" s="1"/>
  <c r="G34" i="5"/>
  <c r="G110" i="5"/>
  <c r="E110" i="5" s="1"/>
  <c r="I72" i="5" l="1"/>
  <c r="G73" i="5" s="1"/>
  <c r="F72" i="5"/>
  <c r="I110" i="5"/>
  <c r="G111" i="5" s="1"/>
  <c r="E111" i="5" s="1"/>
  <c r="I35" i="5"/>
  <c r="G36" i="5" s="1"/>
  <c r="E36" i="5" s="1"/>
  <c r="I73" i="5" l="1"/>
  <c r="G74" i="5" s="1"/>
  <c r="F73" i="5"/>
  <c r="I36" i="5"/>
  <c r="G37" i="5" s="1"/>
  <c r="I111" i="5"/>
  <c r="G75" i="5" l="1"/>
  <c r="F74" i="5"/>
  <c r="F75" i="5" s="1"/>
  <c r="I74" i="5"/>
  <c r="G112" i="5"/>
  <c r="E112" i="5" s="1"/>
  <c r="E37" i="5"/>
  <c r="I37" i="5" s="1"/>
  <c r="E8" i="5" l="1"/>
  <c r="L8" i="5" s="1"/>
  <c r="C17" i="9" s="1"/>
  <c r="C8" i="10" s="1"/>
  <c r="C25" i="15" s="1"/>
  <c r="I112" i="5"/>
  <c r="G113" i="5" s="1"/>
  <c r="E113" i="5" s="1"/>
  <c r="G76" i="5"/>
  <c r="G38" i="5"/>
  <c r="C49" i="15" l="1"/>
  <c r="F76" i="5"/>
  <c r="I76" i="5"/>
  <c r="E38" i="5"/>
  <c r="I38" i="5" s="1"/>
  <c r="I113" i="5"/>
  <c r="G77" i="5" l="1"/>
  <c r="G114" i="5"/>
  <c r="E114" i="5" s="1"/>
  <c r="I114" i="5" s="1"/>
  <c r="G39" i="5"/>
  <c r="F77" i="5" l="1"/>
  <c r="I77" i="5"/>
  <c r="G115" i="5"/>
  <c r="E39" i="5"/>
  <c r="I39" i="5" s="1"/>
  <c r="G78" i="5" l="1"/>
  <c r="G40" i="5"/>
  <c r="E40" i="5" s="1"/>
  <c r="E115" i="5"/>
  <c r="E116" i="5" s="1"/>
  <c r="G116" i="5"/>
  <c r="D8" i="5" l="1"/>
  <c r="K8" i="5" s="1"/>
  <c r="C22" i="7" s="1"/>
  <c r="C6" i="10" s="1"/>
  <c r="I115" i="5"/>
  <c r="F8" i="5" s="1"/>
  <c r="M8" i="5" s="1"/>
  <c r="F78" i="5"/>
  <c r="I78" i="5"/>
  <c r="I40" i="5"/>
  <c r="C13" i="12" l="1"/>
  <c r="C9" i="10"/>
  <c r="C23" i="15"/>
  <c r="C15" i="15"/>
  <c r="C39" i="15" s="1"/>
  <c r="G117" i="5"/>
  <c r="E117" i="5" s="1"/>
  <c r="I117" i="5" s="1"/>
  <c r="G79" i="5"/>
  <c r="C9" i="5"/>
  <c r="G41" i="5"/>
  <c r="E41" i="5" s="1"/>
  <c r="C47" i="15" l="1"/>
  <c r="C10" i="10"/>
  <c r="F79" i="5"/>
  <c r="I79" i="5"/>
  <c r="I41" i="5"/>
  <c r="G42" i="5" s="1"/>
  <c r="E42" i="5" s="1"/>
  <c r="G118" i="5"/>
  <c r="J9" i="5"/>
  <c r="G80" i="5" l="1"/>
  <c r="I80" i="5" s="1"/>
  <c r="I42" i="5"/>
  <c r="E118" i="5"/>
  <c r="G81" i="5" l="1"/>
  <c r="F81" i="5" s="1"/>
  <c r="F80" i="5"/>
  <c r="I118" i="5"/>
  <c r="G43" i="5"/>
  <c r="E43" i="5" s="1"/>
  <c r="I81" i="5" l="1"/>
  <c r="I43" i="5"/>
  <c r="G119" i="5"/>
  <c r="G82" i="5" l="1"/>
  <c r="F82" i="5" s="1"/>
  <c r="G44" i="5"/>
  <c r="E44" i="5" s="1"/>
  <c r="E119" i="5"/>
  <c r="I82" i="5" l="1"/>
  <c r="I44" i="5"/>
  <c r="I119" i="5"/>
  <c r="G83" i="5" l="1"/>
  <c r="F83" i="5" s="1"/>
  <c r="G120" i="5"/>
  <c r="G45" i="5"/>
  <c r="E45" i="5" s="1"/>
  <c r="I83" i="5" l="1"/>
  <c r="G84" i="5" s="1"/>
  <c r="F84" i="5" s="1"/>
  <c r="E120" i="5"/>
  <c r="I120" i="5" s="1"/>
  <c r="I45" i="5"/>
  <c r="I84" i="5" l="1"/>
  <c r="G85" i="5" s="1"/>
  <c r="F85" i="5" s="1"/>
  <c r="G121" i="5"/>
  <c r="G46" i="5"/>
  <c r="I85" i="5" l="1"/>
  <c r="E46" i="5"/>
  <c r="E47" i="5" s="1"/>
  <c r="G47" i="5"/>
  <c r="E121" i="5"/>
  <c r="I121" i="5" s="1"/>
  <c r="G86" i="5" l="1"/>
  <c r="F86" i="5" s="1"/>
  <c r="G122" i="5"/>
  <c r="E122" i="5" s="1"/>
  <c r="I46" i="5"/>
  <c r="I86" i="5" l="1"/>
  <c r="I122" i="5"/>
  <c r="G48" i="5"/>
  <c r="G87" i="5" l="1"/>
  <c r="F87" i="5" s="1"/>
  <c r="F88" i="5" s="1"/>
  <c r="E9" i="5" s="1"/>
  <c r="L9" i="5" s="1"/>
  <c r="J8" i="5"/>
  <c r="C8" i="5"/>
  <c r="G123" i="5"/>
  <c r="E123" i="5" s="1"/>
  <c r="E48" i="5"/>
  <c r="G88" i="5" l="1"/>
  <c r="I87" i="5"/>
  <c r="D17" i="9"/>
  <c r="D8" i="10" s="1"/>
  <c r="D25" i="15" s="1"/>
  <c r="C15" i="8"/>
  <c r="I123" i="5"/>
  <c r="G124" i="5" s="1"/>
  <c r="E124" i="5" s="1"/>
  <c r="G89" i="5"/>
  <c r="I48" i="5"/>
  <c r="D49" i="15" l="1"/>
  <c r="C10" i="8"/>
  <c r="C13" i="8" s="1"/>
  <c r="C18" i="8"/>
  <c r="I124" i="5"/>
  <c r="G125" i="5" s="1"/>
  <c r="E125" i="5" s="1"/>
  <c r="F89" i="5"/>
  <c r="I89" i="5"/>
  <c r="G49" i="5"/>
  <c r="G90" i="5" l="1"/>
  <c r="I90" i="5" s="1"/>
  <c r="E49" i="5"/>
  <c r="I125" i="5"/>
  <c r="I49" i="5" l="1"/>
  <c r="G91" i="5"/>
  <c r="F91" i="5" s="1"/>
  <c r="F90" i="5"/>
  <c r="G126" i="5"/>
  <c r="E126" i="5" s="1"/>
  <c r="G50" i="5"/>
  <c r="I91" i="5" l="1"/>
  <c r="I126" i="5"/>
  <c r="E50" i="5"/>
  <c r="G92" i="5" l="1"/>
  <c r="I92" i="5" s="1"/>
  <c r="G127" i="5"/>
  <c r="E127" i="5" s="1"/>
  <c r="I50" i="5"/>
  <c r="G93" i="5" l="1"/>
  <c r="F93" i="5" s="1"/>
  <c r="F92" i="5"/>
  <c r="I127" i="5"/>
  <c r="G51" i="5"/>
  <c r="I93" i="5" l="1"/>
  <c r="E51" i="5"/>
  <c r="I51" i="5" s="1"/>
  <c r="G128" i="5"/>
  <c r="G94" i="5" l="1"/>
  <c r="I94" i="5" s="1"/>
  <c r="E128" i="5"/>
  <c r="E129" i="5" s="1"/>
  <c r="G129" i="5"/>
  <c r="G52" i="5"/>
  <c r="D9" i="5" l="1"/>
  <c r="K9" i="5" s="1"/>
  <c r="D22" i="7" s="1"/>
  <c r="D6" i="10" s="1"/>
  <c r="I128" i="5"/>
  <c r="F9" i="5" s="1"/>
  <c r="M9" i="5" s="1"/>
  <c r="G95" i="5"/>
  <c r="G96" i="5" s="1"/>
  <c r="F95" i="5"/>
  <c r="F94" i="5"/>
  <c r="E52" i="5"/>
  <c r="I52" i="5" s="1"/>
  <c r="D9" i="10" l="1"/>
  <c r="D23" i="15"/>
  <c r="D15" i="15"/>
  <c r="D39" i="15" s="1"/>
  <c r="D13" i="12"/>
  <c r="G130" i="5"/>
  <c r="E130" i="5" s="1"/>
  <c r="I130" i="5" s="1"/>
  <c r="E95" i="5"/>
  <c r="E96" i="5" s="1"/>
  <c r="F96" i="5"/>
  <c r="G53" i="5"/>
  <c r="E53" i="5" s="1"/>
  <c r="C10" i="5"/>
  <c r="J10" i="5"/>
  <c r="D47" i="15" l="1"/>
  <c r="D10" i="10"/>
  <c r="I95" i="5"/>
  <c r="I53" i="5"/>
  <c r="G54" i="5" s="1"/>
  <c r="G131" i="5"/>
  <c r="E54" i="5" l="1"/>
  <c r="E131" i="5"/>
  <c r="I131" i="5" s="1"/>
  <c r="I54" i="5" l="1"/>
  <c r="G55" i="5" s="1"/>
  <c r="E55" i="5" s="1"/>
  <c r="I55" i="5" s="1"/>
  <c r="G132" i="5"/>
  <c r="F56" i="5" l="1"/>
  <c r="F57" i="5" s="1"/>
  <c r="E10" i="5" s="1"/>
  <c r="L10" i="5" s="1"/>
  <c r="G56" i="5"/>
  <c r="E132" i="5"/>
  <c r="I132" i="5" s="1"/>
  <c r="E17" i="9" l="1"/>
  <c r="E8" i="10" s="1"/>
  <c r="E25" i="15" s="1"/>
  <c r="D15" i="8"/>
  <c r="D18" i="8" s="1"/>
  <c r="E56" i="5"/>
  <c r="G57" i="5"/>
  <c r="G133" i="5"/>
  <c r="E49" i="15" l="1"/>
  <c r="D10" i="8"/>
  <c r="D13" i="8" s="1"/>
  <c r="I56" i="5"/>
  <c r="E57" i="5"/>
  <c r="E133" i="5"/>
  <c r="I133" i="5" s="1"/>
  <c r="G134" i="5" l="1"/>
  <c r="E134" i="5" l="1"/>
  <c r="I134" i="5" s="1"/>
  <c r="G135" i="5" l="1"/>
  <c r="E135" i="5" s="1"/>
  <c r="I135" i="5" l="1"/>
  <c r="G136" i="5" l="1"/>
  <c r="E136" i="5" s="1"/>
  <c r="I136" i="5" l="1"/>
  <c r="G137" i="5" s="1"/>
  <c r="E137" i="5" s="1"/>
  <c r="I137" i="5" l="1"/>
  <c r="G138" i="5" s="1"/>
  <c r="E138" i="5" s="1"/>
  <c r="I138" i="5" l="1"/>
  <c r="G139" i="5" s="1"/>
  <c r="E139" i="5" s="1"/>
  <c r="I139" i="5" l="1"/>
  <c r="G140" i="5" l="1"/>
  <c r="E140" i="5" s="1"/>
  <c r="I140" i="5" l="1"/>
  <c r="G141" i="5" l="1"/>
  <c r="E141" i="5" l="1"/>
  <c r="E142" i="5" s="1"/>
  <c r="G142" i="5"/>
  <c r="D10" i="5" l="1"/>
  <c r="K10" i="5" s="1"/>
  <c r="E22" i="7" s="1"/>
  <c r="E6" i="10" s="1"/>
  <c r="I141" i="5"/>
  <c r="F10" i="5" s="1"/>
  <c r="M10" i="5" s="1"/>
  <c r="E10" i="8" s="1"/>
  <c r="E13" i="8" s="1"/>
  <c r="E9" i="10" l="1"/>
  <c r="E23" i="15"/>
  <c r="E15" i="15"/>
  <c r="E39" i="15" s="1"/>
  <c r="E13" i="12"/>
  <c r="G143" i="5"/>
  <c r="E47" i="15" l="1"/>
  <c r="E10" i="10"/>
  <c r="C11" i="5"/>
  <c r="J11" i="5"/>
  <c r="E143" i="5"/>
  <c r="I143" i="5" l="1"/>
  <c r="G144" i="5" l="1"/>
  <c r="E144" i="5" l="1"/>
  <c r="I144" i="5" l="1"/>
  <c r="G145" i="5" l="1"/>
  <c r="E145" i="5" l="1"/>
  <c r="I145" i="5" s="1"/>
  <c r="G146" i="5" l="1"/>
  <c r="E146" i="5" l="1"/>
  <c r="I146" i="5" s="1"/>
  <c r="G147" i="5" l="1"/>
  <c r="E147" i="5" l="1"/>
  <c r="I147" i="5" s="1"/>
  <c r="G148" i="5" l="1"/>
  <c r="E148" i="5" s="1"/>
  <c r="I148" i="5" l="1"/>
  <c r="G149" i="5" l="1"/>
  <c r="E149" i="5" s="1"/>
  <c r="I149" i="5" l="1"/>
  <c r="G150" i="5" s="1"/>
  <c r="E150" i="5" s="1"/>
  <c r="I150" i="5" l="1"/>
  <c r="G151" i="5" l="1"/>
  <c r="E151" i="5" s="1"/>
  <c r="I151" i="5" l="1"/>
  <c r="G152" i="5" l="1"/>
  <c r="E152" i="5" s="1"/>
  <c r="I152" i="5" l="1"/>
  <c r="G153" i="5" l="1"/>
  <c r="E153" i="5" l="1"/>
  <c r="I153" i="5" s="1"/>
  <c r="G154" i="5" l="1"/>
  <c r="E154" i="5" l="1"/>
  <c r="E155" i="5" s="1"/>
  <c r="G155" i="5"/>
  <c r="D11" i="5" s="1"/>
  <c r="K11" i="5" l="1"/>
  <c r="F22" i="7" s="1"/>
  <c r="F6" i="10" s="1"/>
  <c r="I154" i="5"/>
  <c r="F11" i="5" l="1"/>
  <c r="M11" i="5" s="1"/>
  <c r="F10" i="8" s="1"/>
  <c r="F13" i="8" s="1"/>
  <c r="G156" i="5"/>
  <c r="F23" i="15"/>
  <c r="F13" i="12"/>
  <c r="F9" i="10"/>
  <c r="F15" i="15"/>
  <c r="F39" i="15" s="1"/>
  <c r="J12" i="5" l="1"/>
  <c r="F47" i="15"/>
  <c r="F10" i="10"/>
  <c r="C12" i="5"/>
  <c r="E156" i="5"/>
  <c r="I156" i="5" s="1"/>
  <c r="I157" i="5" l="1"/>
  <c r="G157" i="5"/>
  <c r="E157" i="5" l="1"/>
  <c r="I158" i="5"/>
  <c r="G158" i="5"/>
  <c r="E158" i="5" s="1"/>
  <c r="I159" i="5" l="1"/>
  <c r="G159" i="5"/>
  <c r="E159" i="5" s="1"/>
  <c r="I160" i="5" l="1"/>
  <c r="G160" i="5"/>
  <c r="E160" i="5" s="1"/>
  <c r="I161" i="5" l="1"/>
  <c r="G161" i="5"/>
  <c r="E161" i="5" s="1"/>
  <c r="I162" i="5" l="1"/>
  <c r="G162" i="5"/>
  <c r="E162" i="5" s="1"/>
  <c r="I163" i="5" l="1"/>
  <c r="G163" i="5"/>
  <c r="E163" i="5" s="1"/>
  <c r="I164" i="5" l="1"/>
  <c r="G164" i="5"/>
  <c r="E164" i="5" s="1"/>
  <c r="I165" i="5" l="1"/>
  <c r="G165" i="5"/>
  <c r="E165" i="5" s="1"/>
  <c r="I166" i="5" l="1"/>
  <c r="G166" i="5"/>
  <c r="E166" i="5" s="1"/>
  <c r="I167" i="5" l="1"/>
  <c r="F12" i="5" s="1"/>
  <c r="M12" i="5" s="1"/>
  <c r="G10" i="8" s="1"/>
  <c r="G13" i="8" s="1"/>
  <c r="G167" i="5"/>
  <c r="E167" i="5" l="1"/>
  <c r="E168" i="5" s="1"/>
  <c r="G168" i="5"/>
  <c r="I169" i="5"/>
  <c r="G169" i="5"/>
  <c r="F95" i="3"/>
  <c r="F65" i="3"/>
  <c r="F105" i="3"/>
  <c r="F85" i="3"/>
  <c r="F75" i="3"/>
  <c r="G75" i="3" s="1"/>
  <c r="H75" i="3" s="1"/>
  <c r="I75" i="3" s="1"/>
  <c r="F45" i="3"/>
  <c r="G45" i="3" s="1"/>
  <c r="H45" i="3" s="1"/>
  <c r="F55" i="3"/>
  <c r="G55" i="3" s="1"/>
  <c r="F25" i="3"/>
  <c r="F17" i="3"/>
  <c r="G17" i="3" s="1"/>
  <c r="H17" i="3" s="1"/>
  <c r="F8" i="3"/>
  <c r="G8" i="3" s="1"/>
  <c r="F6" i="3"/>
  <c r="F4" i="3" s="1"/>
  <c r="D127" i="3"/>
  <c r="E127" i="3"/>
  <c r="F127" i="3"/>
  <c r="G127" i="3"/>
  <c r="H127" i="3"/>
  <c r="I127" i="3"/>
  <c r="J127" i="3"/>
  <c r="K127" i="3"/>
  <c r="L127" i="3"/>
  <c r="M127" i="3"/>
  <c r="N127" i="3"/>
  <c r="C128" i="3"/>
  <c r="C129" i="3" s="1"/>
  <c r="D12" i="5" l="1"/>
  <c r="K12" i="5" s="1"/>
  <c r="G22" i="7" s="1"/>
  <c r="G6" i="10" s="1"/>
  <c r="C13" i="5"/>
  <c r="J13" i="5"/>
  <c r="I170" i="5"/>
  <c r="G170" i="5"/>
  <c r="E170" i="5" s="1"/>
  <c r="E169" i="5"/>
  <c r="G105" i="3"/>
  <c r="E111" i="3"/>
  <c r="E91" i="3"/>
  <c r="F88" i="3" s="1"/>
  <c r="F90" i="3" s="1"/>
  <c r="G85" i="3"/>
  <c r="E101" i="3"/>
  <c r="G95" i="3"/>
  <c r="E61" i="3"/>
  <c r="F58" i="3" s="1"/>
  <c r="F60" i="3" s="1"/>
  <c r="F61" i="3" s="1"/>
  <c r="F62" i="3" s="1"/>
  <c r="E71" i="3"/>
  <c r="G65" i="3"/>
  <c r="E31" i="3"/>
  <c r="F28" i="3" s="1"/>
  <c r="F30" i="3" s="1"/>
  <c r="F31" i="3" s="1"/>
  <c r="G28" i="3" s="1"/>
  <c r="G30" i="3" s="1"/>
  <c r="E51" i="3"/>
  <c r="F48" i="3" s="1"/>
  <c r="F50" i="3" s="1"/>
  <c r="F51" i="3" s="1"/>
  <c r="G48" i="3" s="1"/>
  <c r="G50" i="3" s="1"/>
  <c r="E41" i="3"/>
  <c r="F38" i="3" s="1"/>
  <c r="F40" i="3" s="1"/>
  <c r="F35" i="3"/>
  <c r="G35" i="3" s="1"/>
  <c r="H35" i="3" s="1"/>
  <c r="I35" i="3" s="1"/>
  <c r="G25" i="3"/>
  <c r="H25" i="3" s="1"/>
  <c r="E23" i="3"/>
  <c r="F20" i="3" s="1"/>
  <c r="F118" i="3" s="1"/>
  <c r="C14" i="7" s="1"/>
  <c r="E14" i="3"/>
  <c r="E119" i="3" s="1"/>
  <c r="H55" i="3"/>
  <c r="H8" i="3"/>
  <c r="G14" i="3"/>
  <c r="I45" i="3"/>
  <c r="I17" i="3"/>
  <c r="J75" i="3"/>
  <c r="E81" i="3"/>
  <c r="G6" i="3"/>
  <c r="F14" i="3"/>
  <c r="G9" i="10" l="1"/>
  <c r="G13" i="12"/>
  <c r="G15" i="15"/>
  <c r="G39" i="15" s="1"/>
  <c r="G23" i="15"/>
  <c r="G171" i="5"/>
  <c r="E171" i="5" s="1"/>
  <c r="I171" i="5"/>
  <c r="C16" i="15"/>
  <c r="C40" i="15" s="1"/>
  <c r="C16" i="12"/>
  <c r="C17" i="12" s="1"/>
  <c r="C9" i="14"/>
  <c r="C15" i="7"/>
  <c r="C18" i="7" s="1"/>
  <c r="E32" i="3"/>
  <c r="E92" i="3"/>
  <c r="F68" i="3"/>
  <c r="F70" i="3" s="1"/>
  <c r="F71" i="3" s="1"/>
  <c r="F108" i="3"/>
  <c r="E112" i="3"/>
  <c r="F98" i="3"/>
  <c r="F100" i="3" s="1"/>
  <c r="F101" i="3" s="1"/>
  <c r="E102" i="3"/>
  <c r="E72" i="3"/>
  <c r="H105" i="3"/>
  <c r="E62" i="3"/>
  <c r="F91" i="3"/>
  <c r="H85" i="3"/>
  <c r="F41" i="3"/>
  <c r="G38" i="3" s="1"/>
  <c r="G40" i="3" s="1"/>
  <c r="G41" i="3" s="1"/>
  <c r="H38" i="3" s="1"/>
  <c r="H40" i="3" s="1"/>
  <c r="H95" i="3"/>
  <c r="H65" i="3"/>
  <c r="E52" i="3"/>
  <c r="F52" i="3"/>
  <c r="E42" i="3"/>
  <c r="G31" i="3"/>
  <c r="H28" i="3" s="1"/>
  <c r="H30" i="3" s="1"/>
  <c r="H31" i="3" s="1"/>
  <c r="I28" i="3" s="1"/>
  <c r="I30" i="3" s="1"/>
  <c r="F32" i="3"/>
  <c r="G51" i="3"/>
  <c r="H48" i="3" s="1"/>
  <c r="H50" i="3" s="1"/>
  <c r="I55" i="3"/>
  <c r="J17" i="3"/>
  <c r="K75" i="3"/>
  <c r="G58" i="3"/>
  <c r="J35" i="3"/>
  <c r="J45" i="3"/>
  <c r="I25" i="3"/>
  <c r="F78" i="3"/>
  <c r="F80" i="3" s="1"/>
  <c r="E82" i="3"/>
  <c r="H14" i="3"/>
  <c r="I8" i="3"/>
  <c r="H6" i="3"/>
  <c r="G4" i="3"/>
  <c r="F22" i="3"/>
  <c r="F23" i="3" s="1"/>
  <c r="G20" i="3" s="1"/>
  <c r="G118" i="3" s="1"/>
  <c r="D14" i="7" s="1"/>
  <c r="D23" i="8" s="1"/>
  <c r="D24" i="8" l="1"/>
  <c r="D27" i="8" s="1"/>
  <c r="G47" i="15"/>
  <c r="G10" i="10"/>
  <c r="G172" i="5"/>
  <c r="I172" i="5"/>
  <c r="C20" i="7"/>
  <c r="C21" i="7" s="1"/>
  <c r="D16" i="15"/>
  <c r="D40" i="15" s="1"/>
  <c r="D9" i="14"/>
  <c r="D15" i="7"/>
  <c r="D16" i="12"/>
  <c r="D17" i="12" s="1"/>
  <c r="F119" i="3"/>
  <c r="F110" i="3"/>
  <c r="F111" i="3" s="1"/>
  <c r="G68" i="3"/>
  <c r="G70" i="3" s="1"/>
  <c r="G71" i="3" s="1"/>
  <c r="F42" i="3"/>
  <c r="G88" i="3"/>
  <c r="G90" i="3" s="1"/>
  <c r="G91" i="3" s="1"/>
  <c r="G108" i="3"/>
  <c r="G98" i="3"/>
  <c r="G100" i="3" s="1"/>
  <c r="G101" i="3" s="1"/>
  <c r="I105" i="3"/>
  <c r="I85" i="3"/>
  <c r="F92" i="3"/>
  <c r="F102" i="3"/>
  <c r="I95" i="3"/>
  <c r="I65" i="3"/>
  <c r="F72" i="3"/>
  <c r="G32" i="3"/>
  <c r="G42" i="3"/>
  <c r="H32" i="3"/>
  <c r="H51" i="3"/>
  <c r="I48" i="3" s="1"/>
  <c r="I50" i="3" s="1"/>
  <c r="H41" i="3"/>
  <c r="I38" i="3" s="1"/>
  <c r="I40" i="3" s="1"/>
  <c r="I6" i="3"/>
  <c r="H4" i="3"/>
  <c r="J25" i="3"/>
  <c r="I31" i="3"/>
  <c r="J28" i="3" s="1"/>
  <c r="J30" i="3" s="1"/>
  <c r="K35" i="3"/>
  <c r="J55" i="3"/>
  <c r="G22" i="3"/>
  <c r="G23" i="3" s="1"/>
  <c r="G119" i="3" s="1"/>
  <c r="L75" i="3"/>
  <c r="F81" i="3"/>
  <c r="G78" i="3" s="1"/>
  <c r="G80" i="3" s="1"/>
  <c r="K45" i="3"/>
  <c r="J8" i="3"/>
  <c r="I14" i="3"/>
  <c r="G60" i="3"/>
  <c r="K17" i="3"/>
  <c r="G52" i="3"/>
  <c r="I173" i="5" l="1"/>
  <c r="G173" i="5"/>
  <c r="E173" i="5" s="1"/>
  <c r="E172" i="5"/>
  <c r="C33" i="7"/>
  <c r="C25" i="7"/>
  <c r="C6" i="14"/>
  <c r="C32" i="7"/>
  <c r="C41" i="15"/>
  <c r="C43" i="15" s="1"/>
  <c r="C17" i="15"/>
  <c r="C19" i="15" s="1"/>
  <c r="C27" i="12"/>
  <c r="C18" i="13"/>
  <c r="D16" i="7"/>
  <c r="F112" i="3"/>
  <c r="G110" i="3"/>
  <c r="G111" i="3" s="1"/>
  <c r="H98" i="3"/>
  <c r="H100" i="3" s="1"/>
  <c r="H101" i="3" s="1"/>
  <c r="H88" i="3"/>
  <c r="H90" i="3" s="1"/>
  <c r="H91" i="3" s="1"/>
  <c r="H68" i="3"/>
  <c r="H70" i="3" s="1"/>
  <c r="H71" i="3" s="1"/>
  <c r="J105" i="3"/>
  <c r="G92" i="3"/>
  <c r="J85" i="3"/>
  <c r="G102" i="3"/>
  <c r="J95" i="3"/>
  <c r="I32" i="3"/>
  <c r="G72" i="3"/>
  <c r="J65" i="3"/>
  <c r="H42" i="3"/>
  <c r="H52" i="3"/>
  <c r="G81" i="3"/>
  <c r="H78" i="3" s="1"/>
  <c r="H80" i="3" s="1"/>
  <c r="I51" i="3"/>
  <c r="J48" i="3" s="1"/>
  <c r="J50" i="3" s="1"/>
  <c r="H20" i="3"/>
  <c r="H118" i="3" s="1"/>
  <c r="E14" i="7" s="1"/>
  <c r="E23" i="8" s="1"/>
  <c r="L35" i="3"/>
  <c r="J6" i="3"/>
  <c r="I4" i="3"/>
  <c r="G61" i="3"/>
  <c r="H58" i="3" s="1"/>
  <c r="H60" i="3" s="1"/>
  <c r="L45" i="3"/>
  <c r="L17" i="3"/>
  <c r="K8" i="3"/>
  <c r="J14" i="3"/>
  <c r="F82" i="3"/>
  <c r="K55" i="3"/>
  <c r="K25" i="3"/>
  <c r="J31" i="3"/>
  <c r="K28" i="3" s="1"/>
  <c r="K30" i="3" s="1"/>
  <c r="I41" i="3"/>
  <c r="J38" i="3" s="1"/>
  <c r="J40" i="3" s="1"/>
  <c r="E24" i="8" l="1"/>
  <c r="E27" i="8" s="1"/>
  <c r="C44" i="15"/>
  <c r="C45" i="15" s="1"/>
  <c r="C46" i="15" s="1"/>
  <c r="C20" i="15"/>
  <c r="C21" i="15" s="1"/>
  <c r="C22" i="15" s="1"/>
  <c r="C7" i="14"/>
  <c r="C8" i="14" s="1"/>
  <c r="C26" i="7"/>
  <c r="C26" i="12" s="1"/>
  <c r="C28" i="12" s="1"/>
  <c r="C30" i="12" s="1"/>
  <c r="G174" i="5"/>
  <c r="E174" i="5" s="1"/>
  <c r="I174" i="5"/>
  <c r="D27" i="12"/>
  <c r="D18" i="7"/>
  <c r="D20" i="7" s="1"/>
  <c r="D21" i="7" s="1"/>
  <c r="D18" i="13"/>
  <c r="E16" i="7"/>
  <c r="E16" i="15"/>
  <c r="E40" i="15" s="1"/>
  <c r="E9" i="14"/>
  <c r="E16" i="12"/>
  <c r="E17" i="12" s="1"/>
  <c r="E15" i="7"/>
  <c r="D17" i="15"/>
  <c r="D19" i="15" s="1"/>
  <c r="D41" i="15"/>
  <c r="D43" i="15" s="1"/>
  <c r="C17" i="13"/>
  <c r="C21" i="13" s="1"/>
  <c r="C28" i="13" s="1"/>
  <c r="C29" i="13" s="1"/>
  <c r="C30" i="13" s="1"/>
  <c r="G112" i="3"/>
  <c r="H108" i="3"/>
  <c r="H110" i="3" s="1"/>
  <c r="H111" i="3" s="1"/>
  <c r="I98" i="3"/>
  <c r="I100" i="3" s="1"/>
  <c r="I101" i="3" s="1"/>
  <c r="I88" i="3"/>
  <c r="I90" i="3" s="1"/>
  <c r="I91" i="3" s="1"/>
  <c r="I68" i="3"/>
  <c r="I70" i="3" s="1"/>
  <c r="I71" i="3" s="1"/>
  <c r="K105" i="3"/>
  <c r="H92" i="3"/>
  <c r="K85" i="3"/>
  <c r="H102" i="3"/>
  <c r="K95" i="3"/>
  <c r="H72" i="3"/>
  <c r="K65" i="3"/>
  <c r="G82" i="3"/>
  <c r="I52" i="3"/>
  <c r="G62" i="3"/>
  <c r="I42" i="3"/>
  <c r="H61" i="3"/>
  <c r="I58" i="3" s="1"/>
  <c r="I60" i="3" s="1"/>
  <c r="J51" i="3"/>
  <c r="K48" i="3" s="1"/>
  <c r="K50" i="3" s="1"/>
  <c r="H81" i="3"/>
  <c r="I78" i="3" s="1"/>
  <c r="I80" i="3" s="1"/>
  <c r="L55" i="3"/>
  <c r="H22" i="3"/>
  <c r="H23" i="3" s="1"/>
  <c r="H119" i="3" s="1"/>
  <c r="J41" i="3"/>
  <c r="K38" i="3" s="1"/>
  <c r="K40" i="3" s="1"/>
  <c r="J4" i="3"/>
  <c r="K6" i="3"/>
  <c r="L8" i="3"/>
  <c r="K14" i="3"/>
  <c r="L25" i="3"/>
  <c r="K31" i="3"/>
  <c r="L28" i="3" s="1"/>
  <c r="L30" i="3" s="1"/>
  <c r="J32" i="3"/>
  <c r="C26" i="15" l="1"/>
  <c r="C50" i="15"/>
  <c r="C36" i="12"/>
  <c r="C32" i="12"/>
  <c r="C34" i="12" s="1"/>
  <c r="D44" i="15"/>
  <c r="D45" i="15" s="1"/>
  <c r="D46" i="15" s="1"/>
  <c r="D50" i="15" s="1"/>
  <c r="D20" i="15"/>
  <c r="D21" i="15" s="1"/>
  <c r="D22" i="15" s="1"/>
  <c r="D26" i="15" s="1"/>
  <c r="C27" i="7"/>
  <c r="C34" i="7" s="1"/>
  <c r="E18" i="7"/>
  <c r="I175" i="5"/>
  <c r="G175" i="5"/>
  <c r="E175" i="5" s="1"/>
  <c r="D32" i="7"/>
  <c r="D33" i="7"/>
  <c r="D25" i="7"/>
  <c r="D6" i="14"/>
  <c r="E17" i="15"/>
  <c r="E19" i="15" s="1"/>
  <c r="C21" i="9"/>
  <c r="C12" i="14"/>
  <c r="D17" i="13"/>
  <c r="D21" i="13" s="1"/>
  <c r="D28" i="13" s="1"/>
  <c r="D29" i="13" s="1"/>
  <c r="D30" i="13" s="1"/>
  <c r="I108" i="3"/>
  <c r="H112" i="3"/>
  <c r="I110" i="3"/>
  <c r="I111" i="3" s="1"/>
  <c r="J98" i="3"/>
  <c r="J100" i="3" s="1"/>
  <c r="J101" i="3" s="1"/>
  <c r="J88" i="3"/>
  <c r="J90" i="3" s="1"/>
  <c r="J91" i="3" s="1"/>
  <c r="J68" i="3"/>
  <c r="J70" i="3" s="1"/>
  <c r="J71" i="3" s="1"/>
  <c r="L105" i="3"/>
  <c r="I92" i="3"/>
  <c r="L85" i="3"/>
  <c r="L95" i="3"/>
  <c r="I102" i="3"/>
  <c r="L65" i="3"/>
  <c r="I72" i="3"/>
  <c r="H82" i="3"/>
  <c r="I61" i="3"/>
  <c r="J58" i="3" s="1"/>
  <c r="J60" i="3" s="1"/>
  <c r="I81" i="3"/>
  <c r="J78" i="3" s="1"/>
  <c r="J80" i="3" s="1"/>
  <c r="K51" i="3"/>
  <c r="L48" i="3" s="1"/>
  <c r="L50" i="3" s="1"/>
  <c r="L14" i="3"/>
  <c r="K32" i="3"/>
  <c r="K41" i="3"/>
  <c r="L38" i="3" s="1"/>
  <c r="L40" i="3" s="1"/>
  <c r="L31" i="3"/>
  <c r="L6" i="3"/>
  <c r="K4" i="3"/>
  <c r="J42" i="3"/>
  <c r="I20" i="3"/>
  <c r="I118" i="3" s="1"/>
  <c r="F14" i="7" s="1"/>
  <c r="F23" i="8" s="1"/>
  <c r="J52" i="3"/>
  <c r="H62" i="3"/>
  <c r="F24" i="8" l="1"/>
  <c r="F27" i="8" s="1"/>
  <c r="E20" i="15"/>
  <c r="E21" i="15" s="1"/>
  <c r="E22" i="15" s="1"/>
  <c r="E26" i="15" s="1"/>
  <c r="D7" i="14"/>
  <c r="D8" i="14" s="1"/>
  <c r="D12" i="14" s="1"/>
  <c r="D18" i="14" s="1"/>
  <c r="D19" i="14" s="1"/>
  <c r="C7" i="8"/>
  <c r="C8" i="8" s="1"/>
  <c r="C19" i="8" s="1"/>
  <c r="C29" i="7"/>
  <c r="D26" i="7"/>
  <c r="D26" i="12" s="1"/>
  <c r="D28" i="12" s="1"/>
  <c r="D30" i="12" s="1"/>
  <c r="G176" i="5"/>
  <c r="E176" i="5" s="1"/>
  <c r="I176" i="5"/>
  <c r="D21" i="9"/>
  <c r="C18" i="14"/>
  <c r="E41" i="15"/>
  <c r="E43" i="15" s="1"/>
  <c r="F16" i="12"/>
  <c r="F17" i="12" s="1"/>
  <c r="F16" i="15"/>
  <c r="F40" i="15" s="1"/>
  <c r="F9" i="14"/>
  <c r="F15" i="7"/>
  <c r="E27" i="12"/>
  <c r="F16" i="7"/>
  <c r="E18" i="13"/>
  <c r="E20" i="7"/>
  <c r="E21" i="7" s="1"/>
  <c r="I112" i="3"/>
  <c r="J108" i="3"/>
  <c r="K98" i="3"/>
  <c r="K100" i="3" s="1"/>
  <c r="K101" i="3" s="1"/>
  <c r="K88" i="3"/>
  <c r="K90" i="3" s="1"/>
  <c r="K91" i="3" s="1"/>
  <c r="K68" i="3"/>
  <c r="K70" i="3" s="1"/>
  <c r="K71" i="3" s="1"/>
  <c r="J92" i="3"/>
  <c r="J102" i="3"/>
  <c r="K42" i="3"/>
  <c r="J72" i="3"/>
  <c r="L51" i="3"/>
  <c r="J61" i="3"/>
  <c r="K58" i="3" s="1"/>
  <c r="K60" i="3" s="1"/>
  <c r="L41" i="3"/>
  <c r="I22" i="3"/>
  <c r="I23" i="3" s="1"/>
  <c r="I119" i="3" s="1"/>
  <c r="J81" i="3"/>
  <c r="K78" i="3" s="1"/>
  <c r="K80" i="3" s="1"/>
  <c r="L4" i="3"/>
  <c r="L32" i="3"/>
  <c r="I82" i="3"/>
  <c r="K52" i="3"/>
  <c r="I62" i="3"/>
  <c r="C7" i="13" l="1"/>
  <c r="C6" i="13"/>
  <c r="D36" i="12"/>
  <c r="D32" i="12"/>
  <c r="D34" i="12" s="1"/>
  <c r="E44" i="15"/>
  <c r="E45" i="15" s="1"/>
  <c r="E46" i="15" s="1"/>
  <c r="C8" i="13"/>
  <c r="C5" i="10"/>
  <c r="C7" i="10" s="1"/>
  <c r="C8" i="9"/>
  <c r="C14" i="9" s="1"/>
  <c r="C24" i="9" s="1"/>
  <c r="C25" i="9" s="1"/>
  <c r="D23" i="9" s="1"/>
  <c r="D27" i="7"/>
  <c r="D34" i="7" s="1"/>
  <c r="F18" i="7"/>
  <c r="G177" i="5"/>
  <c r="E177" i="5" s="1"/>
  <c r="I177" i="5"/>
  <c r="F27" i="12"/>
  <c r="E17" i="13"/>
  <c r="E21" i="13" s="1"/>
  <c r="E28" i="13" s="1"/>
  <c r="E29" i="13" s="1"/>
  <c r="E30" i="13" s="1"/>
  <c r="C19" i="14"/>
  <c r="E32" i="7"/>
  <c r="E33" i="7"/>
  <c r="E25" i="7"/>
  <c r="E6" i="14"/>
  <c r="J110" i="3"/>
  <c r="L98" i="3"/>
  <c r="L100" i="3" s="1"/>
  <c r="L101" i="3" s="1"/>
  <c r="L88" i="3"/>
  <c r="L90" i="3" s="1"/>
  <c r="L91" i="3" s="1"/>
  <c r="L68" i="3"/>
  <c r="L70" i="3" s="1"/>
  <c r="L71" i="3" s="1"/>
  <c r="K92" i="3"/>
  <c r="K102" i="3"/>
  <c r="K72" i="3"/>
  <c r="J82" i="3"/>
  <c r="L42" i="3"/>
  <c r="K61" i="3"/>
  <c r="L58" i="3" s="1"/>
  <c r="L60" i="3" s="1"/>
  <c r="K81" i="3"/>
  <c r="L78" i="3" s="1"/>
  <c r="L80" i="3" s="1"/>
  <c r="J62" i="3"/>
  <c r="J20" i="3"/>
  <c r="J118" i="3" s="1"/>
  <c r="G14" i="7" s="1"/>
  <c r="G23" i="8" s="1"/>
  <c r="L52" i="3"/>
  <c r="G24" i="8" l="1"/>
  <c r="G27" i="8" s="1"/>
  <c r="E50" i="15"/>
  <c r="C31" i="8"/>
  <c r="C34" i="8" s="1"/>
  <c r="C35" i="8" s="1"/>
  <c r="C37" i="8" s="1"/>
  <c r="E7" i="14"/>
  <c r="E8" i="14" s="1"/>
  <c r="E12" i="14" s="1"/>
  <c r="C15" i="10"/>
  <c r="C11" i="10"/>
  <c r="D7" i="8"/>
  <c r="D8" i="8" s="1"/>
  <c r="D8" i="13" s="1"/>
  <c r="D29" i="7"/>
  <c r="E26" i="7"/>
  <c r="E26" i="12" s="1"/>
  <c r="E28" i="12" s="1"/>
  <c r="E30" i="12" s="1"/>
  <c r="G178" i="5"/>
  <c r="E178" i="5" s="1"/>
  <c r="I178" i="5"/>
  <c r="F20" i="7"/>
  <c r="F21" i="7" s="1"/>
  <c r="F6" i="14" s="1"/>
  <c r="E21" i="9"/>
  <c r="G16" i="7"/>
  <c r="F18" i="13"/>
  <c r="G16" i="15"/>
  <c r="G40" i="15" s="1"/>
  <c r="G16" i="12"/>
  <c r="G17" i="12" s="1"/>
  <c r="G9" i="14"/>
  <c r="G15" i="7"/>
  <c r="F41" i="15"/>
  <c r="F43" i="15" s="1"/>
  <c r="F17" i="15"/>
  <c r="F19" i="15" s="1"/>
  <c r="J111" i="3"/>
  <c r="L92" i="3"/>
  <c r="L102" i="3"/>
  <c r="C5" i="3"/>
  <c r="L72" i="3"/>
  <c r="L61" i="3"/>
  <c r="J22" i="3"/>
  <c r="J23" i="3" s="1"/>
  <c r="J119" i="3" s="1"/>
  <c r="K82" i="3"/>
  <c r="L81" i="3"/>
  <c r="K62" i="3"/>
  <c r="C5" i="13" l="1"/>
  <c r="E32" i="12"/>
  <c r="E34" i="12" s="1"/>
  <c r="E36" i="12"/>
  <c r="F44" i="15"/>
  <c r="F45" i="15" s="1"/>
  <c r="F46" i="15" s="1"/>
  <c r="F20" i="15"/>
  <c r="F21" i="15" s="1"/>
  <c r="F22" i="15" s="1"/>
  <c r="F7" i="14"/>
  <c r="F8" i="14" s="1"/>
  <c r="D7" i="13"/>
  <c r="D6" i="13"/>
  <c r="D19" i="8"/>
  <c r="D5" i="10"/>
  <c r="D7" i="10" s="1"/>
  <c r="D8" i="9"/>
  <c r="D14" i="9" s="1"/>
  <c r="D24" i="9" s="1"/>
  <c r="D25" i="9" s="1"/>
  <c r="E23" i="9" s="1"/>
  <c r="E27" i="7"/>
  <c r="G18" i="7"/>
  <c r="F32" i="7"/>
  <c r="G179" i="5"/>
  <c r="E179" i="5" s="1"/>
  <c r="I179" i="5"/>
  <c r="F25" i="7"/>
  <c r="F33" i="7"/>
  <c r="F17" i="13"/>
  <c r="F21" i="13" s="1"/>
  <c r="F28" i="13" s="1"/>
  <c r="F29" i="13" s="1"/>
  <c r="F30" i="13" s="1"/>
  <c r="E18" i="14"/>
  <c r="K108" i="3"/>
  <c r="J112" i="3"/>
  <c r="L82" i="3"/>
  <c r="L62" i="3"/>
  <c r="K20" i="3"/>
  <c r="K118" i="3" s="1"/>
  <c r="H14" i="7" s="1"/>
  <c r="H23" i="8" s="1"/>
  <c r="H24" i="8" l="1"/>
  <c r="H27" i="8" s="1"/>
  <c r="F26" i="15"/>
  <c r="F50" i="15"/>
  <c r="D15" i="10"/>
  <c r="D11" i="10"/>
  <c r="D31" i="8"/>
  <c r="D34" i="8" s="1"/>
  <c r="D35" i="8" s="1"/>
  <c r="D37" i="8" s="1"/>
  <c r="F26" i="7"/>
  <c r="F26" i="12" s="1"/>
  <c r="F28" i="12" s="1"/>
  <c r="F30" i="12" s="1"/>
  <c r="E29" i="7"/>
  <c r="E7" i="8"/>
  <c r="E34" i="7"/>
  <c r="I180" i="5"/>
  <c r="F13" i="5" s="1"/>
  <c r="M13" i="5" s="1"/>
  <c r="G180" i="5"/>
  <c r="H16" i="12"/>
  <c r="H9" i="14"/>
  <c r="H16" i="15"/>
  <c r="H40" i="15" s="1"/>
  <c r="H15" i="7"/>
  <c r="G18" i="13"/>
  <c r="H16" i="7"/>
  <c r="G17" i="15"/>
  <c r="G19" i="15" s="1"/>
  <c r="E19" i="14"/>
  <c r="G41" i="15"/>
  <c r="G43" i="15" s="1"/>
  <c r="F21" i="9"/>
  <c r="F12" i="14"/>
  <c r="G20" i="7"/>
  <c r="G21" i="7" s="1"/>
  <c r="G27" i="12"/>
  <c r="K110" i="3"/>
  <c r="K22" i="3"/>
  <c r="K23" i="3" s="1"/>
  <c r="K119" i="3" s="1"/>
  <c r="F32" i="12" l="1"/>
  <c r="F34" i="12" s="1"/>
  <c r="F36" i="12"/>
  <c r="G44" i="15"/>
  <c r="G45" i="15" s="1"/>
  <c r="G46" i="15" s="1"/>
  <c r="G20" i="15"/>
  <c r="G21" i="15" s="1"/>
  <c r="G22" i="15" s="1"/>
  <c r="D5" i="13"/>
  <c r="E8" i="8"/>
  <c r="E5" i="10"/>
  <c r="E7" i="10" s="1"/>
  <c r="E8" i="9"/>
  <c r="E14" i="9" s="1"/>
  <c r="E24" i="9" s="1"/>
  <c r="E25" i="9" s="1"/>
  <c r="F27" i="7"/>
  <c r="H18" i="7"/>
  <c r="E180" i="5"/>
  <c r="E181" i="5" s="1"/>
  <c r="G181" i="5"/>
  <c r="G182" i="5"/>
  <c r="I182" i="5"/>
  <c r="G17" i="13"/>
  <c r="G21" i="13" s="1"/>
  <c r="G28" i="13" s="1"/>
  <c r="G29" i="13" s="1"/>
  <c r="G30" i="13" s="1"/>
  <c r="F18" i="14"/>
  <c r="G6" i="14"/>
  <c r="G32" i="7"/>
  <c r="G33" i="7"/>
  <c r="G25" i="7"/>
  <c r="K111" i="3"/>
  <c r="K112" i="3"/>
  <c r="L20" i="3"/>
  <c r="L118" i="3" s="1"/>
  <c r="I14" i="7" s="1"/>
  <c r="I23" i="8" s="1"/>
  <c r="I24" i="8" s="1"/>
  <c r="I27" i="8" s="1"/>
  <c r="G26" i="15" l="1"/>
  <c r="G50" i="15"/>
  <c r="G7" i="14"/>
  <c r="G8" i="14" s="1"/>
  <c r="G12" i="14" s="1"/>
  <c r="F23" i="9"/>
  <c r="E31" i="8"/>
  <c r="E15" i="10"/>
  <c r="E11" i="10"/>
  <c r="E19" i="8"/>
  <c r="E7" i="13"/>
  <c r="E8" i="13"/>
  <c r="E6" i="13"/>
  <c r="F29" i="7"/>
  <c r="F34" i="7"/>
  <c r="F7" i="8"/>
  <c r="F8" i="8" s="1"/>
  <c r="G26" i="7"/>
  <c r="G26" i="12" s="1"/>
  <c r="G28" i="12" s="1"/>
  <c r="G30" i="12" s="1"/>
  <c r="D13" i="5"/>
  <c r="K13" i="5" s="1"/>
  <c r="H22" i="7" s="1"/>
  <c r="H6" i="10" s="1"/>
  <c r="C14" i="5"/>
  <c r="J14" i="5"/>
  <c r="E182" i="5"/>
  <c r="I183" i="5"/>
  <c r="G183" i="5"/>
  <c r="E183" i="5" s="1"/>
  <c r="H18" i="13"/>
  <c r="I16" i="7"/>
  <c r="F19" i="14"/>
  <c r="G21" i="9"/>
  <c r="H27" i="12"/>
  <c r="H20" i="7"/>
  <c r="H21" i="7" s="1"/>
  <c r="I16" i="15"/>
  <c r="I40" i="15" s="1"/>
  <c r="I9" i="14"/>
  <c r="I16" i="12"/>
  <c r="I15" i="7"/>
  <c r="L108" i="3"/>
  <c r="L22" i="3"/>
  <c r="L23" i="3" s="1"/>
  <c r="L119" i="3" s="1"/>
  <c r="G36" i="12" l="1"/>
  <c r="G32" i="12"/>
  <c r="G34" i="12" s="1"/>
  <c r="F19" i="8"/>
  <c r="F8" i="13"/>
  <c r="F7" i="13"/>
  <c r="F6" i="13"/>
  <c r="E5" i="13"/>
  <c r="E34" i="8"/>
  <c r="E35" i="8" s="1"/>
  <c r="E37" i="8" s="1"/>
  <c r="F5" i="10"/>
  <c r="F7" i="10" s="1"/>
  <c r="F8" i="9"/>
  <c r="F14" i="9" s="1"/>
  <c r="F24" i="9" s="1"/>
  <c r="F25" i="9" s="1"/>
  <c r="G27" i="7"/>
  <c r="H13" i="12"/>
  <c r="H17" i="12" s="1"/>
  <c r="H15" i="15"/>
  <c r="H9" i="10"/>
  <c r="H23" i="15"/>
  <c r="I18" i="7"/>
  <c r="G184" i="5"/>
  <c r="E184" i="5" s="1"/>
  <c r="I184" i="5"/>
  <c r="G18" i="14"/>
  <c r="H25" i="7"/>
  <c r="H6" i="14"/>
  <c r="H32" i="7"/>
  <c r="H33" i="7"/>
  <c r="I27" i="12"/>
  <c r="H17" i="13"/>
  <c r="H21" i="13" s="1"/>
  <c r="H28" i="13" s="1"/>
  <c r="H29" i="13" s="1"/>
  <c r="H30" i="13" s="1"/>
  <c r="L110" i="3"/>
  <c r="H39" i="15" l="1"/>
  <c r="H41" i="15" s="1"/>
  <c r="H43" i="15" s="1"/>
  <c r="H44" i="15" s="1"/>
  <c r="H45" i="15" s="1"/>
  <c r="H46" i="15" s="1"/>
  <c r="H17" i="15"/>
  <c r="H19" i="15" s="1"/>
  <c r="H20" i="15" s="1"/>
  <c r="H21" i="15" s="1"/>
  <c r="H22" i="15" s="1"/>
  <c r="H26" i="15" s="1"/>
  <c r="H7" i="14"/>
  <c r="H8" i="14" s="1"/>
  <c r="H12" i="14" s="1"/>
  <c r="F15" i="10"/>
  <c r="F11" i="10"/>
  <c r="G23" i="9"/>
  <c r="F31" i="8"/>
  <c r="H26" i="7"/>
  <c r="H26" i="12" s="1"/>
  <c r="H28" i="12" s="1"/>
  <c r="H30" i="12" s="1"/>
  <c r="H36" i="12" s="1"/>
  <c r="G7" i="8"/>
  <c r="G34" i="7"/>
  <c r="G29" i="7"/>
  <c r="H10" i="10"/>
  <c r="H47" i="15"/>
  <c r="I185" i="5"/>
  <c r="G185" i="5"/>
  <c r="E185" i="5" s="1"/>
  <c r="I20" i="7"/>
  <c r="I21" i="7" s="1"/>
  <c r="G19" i="14"/>
  <c r="I18" i="13"/>
  <c r="H21" i="9"/>
  <c r="L111" i="3"/>
  <c r="H50" i="15" l="1"/>
  <c r="H32" i="12"/>
  <c r="H34" i="12" s="1"/>
  <c r="F34" i="8"/>
  <c r="F35" i="8" s="1"/>
  <c r="F37" i="8" s="1"/>
  <c r="F5" i="13"/>
  <c r="G8" i="8"/>
  <c r="G5" i="10"/>
  <c r="G7" i="10" s="1"/>
  <c r="G8" i="9"/>
  <c r="G14" i="9" s="1"/>
  <c r="G24" i="9" s="1"/>
  <c r="G25" i="9" s="1"/>
  <c r="H27" i="7"/>
  <c r="G186" i="5"/>
  <c r="E186" i="5" s="1"/>
  <c r="I186" i="5"/>
  <c r="H18" i="14"/>
  <c r="I32" i="7"/>
  <c r="I33" i="7"/>
  <c r="I6" i="14"/>
  <c r="I17" i="13"/>
  <c r="I21" i="13" s="1"/>
  <c r="I28" i="13" s="1"/>
  <c r="I29" i="13" s="1"/>
  <c r="I30" i="13" s="1"/>
  <c r="L112" i="3"/>
  <c r="I7" i="14" l="1"/>
  <c r="I8" i="14" s="1"/>
  <c r="I12" i="14" s="1"/>
  <c r="I17" i="14" s="1"/>
  <c r="H23" i="9"/>
  <c r="G31" i="8"/>
  <c r="G15" i="10"/>
  <c r="G11" i="10"/>
  <c r="G19" i="8"/>
  <c r="G7" i="13"/>
  <c r="G6" i="13"/>
  <c r="G8" i="13"/>
  <c r="H29" i="7"/>
  <c r="H34" i="7"/>
  <c r="H7" i="8"/>
  <c r="G187" i="5"/>
  <c r="E187" i="5" s="1"/>
  <c r="I187" i="5"/>
  <c r="H19" i="14"/>
  <c r="H5" i="10" l="1"/>
  <c r="H7" i="10" s="1"/>
  <c r="H8" i="9"/>
  <c r="H14" i="9" s="1"/>
  <c r="H24" i="9" s="1"/>
  <c r="H25" i="9" s="1"/>
  <c r="H8" i="8"/>
  <c r="H8" i="13" s="1"/>
  <c r="G34" i="8"/>
  <c r="G35" i="8" s="1"/>
  <c r="G37" i="8" s="1"/>
  <c r="G5" i="13"/>
  <c r="I18" i="14"/>
  <c r="C30" i="14" s="1"/>
  <c r="G188" i="5"/>
  <c r="E188" i="5" s="1"/>
  <c r="I188" i="5"/>
  <c r="C9" i="2"/>
  <c r="C25" i="2" s="1"/>
  <c r="F9" i="2"/>
  <c r="G9" i="2"/>
  <c r="G25" i="2" s="1"/>
  <c r="D9" i="2"/>
  <c r="D25" i="2" s="1"/>
  <c r="E9" i="2"/>
  <c r="E25" i="2" s="1"/>
  <c r="H9" i="2"/>
  <c r="H25" i="2" s="1"/>
  <c r="I9" i="2"/>
  <c r="I25" i="2" s="1"/>
  <c r="E14" i="2"/>
  <c r="I14" i="2"/>
  <c r="M11" i="2"/>
  <c r="D14" i="2"/>
  <c r="G14" i="2"/>
  <c r="H14" i="2"/>
  <c r="F14" i="2"/>
  <c r="M15" i="2"/>
  <c r="N15" i="2"/>
  <c r="Q15" i="2"/>
  <c r="R15" i="2"/>
  <c r="O15" i="2"/>
  <c r="P15" i="2"/>
  <c r="S15" i="2"/>
  <c r="R20" i="2"/>
  <c r="S20" i="2"/>
  <c r="N20" i="2"/>
  <c r="O20" i="2"/>
  <c r="M20" i="2"/>
  <c r="P20" i="2"/>
  <c r="Q20" i="2"/>
  <c r="M28" i="2"/>
  <c r="N28" i="2"/>
  <c r="Q28" i="2"/>
  <c r="R28" i="2"/>
  <c r="O28" i="2"/>
  <c r="P28" i="2"/>
  <c r="S28" i="2"/>
  <c r="P35" i="2"/>
  <c r="N35" i="2"/>
  <c r="O35" i="2"/>
  <c r="R35" i="2"/>
  <c r="S35" i="2"/>
  <c r="M35" i="2"/>
  <c r="Q35" i="2"/>
  <c r="I23" i="9" l="1"/>
  <c r="H31" i="8"/>
  <c r="H15" i="10"/>
  <c r="H11" i="10"/>
  <c r="I19" i="14"/>
  <c r="C21" i="14" s="1"/>
  <c r="I189" i="5"/>
  <c r="G189" i="5"/>
  <c r="E189" i="5" s="1"/>
  <c r="M36" i="2"/>
  <c r="I15" i="2"/>
  <c r="H15" i="2"/>
  <c r="F15" i="2"/>
  <c r="F25" i="2"/>
  <c r="E15" i="2"/>
  <c r="E17" i="2" s="1"/>
  <c r="D15" i="2"/>
  <c r="S36" i="2"/>
  <c r="Q36" i="2"/>
  <c r="M21" i="2"/>
  <c r="P36" i="2"/>
  <c r="O36" i="2"/>
  <c r="R36" i="2"/>
  <c r="N36" i="2"/>
  <c r="G15" i="2"/>
  <c r="C15" i="2"/>
  <c r="H34" i="8" l="1"/>
  <c r="H35" i="8" s="1"/>
  <c r="G190" i="5"/>
  <c r="E190" i="5" s="1"/>
  <c r="I190" i="5"/>
  <c r="M38" i="2"/>
  <c r="I17" i="2"/>
  <c r="I29" i="2"/>
  <c r="H17" i="2"/>
  <c r="H29" i="2"/>
  <c r="F17" i="2"/>
  <c r="F29" i="2"/>
  <c r="E29" i="2"/>
  <c r="E19" i="2"/>
  <c r="E30" i="2"/>
  <c r="D17" i="2"/>
  <c r="D29" i="2"/>
  <c r="G17" i="2"/>
  <c r="G29" i="2"/>
  <c r="C17" i="2"/>
  <c r="C29" i="2"/>
  <c r="J32" i="7"/>
  <c r="J33" i="7"/>
  <c r="G191" i="5" l="1"/>
  <c r="E191" i="5" s="1"/>
  <c r="I191" i="5"/>
  <c r="I19" i="2"/>
  <c r="I30" i="2"/>
  <c r="H19" i="2"/>
  <c r="H30" i="2"/>
  <c r="F19" i="2"/>
  <c r="F30" i="2"/>
  <c r="E21" i="2"/>
  <c r="E31" i="2" s="1"/>
  <c r="E23" i="2"/>
  <c r="D19" i="2"/>
  <c r="D30" i="2"/>
  <c r="G19" i="2"/>
  <c r="G30" i="2"/>
  <c r="C19" i="2"/>
  <c r="C30" i="2"/>
  <c r="G192" i="5" l="1"/>
  <c r="E192" i="5" s="1"/>
  <c r="I192" i="5"/>
  <c r="I21" i="2"/>
  <c r="I31" i="2" s="1"/>
  <c r="I23" i="2"/>
  <c r="H21" i="2"/>
  <c r="H31" i="2" s="1"/>
  <c r="H23" i="2"/>
  <c r="F21" i="2"/>
  <c r="F31" i="2" s="1"/>
  <c r="F23" i="2"/>
  <c r="D21" i="2"/>
  <c r="D23" i="2"/>
  <c r="G21" i="2"/>
  <c r="G23" i="2"/>
  <c r="C21" i="2"/>
  <c r="C31" i="2" s="1"/>
  <c r="C23" i="2"/>
  <c r="F193" i="5" l="1"/>
  <c r="F194" i="5" s="1"/>
  <c r="E14" i="5" s="1"/>
  <c r="L14" i="5" s="1"/>
  <c r="G193" i="5"/>
  <c r="N10" i="2"/>
  <c r="D31" i="2"/>
  <c r="G31" i="2"/>
  <c r="I193" i="5" l="1"/>
  <c r="F14" i="5" s="1"/>
  <c r="M14" i="5" s="1"/>
  <c r="I10" i="8" s="1"/>
  <c r="I13" i="8" s="1"/>
  <c r="I17" i="9"/>
  <c r="I21" i="9" s="1"/>
  <c r="H15" i="8"/>
  <c r="H18" i="8" s="1"/>
  <c r="E193" i="5"/>
  <c r="E194" i="5" s="1"/>
  <c r="G194" i="5"/>
  <c r="O10" i="2"/>
  <c r="N11" i="2"/>
  <c r="N21" i="2" s="1"/>
  <c r="N38" i="2" s="1"/>
  <c r="I8" i="10" l="1"/>
  <c r="I25" i="15" s="1"/>
  <c r="I49" i="15" s="1"/>
  <c r="J49" i="15" s="1"/>
  <c r="H5" i="13"/>
  <c r="H10" i="8"/>
  <c r="H13" i="8" s="1"/>
  <c r="H7" i="13" s="1"/>
  <c r="D14" i="5"/>
  <c r="K14" i="5" s="1"/>
  <c r="I22" i="7" s="1"/>
  <c r="I6" i="10" s="1"/>
  <c r="P10" i="2"/>
  <c r="O11" i="2"/>
  <c r="O21" i="2" s="1"/>
  <c r="O38" i="2" s="1"/>
  <c r="H19" i="8" l="1"/>
  <c r="H37" i="8" s="1"/>
  <c r="J25" i="15"/>
  <c r="H6" i="13"/>
  <c r="I9" i="10"/>
  <c r="I15" i="15"/>
  <c r="I23" i="15"/>
  <c r="J23" i="15" s="1"/>
  <c r="I13" i="12"/>
  <c r="I17" i="12" s="1"/>
  <c r="I25" i="7"/>
  <c r="P11" i="2"/>
  <c r="P21" i="2" s="1"/>
  <c r="P38" i="2" s="1"/>
  <c r="Q10" i="2"/>
  <c r="I39" i="15" l="1"/>
  <c r="I41" i="15" s="1"/>
  <c r="I43" i="15" s="1"/>
  <c r="I44" i="15" s="1"/>
  <c r="I45" i="15" s="1"/>
  <c r="I46" i="15" s="1"/>
  <c r="J46" i="15" s="1"/>
  <c r="I17" i="15"/>
  <c r="I19" i="15" s="1"/>
  <c r="I20" i="15" s="1"/>
  <c r="I21" i="15" s="1"/>
  <c r="I22" i="15" s="1"/>
  <c r="J22" i="15" s="1"/>
  <c r="J26" i="15" s="1"/>
  <c r="I26" i="7"/>
  <c r="I26" i="12" s="1"/>
  <c r="I28" i="12" s="1"/>
  <c r="I30" i="12" s="1"/>
  <c r="I36" i="12" s="1"/>
  <c r="I10" i="10"/>
  <c r="J10" i="10" s="1"/>
  <c r="I47" i="15"/>
  <c r="Q11" i="2"/>
  <c r="Q21" i="2" s="1"/>
  <c r="Q38" i="2" s="1"/>
  <c r="I26" i="15" l="1"/>
  <c r="I50" i="15"/>
  <c r="J47" i="15"/>
  <c r="J50" i="15" s="1"/>
  <c r="I32" i="12"/>
  <c r="I34" i="12" s="1"/>
  <c r="I27" i="7"/>
  <c r="I29" i="7" s="1"/>
  <c r="I5" i="10" s="1"/>
  <c r="I7" i="10" s="1"/>
  <c r="S11" i="2"/>
  <c r="S21" i="2" s="1"/>
  <c r="S38" i="2" s="1"/>
  <c r="R11" i="2"/>
  <c r="R21" i="2" s="1"/>
  <c r="R38" i="2" s="1"/>
  <c r="I15" i="10" l="1"/>
  <c r="J7" i="10"/>
  <c r="J11" i="10" s="1"/>
  <c r="I8" i="9"/>
  <c r="I14" i="9" s="1"/>
  <c r="I24" i="9" s="1"/>
  <c r="I25" i="9" s="1"/>
  <c r="I31" i="8" s="1"/>
  <c r="I5" i="13" s="1"/>
  <c r="I7" i="8"/>
  <c r="I8" i="8" s="1"/>
  <c r="I34" i="7"/>
  <c r="J34" i="7" s="1"/>
  <c r="I11" i="10"/>
  <c r="D13" i="10" s="1"/>
  <c r="I34" i="8" l="1"/>
  <c r="I35" i="8" s="1"/>
  <c r="I19" i="8"/>
  <c r="I8" i="13"/>
  <c r="I7" i="13"/>
  <c r="I6" i="13"/>
  <c r="I37" i="8" l="1"/>
</calcChain>
</file>

<file path=xl/sharedStrings.xml><?xml version="1.0" encoding="utf-8"?>
<sst xmlns="http://schemas.openxmlformats.org/spreadsheetml/2006/main" count="637" uniqueCount="359">
  <si>
    <t>Check</t>
  </si>
  <si>
    <t>Total Assets</t>
  </si>
  <si>
    <t>Total Current Assets</t>
  </si>
  <si>
    <t>Sundry Debtors</t>
  </si>
  <si>
    <t>Cash &amp; Bank Balance</t>
  </si>
  <si>
    <t>Inventory</t>
  </si>
  <si>
    <t>Current Assets</t>
  </si>
  <si>
    <t>Total Non-Current Assets</t>
  </si>
  <si>
    <t>Other Non Current Assets</t>
  </si>
  <si>
    <t>Investment in shares of Al-Akhlaq Exports Limited</t>
  </si>
  <si>
    <t>Tangible Assets</t>
  </si>
  <si>
    <t>Non-Current Assets</t>
  </si>
  <si>
    <t>Assets</t>
  </si>
  <si>
    <t>Total Equity &amp; Liabilities</t>
  </si>
  <si>
    <t>PAT</t>
  </si>
  <si>
    <t>Total Current Liabilities</t>
  </si>
  <si>
    <t>Tax Expense</t>
  </si>
  <si>
    <t>Other Current Liabilities</t>
  </si>
  <si>
    <t>PBT</t>
  </si>
  <si>
    <t>Trade Payables</t>
  </si>
  <si>
    <t>Interest Expense</t>
  </si>
  <si>
    <t>Short Term Borrowings</t>
  </si>
  <si>
    <t>EBIT</t>
  </si>
  <si>
    <t>Current Liabilities</t>
  </si>
  <si>
    <t>Depreciation</t>
  </si>
  <si>
    <t>Total Non-Current Liabilities</t>
  </si>
  <si>
    <t>EBITDA</t>
  </si>
  <si>
    <t>Deferred Tax Liability</t>
  </si>
  <si>
    <t>Total Operating Expenses</t>
  </si>
  <si>
    <t>Long-term Borrowings</t>
  </si>
  <si>
    <t>Other Expenses</t>
  </si>
  <si>
    <t>Non-Current Liabilities</t>
  </si>
  <si>
    <t>Employee Benefits Expense</t>
  </si>
  <si>
    <t>Total Equity</t>
  </si>
  <si>
    <t>Changes in inventories of stock-in-trade</t>
  </si>
  <si>
    <t>Reserve &amp; Surplus</t>
  </si>
  <si>
    <t>-</t>
  </si>
  <si>
    <t>Purchase of Raw Material</t>
  </si>
  <si>
    <t>Share Capital</t>
  </si>
  <si>
    <t>Total Revenue</t>
  </si>
  <si>
    <t>Shareholders' Funds</t>
  </si>
  <si>
    <t>Other Income</t>
  </si>
  <si>
    <t>Equity &amp; Liabilities</t>
  </si>
  <si>
    <t>Sales &amp; Services</t>
  </si>
  <si>
    <t>FY 2024</t>
  </si>
  <si>
    <t>FY 2023</t>
  </si>
  <si>
    <t>FY 2022</t>
  </si>
  <si>
    <t>FY 2021</t>
  </si>
  <si>
    <t>FY 2020</t>
  </si>
  <si>
    <t>FY 2019</t>
  </si>
  <si>
    <t>FY 2018</t>
  </si>
  <si>
    <t>Particulars</t>
  </si>
  <si>
    <t>Historical P&amp;L Statement</t>
  </si>
  <si>
    <t>Al-Saqib Exports Private Limited</t>
  </si>
  <si>
    <t>Expected WPI</t>
  </si>
  <si>
    <t>Compounded WPI from 2012-13 to 2018-19 is 2.61%</t>
  </si>
  <si>
    <t>All commodities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</si>
  <si>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</si>
  <si>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</si>
  <si>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</si>
  <si>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</si>
  <si>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</si>
  <si>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</si>
  <si>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</si>
  <si>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</si>
  <si>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</si>
  <si>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</si>
  <si>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</si>
  <si>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INDEX2011-2012 (Base Case)</t>
  </si>
  <si>
    <t>COMM_NAME</t>
  </si>
  <si>
    <t>WPI Calculations</t>
  </si>
  <si>
    <t>Net Block</t>
  </si>
  <si>
    <t>Depreciation for the year</t>
  </si>
  <si>
    <t>Revenue from Salvage Value</t>
  </si>
  <si>
    <t>Capex During the year</t>
  </si>
  <si>
    <t>Figures in INR Crores</t>
  </si>
  <si>
    <t>Accumulated Depreciation</t>
  </si>
  <si>
    <t>Asset Write off (Net block)</t>
  </si>
  <si>
    <t>Deduction</t>
  </si>
  <si>
    <t>Addition</t>
  </si>
  <si>
    <t>Gross Block</t>
  </si>
  <si>
    <t>Computers</t>
  </si>
  <si>
    <t>Office Equipments</t>
  </si>
  <si>
    <t>Furniture and Fixtures</t>
  </si>
  <si>
    <t>Plant &amp; Equipment</t>
  </si>
  <si>
    <t>Buildings</t>
  </si>
  <si>
    <t>Land</t>
  </si>
  <si>
    <t>(Rs. In Lakhs)</t>
  </si>
  <si>
    <t>Life/ Depreciation %</t>
  </si>
  <si>
    <t>Salvage
value</t>
  </si>
  <si>
    <t>Total No. days</t>
  </si>
  <si>
    <t>No. days</t>
  </si>
  <si>
    <t>Power Supply</t>
  </si>
  <si>
    <t>Slaughter House</t>
  </si>
  <si>
    <t>ETP</t>
  </si>
  <si>
    <t>Security Equipment</t>
  </si>
  <si>
    <t>Vehicle</t>
  </si>
  <si>
    <t>Summary Of Term Loans</t>
  </si>
  <si>
    <t>Year</t>
  </si>
  <si>
    <t>Opening Balance</t>
  </si>
  <si>
    <t>Interest</t>
  </si>
  <si>
    <t>Repayment of principal</t>
  </si>
  <si>
    <t>Closing Balance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</si>
  <si>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</si>
  <si>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</si>
  <si>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</si>
  <si>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</si>
  <si>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</si>
  <si>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</si>
  <si>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</si>
  <si>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</si>
  <si>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instalment Date</t>
  </si>
  <si>
    <t>Disbursement</t>
  </si>
  <si>
    <t>Instalment</t>
  </si>
  <si>
    <t>Principal</t>
  </si>
  <si>
    <t>Rate</t>
  </si>
  <si>
    <t>Balance</t>
  </si>
  <si>
    <t>2024-2025</t>
  </si>
  <si>
    <t>2025-2026</t>
  </si>
  <si>
    <t>2026-2027</t>
  </si>
  <si>
    <t>Instalment Date</t>
  </si>
  <si>
    <t>2027-2028</t>
  </si>
  <si>
    <t>2028-2029</t>
  </si>
  <si>
    <t>2029-2030</t>
  </si>
  <si>
    <t>2030-2031</t>
  </si>
  <si>
    <t>Repayment Schedue of GECL-PNB</t>
  </si>
  <si>
    <t>Repayment Schedue of Car Loan From PNB</t>
  </si>
  <si>
    <t>PARTICULARS</t>
  </si>
  <si>
    <t>Net Sales</t>
  </si>
  <si>
    <t>Cost of Sales:</t>
  </si>
  <si>
    <t>Raw Materials</t>
  </si>
  <si>
    <t>Other Spares</t>
  </si>
  <si>
    <t>Power &amp; Fuel</t>
  </si>
  <si>
    <t>Direct Labour</t>
  </si>
  <si>
    <t>Other Manufacturing Expenses</t>
  </si>
  <si>
    <t>Repair and Maintenance</t>
  </si>
  <si>
    <t>Sub Total</t>
  </si>
  <si>
    <t>Total</t>
  </si>
  <si>
    <t>Add: Opening Finished Goods</t>
  </si>
  <si>
    <t>Less: Closing Finished Goods</t>
  </si>
  <si>
    <t>Total Cost of Sales</t>
  </si>
  <si>
    <t>Selling &amp; Distribution Exp.</t>
  </si>
  <si>
    <t xml:space="preserve">Sub Total </t>
  </si>
  <si>
    <t>Operating Profit before interest (3-7)</t>
  </si>
  <si>
    <t>(a) Interest on T/L</t>
  </si>
  <si>
    <t>(b) Interest on W/C</t>
  </si>
  <si>
    <t>(c) Other Finance &amp; Bank Charges</t>
  </si>
  <si>
    <t xml:space="preserve">Profit Before Tax </t>
  </si>
  <si>
    <t>Provision for Taxes</t>
  </si>
  <si>
    <t>Net Profit</t>
  </si>
  <si>
    <t>Cash Accruals</t>
  </si>
  <si>
    <t>Average</t>
  </si>
  <si>
    <t>EBITDA Margin</t>
  </si>
  <si>
    <t>EBIT Margin</t>
  </si>
  <si>
    <t>Net Profit Margin</t>
  </si>
  <si>
    <t>Property, Plant &amp; Equipment (Gross)</t>
  </si>
  <si>
    <t>Less: Accumulated Depreciation</t>
  </si>
  <si>
    <t>Raw Material</t>
  </si>
  <si>
    <t>Stock in Process</t>
  </si>
  <si>
    <t>Finished Stock</t>
  </si>
  <si>
    <t>Trade Receivables</t>
  </si>
  <si>
    <t>Cash and bank balances</t>
  </si>
  <si>
    <t>Short-term Loans &amp; Advances</t>
  </si>
  <si>
    <t>Reserve and Surplus</t>
  </si>
  <si>
    <t>Total Equities</t>
  </si>
  <si>
    <t>Short term Maturity of Long Term Loan</t>
  </si>
  <si>
    <t>Trade Payable</t>
  </si>
  <si>
    <t>Total Equity and Liabilities</t>
  </si>
  <si>
    <t>A. SOURCES OF FUNDS:</t>
  </si>
  <si>
    <t>Change in Share Capital</t>
  </si>
  <si>
    <t>Increase in Working Capital Limit</t>
  </si>
  <si>
    <t>Increase In Secured Loan</t>
  </si>
  <si>
    <t>Increase in Unsecured Loan</t>
  </si>
  <si>
    <t>Decrease in Current Assets</t>
  </si>
  <si>
    <t>Increase in Current Liabilities</t>
  </si>
  <si>
    <t>Decrease in Non Current Assets</t>
  </si>
  <si>
    <t>TOTAL</t>
  </si>
  <si>
    <t>B. APPLICATION OF FUNDS:</t>
  </si>
  <si>
    <t>Acquisition of Fixed Assets</t>
  </si>
  <si>
    <t>Decrease in Current Liabilities</t>
  </si>
  <si>
    <t>Increase in Current Assets</t>
  </si>
  <si>
    <t>Increase in Non Current Assets</t>
  </si>
  <si>
    <t>C. SURPLUS</t>
  </si>
  <si>
    <t>Surplus (A-B)</t>
  </si>
  <si>
    <t>Intt. on Term Loan</t>
  </si>
  <si>
    <t>Total "A"</t>
  </si>
  <si>
    <t>Instalment of T/L</t>
  </si>
  <si>
    <t>Total "B"</t>
  </si>
  <si>
    <t>D.S.C.R. (A/B)</t>
  </si>
  <si>
    <t>Average D.S.C.R.</t>
  </si>
  <si>
    <t>Interest Coverage Ratio</t>
  </si>
  <si>
    <t>Crores</t>
  </si>
  <si>
    <t xml:space="preserve">  Total Capacity  (MT)</t>
  </si>
  <si>
    <t xml:space="preserve">  % Utilization of Capacity</t>
  </si>
  <si>
    <t>Fixed Costs:</t>
  </si>
  <si>
    <t>Interest on Term Loan</t>
  </si>
  <si>
    <t xml:space="preserve">Interest to Others </t>
  </si>
  <si>
    <t>Selling &amp; Administrative Expenses</t>
  </si>
  <si>
    <t>Total Fixed Costs</t>
  </si>
  <si>
    <t>Variable Costs</t>
  </si>
  <si>
    <t>Wages &amp; Salaries</t>
  </si>
  <si>
    <t>Consumables</t>
  </si>
  <si>
    <t>Interest on Working Capital</t>
  </si>
  <si>
    <t>Taxes</t>
  </si>
  <si>
    <t>Change in Inventory</t>
  </si>
  <si>
    <t>Total Variable Costs</t>
  </si>
  <si>
    <t>CONTRIBUTION (A-C)</t>
  </si>
  <si>
    <t>BREAK EVEN POINT %</t>
  </si>
  <si>
    <t>MARGIN OF SAFETY %</t>
  </si>
  <si>
    <t xml:space="preserve">CASH BREAK EVEN POINT </t>
  </si>
  <si>
    <t>Current Ratio</t>
  </si>
  <si>
    <t>DER</t>
  </si>
  <si>
    <t>TOL/ATNW</t>
  </si>
  <si>
    <t>ASSESSMENT OF WORKING CAPITAL</t>
  </si>
  <si>
    <t>Chemical/Packing/Fuel/ Stores</t>
  </si>
  <si>
    <t>WORKING CAPITAL GAP</t>
  </si>
  <si>
    <t>MARGIN FOR WORKING CAPITAL</t>
  </si>
  <si>
    <t>BANK BORROWING REQUIRED</t>
  </si>
  <si>
    <t>PROPOSED BORROWING</t>
  </si>
  <si>
    <t>EBIT</t>
    <phoneticPr fontId="4" type="noConversion"/>
  </si>
  <si>
    <t>Adjusted Tax (1-t)</t>
    <phoneticPr fontId="4" type="noConversion"/>
  </si>
  <si>
    <t>NOPAT</t>
  </si>
  <si>
    <t>Change in NWC</t>
    <phoneticPr fontId="4" type="noConversion"/>
  </si>
  <si>
    <t>CAPEX</t>
    <phoneticPr fontId="6" type="noConversion"/>
  </si>
  <si>
    <t>Free Cash Flow to Firm (FCFF)</t>
    <phoneticPr fontId="6" type="noConversion"/>
  </si>
  <si>
    <t>Discount Rate</t>
  </si>
  <si>
    <t>Expected growth rate(Terminal)</t>
  </si>
  <si>
    <t>Discount Period</t>
  </si>
  <si>
    <t>Discount Factor</t>
  </si>
  <si>
    <t>Terminal Value of the project</t>
  </si>
  <si>
    <t>FCF+TV</t>
  </si>
  <si>
    <t>PV of FCF+ PV of Terminal Value</t>
  </si>
  <si>
    <t>NPV</t>
  </si>
  <si>
    <t>Key Input for NPV &amp; IRR</t>
  </si>
  <si>
    <t>S. No.</t>
  </si>
  <si>
    <t>Key Input</t>
  </si>
  <si>
    <t>Description</t>
  </si>
  <si>
    <t>1.   </t>
  </si>
  <si>
    <t xml:space="preserve"> (https://kunaldesai.blog/nifty-50-cagr-last-20-years/) </t>
  </si>
  <si>
    <t>2.   </t>
  </si>
  <si>
    <t>Company Risk Premium</t>
  </si>
  <si>
    <t>3.   </t>
  </si>
  <si>
    <t>Sensitivity Analysis from 1st year of operation after COD</t>
  </si>
  <si>
    <t>INCOME</t>
  </si>
  <si>
    <t>EXPENDITURE</t>
  </si>
  <si>
    <t>Running Expenses</t>
  </si>
  <si>
    <t>Finance Expenses</t>
  </si>
  <si>
    <t>Total Expenditure</t>
  </si>
  <si>
    <t>Income before Tax</t>
  </si>
  <si>
    <t>Taxation</t>
  </si>
  <si>
    <t>Income after Tax</t>
  </si>
  <si>
    <t>Interest on T/L</t>
  </si>
  <si>
    <t>Interest on CC Limit</t>
  </si>
  <si>
    <t>Installment of T/L</t>
  </si>
  <si>
    <t>DSCR</t>
  </si>
  <si>
    <t>Decrease in Selling Price by 5%</t>
  </si>
  <si>
    <t>Revenue</t>
  </si>
  <si>
    <t>Lakhs/Month</t>
  </si>
  <si>
    <t>Lease Rent for Slaughter House</t>
  </si>
  <si>
    <t>Rent for Meat Processing Plant</t>
  </si>
  <si>
    <t>Applicable Tax Rate</t>
  </si>
  <si>
    <t>Interest Rate &amp; EMI of Car Loan with PNB</t>
  </si>
  <si>
    <t>Interest Rate for GECL Loan from PNB</t>
  </si>
  <si>
    <t>Interest Rate for CC Limit Loan from PNB</t>
  </si>
  <si>
    <t>Details for any other loan outstanding of the company.</t>
  </si>
  <si>
    <t>Manufacturing Expenses</t>
  </si>
  <si>
    <t>Amonia Gas</t>
  </si>
  <si>
    <t>Packing Material</t>
  </si>
  <si>
    <t>Oil, Lubricants &amp; Gases</t>
  </si>
  <si>
    <t>Electric &amp; Power</t>
  </si>
  <si>
    <t>Labour Charges</t>
  </si>
  <si>
    <t>Consumable Exps.</t>
  </si>
  <si>
    <t>Chemicals</t>
  </si>
  <si>
    <t>Fuel Exps.</t>
  </si>
  <si>
    <t>Salt Exps.</t>
  </si>
  <si>
    <t>Auditor's Remuneration</t>
  </si>
  <si>
    <t>Audit Fees</t>
  </si>
  <si>
    <t>Director's Remuneration</t>
  </si>
  <si>
    <t>Certification &amp; Inspection Charges</t>
  </si>
  <si>
    <t>Pollution Consent &amp; Registration Charges</t>
  </si>
  <si>
    <t>Business Promotion Exps.</t>
  </si>
  <si>
    <t>Export Discount Exps.</t>
  </si>
  <si>
    <t>Export Freight</t>
  </si>
  <si>
    <t>Freight Charges</t>
  </si>
  <si>
    <t>Fees &amp; Taxes</t>
  </si>
  <si>
    <t>Factory Cleaning &amp; Maintenance</t>
  </si>
  <si>
    <t>Gardening Expenses</t>
  </si>
  <si>
    <t>Generator Rent</t>
  </si>
  <si>
    <t>Legal &amp; Professional Charges</t>
  </si>
  <si>
    <t>Machine Room Charges</t>
  </si>
  <si>
    <t>Miscellenous Expenses</t>
  </si>
  <si>
    <t>Medical Expenses</t>
  </si>
  <si>
    <t>News Paper</t>
  </si>
  <si>
    <t>Petrol &amp; Diesel Exps.</t>
  </si>
  <si>
    <t>Printing &amp; Stationary</t>
  </si>
  <si>
    <t>Postage &amp; Telegram</t>
  </si>
  <si>
    <t>Lab Testing Charges</t>
  </si>
  <si>
    <t>Intt on GST</t>
  </si>
  <si>
    <t>Container Sealing Charges</t>
  </si>
  <si>
    <t>Export Expense</t>
  </si>
  <si>
    <t>Insurance Expenses</t>
  </si>
  <si>
    <t>Chamber of Commerce Fee</t>
  </si>
  <si>
    <t>Forex Loss</t>
  </si>
  <si>
    <t>Short &amp; Excess</t>
  </si>
  <si>
    <t>Repair &amp; Maintenance</t>
  </si>
  <si>
    <t>Building</t>
  </si>
  <si>
    <t>Computer</t>
  </si>
  <si>
    <t>Plant &amp; Machinery</t>
  </si>
  <si>
    <t>Electrification Exps</t>
  </si>
  <si>
    <t>Uniform Expenses</t>
  </si>
  <si>
    <t>Security Expenses</t>
  </si>
  <si>
    <t>Telephone Expenses</t>
  </si>
  <si>
    <t>Transportation Charges</t>
  </si>
  <si>
    <t>Travelling &amp; Conveyance Exp.</t>
  </si>
  <si>
    <t>Washing &amp; Cleaning Charges</t>
  </si>
  <si>
    <t>Website Charges</t>
  </si>
  <si>
    <t>Compressor Oil</t>
  </si>
  <si>
    <t>Manufacturing Charges</t>
  </si>
  <si>
    <t>ROC Fees</t>
  </si>
  <si>
    <t>Calibration Charges</t>
  </si>
  <si>
    <t>Exhibition Charges</t>
  </si>
  <si>
    <t>Loading Charges</t>
  </si>
  <si>
    <t>Diesel Exps.</t>
  </si>
  <si>
    <t>Software Expenses</t>
  </si>
  <si>
    <t>Charity &amp; Donation</t>
  </si>
  <si>
    <t>Consultancy Charges</t>
  </si>
  <si>
    <t>Ground Water Charges</t>
  </si>
  <si>
    <t>Reversal of Input GST</t>
  </si>
  <si>
    <t>Finance Charges</t>
  </si>
  <si>
    <t>Contractor Expenses</t>
  </si>
  <si>
    <t>Advertisement Expenses</t>
  </si>
  <si>
    <t>Office Exps.</t>
  </si>
  <si>
    <t>Non-Current Investment</t>
  </si>
  <si>
    <t>Other Non-Current Assets</t>
  </si>
  <si>
    <t>Selling Price of Stock in Inventory</t>
  </si>
  <si>
    <t>Repayment period of CC limit loan and Starting Repayment Month</t>
  </si>
  <si>
    <t>Grand Total</t>
  </si>
  <si>
    <t>Sub-total</t>
  </si>
  <si>
    <t>Sub-Total</t>
  </si>
  <si>
    <t>Other</t>
  </si>
  <si>
    <t>Generator</t>
  </si>
  <si>
    <t>Historical Balance Sheet</t>
  </si>
  <si>
    <t>Repayment Schedue of PNB Restructured CC Loan</t>
  </si>
  <si>
    <t>Summary Of Term Loans in Lakhs</t>
  </si>
  <si>
    <t>Deffered Tax liabilities</t>
  </si>
  <si>
    <t>Other Current Assets</t>
  </si>
  <si>
    <t>Decrease in Secured Loan</t>
  </si>
  <si>
    <t>Unsecured Loan</t>
  </si>
  <si>
    <t>Base Rate</t>
  </si>
  <si>
    <t>Education Cess</t>
  </si>
  <si>
    <t>Surcharge</t>
  </si>
  <si>
    <t>Effective Tax Rate</t>
  </si>
  <si>
    <t>Trade payables</t>
  </si>
  <si>
    <t>ROE</t>
  </si>
  <si>
    <t>Nifty 50 Returns (CAGR) in the Last 10 Years</t>
  </si>
  <si>
    <t>Addback Depreciation</t>
  </si>
  <si>
    <t>NWC</t>
  </si>
  <si>
    <t>Indigenous (W/P Paper)</t>
  </si>
  <si>
    <t>Increase in Expenditure by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</si>
</sst>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₹&quot;\ #,##0.00;[Red]&quot;₹&quot;\ \-#,##0.00"/>
    <numFmt numFmtId="43" formatCode="_ * #,##0.00_ ;_ * \-#,##0.00_ ;_ * &quot;-&quot;??_ ;_ @_ "/>
    <numFmt numFmtId="164" formatCode="0.000000000"/>
    <numFmt numFmtId="165" formatCode="0.00_)"/>
    <numFmt numFmtId="166" formatCode="_-* #,##0.00\ [$€]_-;\-* #,##0.00\ [$€]_-;_-* &quot;-&quot;??\ [$€]_-;_-@_-"/>
    <numFmt numFmtId="167" formatCode="0.0"/>
    <numFmt numFmtId="168" formatCode="_(* #,##0.00_);_(* \(#,##0.00\);_(* &quot;-&quot;??_);_(@_)"/>
    <numFmt numFmtId="169" formatCode="_ &quot;Rs.&quot;\ * #,##0_ ;_ &quot;Rs.&quot;\ * \-#,##0_ ;_ &quot;Rs.&quot;\ * &quot;-&quot;_ ;_ @_ "/>
    <numFmt numFmtId="170" formatCode="_-* #,##0.00_-;\-* #,##0.00_-;_-* &quot;-&quot;??_-;_-@_-"/>
    <numFmt numFmtId="171" formatCode="0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ourier"/>
    </font>
    <font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ourie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2060"/>
        <bgColor theme="5"/>
      </patternFill>
    </fill>
    <fill>
      <patternFill patternType="solid">
        <fgColor rgb="FFDBE5F1"/>
        <bgColor indexed="64"/>
      </patternFill>
    </fill>
    <fill>
      <patternFill patternType="solid">
        <fgColor rgb="FFE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5" fontId="5" fillId="0" borderId="0"/>
    <xf numFmtId="166" fontId="1" fillId="0" borderId="0"/>
    <xf numFmtId="9" fontId="7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</cellStyleXfs>
  <cellXfs count="188">
    <xf numFmtId="0" fontId="0" fillId="0" borderId="0" xfId="0"/>
    <xf numFmtId="2" fontId="0" fillId="0" borderId="0" xfId="0" applyNumberFormat="1" applyAlignment="1">
      <alignment horizontal="center" vertical="center"/>
    </xf>
    <xf numFmtId="0" fontId="3" fillId="2" borderId="0" xfId="0" applyFont="1" applyFill="1"/>
    <xf numFmtId="164" fontId="0" fillId="0" borderId="0" xfId="0" applyNumberFormat="1"/>
    <xf numFmtId="0" fontId="4" fillId="0" borderId="0" xfId="0" applyFont="1"/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2" fillId="4" borderId="0" xfId="0" applyFont="1" applyFill="1"/>
    <xf numFmtId="165" fontId="5" fillId="0" borderId="0" xfId="1"/>
    <xf numFmtId="167" fontId="6" fillId="5" borderId="1" xfId="2" applyNumberFormat="1" applyFont="1" applyFill="1" applyBorder="1"/>
    <xf numFmtId="0" fontId="6" fillId="5" borderId="1" xfId="2" applyNumberFormat="1" applyFont="1" applyFill="1" applyBorder="1"/>
    <xf numFmtId="10" fontId="8" fillId="5" borderId="1" xfId="3" applyNumberFormat="1" applyFont="1" applyFill="1" applyBorder="1" applyAlignment="1"/>
    <xf numFmtId="165" fontId="8" fillId="5" borderId="1" xfId="1" applyFont="1" applyFill="1" applyBorder="1"/>
    <xf numFmtId="10" fontId="9" fillId="5" borderId="1" xfId="3" applyNumberFormat="1" applyFont="1" applyFill="1" applyBorder="1" applyAlignment="1"/>
    <xf numFmtId="165" fontId="9" fillId="5" borderId="1" xfId="1" applyFont="1" applyFill="1" applyBorder="1"/>
    <xf numFmtId="10" fontId="9" fillId="0" borderId="1" xfId="3" applyNumberFormat="1" applyFont="1" applyBorder="1"/>
    <xf numFmtId="0" fontId="6" fillId="0" borderId="1" xfId="2" applyNumberFormat="1" applyFont="1" applyBorder="1"/>
    <xf numFmtId="49" fontId="6" fillId="0" borderId="1" xfId="2" applyNumberFormat="1" applyFont="1" applyBorder="1"/>
    <xf numFmtId="167" fontId="6" fillId="0" borderId="1" xfId="2" applyNumberFormat="1" applyFont="1" applyBorder="1"/>
    <xf numFmtId="14" fontId="3" fillId="5" borderId="1" xfId="1" applyNumberFormat="1" applyFont="1" applyFill="1" applyBorder="1" applyAlignment="1">
      <alignment horizontal="center"/>
    </xf>
    <xf numFmtId="165" fontId="3" fillId="5" borderId="1" xfId="1" applyFont="1" applyFill="1" applyBorder="1" applyAlignment="1">
      <alignment horizontal="center"/>
    </xf>
    <xf numFmtId="167" fontId="10" fillId="5" borderId="1" xfId="2" applyNumberFormat="1" applyFont="1" applyFill="1" applyBorder="1"/>
    <xf numFmtId="49" fontId="10" fillId="5" borderId="1" xfId="2" applyNumberFormat="1" applyFont="1" applyFill="1" applyBorder="1"/>
    <xf numFmtId="165" fontId="8" fillId="5" borderId="1" xfId="1" applyFont="1" applyFill="1" applyBorder="1" applyAlignment="1">
      <alignment horizontal="left"/>
    </xf>
    <xf numFmtId="0" fontId="1" fillId="0" borderId="0" xfId="4"/>
    <xf numFmtId="0" fontId="3" fillId="5" borderId="1" xfId="4" applyFont="1" applyFill="1" applyBorder="1"/>
    <xf numFmtId="0" fontId="1" fillId="6" borderId="0" xfId="4" applyFill="1"/>
    <xf numFmtId="0" fontId="11" fillId="0" borderId="0" xfId="4" applyFont="1"/>
    <xf numFmtId="2" fontId="3" fillId="0" borderId="0" xfId="5" applyNumberFormat="1" applyFont="1" applyFill="1" applyBorder="1"/>
    <xf numFmtId="4" fontId="3" fillId="6" borderId="0" xfId="5" applyNumberFormat="1" applyFont="1" applyFill="1" applyBorder="1"/>
    <xf numFmtId="10" fontId="0" fillId="0" borderId="0" xfId="6" applyNumberFormat="1" applyFont="1"/>
    <xf numFmtId="9" fontId="0" fillId="0" borderId="2" xfId="6" applyFont="1" applyBorder="1"/>
    <xf numFmtId="9" fontId="0" fillId="6" borderId="2" xfId="6" applyFont="1" applyFill="1" applyBorder="1"/>
    <xf numFmtId="4" fontId="3" fillId="6" borderId="3" xfId="5" applyNumberFormat="1" applyFont="1" applyFill="1" applyBorder="1"/>
    <xf numFmtId="2" fontId="1" fillId="0" borderId="0" xfId="4" applyNumberFormat="1"/>
    <xf numFmtId="4" fontId="1" fillId="0" borderId="0" xfId="4" applyNumberFormat="1"/>
    <xf numFmtId="4" fontId="1" fillId="6" borderId="0" xfId="4" applyNumberFormat="1" applyFill="1"/>
    <xf numFmtId="0" fontId="1" fillId="0" borderId="0" xfId="4" applyAlignment="1">
      <alignment wrapText="1"/>
    </xf>
    <xf numFmtId="10" fontId="0" fillId="0" borderId="0" xfId="6" applyNumberFormat="1" applyFont="1" applyFill="1"/>
    <xf numFmtId="10" fontId="1" fillId="0" borderId="0" xfId="4" applyNumberFormat="1"/>
    <xf numFmtId="9" fontId="1" fillId="0" borderId="0" xfId="4" applyNumberFormat="1"/>
    <xf numFmtId="4" fontId="3" fillId="6" borderId="0" xfId="4" applyNumberFormat="1" applyFont="1" applyFill="1"/>
    <xf numFmtId="0" fontId="2" fillId="3" borderId="0" xfId="4" applyFont="1" applyFill="1"/>
    <xf numFmtId="10" fontId="0" fillId="0" borderId="0" xfId="6" applyNumberFormat="1" applyFont="1" applyFill="1" applyBorder="1"/>
    <xf numFmtId="10" fontId="0" fillId="6" borderId="0" xfId="6" applyNumberFormat="1" applyFont="1" applyFill="1" applyBorder="1"/>
    <xf numFmtId="10" fontId="0" fillId="6" borderId="2" xfId="6" applyNumberFormat="1" applyFont="1" applyFill="1" applyBorder="1"/>
    <xf numFmtId="10" fontId="0" fillId="0" borderId="0" xfId="6" applyNumberFormat="1" applyFont="1" applyBorder="1"/>
    <xf numFmtId="10" fontId="1" fillId="0" borderId="0" xfId="3" applyNumberFormat="1" applyFont="1"/>
    <xf numFmtId="2" fontId="3" fillId="6" borderId="0" xfId="5" applyNumberFormat="1" applyFont="1" applyFill="1" applyBorder="1"/>
    <xf numFmtId="10" fontId="0" fillId="0" borderId="2" xfId="6" applyNumberFormat="1" applyFont="1" applyBorder="1"/>
    <xf numFmtId="0" fontId="3" fillId="0" borderId="0" xfId="4" applyFont="1"/>
    <xf numFmtId="15" fontId="2" fillId="3" borderId="1" xfId="4" applyNumberFormat="1" applyFont="1" applyFill="1" applyBorder="1"/>
    <xf numFmtId="15" fontId="12" fillId="6" borderId="1" xfId="4" applyNumberFormat="1" applyFont="1" applyFill="1" applyBorder="1"/>
    <xf numFmtId="9" fontId="0" fillId="6" borderId="0" xfId="6" applyFont="1" applyFill="1" applyBorder="1"/>
    <xf numFmtId="9" fontId="0" fillId="0" borderId="0" xfId="6" applyFont="1" applyBorder="1"/>
    <xf numFmtId="10" fontId="0" fillId="0" borderId="0" xfId="8" applyNumberFormat="1" applyFont="1"/>
    <xf numFmtId="165" fontId="15" fillId="0" borderId="0" xfId="1" applyFont="1"/>
    <xf numFmtId="170" fontId="1" fillId="0" borderId="0" xfId="10" applyNumberFormat="1" applyFont="1" applyFill="1" applyBorder="1"/>
    <xf numFmtId="170" fontId="16" fillId="0" borderId="0" xfId="9" applyNumberFormat="1" applyFont="1"/>
    <xf numFmtId="43" fontId="3" fillId="6" borderId="0" xfId="7" applyFont="1" applyFill="1"/>
    <xf numFmtId="43" fontId="3" fillId="0" borderId="0" xfId="7" applyFont="1"/>
    <xf numFmtId="43" fontId="1" fillId="6" borderId="0" xfId="7" applyFill="1"/>
    <xf numFmtId="43" fontId="1" fillId="0" borderId="0" xfId="7"/>
    <xf numFmtId="43" fontId="1" fillId="6" borderId="2" xfId="7" applyFill="1" applyBorder="1"/>
    <xf numFmtId="43" fontId="1" fillId="0" borderId="2" xfId="7" applyBorder="1"/>
    <xf numFmtId="43" fontId="3" fillId="6" borderId="3" xfId="7" applyFont="1" applyFill="1" applyBorder="1"/>
    <xf numFmtId="43" fontId="3" fillId="5" borderId="3" xfId="7" applyFont="1" applyFill="1" applyBorder="1"/>
    <xf numFmtId="43" fontId="1" fillId="6" borderId="1" xfId="7" applyFill="1" applyBorder="1"/>
    <xf numFmtId="0" fontId="1" fillId="0" borderId="0" xfId="4" applyFill="1"/>
    <xf numFmtId="9" fontId="1" fillId="0" borderId="0" xfId="4" applyNumberFormat="1" applyFill="1"/>
    <xf numFmtId="171" fontId="14" fillId="3" borderId="1" xfId="1" applyNumberFormat="1" applyFont="1" applyFill="1" applyBorder="1" applyAlignment="1">
      <alignment horizontal="center" vertical="center"/>
    </xf>
    <xf numFmtId="165" fontId="15" fillId="0" borderId="0" xfId="1" applyFont="1" applyAlignment="1">
      <alignment horizontal="left"/>
    </xf>
    <xf numFmtId="171" fontId="15" fillId="0" borderId="0" xfId="1" applyNumberFormat="1" applyFont="1" applyAlignment="1">
      <alignment horizontal="center" vertical="center"/>
    </xf>
    <xf numFmtId="165" fontId="17" fillId="0" borderId="0" xfId="1" applyFont="1" applyAlignment="1">
      <alignment horizontal="left"/>
    </xf>
    <xf numFmtId="165" fontId="17" fillId="0" borderId="0" xfId="1" applyFont="1" applyAlignment="1">
      <alignment horizontal="center" vertical="center"/>
    </xf>
    <xf numFmtId="165" fontId="15" fillId="0" borderId="0" xfId="1" applyFont="1" applyAlignment="1">
      <alignment horizontal="center" vertical="center"/>
    </xf>
    <xf numFmtId="10" fontId="15" fillId="0" borderId="0" xfId="3" applyNumberFormat="1" applyFont="1" applyAlignment="1">
      <alignment horizontal="center" vertical="center"/>
    </xf>
    <xf numFmtId="165" fontId="17" fillId="0" borderId="0" xfId="1" applyFont="1"/>
    <xf numFmtId="165" fontId="14" fillId="3" borderId="4" xfId="1" applyFont="1" applyFill="1" applyBorder="1" applyAlignment="1">
      <alignment horizontal="left"/>
    </xf>
    <xf numFmtId="165" fontId="13" fillId="7" borderId="0" xfId="1" applyFont="1" applyFill="1" applyAlignment="1">
      <alignment vertical="center"/>
    </xf>
    <xf numFmtId="165" fontId="17" fillId="0" borderId="0" xfId="1" applyFont="1" applyAlignment="1">
      <alignment horizontal="left" vertical="center"/>
    </xf>
    <xf numFmtId="170" fontId="18" fillId="0" borderId="0" xfId="13" applyNumberFormat="1" applyFont="1" applyFill="1" applyBorder="1"/>
    <xf numFmtId="170" fontId="19" fillId="0" borderId="0" xfId="13" applyNumberFormat="1" applyFont="1" applyFill="1" applyBorder="1"/>
    <xf numFmtId="170" fontId="18" fillId="0" borderId="0" xfId="13" applyNumberFormat="1" applyFont="1" applyFill="1" applyBorder="1" applyAlignment="1">
      <alignment horizontal="left"/>
    </xf>
    <xf numFmtId="165" fontId="16" fillId="0" borderId="0" xfId="1" applyFont="1" applyAlignment="1">
      <alignment horizontal="center" vertical="center"/>
    </xf>
    <xf numFmtId="165" fontId="16" fillId="0" borderId="0" xfId="1" applyFont="1"/>
    <xf numFmtId="165" fontId="12" fillId="0" borderId="0" xfId="1" applyFont="1"/>
    <xf numFmtId="165" fontId="2" fillId="7" borderId="0" xfId="1" applyFont="1" applyFill="1" applyAlignment="1">
      <alignment vertical="center"/>
    </xf>
    <xf numFmtId="165" fontId="2" fillId="3" borderId="4" xfId="1" applyFont="1" applyFill="1" applyBorder="1" applyAlignment="1">
      <alignment horizontal="left"/>
    </xf>
    <xf numFmtId="171" fontId="2" fillId="3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165" fontId="12" fillId="2" borderId="0" xfId="1" applyFont="1" applyFill="1"/>
    <xf numFmtId="165" fontId="12" fillId="2" borderId="0" xfId="1" applyFont="1" applyFill="1" applyAlignment="1">
      <alignment horizontal="center" vertical="center"/>
    </xf>
    <xf numFmtId="165" fontId="21" fillId="2" borderId="0" xfId="1" applyFont="1" applyFill="1"/>
    <xf numFmtId="10" fontId="16" fillId="0" borderId="0" xfId="3" applyNumberFormat="1" applyFont="1" applyAlignment="1">
      <alignment horizontal="center" vertical="center"/>
    </xf>
    <xf numFmtId="165" fontId="1" fillId="0" borderId="0" xfId="1" applyFont="1" applyAlignment="1">
      <alignment vertical="center"/>
    </xf>
    <xf numFmtId="165" fontId="22" fillId="0" borderId="0" xfId="1" applyFont="1" applyAlignment="1">
      <alignment vertical="center"/>
    </xf>
    <xf numFmtId="165" fontId="23" fillId="2" borderId="0" xfId="1" applyFont="1" applyFill="1" applyAlignment="1">
      <alignment vertical="center"/>
    </xf>
    <xf numFmtId="2" fontId="12" fillId="2" borderId="0" xfId="3" applyNumberFormat="1" applyFont="1" applyFill="1" applyAlignment="1">
      <alignment horizontal="center" vertical="center"/>
    </xf>
    <xf numFmtId="165" fontId="12" fillId="2" borderId="0" xfId="1" applyFont="1" applyFill="1" applyAlignment="1">
      <alignment vertical="center"/>
    </xf>
    <xf numFmtId="165" fontId="25" fillId="9" borderId="8" xfId="1" applyFont="1" applyFill="1" applyBorder="1" applyAlignment="1">
      <alignment horizontal="center" vertical="center" wrapText="1"/>
    </xf>
    <xf numFmtId="165" fontId="25" fillId="9" borderId="9" xfId="1" applyFont="1" applyFill="1" applyBorder="1" applyAlignment="1">
      <alignment horizontal="center" vertical="center" wrapText="1"/>
    </xf>
    <xf numFmtId="165" fontId="16" fillId="0" borderId="8" xfId="1" applyFont="1" applyBorder="1" applyAlignment="1">
      <alignment horizontal="center" vertical="center" wrapText="1"/>
    </xf>
    <xf numFmtId="165" fontId="16" fillId="0" borderId="9" xfId="1" applyFont="1" applyBorder="1" applyAlignment="1">
      <alignment vertical="center" wrapText="1"/>
    </xf>
    <xf numFmtId="10" fontId="16" fillId="0" borderId="9" xfId="3" applyNumberFormat="1" applyFont="1" applyBorder="1" applyAlignment="1">
      <alignment horizontal="center" vertical="center" wrapText="1"/>
    </xf>
    <xf numFmtId="165" fontId="2" fillId="3" borderId="0" xfId="1" applyFont="1" applyFill="1" applyAlignment="1">
      <alignment horizontal="center" vertical="center"/>
    </xf>
    <xf numFmtId="165" fontId="2" fillId="7" borderId="0" xfId="1" applyFont="1" applyFill="1" applyAlignment="1">
      <alignment horizontal="left" vertical="center"/>
    </xf>
    <xf numFmtId="165" fontId="26" fillId="0" borderId="0" xfId="1" applyFont="1"/>
    <xf numFmtId="165" fontId="2" fillId="3" borderId="1" xfId="1" applyFont="1" applyFill="1" applyBorder="1" applyAlignment="1">
      <alignment horizontal="left"/>
    </xf>
    <xf numFmtId="171" fontId="16" fillId="0" borderId="0" xfId="1" applyNumberFormat="1" applyFont="1" applyAlignment="1">
      <alignment horizontal="center" vertical="center"/>
    </xf>
    <xf numFmtId="165" fontId="12" fillId="0" borderId="0" xfId="1" applyFont="1" applyAlignment="1">
      <alignment horizontal="left"/>
    </xf>
    <xf numFmtId="165" fontId="12" fillId="0" borderId="0" xfId="1" applyFont="1" applyAlignment="1">
      <alignment horizontal="center" vertical="center"/>
    </xf>
    <xf numFmtId="9" fontId="16" fillId="0" borderId="0" xfId="3" applyFont="1"/>
    <xf numFmtId="171" fontId="16" fillId="0" borderId="0" xfId="1" applyNumberFormat="1" applyFont="1"/>
    <xf numFmtId="165" fontId="16" fillId="0" borderId="0" xfId="1" applyFont="1" applyAlignment="1">
      <alignment horizontal="left"/>
    </xf>
    <xf numFmtId="165" fontId="16" fillId="0" borderId="0" xfId="1" applyFont="1" applyAlignment="1">
      <alignment horizontal="center"/>
    </xf>
    <xf numFmtId="165" fontId="12" fillId="2" borderId="0" xfId="1" applyFont="1" applyFill="1" applyAlignment="1">
      <alignment horizontal="left"/>
    </xf>
    <xf numFmtId="10" fontId="12" fillId="0" borderId="0" xfId="3" applyNumberFormat="1" applyFont="1" applyAlignment="1">
      <alignment horizontal="center" vertical="center"/>
    </xf>
    <xf numFmtId="170" fontId="27" fillId="0" borderId="0" xfId="12" applyFont="1" applyFill="1" applyBorder="1" applyAlignment="1">
      <alignment horizontal="left" vertical="center"/>
    </xf>
    <xf numFmtId="165" fontId="28" fillId="0" borderId="0" xfId="1" applyFont="1"/>
    <xf numFmtId="170" fontId="29" fillId="2" borderId="0" xfId="12" applyFont="1" applyFill="1" applyBorder="1" applyAlignment="1">
      <alignment horizontal="right" vertical="center"/>
    </xf>
    <xf numFmtId="165" fontId="29" fillId="2" borderId="0" xfId="1" applyFont="1" applyFill="1"/>
    <xf numFmtId="43" fontId="0" fillId="10" borderId="0" xfId="7" applyFont="1" applyFill="1"/>
    <xf numFmtId="0" fontId="0" fillId="10" borderId="0" xfId="0" applyFill="1"/>
    <xf numFmtId="43" fontId="0" fillId="11" borderId="0" xfId="7" applyFont="1" applyFill="1"/>
    <xf numFmtId="0" fontId="0" fillId="11" borderId="0" xfId="0" applyFill="1" applyAlignment="1">
      <alignment horizontal="left"/>
    </xf>
    <xf numFmtId="0" fontId="0" fillId="11" borderId="0" xfId="0" applyFill="1"/>
    <xf numFmtId="0" fontId="0" fillId="11" borderId="0" xfId="0" applyFill="1" applyAlignment="1">
      <alignment horizontal="left" indent="2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2" borderId="0" xfId="0" applyFont="1" applyFill="1" applyAlignment="1">
      <alignment horizontal="left"/>
    </xf>
    <xf numFmtId="43" fontId="3" fillId="2" borderId="0" xfId="0" applyNumberFormat="1" applyFont="1" applyFill="1"/>
    <xf numFmtId="43" fontId="3" fillId="2" borderId="0" xfId="7" applyFont="1" applyFill="1"/>
    <xf numFmtId="0" fontId="16" fillId="0" borderId="0" xfId="9" applyFont="1"/>
    <xf numFmtId="0" fontId="2" fillId="8" borderId="1" xfId="9" applyFont="1" applyFill="1" applyBorder="1" applyAlignment="1">
      <alignment horizontal="center" vertical="center" wrapText="1"/>
    </xf>
    <xf numFmtId="2" fontId="16" fillId="0" borderId="0" xfId="9" applyNumberFormat="1" applyFont="1"/>
    <xf numFmtId="170" fontId="1" fillId="0" borderId="1" xfId="10" applyNumberFormat="1" applyFont="1" applyFill="1" applyBorder="1" applyAlignment="1">
      <alignment horizontal="center" vertical="center"/>
    </xf>
    <xf numFmtId="43" fontId="16" fillId="0" borderId="0" xfId="9" applyNumberFormat="1" applyFont="1"/>
    <xf numFmtId="0" fontId="12" fillId="0" borderId="0" xfId="9" applyFont="1"/>
    <xf numFmtId="0" fontId="2" fillId="3" borderId="3" xfId="9" applyFont="1" applyFill="1" applyBorder="1" applyAlignment="1">
      <alignment horizontal="center" vertical="top" wrapText="1"/>
    </xf>
    <xf numFmtId="165" fontId="2" fillId="3" borderId="3" xfId="9" applyNumberFormat="1" applyFont="1" applyFill="1" applyBorder="1" applyAlignment="1">
      <alignment horizontal="center"/>
    </xf>
    <xf numFmtId="168" fontId="12" fillId="0" borderId="0" xfId="11" applyFont="1" applyBorder="1"/>
    <xf numFmtId="170" fontId="16" fillId="0" borderId="0" xfId="12" applyFont="1"/>
    <xf numFmtId="0" fontId="16" fillId="0" borderId="0" xfId="9" applyFont="1" applyAlignment="1">
      <alignment horizontal="center"/>
    </xf>
    <xf numFmtId="15" fontId="16" fillId="0" borderId="0" xfId="9" applyNumberFormat="1" applyFont="1" applyAlignment="1">
      <alignment horizontal="center" vertical="center"/>
    </xf>
    <xf numFmtId="168" fontId="16" fillId="0" borderId="0" xfId="11" applyFont="1"/>
    <xf numFmtId="168" fontId="12" fillId="0" borderId="3" xfId="11" applyFont="1" applyBorder="1"/>
    <xf numFmtId="170" fontId="12" fillId="0" borderId="3" xfId="12" applyFont="1" applyBorder="1"/>
    <xf numFmtId="0" fontId="16" fillId="0" borderId="0" xfId="9" applyFont="1" applyAlignment="1">
      <alignment horizontal="center" vertical="center"/>
    </xf>
    <xf numFmtId="8" fontId="16" fillId="0" borderId="0" xfId="9" applyNumberFormat="1" applyFont="1"/>
    <xf numFmtId="170" fontId="1" fillId="0" borderId="0" xfId="10" applyNumberFormat="1" applyFont="1" applyFill="1" applyBorder="1" applyAlignment="1">
      <alignment horizontal="center" vertical="center"/>
    </xf>
    <xf numFmtId="165" fontId="16" fillId="0" borderId="1" xfId="1" applyFont="1" applyBorder="1"/>
    <xf numFmtId="10" fontId="16" fillId="0" borderId="1" xfId="8" applyNumberFormat="1" applyFont="1" applyBorder="1"/>
    <xf numFmtId="165" fontId="12" fillId="2" borderId="1" xfId="1" applyFont="1" applyFill="1" applyBorder="1"/>
    <xf numFmtId="10" fontId="12" fillId="2" borderId="1" xfId="8" applyNumberFormat="1" applyFont="1" applyFill="1" applyBorder="1"/>
    <xf numFmtId="165" fontId="16" fillId="0" borderId="0" xfId="1" applyFont="1" applyAlignment="1">
      <alignment horizontal="left" vertical="center"/>
    </xf>
    <xf numFmtId="165" fontId="26" fillId="0" borderId="0" xfId="1" applyFont="1" applyAlignment="1">
      <alignment horizontal="left"/>
    </xf>
    <xf numFmtId="165" fontId="2" fillId="7" borderId="0" xfId="1" applyFont="1" applyFill="1" applyAlignment="1">
      <alignment horizontal="center" vertical="center"/>
    </xf>
    <xf numFmtId="10" fontId="16" fillId="0" borderId="8" xfId="3" applyNumberFormat="1" applyFont="1" applyBorder="1" applyAlignment="1">
      <alignment horizontal="center" vertical="center" wrapText="1"/>
    </xf>
    <xf numFmtId="10" fontId="16" fillId="0" borderId="10" xfId="3" applyNumberFormat="1" applyFont="1" applyFill="1" applyBorder="1" applyAlignment="1">
      <alignment horizontal="center" vertical="center"/>
    </xf>
    <xf numFmtId="165" fontId="2" fillId="3" borderId="4" xfId="1" applyFont="1" applyFill="1" applyBorder="1" applyAlignment="1">
      <alignment horizontal="left" vertical="center"/>
    </xf>
    <xf numFmtId="165" fontId="13" fillId="7" borderId="0" xfId="1" applyFont="1" applyFill="1" applyAlignment="1">
      <alignment horizontal="left" vertical="center"/>
    </xf>
    <xf numFmtId="165" fontId="20" fillId="0" borderId="0" xfId="1" applyFont="1" applyAlignment="1">
      <alignment horizontal="left" vertical="center"/>
    </xf>
    <xf numFmtId="165" fontId="12" fillId="0" borderId="0" xfId="1" applyFont="1" applyAlignment="1">
      <alignment horizontal="left" vertical="center"/>
    </xf>
    <xf numFmtId="43" fontId="0" fillId="10" borderId="0" xfId="7" applyFont="1" applyFill="1" applyAlignment="1">
      <alignment horizontal="left" indent="1"/>
    </xf>
    <xf numFmtId="0" fontId="0" fillId="10" borderId="0" xfId="0" applyFill="1" applyAlignment="1">
      <alignment horizontal="left"/>
    </xf>
    <xf numFmtId="43" fontId="0" fillId="0" borderId="0" xfId="7" applyFont="1" applyAlignment="1">
      <alignment horizontal="center" vertical="center"/>
    </xf>
    <xf numFmtId="43" fontId="3" fillId="2" borderId="0" xfId="7" applyFont="1" applyFill="1" applyAlignment="1">
      <alignment horizontal="center" vertical="center"/>
    </xf>
    <xf numFmtId="43" fontId="2" fillId="3" borderId="0" xfId="7" applyFont="1" applyFill="1" applyAlignment="1">
      <alignment horizontal="center" vertical="center"/>
    </xf>
    <xf numFmtId="43" fontId="0" fillId="0" borderId="0" xfId="7" applyFont="1"/>
    <xf numFmtId="43" fontId="2" fillId="3" borderId="1" xfId="7" applyFont="1" applyFill="1" applyBorder="1" applyAlignment="1">
      <alignment horizontal="center" vertical="center"/>
    </xf>
    <xf numFmtId="43" fontId="26" fillId="0" borderId="0" xfId="7" applyFont="1"/>
    <xf numFmtId="43" fontId="16" fillId="0" borderId="0" xfId="7" applyFont="1" applyAlignment="1">
      <alignment horizontal="center" vertical="center"/>
    </xf>
    <xf numFmtId="43" fontId="12" fillId="2" borderId="0" xfId="7" applyFont="1" applyFill="1" applyAlignment="1">
      <alignment horizontal="center" vertical="center"/>
    </xf>
    <xf numFmtId="43" fontId="12" fillId="0" borderId="0" xfId="7" applyFont="1" applyAlignment="1">
      <alignment horizontal="center" vertical="center"/>
    </xf>
    <xf numFmtId="43" fontId="16" fillId="0" borderId="0" xfId="7" applyFont="1"/>
    <xf numFmtId="168" fontId="16" fillId="0" borderId="0" xfId="11" applyFont="1" applyFill="1"/>
    <xf numFmtId="10" fontId="16" fillId="0" borderId="0" xfId="8" applyNumberFormat="1" applyFont="1" applyAlignment="1">
      <alignment horizontal="center" vertical="center"/>
    </xf>
    <xf numFmtId="43" fontId="3" fillId="12" borderId="0" xfId="0" applyNumberFormat="1" applyFont="1" applyFill="1"/>
    <xf numFmtId="165" fontId="2" fillId="7" borderId="0" xfId="1" applyFont="1" applyFill="1" applyAlignment="1">
      <alignment horizontal="left" vertical="center"/>
    </xf>
    <xf numFmtId="0" fontId="2" fillId="3" borderId="0" xfId="9" applyFont="1" applyFill="1" applyAlignment="1">
      <alignment horizontal="center"/>
    </xf>
    <xf numFmtId="165" fontId="24" fillId="3" borderId="5" xfId="1" applyFont="1" applyFill="1" applyBorder="1" applyAlignment="1">
      <alignment horizontal="center" vertical="center" wrapText="1"/>
    </xf>
    <xf numFmtId="165" fontId="24" fillId="3" borderId="6" xfId="1" applyFont="1" applyFill="1" applyBorder="1" applyAlignment="1">
      <alignment horizontal="center" vertical="center" wrapText="1"/>
    </xf>
    <xf numFmtId="165" fontId="24" fillId="3" borderId="7" xfId="1" applyFont="1" applyFill="1" applyBorder="1" applyAlignment="1">
      <alignment horizontal="center" vertical="center" wrapText="1"/>
    </xf>
    <xf numFmtId="165" fontId="2" fillId="3" borderId="0" xfId="1" applyFont="1" applyFill="1" applyAlignment="1">
      <alignment horizontal="center" vertical="center"/>
    </xf>
  </cellXfs>
  <cellStyles count="14">
    <cellStyle name="Comma" xfId="7" builtinId="3"/>
    <cellStyle name="Comma 11_BSPL-Vishwnath-Audit-March-12." xfId="11"/>
    <cellStyle name="Comma 2" xfId="12"/>
    <cellStyle name="Comma 2 2 12" xfId="5"/>
    <cellStyle name="Comma 79" xfId="10"/>
    <cellStyle name="Comma 80" xfId="13"/>
    <cellStyle name="Normal" xfId="0" builtinId="0"/>
    <cellStyle name="Normal 2" xfId="1"/>
    <cellStyle name="Normal 2 10" xfId="2"/>
    <cellStyle name="Normal 2 2" xfId="9"/>
    <cellStyle name="Normal 2 2 2 8" xfId="4"/>
    <cellStyle name="Percent" xfId="8" builtinId="5"/>
    <cellStyle name="Percent 2 2 3" xfId="3"/>
    <cellStyle name="Percent 60" xfId="6"/>
  </cellStyles>
  <dxfs count="0"/>
  <tableStyles count="0" defaultTableStyle="TableStyleMedium2" defaultPivotStyle="PivotStyleLight16"/>
  <colors>
    <mruColors>
      <color rgb="FFE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EBITDA Margin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Historicals!$B$29</c:f>
              <c:strCache>
                <c:ptCount val="1"/>
                <c:pt idx="0">
                  <c:v>EBITDA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Historicals!$C$29:$I$29</c:f>
              <c:numCache>
                <c:formatCode>0.00%</c:formatCode>
                <c:ptCount val="7"/>
                <c:pt idx="0">
                  <c:v>4.1930405657261298E-2</c:v>
                </c:pt>
                <c:pt idx="1">
                  <c:v>2.9291206456000241E-2</c:v>
                </c:pt>
                <c:pt idx="2">
                  <c:v>3.9134273646803927E-2</c:v>
                </c:pt>
                <c:pt idx="3">
                  <c:v>3.6202678962335783E-2</c:v>
                </c:pt>
                <c:pt idx="4">
                  <c:v>6.9093347845299843E-2</c:v>
                </c:pt>
                <c:pt idx="5">
                  <c:v>0.33551700905653842</c:v>
                </c:pt>
                <c:pt idx="6">
                  <c:v>0.22681986163842668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D1-46A0-9035-9B63CF5BC3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817424"/>
        <c:axId val="308992088"/>
      </c:barChart>
      <c:catAx>
        <c:axId val="341817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layout>
            <c:manualLayout>
              <c:xMode val="edge"/>
              <c:yMode val="edge"/>
              <c:x val="0.48094335083114609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992088"/>
        <c:crosses val="autoZero"/>
        <c:auto val="1"/>
        <c:lblAlgn val="ctr"/>
        <c:lblOffset val="100"/>
        <c:noMultiLvlLbl val="0"/>
      </c:catAx>
      <c:valAx>
        <c:axId val="30899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8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EBIT Margin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Historicals!$B$30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Historicals!$C$30:$I$30</c:f>
              <c:numCache>
                <c:formatCode>0.00%</c:formatCode>
                <c:ptCount val="7"/>
                <c:pt idx="0">
                  <c:v>1.0794015106702319E-2</c:v>
                </c:pt>
                <c:pt idx="1">
                  <c:v>1.9351473903956907E-2</c:v>
                </c:pt>
                <c:pt idx="2">
                  <c:v>2.3653292480090366E-2</c:v>
                </c:pt>
                <c:pt idx="3">
                  <c:v>2.4182611266157127E-2</c:v>
                </c:pt>
                <c:pt idx="4">
                  <c:v>5.2164930582690568E-2</c:v>
                </c:pt>
                <c:pt idx="5">
                  <c:v>0.26955932295498702</c:v>
                </c:pt>
                <c:pt idx="6">
                  <c:v>0.19963911938886519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25-4F6A-94A4-C23AAC63BC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4019056"/>
        <c:axId val="343804432"/>
      </c:barChart>
      <c:catAx>
        <c:axId val="364019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layout>
            <c:manualLayout>
              <c:xMode val="edge"/>
              <c:yMode val="edge"/>
              <c:x val="0.48094335083114609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804432"/>
        <c:crosses val="autoZero"/>
        <c:auto val="1"/>
        <c:lblAlgn val="ctr"/>
        <c:lblOffset val="100"/>
        <c:noMultiLvlLbl val="0"/>
      </c:catAx>
      <c:valAx>
        <c:axId val="34380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0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Net</a:t>
            </a:r>
            <a:r>
              <a:rPr lang="en-US" b="1" baseline="0">
                <a:solidFill>
                  <a:schemeClr val="bg1"/>
                </a:solidFill>
              </a:rPr>
              <a:t> Profit</a:t>
            </a:r>
            <a:r>
              <a:rPr lang="en-US" b="1">
                <a:solidFill>
                  <a:schemeClr val="bg1"/>
                </a:solidFill>
              </a:rPr>
              <a:t> Margin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Historicals!$B$31</c:f>
              <c:strCache>
                <c:ptCount val="1"/>
                <c:pt idx="0">
                  <c:v>Net Profit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Historicals!$C$31:$I$31</c:f>
              <c:numCache>
                <c:formatCode>0.00%</c:formatCode>
                <c:ptCount val="7"/>
                <c:pt idx="0">
                  <c:v>8.0480255889281323E-3</c:v>
                </c:pt>
                <c:pt idx="1">
                  <c:v>1.7230888902799943E-3</c:v>
                </c:pt>
                <c:pt idx="2">
                  <c:v>2.0169761880733769E-3</c:v>
                </c:pt>
                <c:pt idx="3">
                  <c:v>1.1493174371409271E-3</c:v>
                </c:pt>
                <c:pt idx="4">
                  <c:v>4.7173363531864713E-3</c:v>
                </c:pt>
                <c:pt idx="5">
                  <c:v>7.6495713802447038E-3</c:v>
                </c:pt>
                <c:pt idx="6">
                  <c:v>2.4107218580034333E-2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67-42D7-852D-20E945E6D3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7489152"/>
        <c:axId val="343662024"/>
      </c:barChart>
      <c:catAx>
        <c:axId val="30748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layout>
            <c:manualLayout>
              <c:xMode val="edge"/>
              <c:yMode val="edge"/>
              <c:x val="0.48094335083114609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662024"/>
        <c:crosses val="autoZero"/>
        <c:auto val="1"/>
        <c:lblAlgn val="ctr"/>
        <c:lblOffset val="100"/>
        <c:noMultiLvlLbl val="0"/>
      </c:catAx>
      <c:valAx>
        <c:axId val="34366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4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1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Key Financial Metrics</a:t>
            </a:r>
          </a:p>
        </c:rich>
      </c:tx>
      <c:layout>
        <c:manualLayout>
          <c:xMode val="edge"/>
          <c:yMode val="edge"/>
          <c:x val="0.33368304571684637"/>
          <c:y val="3.4890958885184807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7666968458212"/>
          <c:y val="0.17709653845580231"/>
          <c:w val="0.84088708043766081"/>
          <c:h val="0.52347231369052138"/>
        </c:manualLayout>
      </c:layout>
      <c:lineChart>
        <c:grouping val="standard"/>
        <c:varyColors val="0"/>
        <c:ser>
          <c:idx val="0"/>
          <c:order val="0"/>
          <c:tx>
            <c:strRef>
              <c:f>Historicals!$B$29</c:f>
              <c:strCache>
                <c:ptCount val="1"/>
                <c:pt idx="0">
                  <c:v>EBITDA Margin</c:v>
                </c:pt>
              </c:strCache>
            </c:strRef>
          </c:tx>
          <c:spPr>
            <a:ln w="349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Historicals!$C$29:$I$29</c:f>
              <c:numCache>
                <c:formatCode>0.00%</c:formatCode>
                <c:ptCount val="7"/>
                <c:pt idx="0">
                  <c:v>4.1930405657261298E-2</c:v>
                </c:pt>
                <c:pt idx="1">
                  <c:v>2.9291206456000241E-2</c:v>
                </c:pt>
                <c:pt idx="2">
                  <c:v>3.9134273646803927E-2</c:v>
                </c:pt>
                <c:pt idx="3">
                  <c:v>3.6202678962335783E-2</c:v>
                </c:pt>
                <c:pt idx="4">
                  <c:v>6.9093347845299843E-2</c:v>
                </c:pt>
                <c:pt idx="5">
                  <c:v>0.33551700905653842</c:v>
                </c:pt>
                <c:pt idx="6">
                  <c:v>0.22681986163842668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3C-4A40-B63D-5CA51A1ECCD8}"/>
            </c:ext>
          </c:extLst>
        </c:ser>
        <c:ser>
          <c:idx val="1"/>
          <c:order val="1"/>
          <c:tx>
            <c:strRef>
              <c:f>Historicals!$B$30</c:f>
              <c:strCache>
                <c:ptCount val="1"/>
                <c:pt idx="0">
                  <c:v>EBIT Margin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Historicals!$C$30:$I$30</c:f>
              <c:numCache>
                <c:formatCode>0.00%</c:formatCode>
                <c:ptCount val="7"/>
                <c:pt idx="0">
                  <c:v>1.0794015106702319E-2</c:v>
                </c:pt>
                <c:pt idx="1">
                  <c:v>1.9351473903956907E-2</c:v>
                </c:pt>
                <c:pt idx="2">
                  <c:v>2.3653292480090366E-2</c:v>
                </c:pt>
                <c:pt idx="3">
                  <c:v>2.4182611266157127E-2</c:v>
                </c:pt>
                <c:pt idx="4">
                  <c:v>5.2164930582690568E-2</c:v>
                </c:pt>
                <c:pt idx="5">
                  <c:v>0.26955932295498702</c:v>
                </c:pt>
                <c:pt idx="6">
                  <c:v>0.19963911938886519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3C-4A40-B63D-5CA51A1ECCD8}"/>
            </c:ext>
          </c:extLst>
        </c:ser>
        <c:ser>
          <c:idx val="2"/>
          <c:order val="2"/>
          <c:tx>
            <c:strRef>
              <c:f>Historicals!$B$31</c:f>
              <c:strCache>
                <c:ptCount val="1"/>
                <c:pt idx="0">
                  <c:v>Net Profit Margin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Historicals!$C$31:$I$31</c:f>
              <c:numCache>
                <c:formatCode>0.00%</c:formatCode>
                <c:ptCount val="7"/>
                <c:pt idx="0">
                  <c:v>8.0480255889281323E-3</c:v>
                </c:pt>
                <c:pt idx="1">
                  <c:v>1.7230888902799943E-3</c:v>
                </c:pt>
                <c:pt idx="2">
                  <c:v>2.0169761880733769E-3</c:v>
                </c:pt>
                <c:pt idx="3">
                  <c:v>1.1493174371409271E-3</c:v>
                </c:pt>
                <c:pt idx="4">
                  <c:v>4.7173363531864713E-3</c:v>
                </c:pt>
                <c:pt idx="5">
                  <c:v>7.6495713802447038E-3</c:v>
                </c:pt>
                <c:pt idx="6">
                  <c:v>2.4107218580034333E-2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3C-4A40-B63D-5CA51A1E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62392"/>
        <c:axId val="364189008"/>
      </c:lineChart>
      <c:catAx>
        <c:axId val="13476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189008"/>
        <c:crosses val="autoZero"/>
        <c:auto val="1"/>
        <c:lblAlgn val="ctr"/>
        <c:lblOffset val="100"/>
        <c:noMultiLvlLbl val="0"/>
      </c:catAx>
      <c:valAx>
        <c:axId val="364189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623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9403378614796507"/>
          <c:y val="0.84610536049150331"/>
          <c:w val="0.65495733764986686"/>
          <c:h val="8.4112721738127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</a:rPr>
              <a:t>Net Profit Margin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P&amp;L'!$B$34</c:f>
              <c:strCache>
                <c:ptCount val="1"/>
                <c:pt idx="0">
                  <c:v>Net Profit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'Projected P&amp;L'!$C$4:$I$4</c:f>
              <c:strCache>
                <c:ptCount val="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</c:strCache>
            </c:strRef>
          </c:cat>
          <c:val>
            <c:numRef>
              <c:f>'Projected P&amp;L'!$C$34:$I$34</c:f>
              <c:numCache>
                <c:formatCode>0.00%</c:formatCode>
                <c:ptCount val="7"/>
                <c:pt idx="0">
                  <c:v>0.32472054780816284</c:v>
                </c:pt>
                <c:pt idx="1">
                  <c:v>0.45592804354804162</c:v>
                </c:pt>
                <c:pt idx="2">
                  <c:v>0.49782695045116904</c:v>
                </c:pt>
                <c:pt idx="3">
                  <c:v>0.53731797151301719</c:v>
                </c:pt>
                <c:pt idx="4">
                  <c:v>0.57456091292977007</c:v>
                </c:pt>
                <c:pt idx="5">
                  <c:v>0.61083229776097281</c:v>
                </c:pt>
                <c:pt idx="6">
                  <c:v>0.6462600160130918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E4-4D0C-B24F-D50A2AD2B5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93168"/>
        <c:axId val="343397088"/>
      </c:barChart>
      <c:catAx>
        <c:axId val="34339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Financial</a:t>
                </a:r>
                <a:r>
                  <a:rPr lang="en-IN" baseline="0"/>
                  <a:t> Year</a:t>
                </a:r>
                <a:endParaRPr lang="en-I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7088"/>
        <c:crosses val="autoZero"/>
        <c:auto val="1"/>
        <c:lblAlgn val="ctr"/>
        <c:lblOffset val="100"/>
        <c:noMultiLvlLbl val="0"/>
      </c:catAx>
      <c:valAx>
        <c:axId val="3433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</a:rPr>
              <a:t>EBIT Margin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P&amp;L'!$B$33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'Projected P&amp;L'!$C$4:$I$4</c:f>
              <c:strCache>
                <c:ptCount val="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</c:strCache>
            </c:strRef>
          </c:cat>
          <c:val>
            <c:numRef>
              <c:f>'Projected P&amp;L'!$C$33:$I$33</c:f>
              <c:numCache>
                <c:formatCode>0.00%</c:formatCode>
                <c:ptCount val="7"/>
                <c:pt idx="0">
                  <c:v>0.6793022866367856</c:v>
                </c:pt>
                <c:pt idx="1">
                  <c:v>0.88093812854166664</c:v>
                </c:pt>
                <c:pt idx="2">
                  <c:v>0.89144807416805549</c:v>
                </c:pt>
                <c:pt idx="3">
                  <c:v>0.90015603673180555</c:v>
                </c:pt>
                <c:pt idx="4">
                  <c:v>0.90730890652503471</c:v>
                </c:pt>
                <c:pt idx="5">
                  <c:v>0.91311575721941385</c:v>
                </c:pt>
                <c:pt idx="6">
                  <c:v>0.91775377086878884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68-409E-8D98-1B148FF93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95520"/>
        <c:axId val="343395912"/>
      </c:barChart>
      <c:catAx>
        <c:axId val="34339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Financial</a:t>
                </a:r>
                <a:r>
                  <a:rPr lang="en-IN" baseline="0"/>
                  <a:t> Year</a:t>
                </a:r>
                <a:endParaRPr lang="en-I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5912"/>
        <c:crosses val="autoZero"/>
        <c:auto val="1"/>
        <c:lblAlgn val="ctr"/>
        <c:lblOffset val="100"/>
        <c:noMultiLvlLbl val="0"/>
      </c:catAx>
      <c:valAx>
        <c:axId val="34339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</a:rPr>
              <a:t>EBITDA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P&amp;L'!$B$32</c:f>
              <c:strCache>
                <c:ptCount val="1"/>
                <c:pt idx="0">
                  <c:v>EBITDA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'Projected P&amp;L'!$C$4:$I$4</c:f>
              <c:strCache>
                <c:ptCount val="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</c:strCache>
            </c:strRef>
          </c:cat>
          <c:val>
            <c:numRef>
              <c:f>'Projected P&amp;L'!$C$32:$I$32</c:f>
              <c:numCache>
                <c:formatCode>0.00%</c:formatCode>
                <c:ptCount val="7"/>
                <c:pt idx="0">
                  <c:v>0.75856682748749071</c:v>
                </c:pt>
                <c:pt idx="1">
                  <c:v>0.9681388014583332</c:v>
                </c:pt>
                <c:pt idx="2">
                  <c:v>0.96654574153124995</c:v>
                </c:pt>
                <c:pt idx="3">
                  <c:v>0.96487302860781254</c:v>
                </c:pt>
                <c:pt idx="4">
                  <c:v>0.96311668003820317</c:v>
                </c:pt>
                <c:pt idx="5">
                  <c:v>0.96127251404011316</c:v>
                </c:pt>
                <c:pt idx="6">
                  <c:v>0.95933613974211895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3F-4E09-83AC-958A53478A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99048"/>
        <c:axId val="364848016"/>
      </c:barChart>
      <c:catAx>
        <c:axId val="34339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Financial</a:t>
                </a:r>
                <a:r>
                  <a:rPr lang="en-IN" baseline="0"/>
                  <a:t> Year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848016"/>
        <c:crosses val="autoZero"/>
        <c:auto val="1"/>
        <c:lblAlgn val="ctr"/>
        <c:lblOffset val="100"/>
        <c:noMultiLvlLbl val="0"/>
      </c:catAx>
      <c:valAx>
        <c:axId val="364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32</xdr:row>
      <xdr:rowOff>128586</xdr:rowOff>
    </xdr:from>
    <xdr:to>
      <xdr:col>6</xdr:col>
      <xdr:colOff>57150</xdr:colOff>
      <xdr:row>48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2A37496-1748-4967-A972-7D90D4AC2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38</xdr:row>
      <xdr:rowOff>180975</xdr:rowOff>
    </xdr:from>
    <xdr:to>
      <xdr:col>12</xdr:col>
      <xdr:colOff>476250</xdr:colOff>
      <xdr:row>54</xdr:row>
      <xdr:rowOff>128588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CD1B2D94-5340-4DB9-B4F3-39B15556F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51</xdr:row>
      <xdr:rowOff>104775</xdr:rowOff>
    </xdr:from>
    <xdr:to>
      <xdr:col>6</xdr:col>
      <xdr:colOff>76200</xdr:colOff>
      <xdr:row>67</xdr:row>
      <xdr:rowOff>52388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186316B-F28A-4282-B2C0-6E7BDC4E1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590550</xdr:colOff>
      <xdr:row>56</xdr:row>
      <xdr:rowOff>90487</xdr:rowOff>
    </xdr:from>
    <xdr:to>
      <xdr:col>14</xdr:col>
      <xdr:colOff>0</xdr:colOff>
      <xdr:row>69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CD3C9F2-920B-4B96-9C7A-6CA994547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34</xdr:row>
      <xdr:rowOff>157162</xdr:rowOff>
    </xdr:from>
    <xdr:to>
      <xdr:col>8</xdr:col>
      <xdr:colOff>0</xdr:colOff>
      <xdr:row>51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02B1DFE-3A50-41E3-BBD1-5595EB7A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609599</xdr:colOff>
      <xdr:row>34</xdr:row>
      <xdr:rowOff>152400</xdr:rowOff>
    </xdr:from>
    <xdr:to>
      <xdr:col>14</xdr:col>
      <xdr:colOff>9524</xdr:colOff>
      <xdr:row>51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212A6E4-8456-4C60-80D7-B13A0E771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752475</xdr:colOff>
      <xdr:row>54</xdr:row>
      <xdr:rowOff>123825</xdr:rowOff>
    </xdr:from>
    <xdr:to>
      <xdr:col>11</xdr:col>
      <xdr:colOff>247650</xdr:colOff>
      <xdr:row>72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77E8731-E74C-444F-93EC-63B15F14D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ush\c\04-05variance\HUB04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,M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I_BHIWADI\USER\vipul\VJ\book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bgt\STORES\2002-03\monthly\STRCONB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Rajesh/d/oldbackup/nilesh/cy0001/m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DOCUME~1/RCH/LOCALS~1/Temp/notes6030C8/Aryzta-Graham%20Owens(%2020090801-20100731%2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Users/Deepanshu.aggarwal/AppData/Local/Microsoft/Windows/Temporary%20Internet%20Files/Content.Outlook/2N88U0F9/Tax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2\TAX%20AUDIT%20PB\Documents%20and%20Settings\user123\Desktop\Balance%20Sheet%20RDP%2006-07%20(Pantnagar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Devanand\My%20Documents\Programing\AS2\Pack%20Development\CTT\Done\Worksheet%20in%204315.1%20Revenue%20-%20Controls%20Test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E32626\march2002-tax%20account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utory%20Audit200910\PBPL\BAHADURGARH\Balance%20Sheet\Balance%20Sheet\Copy%20of%20Pen%20Drive%2028-08-08\HIren\280808\FINAL%20PBPL\Notes%20PBP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utory%20Audit200910\PBPL\BAHADURGARH\Balance%20Sheet\Balance%20Sheet\Auditor\Balance%20Sheet%20PBPL\Bahadurgarh\bahadurgarh%20Notes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ARL98\Concilfi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l2fdc01\Comshare\AAQIL\Accounts\2001-2002\J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MASONDE/Reports/ACCID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tgbfdc\fdc\AAQIL\Accounts\2001-2002\Ju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prdndfs01\ds_dfs\Consumer%20and%20Retail%20NY\Gryphon\Project%20BEAN\Confidential%20Information%20Memorandum\CIM%20Backup\CIM%20Excel%20Backup\CIM%20Backup%20v3_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p1\My%20Documents\documents\fbt\FBT-dep-ve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dc\docs\Documents%20and%20Settings\Neetu\Local%20Settings\Temporary%20Internet%20Files\Content.IE5\HEKW8A28\Copy%20of%20Copy%20of%20Depreciation%20(Shiv)%20(1-4-09%20to%2031-3-10)(Stage%20-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'04"/>
      <sheetName val="MAY'04"/>
      <sheetName val="JUN'04"/>
      <sheetName val="JUL'04"/>
      <sheetName val="AUG'04"/>
      <sheetName val="SEPT'04"/>
      <sheetName val="OCT'04"/>
      <sheetName val="NOV'04"/>
      <sheetName val="DEC'04"/>
      <sheetName val="JAN'05"/>
      <sheetName val="FEB'05"/>
      <sheetName val="MAR'05"/>
      <sheetName val="VAR DEVRA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Sheet1"/>
      <sheetName val="Sheet2"/>
      <sheetName val="Sheet3"/>
      <sheetName val="L,MM"/>
      <sheetName val="Index"/>
      <sheetName val="gurubhai"/>
      <sheetName val="BS Led"/>
      <sheetName val="NWC"/>
      <sheetName val="NWC Led"/>
      <sheetName val="Profit &amp; Loss April-March"/>
      <sheetName val="P&amp;L Led Comparision April-March"/>
      <sheetName val="Goal Sheet Data"/>
      <sheetName val="ABP"/>
      <sheetName val="P&amp;L Led OPE vs  FIN  Q-1"/>
      <sheetName val="P&amp;L Led OPE vs  FIN YTD SEP-16 "/>
      <sheetName val="Q-3 Analysis sheet "/>
      <sheetName val="Oct&amp;Nov Analysis sheet"/>
      <sheetName val="TB (Q4th) (March-17)"/>
      <sheetName val="TB (Q4th) (Feb-17)"/>
      <sheetName val="TB (Q4th)"/>
      <sheetName val="TB (Q3rd)"/>
      <sheetName val="TB"/>
      <sheetName val="TB BS"/>
      <sheetName val="Logic"/>
      <sheetName val="Adjustments"/>
      <sheetName val="Profit &amp; Loss"/>
      <sheetName val="ABP 17-18"/>
      <sheetName val="P&amp;L Led Comparision"/>
      <sheetName val="Production &amp; Sales"/>
      <sheetName val="Sales Realization PMT &amp; Qty"/>
      <sheetName val="Variance (2)"/>
      <sheetName val="Variance"/>
      <sheetName val="Customer Wise Sales &amp; Rejection"/>
      <sheetName val="Scrap -Partywise"/>
      <sheetName val="Scrap-Product"/>
      <sheetName val="Rejection"/>
      <sheetName val="Mat.Procu Productwise cost"/>
      <sheetName val="Scrap Gen"/>
      <sheetName val="Interplant Sale Pur"/>
      <sheetName val="Direct Mfg.Exp."/>
      <sheetName val="Mat.Procurement Partywise"/>
      <sheetName val="Labour Cost "/>
      <sheetName val="Capacity %"/>
      <sheetName val="Adjustment"/>
      <sheetName val="Adjustment (2)"/>
      <sheetName val="Power &amp; Fuel"/>
      <sheetName val="Int. on Stat. Dues"/>
      <sheetName val="Tax Reconciliation"/>
      <sheetName val="Inventory Holding"/>
      <sheetName val="IOU-Ageing"/>
      <sheetName val="Debtors Outstanding"/>
      <sheetName val="Creditors Ageing "/>
      <sheetName val="Creditors -Advances DR bAL"/>
      <sheetName val="Common Exp."/>
      <sheetName val="Finance cost sheet (2)"/>
      <sheetName val="Finance cost sheet"/>
      <sheetName val="Dept.ABP Vs Act Exp"/>
      <sheetName val="Common Expenses"/>
    </sheetNames>
    <sheetDataSet>
      <sheetData sheetId="0" refreshError="1">
        <row r="3">
          <cell r="E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0"/>
      <sheetName val="Sheet1"/>
      <sheetName val="Sheet2"/>
      <sheetName val="Sheet3"/>
      <sheetName val="#REF"/>
      <sheetName val="ENGG_VAL"/>
      <sheetName val="ADD_WAVG"/>
      <sheetName val="VAL31MAR-ALL"/>
      <sheetName val="MPS_PACKING"/>
      <sheetName val="Book1"/>
      <sheetName val="LOCAL FAR TIL JUL10 (2)"/>
      <sheetName val=""/>
      <sheetName val="BS Groupings"/>
      <sheetName val="PL Groupings"/>
      <sheetName val="DF"/>
      <sheetName val="Setup"/>
      <sheetName val="Finance IT &amp; Pro (2)"/>
      <sheetName val="BS (2)"/>
      <sheetName val="P&amp;L (2)"/>
      <sheetName val="FTT_TW_Q2"/>
      <sheetName val="FTT_TW_Q2(Spin)"/>
      <sheetName val="Sales"/>
      <sheetName val="CN Detail"/>
      <sheetName val="Planning Materiality Mar 06"/>
      <sheetName val="k"/>
      <sheetName val="l"/>
      <sheetName val="o"/>
      <sheetName val="MODEL"/>
      <sheetName val="Sheet4"/>
      <sheetName val="Initial"/>
      <sheetName val="Precalculation"/>
      <sheetName val="laroux"/>
      <sheetName val="XXXXXXXXXXXXX"/>
      <sheetName val="XXXXXX"/>
      <sheetName val="WORKINGS"/>
      <sheetName val="ANNEXURE 5 c"/>
      <sheetName val="21 (i)(B)(b)"/>
      <sheetName val="remittance"/>
      <sheetName val="DEC-MEMO"/>
      <sheetName val="Scope of supply"/>
      <sheetName val="Dep"/>
      <sheetName val="BS Schdl- 1 &amp; 2"/>
      <sheetName val="Cabinet details"/>
      <sheetName val="Retirals"/>
      <sheetName val="provision for new Salary"/>
      <sheetName val="TDS"/>
      <sheetName val="Factoring Accrual Summary"/>
      <sheetName val="ttings\purnima\Application Data"/>
      <sheetName val="Material"/>
      <sheetName val="OM except Sales Mat Intcom"/>
      <sheetName val="TOTAL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Sheet2 (3)"/>
      <sheetName val="Sheet2 (2)"/>
      <sheetName val="TDS_Deposit"/>
      <sheetName val="CRITERIA1"/>
      <sheetName val="BS Schdl-3-Fixed Assets"/>
      <sheetName val="April'00"/>
      <sheetName val="EXPENSES"/>
      <sheetName val="TDS Entries Apr to Sept"/>
      <sheetName val="Add to FA"/>
      <sheetName val="Capex &amp; Opex"/>
      <sheetName val="Interconnect"/>
      <sheetName val="CF"/>
      <sheetName val="Emp"/>
      <sheetName val="_REF"/>
      <sheetName val="Annexuture"/>
      <sheetName val="SPS DETAIL"/>
      <sheetName val="factor"/>
      <sheetName val="list - do not delete"/>
      <sheetName val="____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1">
          <cell r="A1" t="str">
            <v>OXFORD UNIVERSITY PRESS INDIAN BRANCH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1">
          <cell r="A1" t="str">
            <v>OXFORD UNIVERSITY PRESS INDIAN BRANCH</v>
          </cell>
        </row>
      </sheetData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CON"/>
      <sheetName val="BatACT"/>
      <sheetName val="BUDGET"/>
      <sheetName val="Module1"/>
      <sheetName val="Internet"/>
      <sheetName val="POWER-DEPT"/>
      <sheetName val="LANGUAGE"/>
      <sheetName val="STRCONBA"/>
      <sheetName val="E"/>
      <sheetName val="PointNo.5"/>
      <sheetName val="Exp"/>
      <sheetName val="RES"/>
      <sheetName val="PW-BGT"/>
      <sheetName val="Sheet2"/>
      <sheetName val="PBCLIST"/>
      <sheetName val="x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rr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_01"/>
      <sheetName val="S_02"/>
      <sheetName val="S_03"/>
      <sheetName val="S_04"/>
      <sheetName val="S_05"/>
      <sheetName val="H_01"/>
      <sheetName val="S_06"/>
      <sheetName val="S_07"/>
      <sheetName val="S_08"/>
      <sheetName val="S_09"/>
      <sheetName val="S_10"/>
      <sheetName val="S_11"/>
      <sheetName val="S_12"/>
      <sheetName val="S_13"/>
      <sheetName val="S_14"/>
      <sheetName val="S_15"/>
      <sheetName val="S_16"/>
      <sheetName val="S_17"/>
      <sheetName val="S_18"/>
      <sheetName val="S_19"/>
      <sheetName val="S_20"/>
      <sheetName val="S_21"/>
      <sheetName val="S_22"/>
      <sheetName val="S_23"/>
      <sheetName val="S_24"/>
      <sheetName val="S_25"/>
      <sheetName val="S_26"/>
      <sheetName val="ErrorLog"/>
      <sheetName val="S_08 (2)"/>
      <sheetName val="T_AA_001"/>
      <sheetName val="T_AA_002"/>
      <sheetName val="T_AA_003"/>
      <sheetName val="T_AA_004"/>
      <sheetName val="CustomiseHelp"/>
      <sheetName val="ÐLists"/>
      <sheetName val="Audit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E2" t="str">
            <v>Aryzta</v>
          </cell>
          <cell r="AK2" t="str">
            <v>Yes</v>
          </cell>
        </row>
        <row r="3">
          <cell r="AK3" t="str">
            <v>No</v>
          </cell>
        </row>
      </sheetData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"/>
      <sheetName val="#REF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1. BS - Sch (WITH CIS EFFEC)"/>
      <sheetName val="cash flow (with working)"/>
      <sheetName val="BalanceSheet Final"/>
      <sheetName val="BALLACS"/>
      <sheetName val="Schedule Final"/>
      <sheetName val="last year"/>
      <sheetName val="Invst-OLd"/>
      <sheetName val="Abstract(New)"/>
      <sheetName val="GROUPING (CONSOL)"/>
      <sheetName val="TRIALCOMBIND (excl Sug)"/>
      <sheetName val="TB Detail"/>
      <sheetName val="TBKESARGANJ"/>
      <sheetName val="Provision of IT"/>
      <sheetName val="AUDITFEES"/>
      <sheetName val="FEESDETAILS"/>
      <sheetName val="Ratios"/>
      <sheetName val="GROUPIN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TS"/>
      <sheetName val="Tailoring"/>
      <sheetName val="OE Testing"/>
      <sheetName val="Testing"/>
      <sheetName val="Con Obj"/>
      <sheetName val="Con Act"/>
      <sheetName val="Tickmarks"/>
      <sheetName val="data"/>
      <sheetName val="Worksheet in 4315"/>
      <sheetName val="Fixed asset register"/>
      <sheetName val="XREF"/>
      <sheetName val="Office Furniture- client"/>
      <sheetName val="Office Equipment-client"/>
    </sheetNames>
    <sheetDataSet>
      <sheetData sheetId="0"/>
      <sheetData sheetId="1"/>
      <sheetData sheetId="2">
        <row r="1">
          <cell r="A1" t="str">
            <v>Revenue Business Cycle: Test of Controls</v>
          </cell>
        </row>
      </sheetData>
      <sheetData sheetId="3"/>
      <sheetData sheetId="4">
        <row r="1">
          <cell r="A1" t="str">
            <v>Revenue Business Cycle: Test of Controls</v>
          </cell>
        </row>
      </sheetData>
      <sheetData sheetId="5"/>
      <sheetData sheetId="6">
        <row r="1">
          <cell r="A1" t="str">
            <v>Revenue Business Cycle: Test of Controls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bs"/>
      <sheetName val="sch 5"/>
      <sheetName val=" BS-sch 1-4"/>
      <sheetName val="BS-sch 6 &amp; 7"/>
      <sheetName val="BS-sch 8 &amp; 9"/>
      <sheetName val="PL-sch 10, 11 &amp; 12"/>
      <sheetName val="PL-sch 13, 14 &amp; 15"/>
      <sheetName val="GP Margin"/>
      <sheetName val="TRIAL BALANCE"/>
      <sheetName val="Clause 12 (b)"/>
      <sheetName val="pl-excl"/>
      <sheetName val="pl-incl"/>
      <sheetName val="download"/>
      <sheetName val="Validation"/>
      <sheetName val="Sheet1"/>
      <sheetName val="working"/>
      <sheetName val="#REF"/>
      <sheetName val="TB WORLI"/>
      <sheetName val="TB APJ"/>
      <sheetName val="Mappings"/>
      <sheetName val="Mapping"/>
      <sheetName val=""/>
      <sheetName val="Measureme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1-11 (in Lacs)"/>
      <sheetName val="Notes 14(i)-(iv) (in Lacs)"/>
      <sheetName val="Notes 14(v)-(xi) (in Lac)"/>
      <sheetName val="Notes 1-11"/>
      <sheetName val="Notes 14(i)-(iv)"/>
      <sheetName val="Notes 14(v)-(xi)"/>
      <sheetName val="Sheet1"/>
      <sheetName val="Note 15"/>
      <sheetName val="DIRECTOR-REM"/>
      <sheetName val="WORKING "/>
      <sheetName val="CIF-08"/>
      <sheetName val="AUDIT PROVISION"/>
      <sheetName val="AUDITOR-NSB-SAB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1-11"/>
      <sheetName val="Notes 14(i)-(iv)"/>
      <sheetName val="Notes 14(v)-(xi)"/>
      <sheetName val="RP-FINA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"/>
      <sheetName val="actperd"/>
      <sheetName val="promcreditos"/>
      <sheetName val="promdedudas"/>
      <sheetName val="Capit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ed ac"/>
      <sheetName val="Graph (2)"/>
      <sheetName val="Graph"/>
      <sheetName val="Reasons"/>
      <sheetName val="exchequers"/>
      <sheetName val="tran"/>
      <sheetName val="working"/>
      <sheetName val="CGI"/>
      <sheetName val="PLBS"/>
      <sheetName val="BSC"/>
      <sheetName val="Variation with Budget"/>
      <sheetName val="PLC"/>
      <sheetName val="CFC"/>
      <sheetName val="3"/>
      <sheetName val="2"/>
      <sheetName val="1"/>
      <sheetName val="00-01"/>
      <sheetName val="Projected"/>
      <sheetName val="1stHalf00-01"/>
      <sheetName val="MD"/>
      <sheetName val="Audited"/>
      <sheetName val="Fo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s"/>
      <sheetName val="ACC costs"/>
      <sheetName val="Sheet1"/>
      <sheetName val="IO Activities"/>
    </sheetNames>
    <sheetDataSet>
      <sheetData sheetId="0" refreshError="1">
        <row r="4">
          <cell r="A4" t="str">
            <v>AUG</v>
          </cell>
          <cell r="C4">
            <v>0</v>
          </cell>
          <cell r="D4">
            <v>3</v>
          </cell>
          <cell r="E4">
            <v>0</v>
          </cell>
          <cell r="F4">
            <v>5</v>
          </cell>
          <cell r="G4">
            <v>12</v>
          </cell>
          <cell r="H4">
            <v>3</v>
          </cell>
        </row>
        <row r="5">
          <cell r="A5" t="str">
            <v>SEP</v>
          </cell>
          <cell r="C5">
            <v>1</v>
          </cell>
          <cell r="D5">
            <v>0</v>
          </cell>
          <cell r="E5">
            <v>0</v>
          </cell>
          <cell r="F5">
            <v>2</v>
          </cell>
          <cell r="G5">
            <v>16</v>
          </cell>
          <cell r="H5">
            <v>0</v>
          </cell>
        </row>
        <row r="6">
          <cell r="A6" t="str">
            <v>OCT</v>
          </cell>
          <cell r="C6">
            <v>0</v>
          </cell>
          <cell r="D6">
            <v>0</v>
          </cell>
          <cell r="E6">
            <v>0</v>
          </cell>
          <cell r="F6">
            <v>1</v>
          </cell>
          <cell r="G6">
            <v>6</v>
          </cell>
          <cell r="H6">
            <v>0</v>
          </cell>
        </row>
        <row r="7">
          <cell r="A7" t="str">
            <v>NOV</v>
          </cell>
          <cell r="C7">
            <v>1</v>
          </cell>
          <cell r="D7">
            <v>2</v>
          </cell>
          <cell r="E7">
            <v>0</v>
          </cell>
          <cell r="F7">
            <v>5</v>
          </cell>
          <cell r="G7">
            <v>9</v>
          </cell>
          <cell r="H7">
            <v>0</v>
          </cell>
        </row>
        <row r="8">
          <cell r="A8" t="str">
            <v>DEC</v>
          </cell>
          <cell r="C8">
            <v>0</v>
          </cell>
          <cell r="D8">
            <v>4</v>
          </cell>
          <cell r="E8">
            <v>0</v>
          </cell>
          <cell r="F8">
            <v>2</v>
          </cell>
          <cell r="G8">
            <v>8</v>
          </cell>
          <cell r="H8">
            <v>0</v>
          </cell>
        </row>
        <row r="9">
          <cell r="A9" t="str">
            <v>Jan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9</v>
          </cell>
          <cell r="H9">
            <v>1</v>
          </cell>
        </row>
        <row r="10">
          <cell r="A10" t="str">
            <v>Feb</v>
          </cell>
          <cell r="C10">
            <v>3</v>
          </cell>
          <cell r="D10">
            <v>0</v>
          </cell>
          <cell r="E10">
            <v>0</v>
          </cell>
          <cell r="F10">
            <v>1</v>
          </cell>
          <cell r="G10">
            <v>14</v>
          </cell>
          <cell r="H10">
            <v>3</v>
          </cell>
        </row>
        <row r="11">
          <cell r="A11" t="str">
            <v>Mar</v>
          </cell>
          <cell r="C11">
            <v>0</v>
          </cell>
          <cell r="D11">
            <v>3</v>
          </cell>
          <cell r="E11">
            <v>2</v>
          </cell>
          <cell r="F11">
            <v>4</v>
          </cell>
          <cell r="G11">
            <v>17</v>
          </cell>
          <cell r="H11">
            <v>1</v>
          </cell>
        </row>
        <row r="12">
          <cell r="A12" t="str">
            <v>Apr</v>
          </cell>
          <cell r="C12">
            <v>0</v>
          </cell>
          <cell r="D12">
            <v>2</v>
          </cell>
          <cell r="E12">
            <v>1</v>
          </cell>
          <cell r="F12">
            <v>3</v>
          </cell>
          <cell r="G12">
            <v>16</v>
          </cell>
          <cell r="H12">
            <v>0</v>
          </cell>
        </row>
        <row r="13">
          <cell r="A13" t="str">
            <v>May</v>
          </cell>
          <cell r="C13">
            <v>1</v>
          </cell>
          <cell r="D13">
            <v>4</v>
          </cell>
          <cell r="E13">
            <v>0</v>
          </cell>
          <cell r="F13">
            <v>2</v>
          </cell>
          <cell r="G13">
            <v>12</v>
          </cell>
          <cell r="H13">
            <v>5</v>
          </cell>
        </row>
        <row r="14">
          <cell r="A14" t="str">
            <v>June</v>
          </cell>
          <cell r="C14">
            <v>2</v>
          </cell>
          <cell r="D14">
            <v>1</v>
          </cell>
          <cell r="E14">
            <v>0</v>
          </cell>
          <cell r="F14">
            <v>0</v>
          </cell>
          <cell r="G14">
            <v>11</v>
          </cell>
          <cell r="H14">
            <v>2</v>
          </cell>
        </row>
        <row r="15">
          <cell r="A15" t="str">
            <v>July</v>
          </cell>
          <cell r="C15">
            <v>0</v>
          </cell>
          <cell r="D15">
            <v>2</v>
          </cell>
          <cell r="E15">
            <v>0</v>
          </cell>
          <cell r="F15">
            <v>1</v>
          </cell>
          <cell r="G15">
            <v>15</v>
          </cell>
          <cell r="H15">
            <v>1</v>
          </cell>
        </row>
        <row r="16">
          <cell r="A16" t="str">
            <v>Aug</v>
          </cell>
          <cell r="C16">
            <v>3</v>
          </cell>
          <cell r="D16">
            <v>1</v>
          </cell>
          <cell r="E16">
            <v>1</v>
          </cell>
          <cell r="F16">
            <v>2</v>
          </cell>
          <cell r="G16">
            <v>16</v>
          </cell>
          <cell r="H16">
            <v>6</v>
          </cell>
        </row>
        <row r="20">
          <cell r="C20">
            <v>11</v>
          </cell>
          <cell r="D20">
            <v>22</v>
          </cell>
          <cell r="E20">
            <v>4</v>
          </cell>
          <cell r="F20">
            <v>30</v>
          </cell>
          <cell r="G20">
            <v>161</v>
          </cell>
          <cell r="H20">
            <v>22</v>
          </cell>
          <cell r="I20">
            <v>22</v>
          </cell>
          <cell r="J20">
            <v>13</v>
          </cell>
          <cell r="K20">
            <v>2</v>
          </cell>
        </row>
      </sheetData>
      <sheetData sheetId="1" refreshError="1">
        <row r="2">
          <cell r="B2">
            <v>22628.03</v>
          </cell>
        </row>
        <row r="3">
          <cell r="B3">
            <v>48964.24</v>
          </cell>
        </row>
        <row r="4">
          <cell r="B4">
            <v>25437.99</v>
          </cell>
        </row>
        <row r="5">
          <cell r="B5">
            <v>33606.009999999995</v>
          </cell>
        </row>
        <row r="6">
          <cell r="B6">
            <v>86675.76999999999</v>
          </cell>
        </row>
        <row r="7">
          <cell r="B7">
            <v>54881.599999999991</v>
          </cell>
        </row>
        <row r="8">
          <cell r="B8">
            <v>45365.606666666659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ed ac"/>
      <sheetName val="Graph (2)"/>
      <sheetName val="Graph"/>
      <sheetName val="Reasons"/>
      <sheetName val="exchequers"/>
      <sheetName val="tran"/>
      <sheetName val="working"/>
      <sheetName val="CGI"/>
      <sheetName val="PLBS"/>
      <sheetName val="BSC"/>
      <sheetName val="Variation with Budget"/>
      <sheetName val="PLC"/>
      <sheetName val="CFC"/>
      <sheetName val="3"/>
      <sheetName val="2"/>
      <sheetName val="1"/>
      <sheetName val="00-01"/>
      <sheetName val="Projected"/>
      <sheetName val="1stHalf00-01"/>
      <sheetName val="MD"/>
      <sheetName val="Audited"/>
      <sheetName val="Fo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ten NEW"/>
      <sheetName val="top ten OLD"/>
      <sheetName val="Green Coffee  Graphs"/>
      <sheetName val="Green Coffee  Graphs (2)"/>
      <sheetName val="Green Bean Coffee Prices"/>
      <sheetName val="Section 6.2"/>
      <sheetName val="Projected IS"/>
      <sheetName val="Page 18_Table 2"/>
      <sheetName val="Customer by Customer &amp; Channel"/>
      <sheetName val="Page 10,24,49_fig 1,9,33"/>
      <sheetName val="Page 10,24,48_fig 2,10,34"/>
      <sheetName val="Page 12_fig 4"/>
      <sheetName val="Page 12_fig 5"/>
      <sheetName val="Page 12, 65_fig 5, 40"/>
      <sheetName val="Page 19_Fig 6"/>
      <sheetName val="Page 21_Table 3"/>
      <sheetName val="Page 20_Fig 7"/>
      <sheetName val="Page 21_fig 9"/>
      <sheetName val="Page 23_Fig 8"/>
      <sheetName val="Page 25,52_Fig 12,35"/>
      <sheetName val="Page 25,52_Fig 12b,35"/>
      <sheetName val="Page 30_fig 14 "/>
      <sheetName val="Page 33_fig 15"/>
      <sheetName val="Page 33_fig 16"/>
      <sheetName val="Page 34_fig 17"/>
      <sheetName val="Page 32,57_Fig 18,38"/>
      <sheetName val="Page 42_Fig 19a"/>
      <sheetName val="Page 42_fig 19b"/>
      <sheetName val="Page 42_Fig 20a"/>
      <sheetName val="Page 43_Fig 20b"/>
      <sheetName val="Page 40_Fig 22a"/>
      <sheetName val="Page 40_Fig 23b"/>
      <sheetName val="Page 40_Fig 24"/>
      <sheetName val="Page 40_Fig 25"/>
      <sheetName val="Page 42_Fig 25"/>
      <sheetName val="Page 42_Fig 26"/>
      <sheetName val="Page 43_Fig 28"/>
      <sheetName val="Page 43_Fig 29"/>
      <sheetName val="Page 48_Fig 32"/>
      <sheetName val="Page 56_Fig 36a"/>
      <sheetName val="Page 56_Fig 36b"/>
      <sheetName val="Page 57_Fig 37a"/>
      <sheetName val="Page 57_Fig 37b"/>
      <sheetName val="Page 58_Fig 39a"/>
      <sheetName val="Page 58_Fig 39b"/>
      <sheetName val="Page 63_Fig 40"/>
      <sheetName val="Page 61_Fig 41"/>
      <sheetName val="Page 62_Fig 42a"/>
      <sheetName val="Page 62_Fig 42b"/>
      <sheetName val="Balance Sheet"/>
      <sheetName val="Page 69_Fig 45"/>
      <sheetName val="Management Bio p. 31, 78"/>
      <sheetName val="Total Green Purchases"/>
      <sheetName val="Top 5 New Customers"/>
      <sheetName val="Distribution By Channel"/>
      <sheetName val="Total Pounds By Segment"/>
      <sheetName val="Table 8 Income Statement"/>
      <sheetName val="Table 9 Net Working Capita"/>
      <sheetName val="Table 10 Days Payable"/>
      <sheetName val="Figure 24 Cap Exp"/>
      <sheetName val="Table 11 - Adjustments to EBITD"/>
      <sheetName val="Table 12 - Gross Profit"/>
      <sheetName val="Table 13 - Selling, General Adm"/>
      <sheetName val="Intangible Asset Amort"/>
      <sheetName val="Table 1&amp;7"/>
      <sheetName val="Figure 8"/>
      <sheetName val="EBITDA Growth&amp;Marg Exp"/>
      <sheetName val="Customer Service"/>
      <sheetName val="top_ten_NEW"/>
      <sheetName val="top_ten_OLD"/>
      <sheetName val="Green_Coffee__Graphs"/>
      <sheetName val="Green_Coffee__Graphs_(2)"/>
      <sheetName val="Green_Bean_Coffee_Prices"/>
      <sheetName val="Section_6_2"/>
      <sheetName val="Projected_IS"/>
      <sheetName val="Page_18_Table_2"/>
      <sheetName val="Customer_by_Customer_&amp;_Channel"/>
      <sheetName val="Page_10,24,49_fig_1,9,33"/>
      <sheetName val="Page_10,24,48_fig_2,10,34"/>
      <sheetName val="Page_12_fig_4"/>
      <sheetName val="Page_12_fig_5"/>
      <sheetName val="Page_12,_65_fig_5,_40"/>
      <sheetName val="Page_19_Fig_6"/>
      <sheetName val="Page_21_Table_3"/>
      <sheetName val="Page_20_Fig_7"/>
      <sheetName val="Page_21_fig_9"/>
      <sheetName val="Page_23_Fig_8"/>
      <sheetName val="Page_25,52_Fig_12,35"/>
      <sheetName val="Page_25,52_Fig_12b,35"/>
      <sheetName val="Page_30_fig_14_"/>
      <sheetName val="Page_33_fig_15"/>
      <sheetName val="Page_33_fig_16"/>
      <sheetName val="Page_34_fig_17"/>
      <sheetName val="Page_32,57_Fig_18,38"/>
      <sheetName val="Page_42_Fig_19a"/>
      <sheetName val="Page_42_fig_19b"/>
      <sheetName val="Page_42_Fig_20a"/>
      <sheetName val="Page_43_Fig_20b"/>
      <sheetName val="Page_40_Fig_22a"/>
      <sheetName val="Page_40_Fig_23b"/>
      <sheetName val="Page_40_Fig_24"/>
      <sheetName val="Page_40_Fig_25"/>
      <sheetName val="Page_42_Fig_25"/>
      <sheetName val="Page_42_Fig_26"/>
      <sheetName val="Page_43_Fig_28"/>
      <sheetName val="Page_43_Fig_29"/>
      <sheetName val="Page_48_Fig_32"/>
      <sheetName val="Page_56_Fig_36a"/>
      <sheetName val="Page_56_Fig_36b"/>
      <sheetName val="Page_57_Fig_37a"/>
      <sheetName val="Page_57_Fig_37b"/>
      <sheetName val="Page_58_Fig_39a"/>
      <sheetName val="Page_58_Fig_39b"/>
      <sheetName val="Page_63_Fig_40"/>
      <sheetName val="Page_61_Fig_41"/>
      <sheetName val="Page_62_Fig_42a"/>
      <sheetName val="Page_62_Fig_42b"/>
      <sheetName val="Balance_Sheet"/>
      <sheetName val="Page_69_Fig_45"/>
      <sheetName val="Management_Bio_p__31,_78"/>
      <sheetName val="Total_Green_Purchases"/>
      <sheetName val="Top_5_New_Customers"/>
      <sheetName val="Distribution_By_Channel"/>
      <sheetName val="Total_Pounds_By_Segment"/>
      <sheetName val="Table_8_Income_Statement"/>
      <sheetName val="Table_9_Net_Working_Capita"/>
      <sheetName val="Table_10_Days_Payable"/>
      <sheetName val="Figure_24_Cap_Exp"/>
      <sheetName val="Table_11_-_Adjustments_to_EBITD"/>
      <sheetName val="Table_12_-_Gross_Profit"/>
      <sheetName val="Table_13_-_Selling,_General_Adm"/>
      <sheetName val="Intangible_Asset_Amort"/>
      <sheetName val="Table_1&amp;7"/>
      <sheetName val="Figure_8"/>
      <sheetName val="EBITDA_Growth&amp;Marg_Exp"/>
      <sheetName val="Customer_Serv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EOC</v>
          </cell>
          <cell r="B2">
            <v>41.536638884303152</v>
          </cell>
        </row>
        <row r="3">
          <cell r="A3" t="str">
            <v>Starbucks</v>
          </cell>
          <cell r="B3">
            <v>18.721334246523917</v>
          </cell>
        </row>
        <row r="4">
          <cell r="A4" t="str">
            <v>All Others</v>
          </cell>
          <cell r="B4">
            <v>20.778715568246952</v>
          </cell>
        </row>
        <row r="5">
          <cell r="A5" t="str">
            <v>Private Label</v>
          </cell>
          <cell r="B5">
            <v>12.459754718806447</v>
          </cell>
        </row>
        <row r="6">
          <cell r="A6" t="str">
            <v>Folgers WB</v>
          </cell>
          <cell r="B6">
            <v>6.5035565821195291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iec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9"/>
  <sheetViews>
    <sheetView workbookViewId="0">
      <selection activeCell="B9" sqref="B9"/>
    </sheetView>
  </sheetViews>
  <sheetFormatPr defaultRowHeight="15" x14ac:dyDescent="0.25"/>
  <cols>
    <col min="2" max="2" width="60.85546875" bestFit="1" customWidth="1"/>
  </cols>
  <sheetData>
    <row r="3" spans="1:2" x14ac:dyDescent="0.25">
      <c r="A3" s="131">
        <v>1</v>
      </c>
      <c r="B3" t="s">
        <v>260</v>
      </c>
    </row>
    <row r="4" spans="1:2" x14ac:dyDescent="0.25">
      <c r="A4" s="131">
        <v>2</v>
      </c>
      <c r="B4" t="s">
        <v>261</v>
      </c>
    </row>
    <row r="5" spans="1:2" x14ac:dyDescent="0.25">
      <c r="A5" s="131">
        <v>3</v>
      </c>
      <c r="B5" t="s">
        <v>262</v>
      </c>
    </row>
    <row r="6" spans="1:2" x14ac:dyDescent="0.25">
      <c r="A6" s="131">
        <v>4</v>
      </c>
      <c r="B6" t="s">
        <v>263</v>
      </c>
    </row>
    <row r="7" spans="1:2" x14ac:dyDescent="0.25">
      <c r="A7" s="131">
        <v>5</v>
      </c>
      <c r="B7" t="s">
        <v>335</v>
      </c>
    </row>
    <row r="8" spans="1:2" x14ac:dyDescent="0.25">
      <c r="A8" s="131">
        <v>6</v>
      </c>
      <c r="B8" t="s">
        <v>264</v>
      </c>
    </row>
    <row r="9" spans="1:2" x14ac:dyDescent="0.25">
      <c r="A9" s="131">
        <v>7</v>
      </c>
      <c r="B9" t="s">
        <v>334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J35"/>
  <sheetViews>
    <sheetView showGridLines="0" workbookViewId="0">
      <selection activeCell="C5" sqref="C5:I8"/>
    </sheetView>
  </sheetViews>
  <sheetFormatPr defaultRowHeight="15" x14ac:dyDescent="0.25"/>
  <cols>
    <col min="1" max="1" width="5.5703125" style="88" customWidth="1"/>
    <col min="2" max="2" width="37" style="158" bestFit="1" customWidth="1"/>
    <col min="3" max="3" width="8.28515625" style="88" bestFit="1" customWidth="1"/>
    <col min="4" max="9" width="7.7109375" style="87" bestFit="1" customWidth="1"/>
    <col min="10" max="10" width="14.42578125" style="87" customWidth="1"/>
    <col min="11" max="16384" width="9.140625" style="88"/>
  </cols>
  <sheetData>
    <row r="2" spans="2:10" ht="15.75" x14ac:dyDescent="0.25">
      <c r="B2" s="164" t="str">
        <f>Historicals!B2</f>
        <v>Al-Saqib Exports Private Limited</v>
      </c>
      <c r="C2" s="82"/>
      <c r="D2" s="82"/>
      <c r="E2" s="82"/>
      <c r="F2" s="82"/>
      <c r="G2" s="82"/>
      <c r="H2" s="82"/>
      <c r="I2" s="82"/>
    </row>
    <row r="3" spans="2:10" x14ac:dyDescent="0.25">
      <c r="D3" s="88"/>
      <c r="E3" s="88"/>
      <c r="F3" s="88"/>
      <c r="G3" s="88"/>
      <c r="H3" s="88"/>
      <c r="I3" s="88"/>
    </row>
    <row r="4" spans="2:10" x14ac:dyDescent="0.25">
      <c r="B4" s="163" t="s">
        <v>127</v>
      </c>
      <c r="C4" s="92" t="s">
        <v>104</v>
      </c>
      <c r="D4" s="92" t="s">
        <v>105</v>
      </c>
      <c r="E4" s="92" t="s">
        <v>106</v>
      </c>
      <c r="F4" s="92" t="s">
        <v>107</v>
      </c>
      <c r="G4" s="92" t="s">
        <v>108</v>
      </c>
      <c r="H4" s="92" t="s">
        <v>109</v>
      </c>
      <c r="I4" s="92" t="s">
        <v>110</v>
      </c>
    </row>
    <row r="5" spans="2:10" x14ac:dyDescent="0.25">
      <c r="B5" s="158" t="s">
        <v>210</v>
      </c>
      <c r="C5" s="87">
        <f>SUM('Projected BS'!C29:C33)/SUM('Projected BS'!C15:C17)</f>
        <v>4.5875484336961083</v>
      </c>
      <c r="D5" s="87">
        <f>SUM('Projected BS'!D29:D33)/SUM('Projected BS'!D15:D17)</f>
        <v>6.0420268443437903</v>
      </c>
      <c r="E5" s="87">
        <f>SUM('Projected BS'!E29:E33)/SUM('Projected BS'!E15:E17)</f>
        <v>6.4440941954194768</v>
      </c>
      <c r="F5" s="87">
        <f>SUM('Projected BS'!F29:F33)/SUM('Projected BS'!F15:F17)</f>
        <v>6.6277206466959715</v>
      </c>
      <c r="G5" s="87">
        <f>SUM('Projected BS'!G29:G33)/SUM('Projected BS'!G15:G17)</f>
        <v>6.8443619078143652</v>
      </c>
      <c r="H5" s="87">
        <f>SUM('Projected BS'!H29:H33)/SUM('Projected BS'!H15:H17)</f>
        <v>7.2347375119679622</v>
      </c>
      <c r="I5" s="87">
        <f>SUM('Projected BS'!I29:I33)/SUM('Projected BS'!I15:I17)</f>
        <v>15.343167116042766</v>
      </c>
      <c r="J5" s="88"/>
    </row>
    <row r="6" spans="2:10" x14ac:dyDescent="0.25">
      <c r="B6" s="158" t="s">
        <v>211</v>
      </c>
      <c r="C6" s="87">
        <f>('Projected BS'!C13+'Projected BS'!C15)/'Projected BS'!C8</f>
        <v>1.1766532663299507</v>
      </c>
      <c r="D6" s="87">
        <f>('Projected BS'!D13+'Projected BS'!D15)/'Projected BS'!D8</f>
        <v>0.90378527368421524</v>
      </c>
      <c r="E6" s="87">
        <f>('Projected BS'!E13+'Projected BS'!E15)/'Projected BS'!E8</f>
        <v>0.67820315033934941</v>
      </c>
      <c r="F6" s="87">
        <f>('Projected BS'!F13+'Projected BS'!F15)/'Projected BS'!F8</f>
        <v>0.50583011520222065</v>
      </c>
      <c r="G6" s="87">
        <f>('Projected BS'!G13+'Projected BS'!G15)/'Projected BS'!G8</f>
        <v>0.36626861290091944</v>
      </c>
      <c r="H6" s="87">
        <f>('Projected BS'!H13+'Projected BS'!H15)/'Projected BS'!H8</f>
        <v>0.25259240235725311</v>
      </c>
      <c r="I6" s="87">
        <f>('Projected BS'!I13+'Projected BS'!I15)/'Projected BS'!I8</f>
        <v>0.16200064343108697</v>
      </c>
      <c r="J6" s="88"/>
    </row>
    <row r="7" spans="2:10" x14ac:dyDescent="0.25">
      <c r="B7" s="158" t="s">
        <v>212</v>
      </c>
      <c r="C7" s="87">
        <f>('Projected BS'!C13+'Projected BS'!C18)/'Projected BS'!C8</f>
        <v>1.4232614222866693</v>
      </c>
      <c r="D7" s="87">
        <f>('Projected BS'!D13+'Projected BS'!D18)/'Projected BS'!D8</f>
        <v>1.0169193638842224</v>
      </c>
      <c r="E7" s="87">
        <f>('Projected BS'!E13+'Projected BS'!E18)/'Projected BS'!E8</f>
        <v>0.77778269248971366</v>
      </c>
      <c r="F7" s="87">
        <f>('Projected BS'!F13+'Projected BS'!F18)/'Projected BS'!F8</f>
        <v>0.59400715825992678</v>
      </c>
      <c r="G7" s="87">
        <f>('Projected BS'!G13+'Projected BS'!G18)/'Projected BS'!G8</f>
        <v>0.44482674743590517</v>
      </c>
      <c r="H7" s="87">
        <f>('Projected BS'!H13+'Projected BS'!H18)/'Projected BS'!H8</f>
        <v>0.32298671113614846</v>
      </c>
      <c r="I7" s="87">
        <f>('Projected BS'!I13+'Projected BS'!I18)/'Projected BS'!I8</f>
        <v>0.22542190310938942</v>
      </c>
      <c r="J7" s="88"/>
    </row>
    <row r="8" spans="2:10" x14ac:dyDescent="0.25">
      <c r="B8" s="158" t="s">
        <v>353</v>
      </c>
      <c r="C8" s="97">
        <f>'Projected P&amp;L'!C27/'Projected BS'!C8</f>
        <v>0.12965646082290058</v>
      </c>
      <c r="D8" s="97">
        <f>'Projected P&amp;L'!D27/'Projected BS'!D8</f>
        <v>0.12466163491126819</v>
      </c>
      <c r="E8" s="97">
        <f>'Projected P&amp;L'!E27/'Projected BS'!E8</f>
        <v>0.11980958193661996</v>
      </c>
      <c r="F8" s="97">
        <f>'Projected P&amp;L'!F27/'Projected BS'!F8</f>
        <v>0.1145064422513659</v>
      </c>
      <c r="G8" s="97">
        <f>'Projected P&amp;L'!G27/'Projected BS'!G8</f>
        <v>0.10908631304891346</v>
      </c>
      <c r="H8" s="97">
        <f>'Projected P&amp;L'!H27/'Projected BS'!H8</f>
        <v>0.10392081996874165</v>
      </c>
      <c r="I8" s="97">
        <f>'Projected P&amp;L'!I27/'Projected BS'!I8</f>
        <v>9.9057000793840236E-2</v>
      </c>
      <c r="J8" s="88"/>
    </row>
    <row r="9" spans="2:10" ht="18" customHeight="1" x14ac:dyDescent="0.25">
      <c r="D9" s="88"/>
      <c r="E9" s="88"/>
      <c r="F9" s="88"/>
      <c r="G9" s="88"/>
      <c r="H9" s="88"/>
      <c r="I9" s="88"/>
      <c r="J9" s="88"/>
    </row>
    <row r="10" spans="2:10" hidden="1" x14ac:dyDescent="0.25">
      <c r="D10" s="88"/>
      <c r="E10" s="88"/>
      <c r="F10" s="88"/>
      <c r="G10" s="88"/>
      <c r="H10" s="88"/>
      <c r="I10" s="88"/>
      <c r="J10" s="88"/>
    </row>
    <row r="11" spans="2:10" ht="18" hidden="1" customHeight="1" x14ac:dyDescent="0.25">
      <c r="B11" s="187" t="s">
        <v>213</v>
      </c>
      <c r="C11" s="187"/>
      <c r="D11" s="187"/>
      <c r="E11" s="187"/>
      <c r="F11" s="187"/>
      <c r="G11" s="187"/>
      <c r="H11" s="187"/>
      <c r="I11" s="187"/>
      <c r="J11" s="88"/>
    </row>
    <row r="12" spans="2:10" hidden="1" x14ac:dyDescent="0.25">
      <c r="D12" s="88"/>
      <c r="E12" s="88"/>
      <c r="F12" s="88"/>
      <c r="G12" s="88"/>
      <c r="H12" s="88"/>
      <c r="I12" s="88"/>
      <c r="J12" s="88"/>
    </row>
    <row r="13" spans="2:10" hidden="1" x14ac:dyDescent="0.25">
      <c r="B13" s="163" t="s">
        <v>127</v>
      </c>
      <c r="C13" s="92" t="s">
        <v>104</v>
      </c>
      <c r="D13" s="92" t="s">
        <v>105</v>
      </c>
      <c r="E13" s="92" t="s">
        <v>106</v>
      </c>
      <c r="F13" s="92" t="s">
        <v>107</v>
      </c>
      <c r="G13" s="92" t="s">
        <v>108</v>
      </c>
      <c r="H13" s="92" t="s">
        <v>109</v>
      </c>
      <c r="I13" s="92" t="s">
        <v>110</v>
      </c>
      <c r="J13" s="88"/>
    </row>
    <row r="14" spans="2:10" hidden="1" x14ac:dyDescent="0.25">
      <c r="B14" s="165" t="s">
        <v>6</v>
      </c>
      <c r="D14" s="88"/>
      <c r="E14" s="88"/>
      <c r="F14" s="88"/>
      <c r="G14" s="88"/>
      <c r="H14" s="88"/>
      <c r="I14" s="88"/>
      <c r="J14" s="88"/>
    </row>
    <row r="15" spans="2:10" hidden="1" x14ac:dyDescent="0.25">
      <c r="B15" s="158" t="s">
        <v>357</v>
      </c>
      <c r="C15" s="87" t="e">
        <f>'Projected BS'!#REF!</f>
        <v>#REF!</v>
      </c>
      <c r="D15" s="87" t="e">
        <f>'Projected BS'!#REF!</f>
        <v>#REF!</v>
      </c>
      <c r="E15" s="87" t="e">
        <f>'Projected BS'!#REF!</f>
        <v>#REF!</v>
      </c>
      <c r="F15" s="87" t="e">
        <f>'Projected BS'!#REF!</f>
        <v>#REF!</v>
      </c>
      <c r="G15" s="87" t="e">
        <f>'Projected BS'!#REF!</f>
        <v>#REF!</v>
      </c>
      <c r="H15" s="87" t="e">
        <f>'Projected BS'!#REF!</f>
        <v>#REF!</v>
      </c>
      <c r="I15" s="87" t="e">
        <f>'Projected BS'!#REF!</f>
        <v>#REF!</v>
      </c>
      <c r="J15" s="88"/>
    </row>
    <row r="16" spans="2:10" hidden="1" x14ac:dyDescent="0.25">
      <c r="B16" s="158" t="s">
        <v>214</v>
      </c>
      <c r="C16" s="87" t="e">
        <f>'Projected BS'!#REF!</f>
        <v>#REF!</v>
      </c>
      <c r="D16" s="87" t="e">
        <f>'Projected BS'!#REF!</f>
        <v>#REF!</v>
      </c>
      <c r="E16" s="87" t="e">
        <f>'Projected BS'!#REF!</f>
        <v>#REF!</v>
      </c>
      <c r="F16" s="87" t="e">
        <f>'Projected BS'!#REF!</f>
        <v>#REF!</v>
      </c>
      <c r="G16" s="87" t="e">
        <f>'Projected BS'!#REF!</f>
        <v>#REF!</v>
      </c>
      <c r="H16" s="87" t="e">
        <f>'Projected BS'!#REF!</f>
        <v>#REF!</v>
      </c>
      <c r="I16" s="87" t="e">
        <f>'Projected BS'!#REF!</f>
        <v>#REF!</v>
      </c>
      <c r="J16" s="88"/>
    </row>
    <row r="17" spans="2:9" hidden="1" x14ac:dyDescent="0.25">
      <c r="B17" s="158" t="s">
        <v>158</v>
      </c>
      <c r="C17" s="87" t="e">
        <f>'Projected BS'!#REF!</f>
        <v>#REF!</v>
      </c>
      <c r="D17" s="87" t="e">
        <f>'Projected BS'!#REF!</f>
        <v>#REF!</v>
      </c>
      <c r="E17" s="87" t="e">
        <f>'Projected BS'!#REF!</f>
        <v>#REF!</v>
      </c>
      <c r="F17" s="87" t="e">
        <f>'Projected BS'!#REF!</f>
        <v>#REF!</v>
      </c>
      <c r="G17" s="87" t="e">
        <f>'Projected BS'!#REF!</f>
        <v>#REF!</v>
      </c>
      <c r="H17" s="87" t="e">
        <f>'Projected BS'!#REF!</f>
        <v>#REF!</v>
      </c>
      <c r="I17" s="87" t="e">
        <f>'Projected BS'!#REF!</f>
        <v>#REF!</v>
      </c>
    </row>
    <row r="18" spans="2:9" hidden="1" x14ac:dyDescent="0.25">
      <c r="B18" s="158" t="s">
        <v>159</v>
      </c>
      <c r="C18" s="87" t="e">
        <f>'Projected BS'!#REF!</f>
        <v>#REF!</v>
      </c>
      <c r="D18" s="87" t="e">
        <f>'Projected BS'!#REF!</f>
        <v>#REF!</v>
      </c>
      <c r="E18" s="87" t="e">
        <f>'Projected BS'!#REF!</f>
        <v>#REF!</v>
      </c>
      <c r="F18" s="87" t="e">
        <f>'Projected BS'!#REF!</f>
        <v>#REF!</v>
      </c>
      <c r="G18" s="87" t="e">
        <f>'Projected BS'!#REF!</f>
        <v>#REF!</v>
      </c>
      <c r="H18" s="87" t="e">
        <f>'Projected BS'!#REF!</f>
        <v>#REF!</v>
      </c>
      <c r="I18" s="87" t="e">
        <f>'Projected BS'!#REF!</f>
        <v>#REF!</v>
      </c>
    </row>
    <row r="19" spans="2:9" hidden="1" x14ac:dyDescent="0.25">
      <c r="B19" s="158" t="s">
        <v>160</v>
      </c>
      <c r="C19" s="87">
        <f>'Projected BS'!C30</f>
        <v>2857.2495502499996</v>
      </c>
      <c r="D19" s="87">
        <f>'Projected BS'!D30</f>
        <v>0</v>
      </c>
      <c r="E19" s="87">
        <f>'Projected BS'!E30</f>
        <v>0</v>
      </c>
      <c r="F19" s="87">
        <f>'Projected BS'!F30</f>
        <v>0</v>
      </c>
      <c r="G19" s="87">
        <f>'Projected BS'!G30</f>
        <v>0</v>
      </c>
      <c r="H19" s="87">
        <f>'Projected BS'!H30</f>
        <v>0</v>
      </c>
      <c r="I19" s="87">
        <f>'Projected BS'!I30</f>
        <v>0</v>
      </c>
    </row>
    <row r="20" spans="2:9" hidden="1" x14ac:dyDescent="0.25">
      <c r="B20" s="158" t="s">
        <v>162</v>
      </c>
      <c r="C20" s="87">
        <f>'Projected BS'!C33</f>
        <v>88.242793300000002</v>
      </c>
      <c r="D20" s="87">
        <f>'Projected BS'!D33</f>
        <v>88.242793300000002</v>
      </c>
      <c r="E20" s="87">
        <f>'Projected BS'!E33</f>
        <v>88.242793300000002</v>
      </c>
      <c r="F20" s="87">
        <f>'Projected BS'!F33</f>
        <v>88.242793300000002</v>
      </c>
      <c r="G20" s="87">
        <f>'Projected BS'!G33</f>
        <v>88.242793300000002</v>
      </c>
      <c r="H20" s="87">
        <f>'Projected BS'!H33</f>
        <v>88.242793300000002</v>
      </c>
      <c r="I20" s="87">
        <f>'Projected BS'!I33</f>
        <v>88.242793300000002</v>
      </c>
    </row>
    <row r="21" spans="2:9" hidden="1" x14ac:dyDescent="0.25">
      <c r="B21" s="166" t="s">
        <v>137</v>
      </c>
      <c r="C21" s="114" t="e">
        <f>SUM(C15:C20)</f>
        <v>#REF!</v>
      </c>
      <c r="D21" s="114" t="e">
        <f t="shared" ref="D21:I21" si="0">SUM(D15:D20)</f>
        <v>#REF!</v>
      </c>
      <c r="E21" s="114" t="e">
        <f t="shared" si="0"/>
        <v>#REF!</v>
      </c>
      <c r="F21" s="114" t="e">
        <f t="shared" si="0"/>
        <v>#REF!</v>
      </c>
      <c r="G21" s="114" t="e">
        <f t="shared" si="0"/>
        <v>#REF!</v>
      </c>
      <c r="H21" s="114" t="e">
        <f t="shared" si="0"/>
        <v>#REF!</v>
      </c>
      <c r="I21" s="114" t="e">
        <f t="shared" si="0"/>
        <v>#REF!</v>
      </c>
    </row>
    <row r="22" spans="2:9" hidden="1" x14ac:dyDescent="0.25"/>
    <row r="23" spans="2:9" hidden="1" x14ac:dyDescent="0.25">
      <c r="B23" s="165" t="s">
        <v>23</v>
      </c>
    </row>
    <row r="24" spans="2:9" hidden="1" x14ac:dyDescent="0.25">
      <c r="B24" s="158" t="s">
        <v>166</v>
      </c>
      <c r="C24" s="87">
        <f>'Projected BS'!C16</f>
        <v>405.78017920000002</v>
      </c>
      <c r="D24" s="87">
        <f>'Projected BS'!D16</f>
        <v>0</v>
      </c>
      <c r="E24" s="87">
        <f>'Projected BS'!E16</f>
        <v>0</v>
      </c>
      <c r="F24" s="87">
        <f>'Projected BS'!F16</f>
        <v>0</v>
      </c>
      <c r="G24" s="87">
        <f>'Projected BS'!G16</f>
        <v>0</v>
      </c>
      <c r="H24" s="87">
        <f>'Projected BS'!H16</f>
        <v>0</v>
      </c>
      <c r="I24" s="87">
        <f>'Projected BS'!I16</f>
        <v>0</v>
      </c>
    </row>
    <row r="25" spans="2:9" hidden="1" x14ac:dyDescent="0.25">
      <c r="B25" s="158" t="s">
        <v>17</v>
      </c>
      <c r="C25" s="87">
        <f>'Projected BS'!C17</f>
        <v>446.86951840000006</v>
      </c>
      <c r="D25" s="87">
        <f>'Projected BS'!D17</f>
        <v>446.86951840000006</v>
      </c>
      <c r="E25" s="87">
        <f>'Projected BS'!E17</f>
        <v>446.86951840000006</v>
      </c>
      <c r="F25" s="87">
        <f>'Projected BS'!F17</f>
        <v>446.86951840000006</v>
      </c>
      <c r="G25" s="87">
        <f>'Projected BS'!G17</f>
        <v>446.86951840000006</v>
      </c>
      <c r="H25" s="87">
        <f>'Projected BS'!H17</f>
        <v>446.86951840000006</v>
      </c>
      <c r="I25" s="87">
        <f>'Projected BS'!I17</f>
        <v>446.86951840000006</v>
      </c>
    </row>
    <row r="26" spans="2:9" hidden="1" x14ac:dyDescent="0.25">
      <c r="B26" s="166" t="s">
        <v>137</v>
      </c>
      <c r="C26" s="114">
        <f>SUM(C24:C25)</f>
        <v>852.64969760000008</v>
      </c>
      <c r="D26" s="114">
        <f t="shared" ref="D26:I26" si="1">SUM(D24:D25)</f>
        <v>446.86951840000006</v>
      </c>
      <c r="E26" s="114">
        <f t="shared" si="1"/>
        <v>446.86951840000006</v>
      </c>
      <c r="F26" s="114">
        <f t="shared" si="1"/>
        <v>446.86951840000006</v>
      </c>
      <c r="G26" s="114">
        <f t="shared" si="1"/>
        <v>446.86951840000006</v>
      </c>
      <c r="H26" s="114">
        <f t="shared" si="1"/>
        <v>446.86951840000006</v>
      </c>
      <c r="I26" s="114">
        <f t="shared" si="1"/>
        <v>446.86951840000006</v>
      </c>
    </row>
    <row r="27" spans="2:9" hidden="1" x14ac:dyDescent="0.25">
      <c r="C27" s="87"/>
    </row>
    <row r="28" spans="2:9" hidden="1" x14ac:dyDescent="0.25">
      <c r="B28" s="166" t="s">
        <v>215</v>
      </c>
      <c r="C28" s="87" t="e">
        <f>C21-C26</f>
        <v>#REF!</v>
      </c>
      <c r="D28" s="87" t="e">
        <f t="shared" ref="D28:I28" si="2">D21-D26</f>
        <v>#REF!</v>
      </c>
      <c r="E28" s="87" t="e">
        <f t="shared" si="2"/>
        <v>#REF!</v>
      </c>
      <c r="F28" s="87" t="e">
        <f t="shared" si="2"/>
        <v>#REF!</v>
      </c>
      <c r="G28" s="87" t="e">
        <f t="shared" si="2"/>
        <v>#REF!</v>
      </c>
      <c r="H28" s="87" t="e">
        <f t="shared" si="2"/>
        <v>#REF!</v>
      </c>
      <c r="I28" s="87" t="e">
        <f t="shared" si="2"/>
        <v>#REF!</v>
      </c>
    </row>
    <row r="29" spans="2:9" hidden="1" x14ac:dyDescent="0.25">
      <c r="B29" s="166" t="s">
        <v>216</v>
      </c>
      <c r="C29" s="87" t="e">
        <f>C28*25%</f>
        <v>#REF!</v>
      </c>
      <c r="D29" s="87" t="e">
        <f t="shared" ref="D29:I29" si="3">D28*25%</f>
        <v>#REF!</v>
      </c>
      <c r="E29" s="87" t="e">
        <f t="shared" si="3"/>
        <v>#REF!</v>
      </c>
      <c r="F29" s="87" t="e">
        <f t="shared" si="3"/>
        <v>#REF!</v>
      </c>
      <c r="G29" s="87" t="e">
        <f t="shared" si="3"/>
        <v>#REF!</v>
      </c>
      <c r="H29" s="87" t="e">
        <f t="shared" si="3"/>
        <v>#REF!</v>
      </c>
      <c r="I29" s="87" t="e">
        <f t="shared" si="3"/>
        <v>#REF!</v>
      </c>
    </row>
    <row r="30" spans="2:9" hidden="1" x14ac:dyDescent="0.25">
      <c r="B30" s="166" t="s">
        <v>217</v>
      </c>
      <c r="C30" s="87" t="e">
        <f>C28-C29</f>
        <v>#REF!</v>
      </c>
      <c r="D30" s="87" t="e">
        <f t="shared" ref="D30:I30" si="4">D28-D29</f>
        <v>#REF!</v>
      </c>
      <c r="E30" s="87" t="e">
        <f t="shared" si="4"/>
        <v>#REF!</v>
      </c>
      <c r="F30" s="87" t="e">
        <f t="shared" si="4"/>
        <v>#REF!</v>
      </c>
      <c r="G30" s="87" t="e">
        <f t="shared" si="4"/>
        <v>#REF!</v>
      </c>
      <c r="H30" s="87" t="e">
        <f t="shared" si="4"/>
        <v>#REF!</v>
      </c>
      <c r="I30" s="87" t="e">
        <f t="shared" si="4"/>
        <v>#REF!</v>
      </c>
    </row>
    <row r="31" spans="2:9" hidden="1" x14ac:dyDescent="0.25">
      <c r="B31" s="166" t="s">
        <v>218</v>
      </c>
      <c r="C31" s="87">
        <v>14</v>
      </c>
      <c r="D31" s="87">
        <v>14</v>
      </c>
      <c r="E31" s="87">
        <v>14</v>
      </c>
      <c r="F31" s="87">
        <v>14</v>
      </c>
      <c r="G31" s="87">
        <v>14</v>
      </c>
      <c r="H31" s="87">
        <v>14</v>
      </c>
      <c r="I31" s="87">
        <v>14</v>
      </c>
    </row>
    <row r="32" spans="2:9" hidden="1" x14ac:dyDescent="0.25"/>
    <row r="33" spans="2:2" hidden="1" x14ac:dyDescent="0.25"/>
    <row r="34" spans="2:2" hidden="1" x14ac:dyDescent="0.25"/>
    <row r="35" spans="2:2" hidden="1" x14ac:dyDescent="0.25">
      <c r="B35" s="166"/>
    </row>
  </sheetData>
  <mergeCells count="1">
    <mergeCell ref="B11:I11"/>
  </mergeCells>
  <pageMargins left="0.7" right="0.7" top="0.75" bottom="0.75" header="0.3" footer="0.3"/>
  <ignoredErrors>
    <ignoredError sqref="C15:C18 E15 D16:I18 D15 F15:I15 C21:I21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6"/>
  <sheetViews>
    <sheetView workbookViewId="0">
      <selection activeCell="C36" sqref="C36:I36"/>
    </sheetView>
  </sheetViews>
  <sheetFormatPr defaultRowHeight="12.75" x14ac:dyDescent="0.2"/>
  <cols>
    <col min="1" max="1" width="9.140625" style="59"/>
    <col min="2" max="2" width="21.85546875" style="59" customWidth="1"/>
    <col min="3" max="9" width="9.140625" style="78"/>
    <col min="10" max="16384" width="9.140625" style="59"/>
  </cols>
  <sheetData>
    <row r="1" spans="2:9" x14ac:dyDescent="0.2">
      <c r="C1" s="59"/>
      <c r="D1" s="59"/>
      <c r="E1" s="59"/>
      <c r="F1" s="59"/>
      <c r="G1" s="59"/>
      <c r="H1" s="59"/>
      <c r="I1" s="59"/>
    </row>
    <row r="2" spans="2:9" ht="15.75" x14ac:dyDescent="0.2">
      <c r="B2" s="82" t="str">
        <f>Historicals!B2</f>
        <v>Al-Saqib Exports Private Limited</v>
      </c>
      <c r="C2" s="82"/>
      <c r="D2" s="82"/>
      <c r="E2" s="82"/>
      <c r="F2" s="82"/>
      <c r="G2" s="82"/>
      <c r="H2" s="82"/>
      <c r="I2" s="82"/>
    </row>
    <row r="3" spans="2:9" x14ac:dyDescent="0.2">
      <c r="C3" s="59"/>
      <c r="D3" s="59"/>
      <c r="E3" s="59"/>
      <c r="F3" s="59"/>
      <c r="G3" s="59"/>
      <c r="H3" s="59"/>
      <c r="I3" s="59"/>
    </row>
    <row r="4" spans="2:9" x14ac:dyDescent="0.2">
      <c r="B4" s="81" t="s">
        <v>127</v>
      </c>
      <c r="C4" s="73" t="s">
        <v>104</v>
      </c>
      <c r="D4" s="73" t="s">
        <v>105</v>
      </c>
      <c r="E4" s="73" t="s">
        <v>106</v>
      </c>
      <c r="F4" s="73" t="s">
        <v>107</v>
      </c>
      <c r="G4" s="73" t="s">
        <v>108</v>
      </c>
      <c r="H4" s="73" t="s">
        <v>109</v>
      </c>
      <c r="I4" s="73" t="s">
        <v>110</v>
      </c>
    </row>
    <row r="5" spans="2:9" x14ac:dyDescent="0.2">
      <c r="C5" s="59"/>
      <c r="D5" s="59"/>
      <c r="E5" s="59"/>
      <c r="F5" s="59"/>
      <c r="G5" s="59"/>
      <c r="H5" s="59"/>
      <c r="I5" s="59"/>
    </row>
    <row r="6" spans="2:9" hidden="1" x14ac:dyDescent="0.2">
      <c r="B6" s="84" t="s">
        <v>192</v>
      </c>
      <c r="C6" s="75" t="e">
        <f>'Projected P&amp;L'!#REF!</f>
        <v>#REF!</v>
      </c>
      <c r="D6" s="75" t="e">
        <f>'Projected P&amp;L'!#REF!</f>
        <v>#REF!</v>
      </c>
      <c r="E6" s="75" t="e">
        <f>'Projected P&amp;L'!#REF!</f>
        <v>#REF!</v>
      </c>
      <c r="F6" s="75" t="e">
        <f>'Projected P&amp;L'!#REF!</f>
        <v>#REF!</v>
      </c>
      <c r="G6" s="75" t="e">
        <f>'Projected P&amp;L'!#REF!</f>
        <v>#REF!</v>
      </c>
      <c r="H6" s="75" t="e">
        <f>'Projected P&amp;L'!#REF!</f>
        <v>#REF!</v>
      </c>
      <c r="I6" s="75" t="e">
        <f>'Projected P&amp;L'!#REF!</f>
        <v>#REF!</v>
      </c>
    </row>
    <row r="7" spans="2:9" hidden="1" x14ac:dyDescent="0.2">
      <c r="B7" s="85"/>
    </row>
    <row r="8" spans="2:9" hidden="1" x14ac:dyDescent="0.2">
      <c r="B8" s="84" t="s">
        <v>193</v>
      </c>
      <c r="C8" s="79" t="e">
        <f>'Projected P&amp;L'!#REF!</f>
        <v>#REF!</v>
      </c>
      <c r="D8" s="79" t="e">
        <f>'Projected P&amp;L'!#REF!</f>
        <v>#REF!</v>
      </c>
      <c r="E8" s="79" t="e">
        <f>'Projected P&amp;L'!#REF!</f>
        <v>#REF!</v>
      </c>
      <c r="F8" s="79" t="e">
        <f>'Projected P&amp;L'!#REF!</f>
        <v>#REF!</v>
      </c>
      <c r="G8" s="79" t="e">
        <f>'Projected P&amp;L'!#REF!</f>
        <v>#REF!</v>
      </c>
      <c r="H8" s="79" t="e">
        <f>'Projected P&amp;L'!#REF!</f>
        <v>#REF!</v>
      </c>
      <c r="I8" s="79" t="e">
        <f>'Projected P&amp;L'!#REF!</f>
        <v>#REF!</v>
      </c>
    </row>
    <row r="9" spans="2:9" hidden="1" x14ac:dyDescent="0.2">
      <c r="B9" s="85"/>
    </row>
    <row r="10" spans="2:9" x14ac:dyDescent="0.2">
      <c r="B10" s="84" t="s">
        <v>128</v>
      </c>
      <c r="C10" s="77">
        <f>'Projected P&amp;L'!C6</f>
        <v>1380.535562</v>
      </c>
      <c r="D10" s="77">
        <f>'Projected P&amp;L'!D6</f>
        <v>1080</v>
      </c>
      <c r="E10" s="77">
        <f>'Projected P&amp;L'!E6</f>
        <v>1080</v>
      </c>
      <c r="F10" s="77">
        <f>'Projected P&amp;L'!F6</f>
        <v>1080</v>
      </c>
      <c r="G10" s="77">
        <f>'Projected P&amp;L'!G6</f>
        <v>1080</v>
      </c>
      <c r="H10" s="77">
        <f>'Projected P&amp;L'!H6</f>
        <v>1080</v>
      </c>
      <c r="I10" s="77">
        <f>'Projected P&amp;L'!I6</f>
        <v>1080</v>
      </c>
    </row>
    <row r="11" spans="2:9" x14ac:dyDescent="0.2">
      <c r="B11" s="84"/>
      <c r="C11" s="77"/>
      <c r="D11" s="77"/>
      <c r="E11" s="77"/>
      <c r="F11" s="77"/>
      <c r="G11" s="77"/>
      <c r="H11" s="77"/>
      <c r="I11" s="77"/>
    </row>
    <row r="12" spans="2:9" x14ac:dyDescent="0.2">
      <c r="B12" s="84" t="s">
        <v>194</v>
      </c>
    </row>
    <row r="13" spans="2:9" x14ac:dyDescent="0.2">
      <c r="B13" s="85" t="s">
        <v>195</v>
      </c>
      <c r="C13" s="78">
        <f>'Projected P&amp;L'!C22</f>
        <v>316.73104999999998</v>
      </c>
      <c r="D13" s="78">
        <f>'Projected P&amp;L'!D22</f>
        <v>269.22658000000001</v>
      </c>
      <c r="E13" s="78">
        <f>'Projected P&amp;L'!E22</f>
        <v>217.88569000000001</v>
      </c>
      <c r="F13" s="78">
        <f>'Projected P&amp;L'!F22</f>
        <v>168.20148</v>
      </c>
      <c r="G13" s="78">
        <f>'Projected P&amp;L'!G22</f>
        <v>120.20148</v>
      </c>
      <c r="H13" s="78">
        <f>'Projected P&amp;L'!H22</f>
        <v>72.201480000000004</v>
      </c>
      <c r="I13" s="78">
        <f>'Projected P&amp;L'!I22</f>
        <v>24.20148</v>
      </c>
    </row>
    <row r="14" spans="2:9" x14ac:dyDescent="0.2">
      <c r="B14" s="85" t="s">
        <v>196</v>
      </c>
    </row>
    <row r="15" spans="2:9" x14ac:dyDescent="0.2">
      <c r="B15" s="85" t="s">
        <v>197</v>
      </c>
      <c r="C15" s="78">
        <f>'Projected P&amp;L'!C19</f>
        <v>32.771518499999999</v>
      </c>
      <c r="D15" s="78">
        <f>'Projected P&amp;L'!D19</f>
        <v>34.410094425000004</v>
      </c>
      <c r="E15" s="78">
        <f>'Projected P&amp;L'!E19</f>
        <v>36.130599146250006</v>
      </c>
      <c r="F15" s="78">
        <f>'Projected P&amp;L'!F19</f>
        <v>37.937129103562505</v>
      </c>
      <c r="G15" s="78">
        <f>'Projected P&amp;L'!G19</f>
        <v>39.833985558740629</v>
      </c>
      <c r="H15" s="78">
        <f>'Projected P&amp;L'!H19</f>
        <v>41.825684836677659</v>
      </c>
      <c r="I15" s="78">
        <f>'Projected P&amp;L'!I19</f>
        <v>43.916969078511542</v>
      </c>
    </row>
    <row r="16" spans="2:9" x14ac:dyDescent="0.2">
      <c r="B16" s="85" t="s">
        <v>24</v>
      </c>
      <c r="C16" s="78">
        <f>'Projected P&amp;L'!C14</f>
        <v>109.42751745000001</v>
      </c>
      <c r="D16" s="78">
        <f>'Projected P&amp;L'!D14</f>
        <v>94.176726750000014</v>
      </c>
      <c r="E16" s="78">
        <f>'Projected P&amp;L'!E14</f>
        <v>81.105480752250003</v>
      </c>
      <c r="F16" s="78">
        <f>'Projected P&amp;L'!F14</f>
        <v>69.894351226087522</v>
      </c>
      <c r="G16" s="78">
        <f>'Projected P&amp;L'!G14</f>
        <v>60.272395394221881</v>
      </c>
      <c r="H16" s="78">
        <f>'Projected P&amp;L'!H14</f>
        <v>52.009297366355369</v>
      </c>
      <c r="I16" s="78">
        <f>'Projected P&amp;L'!I14</f>
        <v>44.908958383196548</v>
      </c>
    </row>
    <row r="17" spans="2:9" x14ac:dyDescent="0.2">
      <c r="B17" s="86" t="s">
        <v>198</v>
      </c>
      <c r="C17" s="77">
        <f>SUM(C13:C16)</f>
        <v>458.93008595000003</v>
      </c>
      <c r="D17" s="77">
        <f t="shared" ref="D17:I17" si="0">SUM(D13:D16)</f>
        <v>397.81340117500002</v>
      </c>
      <c r="E17" s="77">
        <f t="shared" si="0"/>
        <v>335.12176989850002</v>
      </c>
      <c r="F17" s="77">
        <f t="shared" si="0"/>
        <v>276.03296032965005</v>
      </c>
      <c r="G17" s="77">
        <f t="shared" si="0"/>
        <v>220.30786095296253</v>
      </c>
      <c r="H17" s="77">
        <f t="shared" si="0"/>
        <v>166.03646220303301</v>
      </c>
      <c r="I17" s="77">
        <f t="shared" si="0"/>
        <v>113.02740746170809</v>
      </c>
    </row>
    <row r="18" spans="2:9" x14ac:dyDescent="0.2">
      <c r="B18" s="85"/>
    </row>
    <row r="19" spans="2:9" x14ac:dyDescent="0.2">
      <c r="B19" s="84" t="s">
        <v>199</v>
      </c>
    </row>
    <row r="20" spans="2:9" x14ac:dyDescent="0.2">
      <c r="B20" s="85" t="s">
        <v>157</v>
      </c>
    </row>
    <row r="21" spans="2:9" x14ac:dyDescent="0.2">
      <c r="B21" s="85" t="s">
        <v>132</v>
      </c>
    </row>
    <row r="22" spans="2:9" x14ac:dyDescent="0.2">
      <c r="B22" s="85" t="s">
        <v>200</v>
      </c>
    </row>
    <row r="23" spans="2:9" x14ac:dyDescent="0.2">
      <c r="B23" s="85" t="s">
        <v>201</v>
      </c>
    </row>
    <row r="24" spans="2:9" x14ac:dyDescent="0.2">
      <c r="B24" s="85" t="s">
        <v>134</v>
      </c>
    </row>
    <row r="25" spans="2:9" x14ac:dyDescent="0.2">
      <c r="B25" s="85" t="s">
        <v>202</v>
      </c>
    </row>
    <row r="26" spans="2:9" x14ac:dyDescent="0.2">
      <c r="B26" s="85" t="s">
        <v>203</v>
      </c>
      <c r="C26" s="78">
        <f>'Projected P&amp;L'!C26</f>
        <v>172.78165008870999</v>
      </c>
      <c r="D26" s="78">
        <f>'Projected P&amp;L'!D26</f>
        <v>189.78431179311497</v>
      </c>
      <c r="E26" s="78">
        <f>'Projected P&amp;L'!E26</f>
        <v>207.22512361423728</v>
      </c>
      <c r="F26" s="78">
        <f>'Projected P&amp;L'!F26</f>
        <v>223.66363043629138</v>
      </c>
      <c r="G26" s="78">
        <f>'Projected P&amp;L'!G26</f>
        <v>239.16635308288582</v>
      </c>
      <c r="H26" s="78">
        <f>'Projected P&amp;L'!H26</f>
        <v>254.26465621511619</v>
      </c>
      <c r="I26" s="78">
        <f>'Projected P&amp;L'!I26</f>
        <v>269.01177524415283</v>
      </c>
    </row>
    <row r="27" spans="2:9" x14ac:dyDescent="0.2">
      <c r="B27" s="85" t="s">
        <v>204</v>
      </c>
      <c r="C27" s="78">
        <f>'Projected P&amp;L'!C16-'Projected P&amp;L'!C17</f>
        <v>300.53556199999997</v>
      </c>
      <c r="D27" s="78">
        <f>'Projected P&amp;L'!D16-'Projected P&amp;L'!D17</f>
        <v>0</v>
      </c>
      <c r="E27" s="78">
        <f>'Projected P&amp;L'!E16-'Projected P&amp;L'!E17</f>
        <v>0</v>
      </c>
      <c r="F27" s="78">
        <f>'Projected P&amp;L'!F16-'Projected P&amp;L'!F17</f>
        <v>0</v>
      </c>
      <c r="G27" s="78">
        <f>'Projected P&amp;L'!G16-'Projected P&amp;L'!G17</f>
        <v>0</v>
      </c>
      <c r="H27" s="78">
        <f>'Projected P&amp;L'!H16-'Projected P&amp;L'!H17</f>
        <v>0</v>
      </c>
      <c r="I27" s="78">
        <f>'Projected P&amp;L'!I16-'Projected P&amp;L'!I17</f>
        <v>0</v>
      </c>
    </row>
    <row r="28" spans="2:9" x14ac:dyDescent="0.2">
      <c r="B28" s="84" t="s">
        <v>205</v>
      </c>
      <c r="C28" s="77">
        <f>SUM(C20:C27)</f>
        <v>473.31721208870999</v>
      </c>
      <c r="D28" s="77">
        <f t="shared" ref="D28:I28" si="1">SUM(D20:D27)</f>
        <v>189.78431179311497</v>
      </c>
      <c r="E28" s="77">
        <f t="shared" si="1"/>
        <v>207.22512361423728</v>
      </c>
      <c r="F28" s="77">
        <f t="shared" si="1"/>
        <v>223.66363043629138</v>
      </c>
      <c r="G28" s="77">
        <f t="shared" si="1"/>
        <v>239.16635308288582</v>
      </c>
      <c r="H28" s="77">
        <f t="shared" si="1"/>
        <v>254.26465621511619</v>
      </c>
      <c r="I28" s="77">
        <f t="shared" si="1"/>
        <v>269.01177524415283</v>
      </c>
    </row>
    <row r="29" spans="2:9" x14ac:dyDescent="0.2">
      <c r="B29" s="85"/>
    </row>
    <row r="30" spans="2:9" x14ac:dyDescent="0.2">
      <c r="B30" s="84" t="s">
        <v>206</v>
      </c>
      <c r="C30" s="77">
        <f>C10-C28</f>
        <v>907.21834991129003</v>
      </c>
      <c r="D30" s="77">
        <f t="shared" ref="D30:I30" si="2">D10-D28</f>
        <v>890.21568820688503</v>
      </c>
      <c r="E30" s="77">
        <f t="shared" si="2"/>
        <v>872.7748763857627</v>
      </c>
      <c r="F30" s="77">
        <f t="shared" si="2"/>
        <v>856.33636956370856</v>
      </c>
      <c r="G30" s="77">
        <f t="shared" si="2"/>
        <v>840.83364691711415</v>
      </c>
      <c r="H30" s="77">
        <f t="shared" si="2"/>
        <v>825.73534378488375</v>
      </c>
      <c r="I30" s="77">
        <f t="shared" si="2"/>
        <v>810.98822475584711</v>
      </c>
    </row>
    <row r="31" spans="2:9" x14ac:dyDescent="0.2">
      <c r="B31" s="84"/>
    </row>
    <row r="32" spans="2:9" x14ac:dyDescent="0.2">
      <c r="B32" s="84" t="s">
        <v>207</v>
      </c>
      <c r="C32" s="79">
        <f>C17/C30</f>
        <v>0.50586508308046818</v>
      </c>
      <c r="D32" s="79">
        <f t="shared" ref="D32:I32" si="3">D17/D30</f>
        <v>0.44687305160426322</v>
      </c>
      <c r="E32" s="79">
        <f t="shared" si="3"/>
        <v>0.38397275055197355</v>
      </c>
      <c r="F32" s="79">
        <f t="shared" si="3"/>
        <v>0.32234174576782837</v>
      </c>
      <c r="G32" s="79">
        <f t="shared" si="3"/>
        <v>0.26201123344755917</v>
      </c>
      <c r="H32" s="79">
        <f t="shared" si="3"/>
        <v>0.20107709262144405</v>
      </c>
      <c r="I32" s="79">
        <f t="shared" si="3"/>
        <v>0.13936997358467895</v>
      </c>
    </row>
    <row r="33" spans="2:9" x14ac:dyDescent="0.2">
      <c r="B33" s="84"/>
    </row>
    <row r="34" spans="2:9" x14ac:dyDescent="0.2">
      <c r="B34" s="84" t="s">
        <v>208</v>
      </c>
      <c r="C34" s="79">
        <f>1-C32</f>
        <v>0.49413491691953182</v>
      </c>
      <c r="D34" s="79">
        <f t="shared" ref="D34:I34" si="4">1-D32</f>
        <v>0.55312694839573684</v>
      </c>
      <c r="E34" s="79">
        <f t="shared" si="4"/>
        <v>0.61602724944802645</v>
      </c>
      <c r="F34" s="79">
        <f t="shared" si="4"/>
        <v>0.67765825423217163</v>
      </c>
      <c r="G34" s="79">
        <f t="shared" si="4"/>
        <v>0.73798876655244083</v>
      </c>
      <c r="H34" s="79">
        <f t="shared" si="4"/>
        <v>0.79892290737855598</v>
      </c>
      <c r="I34" s="79">
        <f t="shared" si="4"/>
        <v>0.86063002641532105</v>
      </c>
    </row>
    <row r="35" spans="2:9" x14ac:dyDescent="0.2">
      <c r="B35" s="85"/>
    </row>
    <row r="36" spans="2:9" x14ac:dyDescent="0.2">
      <c r="B36" s="84" t="s">
        <v>209</v>
      </c>
      <c r="C36" s="79">
        <f>(C17-C16)/C30</f>
        <v>0.38524636162195708</v>
      </c>
      <c r="D36" s="79">
        <f t="shared" ref="D36:I36" si="5">(D17-D16)/D30</f>
        <v>0.34108214272947662</v>
      </c>
      <c r="E36" s="79">
        <f t="shared" si="5"/>
        <v>0.29104445604364065</v>
      </c>
      <c r="F36" s="79">
        <f t="shared" si="5"/>
        <v>0.240721539374285</v>
      </c>
      <c r="G36" s="79">
        <f t="shared" si="5"/>
        <v>0.19032952135717313</v>
      </c>
      <c r="H36" s="79">
        <f t="shared" si="5"/>
        <v>0.13809166059674369</v>
      </c>
      <c r="I36" s="79">
        <f t="shared" si="5"/>
        <v>8.3994375009598957E-2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M50"/>
  <sheetViews>
    <sheetView topLeftCell="A28" workbookViewId="0">
      <selection activeCell="C35" sqref="C35"/>
    </sheetView>
  </sheetViews>
  <sheetFormatPr defaultRowHeight="12" x14ac:dyDescent="0.15"/>
  <cols>
    <col min="1" max="1" width="9.140625" style="11"/>
    <col min="2" max="2" width="25.42578125" style="11" customWidth="1"/>
    <col min="3" max="9" width="9.140625" style="11"/>
    <col min="10" max="10" width="10.140625" style="11" bestFit="1" customWidth="1"/>
    <col min="11" max="16384" width="9.140625" style="11"/>
  </cols>
  <sheetData>
    <row r="2" spans="2:13" ht="15.75" x14ac:dyDescent="0.15">
      <c r="B2" s="90" t="str">
        <f>Historicals!B2</f>
        <v>Al-Saqib Exports Private Limited</v>
      </c>
      <c r="C2" s="82"/>
      <c r="D2" s="82"/>
      <c r="E2" s="82"/>
      <c r="F2" s="82"/>
      <c r="G2" s="82"/>
      <c r="H2" s="82"/>
      <c r="I2" s="82"/>
    </row>
    <row r="4" spans="2:13" ht="15" x14ac:dyDescent="0.25">
      <c r="B4" s="89" t="s">
        <v>242</v>
      </c>
    </row>
    <row r="5" spans="2:13" ht="15" x14ac:dyDescent="0.25">
      <c r="B5" s="89"/>
    </row>
    <row r="6" spans="2:13" ht="12.75" x14ac:dyDescent="0.2">
      <c r="B6" s="80" t="s">
        <v>358</v>
      </c>
    </row>
    <row r="7" spans="2:13" ht="15" x14ac:dyDescent="0.25">
      <c r="B7" s="88"/>
      <c r="C7" s="88"/>
      <c r="D7" s="88"/>
      <c r="E7" s="88"/>
      <c r="F7" s="88"/>
      <c r="G7" s="88"/>
      <c r="H7" s="88"/>
      <c r="I7" s="88"/>
    </row>
    <row r="8" spans="2:13" ht="12.75" x14ac:dyDescent="0.2">
      <c r="B8" s="81" t="s">
        <v>127</v>
      </c>
      <c r="C8" s="73" t="s">
        <v>104</v>
      </c>
      <c r="D8" s="73" t="s">
        <v>105</v>
      </c>
      <c r="E8" s="73" t="s">
        <v>106</v>
      </c>
      <c r="F8" s="73" t="s">
        <v>107</v>
      </c>
      <c r="G8" s="73" t="s">
        <v>108</v>
      </c>
      <c r="H8" s="73" t="s">
        <v>109</v>
      </c>
      <c r="I8" s="73" t="s">
        <v>110</v>
      </c>
    </row>
    <row r="10" spans="2:13" ht="12.75" x14ac:dyDescent="0.2">
      <c r="B10" s="80" t="s">
        <v>243</v>
      </c>
    </row>
    <row r="11" spans="2:13" ht="12.75" x14ac:dyDescent="0.2">
      <c r="B11" s="59" t="s">
        <v>128</v>
      </c>
      <c r="C11" s="78">
        <f>'Projected P&amp;L'!C6</f>
        <v>1380.535562</v>
      </c>
      <c r="D11" s="78">
        <f>'Projected P&amp;L'!D6</f>
        <v>1080</v>
      </c>
      <c r="E11" s="78">
        <f>'Projected P&amp;L'!E6</f>
        <v>1080</v>
      </c>
      <c r="F11" s="78">
        <f>'Projected P&amp;L'!F6</f>
        <v>1080</v>
      </c>
      <c r="G11" s="78">
        <f>'Projected P&amp;L'!G6</f>
        <v>1080</v>
      </c>
      <c r="H11" s="78">
        <f>'Projected P&amp;L'!H6</f>
        <v>1080</v>
      </c>
      <c r="I11" s="78">
        <f>'Projected P&amp;L'!I6</f>
        <v>1080</v>
      </c>
    </row>
    <row r="12" spans="2:13" ht="12.75" x14ac:dyDescent="0.2">
      <c r="B12" s="59"/>
      <c r="C12" s="78"/>
      <c r="D12" s="78"/>
      <c r="E12" s="78"/>
      <c r="F12" s="78"/>
      <c r="G12" s="78"/>
      <c r="H12" s="78"/>
      <c r="I12" s="78"/>
    </row>
    <row r="13" spans="2:13" ht="12.75" x14ac:dyDescent="0.2">
      <c r="B13" s="80" t="s">
        <v>244</v>
      </c>
      <c r="C13" s="78"/>
      <c r="D13" s="78"/>
      <c r="E13" s="78"/>
      <c r="F13" s="78"/>
      <c r="G13" s="78"/>
      <c r="H13" s="78"/>
      <c r="I13" s="78"/>
    </row>
    <row r="14" spans="2:13" ht="12.75" x14ac:dyDescent="0.2">
      <c r="B14" s="59" t="s">
        <v>245</v>
      </c>
      <c r="C14" s="78">
        <f>+'Projected P&amp;L'!C16-'Projected P&amp;L'!C17+('Projected P&amp;L'!C19*1.05)</f>
        <v>334.94565642499998</v>
      </c>
      <c r="D14" s="78">
        <f>+'Projected P&amp;L'!D16-'Projected P&amp;L'!D17+('Projected P&amp;L'!D19*1.05)</f>
        <v>36.130599146250006</v>
      </c>
      <c r="E14" s="78">
        <f>+'Projected P&amp;L'!E16-'Projected P&amp;L'!E17+('Projected P&amp;L'!E19*1.05)</f>
        <v>37.937129103562505</v>
      </c>
      <c r="F14" s="78">
        <f>+'Projected P&amp;L'!F16-'Projected P&amp;L'!F17+('Projected P&amp;L'!F19*1.05)</f>
        <v>39.833985558740629</v>
      </c>
      <c r="G14" s="78">
        <f>+'Projected P&amp;L'!G16-'Projected P&amp;L'!G17+('Projected P&amp;L'!G19*1.05)</f>
        <v>41.825684836677659</v>
      </c>
      <c r="H14" s="78">
        <f>+'Projected P&amp;L'!H16-'Projected P&amp;L'!H17+('Projected P&amp;L'!H19*1.05)</f>
        <v>43.916969078511542</v>
      </c>
      <c r="I14" s="78">
        <f>+'Projected P&amp;L'!I16-'Projected P&amp;L'!I17+('Projected P&amp;L'!I19*1.05)</f>
        <v>46.11281753243712</v>
      </c>
      <c r="J14" s="78"/>
      <c r="K14" s="78"/>
      <c r="L14" s="78"/>
      <c r="M14" s="78"/>
    </row>
    <row r="15" spans="2:13" ht="12.75" x14ac:dyDescent="0.2">
      <c r="B15" s="59" t="s">
        <v>246</v>
      </c>
      <c r="C15" s="78">
        <f>'Projected P&amp;L'!C22+'Projected P&amp;L'!C23</f>
        <v>316.73104999999998</v>
      </c>
      <c r="D15" s="78">
        <f>'Projected P&amp;L'!D22+'Projected P&amp;L'!D23</f>
        <v>269.22658000000001</v>
      </c>
      <c r="E15" s="78">
        <f>'Projected P&amp;L'!E22+'Projected P&amp;L'!E23</f>
        <v>217.88569000000001</v>
      </c>
      <c r="F15" s="78">
        <f>'Projected P&amp;L'!F22+'Projected P&amp;L'!F23</f>
        <v>168.20148</v>
      </c>
      <c r="G15" s="78">
        <f>'Projected P&amp;L'!G22+'Projected P&amp;L'!G23</f>
        <v>120.20148</v>
      </c>
      <c r="H15" s="78">
        <f>'Projected P&amp;L'!H22+'Projected P&amp;L'!H23</f>
        <v>72.201480000000004</v>
      </c>
      <c r="I15" s="78">
        <f>'Projected P&amp;L'!I22+'Projected P&amp;L'!I23</f>
        <v>24.20148</v>
      </c>
    </row>
    <row r="16" spans="2:13" ht="12.75" x14ac:dyDescent="0.2">
      <c r="B16" s="59" t="s">
        <v>24</v>
      </c>
      <c r="C16" s="78">
        <f>'Projected P&amp;L'!C14</f>
        <v>109.42751745000001</v>
      </c>
      <c r="D16" s="78">
        <f>'Projected P&amp;L'!D14</f>
        <v>94.176726750000014</v>
      </c>
      <c r="E16" s="78">
        <f>'Projected P&amp;L'!E14</f>
        <v>81.105480752250003</v>
      </c>
      <c r="F16" s="78">
        <f>'Projected P&amp;L'!F14</f>
        <v>69.894351226087522</v>
      </c>
      <c r="G16" s="78">
        <f>'Projected P&amp;L'!G14</f>
        <v>60.272395394221881</v>
      </c>
      <c r="H16" s="78">
        <f>'Projected P&amp;L'!H14</f>
        <v>52.009297366355369</v>
      </c>
      <c r="I16" s="78">
        <f>'Projected P&amp;L'!I14</f>
        <v>44.908958383196548</v>
      </c>
    </row>
    <row r="17" spans="2:10" ht="12.75" x14ac:dyDescent="0.2">
      <c r="B17" s="80" t="s">
        <v>247</v>
      </c>
      <c r="C17" s="78">
        <f>SUM(C14:C16)</f>
        <v>761.104223875</v>
      </c>
      <c r="D17" s="78">
        <f t="shared" ref="D17:I17" si="0">SUM(D14:D16)</f>
        <v>399.53390589625002</v>
      </c>
      <c r="E17" s="78">
        <f t="shared" si="0"/>
        <v>336.9282998558125</v>
      </c>
      <c r="F17" s="78">
        <f t="shared" si="0"/>
        <v>277.92981678482818</v>
      </c>
      <c r="G17" s="78">
        <f t="shared" si="0"/>
        <v>222.29956023089954</v>
      </c>
      <c r="H17" s="78">
        <f t="shared" si="0"/>
        <v>168.12774644486691</v>
      </c>
      <c r="I17" s="78">
        <f t="shared" si="0"/>
        <v>115.22325591563367</v>
      </c>
    </row>
    <row r="18" spans="2:10" ht="12.75" x14ac:dyDescent="0.2">
      <c r="B18" s="59"/>
      <c r="C18" s="78"/>
      <c r="D18" s="78"/>
      <c r="E18" s="78"/>
      <c r="F18" s="78"/>
      <c r="G18" s="78"/>
      <c r="H18" s="78"/>
      <c r="I18" s="78"/>
    </row>
    <row r="19" spans="2:10" ht="12.75" x14ac:dyDescent="0.2">
      <c r="B19" s="59" t="s">
        <v>248</v>
      </c>
      <c r="C19" s="78">
        <f t="shared" ref="C19:I19" si="1">C11-C17</f>
        <v>619.43133812500002</v>
      </c>
      <c r="D19" s="78">
        <f t="shared" si="1"/>
        <v>680.46609410375004</v>
      </c>
      <c r="E19" s="78">
        <f t="shared" si="1"/>
        <v>743.0717001441875</v>
      </c>
      <c r="F19" s="78">
        <f t="shared" si="1"/>
        <v>802.07018321517182</v>
      </c>
      <c r="G19" s="78">
        <f t="shared" si="1"/>
        <v>857.70043976910051</v>
      </c>
      <c r="H19" s="78">
        <f t="shared" si="1"/>
        <v>911.87225355513306</v>
      </c>
      <c r="I19" s="78">
        <f t="shared" si="1"/>
        <v>964.77674408436633</v>
      </c>
    </row>
    <row r="20" spans="2:10" ht="12.75" x14ac:dyDescent="0.2">
      <c r="B20" s="59" t="s">
        <v>249</v>
      </c>
      <c r="C20" s="78">
        <f>IF(C19&lt;0,0,C19*'Projected P&amp;L'!$N$26)</f>
        <v>172.32579826637502</v>
      </c>
      <c r="D20" s="78">
        <f>IF(D19&lt;0,0,D19*'Projected P&amp;L'!$N$26)</f>
        <v>189.30566737966328</v>
      </c>
      <c r="E20" s="78">
        <f>IF(E19&lt;0,0,E19*'Projected P&amp;L'!$N$26)</f>
        <v>206.72254698011295</v>
      </c>
      <c r="F20" s="78">
        <f>IF(F19&lt;0,0,F19*'Projected P&amp;L'!$N$26)</f>
        <v>223.13592497046079</v>
      </c>
      <c r="G20" s="78">
        <f>IF(G19&lt;0,0,G19*'Projected P&amp;L'!$N$26)</f>
        <v>238.61226234376377</v>
      </c>
      <c r="H20" s="78">
        <f>IF(H19&lt;0,0,H19*'Projected P&amp;L'!$N$26)</f>
        <v>253.68286093903802</v>
      </c>
      <c r="I20" s="78">
        <f>IF(I19&lt;0,0,I19*'Projected P&amp;L'!$N$26)</f>
        <v>268.40089020427069</v>
      </c>
    </row>
    <row r="21" spans="2:10" ht="12.75" x14ac:dyDescent="0.2">
      <c r="B21" s="59" t="s">
        <v>250</v>
      </c>
      <c r="C21" s="78">
        <f>C19-C20</f>
        <v>447.10553985862498</v>
      </c>
      <c r="D21" s="78">
        <f t="shared" ref="D21:I21" si="2">D19-D20</f>
        <v>491.16042672408673</v>
      </c>
      <c r="E21" s="78">
        <f t="shared" si="2"/>
        <v>536.34915316407455</v>
      </c>
      <c r="F21" s="78">
        <f t="shared" si="2"/>
        <v>578.93425824471103</v>
      </c>
      <c r="G21" s="78">
        <f t="shared" si="2"/>
        <v>619.08817742533677</v>
      </c>
      <c r="H21" s="78">
        <f t="shared" si="2"/>
        <v>658.18939261609501</v>
      </c>
      <c r="I21" s="78">
        <f t="shared" si="2"/>
        <v>696.37585388009563</v>
      </c>
    </row>
    <row r="22" spans="2:10" ht="12.75" x14ac:dyDescent="0.2">
      <c r="B22" s="59" t="s">
        <v>150</v>
      </c>
      <c r="C22" s="78">
        <f t="shared" ref="C22:I22" si="3">C21+C16</f>
        <v>556.53305730862496</v>
      </c>
      <c r="D22" s="78">
        <f t="shared" si="3"/>
        <v>585.33715347408679</v>
      </c>
      <c r="E22" s="78">
        <f t="shared" si="3"/>
        <v>617.45463391632461</v>
      </c>
      <c r="F22" s="78">
        <f t="shared" si="3"/>
        <v>648.8286094707986</v>
      </c>
      <c r="G22" s="78">
        <f t="shared" si="3"/>
        <v>679.36057281955868</v>
      </c>
      <c r="H22" s="78">
        <f t="shared" si="3"/>
        <v>710.19868998245033</v>
      </c>
      <c r="I22" s="78">
        <f t="shared" si="3"/>
        <v>741.28481226329222</v>
      </c>
      <c r="J22" s="78">
        <f>SUM(C22:I22)</f>
        <v>4538.9975292351364</v>
      </c>
    </row>
    <row r="23" spans="2:10" ht="12.75" x14ac:dyDescent="0.2">
      <c r="B23" s="59" t="s">
        <v>251</v>
      </c>
      <c r="C23" s="78">
        <f>'Projected P&amp;L'!C22</f>
        <v>316.73104999999998</v>
      </c>
      <c r="D23" s="78">
        <f>'Projected P&amp;L'!D22</f>
        <v>269.22658000000001</v>
      </c>
      <c r="E23" s="78">
        <f>'Projected P&amp;L'!E22</f>
        <v>217.88569000000001</v>
      </c>
      <c r="F23" s="78">
        <f>'Projected P&amp;L'!F22</f>
        <v>168.20148</v>
      </c>
      <c r="G23" s="78">
        <f>'Projected P&amp;L'!G22</f>
        <v>120.20148</v>
      </c>
      <c r="H23" s="78">
        <f>'Projected P&amp;L'!H22</f>
        <v>72.201480000000004</v>
      </c>
      <c r="I23" s="78">
        <f>'Projected P&amp;L'!I22</f>
        <v>24.20148</v>
      </c>
      <c r="J23" s="78">
        <f t="shared" ref="J23:J25" si="4">SUM(C23:I23)</f>
        <v>1188.6492399999997</v>
      </c>
    </row>
    <row r="24" spans="2:10" ht="12.75" x14ac:dyDescent="0.2">
      <c r="B24" s="59" t="s">
        <v>252</v>
      </c>
      <c r="C24" s="78">
        <f>'Projected P&amp;L'!C23</f>
        <v>0</v>
      </c>
      <c r="D24" s="78">
        <f>'Projected P&amp;L'!D23</f>
        <v>0</v>
      </c>
      <c r="E24" s="78">
        <f>'Projected P&amp;L'!E23</f>
        <v>0</v>
      </c>
      <c r="F24" s="78">
        <f>'Projected P&amp;L'!F23</f>
        <v>0</v>
      </c>
      <c r="G24" s="78">
        <f>'Projected P&amp;L'!G23</f>
        <v>0</v>
      </c>
      <c r="H24" s="78">
        <f>'Projected P&amp;L'!H23</f>
        <v>0</v>
      </c>
      <c r="I24" s="78">
        <f>'Projected P&amp;L'!I23</f>
        <v>0</v>
      </c>
      <c r="J24" s="78">
        <f t="shared" si="4"/>
        <v>0</v>
      </c>
    </row>
    <row r="25" spans="2:10" ht="12.75" x14ac:dyDescent="0.2">
      <c r="B25" s="59" t="s">
        <v>253</v>
      </c>
      <c r="C25" s="78">
        <f>DSCR!C8</f>
        <v>389.64706999999999</v>
      </c>
      <c r="D25" s="78">
        <f>DSCR!D8</f>
        <v>498.41735999999997</v>
      </c>
      <c r="E25" s="78">
        <f>DSCR!E8</f>
        <v>526.39114230000007</v>
      </c>
      <c r="F25" s="78">
        <f>DSCR!F8</f>
        <v>480</v>
      </c>
      <c r="G25" s="78">
        <f>DSCR!G8</f>
        <v>480</v>
      </c>
      <c r="H25" s="78">
        <f>DSCR!H8</f>
        <v>480</v>
      </c>
      <c r="I25" s="78">
        <f>DSCR!I8</f>
        <v>462.01468</v>
      </c>
      <c r="J25" s="78">
        <f t="shared" si="4"/>
        <v>3316.4702522999996</v>
      </c>
    </row>
    <row r="26" spans="2:10" ht="12.75" x14ac:dyDescent="0.2">
      <c r="B26" s="59" t="s">
        <v>254</v>
      </c>
      <c r="C26" s="78">
        <f>(C22+C23+C24)/(C23+C24+C25)</f>
        <v>1.2362558841837075</v>
      </c>
      <c r="D26" s="78">
        <f t="shared" ref="D26:J26" si="5">(D22+D23+D24)/(D23+D24+D25)</f>
        <v>1.1132293097683894</v>
      </c>
      <c r="E26" s="78">
        <f t="shared" si="5"/>
        <v>1.1223516407664011</v>
      </c>
      <c r="F26" s="78">
        <f t="shared" si="5"/>
        <v>1.2604569947461377</v>
      </c>
      <c r="G26" s="78">
        <f t="shared" si="5"/>
        <v>1.3321560833531412</v>
      </c>
      <c r="H26" s="78">
        <f t="shared" si="5"/>
        <v>1.4168744531116619</v>
      </c>
      <c r="I26" s="78">
        <f t="shared" si="5"/>
        <v>1.5743744351551214</v>
      </c>
      <c r="J26" s="78">
        <f t="shared" si="5"/>
        <v>1.2713640068869738</v>
      </c>
    </row>
    <row r="30" spans="2:10" ht="12.75" x14ac:dyDescent="0.2">
      <c r="B30" s="80" t="s">
        <v>255</v>
      </c>
    </row>
    <row r="31" spans="2:10" ht="15" x14ac:dyDescent="0.25">
      <c r="B31" s="88"/>
      <c r="C31" s="88"/>
      <c r="D31" s="88"/>
      <c r="E31" s="88"/>
      <c r="F31" s="88"/>
      <c r="G31" s="88"/>
      <c r="H31" s="88"/>
      <c r="I31" s="88"/>
    </row>
    <row r="32" spans="2:10" ht="12.75" x14ac:dyDescent="0.2">
      <c r="B32" s="81" t="s">
        <v>127</v>
      </c>
      <c r="C32" s="73" t="s">
        <v>104</v>
      </c>
      <c r="D32" s="73" t="s">
        <v>105</v>
      </c>
      <c r="E32" s="73" t="s">
        <v>106</v>
      </c>
      <c r="F32" s="73" t="s">
        <v>107</v>
      </c>
      <c r="G32" s="73" t="s">
        <v>108</v>
      </c>
      <c r="H32" s="73" t="s">
        <v>109</v>
      </c>
      <c r="I32" s="73" t="s">
        <v>110</v>
      </c>
    </row>
    <row r="34" spans="2:10" ht="12.75" x14ac:dyDescent="0.2">
      <c r="B34" s="80" t="s">
        <v>243</v>
      </c>
    </row>
    <row r="35" spans="2:10" ht="12.75" x14ac:dyDescent="0.2">
      <c r="B35" s="59" t="s">
        <v>128</v>
      </c>
      <c r="C35" s="78">
        <f>'Projected P&amp;L'!C6*0.95</f>
        <v>1311.5087839</v>
      </c>
      <c r="D35" s="78">
        <f>'Projected P&amp;L'!D6*0.95</f>
        <v>1026</v>
      </c>
      <c r="E35" s="78">
        <f>'Projected P&amp;L'!E6*0.95</f>
        <v>1026</v>
      </c>
      <c r="F35" s="78">
        <f>'Projected P&amp;L'!F6*0.95</f>
        <v>1026</v>
      </c>
      <c r="G35" s="78">
        <f>'Projected P&amp;L'!G6*0.95</f>
        <v>1026</v>
      </c>
      <c r="H35" s="78">
        <f>'Projected P&amp;L'!H6*0.95</f>
        <v>1026</v>
      </c>
      <c r="I35" s="78">
        <f>'Projected P&amp;L'!I6*0.95</f>
        <v>1026</v>
      </c>
    </row>
    <row r="36" spans="2:10" ht="12.75" x14ac:dyDescent="0.2">
      <c r="B36" s="59"/>
      <c r="C36" s="78"/>
      <c r="D36" s="78"/>
      <c r="E36" s="78"/>
      <c r="F36" s="78"/>
      <c r="G36" s="78"/>
      <c r="H36" s="78"/>
      <c r="I36" s="78"/>
    </row>
    <row r="37" spans="2:10" ht="12.75" x14ac:dyDescent="0.2">
      <c r="B37" s="80" t="s">
        <v>244</v>
      </c>
      <c r="C37" s="78"/>
      <c r="D37" s="78"/>
      <c r="E37" s="78"/>
      <c r="F37" s="78"/>
      <c r="G37" s="78"/>
      <c r="H37" s="78"/>
      <c r="I37" s="78"/>
    </row>
    <row r="38" spans="2:10" ht="12.75" x14ac:dyDescent="0.2">
      <c r="B38" s="59" t="s">
        <v>245</v>
      </c>
      <c r="C38" s="78">
        <f>+'Projected P&amp;L'!C16-'Projected P&amp;L'!C17+('Projected P&amp;L'!C19*1)</f>
        <v>333.30708049999998</v>
      </c>
      <c r="D38" s="78">
        <f>+'Projected P&amp;L'!D16-'Projected P&amp;L'!D17+('Projected P&amp;L'!D19*1)</f>
        <v>34.410094425000004</v>
      </c>
      <c r="E38" s="78">
        <f>+'Projected P&amp;L'!E16-'Projected P&amp;L'!E17+('Projected P&amp;L'!E19*1)</f>
        <v>36.130599146250006</v>
      </c>
      <c r="F38" s="78">
        <f>+'Projected P&amp;L'!F16-'Projected P&amp;L'!F17+('Projected P&amp;L'!F19*1)</f>
        <v>37.937129103562505</v>
      </c>
      <c r="G38" s="78">
        <f>+'Projected P&amp;L'!G16-'Projected P&amp;L'!G17+('Projected P&amp;L'!G19*1)</f>
        <v>39.833985558740629</v>
      </c>
      <c r="H38" s="78">
        <f>+'Projected P&amp;L'!H16-'Projected P&amp;L'!H17+('Projected P&amp;L'!H19*1)</f>
        <v>41.825684836677659</v>
      </c>
      <c r="I38" s="78">
        <f>+'Projected P&amp;L'!I16-'Projected P&amp;L'!I17+('Projected P&amp;L'!I19*1)</f>
        <v>43.916969078511542</v>
      </c>
    </row>
    <row r="39" spans="2:10" ht="12.75" x14ac:dyDescent="0.2">
      <c r="B39" s="59" t="s">
        <v>246</v>
      </c>
      <c r="C39" s="78">
        <f t="shared" ref="C39:I40" si="6">C15</f>
        <v>316.73104999999998</v>
      </c>
      <c r="D39" s="78">
        <f t="shared" si="6"/>
        <v>269.22658000000001</v>
      </c>
      <c r="E39" s="78">
        <f t="shared" si="6"/>
        <v>217.88569000000001</v>
      </c>
      <c r="F39" s="78">
        <f t="shared" si="6"/>
        <v>168.20148</v>
      </c>
      <c r="G39" s="78">
        <f t="shared" si="6"/>
        <v>120.20148</v>
      </c>
      <c r="H39" s="78">
        <f t="shared" si="6"/>
        <v>72.201480000000004</v>
      </c>
      <c r="I39" s="78">
        <f t="shared" si="6"/>
        <v>24.20148</v>
      </c>
    </row>
    <row r="40" spans="2:10" ht="12.75" x14ac:dyDescent="0.2">
      <c r="B40" s="59" t="s">
        <v>24</v>
      </c>
      <c r="C40" s="78">
        <f t="shared" si="6"/>
        <v>109.42751745000001</v>
      </c>
      <c r="D40" s="78">
        <f t="shared" si="6"/>
        <v>94.176726750000014</v>
      </c>
      <c r="E40" s="78">
        <f t="shared" si="6"/>
        <v>81.105480752250003</v>
      </c>
      <c r="F40" s="78">
        <f t="shared" si="6"/>
        <v>69.894351226087522</v>
      </c>
      <c r="G40" s="78">
        <f t="shared" si="6"/>
        <v>60.272395394221881</v>
      </c>
      <c r="H40" s="78">
        <f t="shared" si="6"/>
        <v>52.009297366355369</v>
      </c>
      <c r="I40" s="78">
        <f t="shared" si="6"/>
        <v>44.908958383196548</v>
      </c>
    </row>
    <row r="41" spans="2:10" ht="12.75" x14ac:dyDescent="0.2">
      <c r="B41" s="80" t="s">
        <v>247</v>
      </c>
      <c r="C41" s="78">
        <f>SUM(C38:C40)</f>
        <v>759.46564794999995</v>
      </c>
      <c r="D41" s="78">
        <f t="shared" ref="D41:I41" si="7">SUM(D38:D40)</f>
        <v>397.81340117500002</v>
      </c>
      <c r="E41" s="78">
        <f t="shared" si="7"/>
        <v>335.12176989850002</v>
      </c>
      <c r="F41" s="78">
        <f t="shared" si="7"/>
        <v>276.03296032965005</v>
      </c>
      <c r="G41" s="78">
        <f t="shared" si="7"/>
        <v>220.30786095296253</v>
      </c>
      <c r="H41" s="78">
        <f t="shared" si="7"/>
        <v>166.03646220303301</v>
      </c>
      <c r="I41" s="78">
        <f t="shared" si="7"/>
        <v>113.02740746170809</v>
      </c>
    </row>
    <row r="42" spans="2:10" ht="12.75" x14ac:dyDescent="0.2">
      <c r="B42" s="59"/>
      <c r="C42" s="78"/>
      <c r="D42" s="78"/>
      <c r="E42" s="78"/>
      <c r="F42" s="78"/>
      <c r="G42" s="78"/>
      <c r="H42" s="78"/>
      <c r="I42" s="78"/>
    </row>
    <row r="43" spans="2:10" ht="12.75" x14ac:dyDescent="0.2">
      <c r="B43" s="59" t="s">
        <v>248</v>
      </c>
      <c r="C43" s="78">
        <f>C35-C41</f>
        <v>552.04313595000008</v>
      </c>
      <c r="D43" s="78">
        <f t="shared" ref="D43:I43" si="8">D35-D41</f>
        <v>628.18659882499992</v>
      </c>
      <c r="E43" s="78">
        <f t="shared" si="8"/>
        <v>690.87823010149998</v>
      </c>
      <c r="F43" s="78">
        <f t="shared" si="8"/>
        <v>749.96703967035</v>
      </c>
      <c r="G43" s="78">
        <f t="shared" si="8"/>
        <v>805.69213904703747</v>
      </c>
      <c r="H43" s="78">
        <f t="shared" si="8"/>
        <v>859.96353779696699</v>
      </c>
      <c r="I43" s="78">
        <f t="shared" si="8"/>
        <v>912.97259253829191</v>
      </c>
    </row>
    <row r="44" spans="2:10" ht="12.75" x14ac:dyDescent="0.2">
      <c r="B44" s="59" t="s">
        <v>249</v>
      </c>
      <c r="C44" s="78">
        <f>IF(C43&lt;0,0,C43*'Projected P&amp;L'!$N$26)</f>
        <v>153.57840042129001</v>
      </c>
      <c r="D44" s="78">
        <f>IF(D43&lt;0,0,D43*'Projected P&amp;L'!$N$26)</f>
        <v>174.76151179311498</v>
      </c>
      <c r="E44" s="78">
        <f>IF(E43&lt;0,0,E43*'Projected P&amp;L'!$N$26)</f>
        <v>192.20232361423729</v>
      </c>
      <c r="F44" s="78">
        <f>IF(F43&lt;0,0,F43*'Projected P&amp;L'!$N$26)</f>
        <v>208.64083043629137</v>
      </c>
      <c r="G44" s="78">
        <f>IF(G43&lt;0,0,G43*'Projected P&amp;L'!$N$26)</f>
        <v>224.14355308288583</v>
      </c>
      <c r="H44" s="78">
        <f>IF(H43&lt;0,0,H43*'Projected P&amp;L'!$N$26)</f>
        <v>239.24185621511623</v>
      </c>
      <c r="I44" s="78">
        <f>IF(I43&lt;0,0,I43*'Projected P&amp;L'!$N$26)</f>
        <v>253.98897524415281</v>
      </c>
    </row>
    <row r="45" spans="2:10" ht="12.75" x14ac:dyDescent="0.2">
      <c r="B45" s="59" t="s">
        <v>250</v>
      </c>
      <c r="C45" s="78">
        <f>C43-C44</f>
        <v>398.46473552871009</v>
      </c>
      <c r="D45" s="78">
        <f t="shared" ref="D45:I45" si="9">D43-D44</f>
        <v>453.42508703188491</v>
      </c>
      <c r="E45" s="78">
        <f t="shared" si="9"/>
        <v>498.67590648726269</v>
      </c>
      <c r="F45" s="78">
        <f t="shared" si="9"/>
        <v>541.32620923405864</v>
      </c>
      <c r="G45" s="78">
        <f t="shared" si="9"/>
        <v>581.5485859641517</v>
      </c>
      <c r="H45" s="78">
        <f t="shared" si="9"/>
        <v>620.72168158185082</v>
      </c>
      <c r="I45" s="78">
        <f t="shared" si="9"/>
        <v>658.98361729413909</v>
      </c>
    </row>
    <row r="46" spans="2:10" ht="12.75" x14ac:dyDescent="0.2">
      <c r="B46" s="59" t="s">
        <v>150</v>
      </c>
      <c r="C46" s="78">
        <f t="shared" ref="C46:I46" si="10">C45+C40</f>
        <v>507.89225297871008</v>
      </c>
      <c r="D46" s="78">
        <f t="shared" si="10"/>
        <v>547.60181378188497</v>
      </c>
      <c r="E46" s="78">
        <f t="shared" si="10"/>
        <v>579.7813872395127</v>
      </c>
      <c r="F46" s="78">
        <f t="shared" si="10"/>
        <v>611.2205604601462</v>
      </c>
      <c r="G46" s="78">
        <f t="shared" si="10"/>
        <v>641.82098135837361</v>
      </c>
      <c r="H46" s="78">
        <f t="shared" si="10"/>
        <v>672.73097894820614</v>
      </c>
      <c r="I46" s="78">
        <f t="shared" si="10"/>
        <v>703.89257567733569</v>
      </c>
      <c r="J46" s="78">
        <f>SUM(C46:I46)</f>
        <v>4264.9405504441693</v>
      </c>
    </row>
    <row r="47" spans="2:10" ht="12.75" x14ac:dyDescent="0.2">
      <c r="B47" s="59" t="s">
        <v>251</v>
      </c>
      <c r="C47" s="78">
        <f>C23</f>
        <v>316.73104999999998</v>
      </c>
      <c r="D47" s="78">
        <f t="shared" ref="D47:I47" si="11">D23</f>
        <v>269.22658000000001</v>
      </c>
      <c r="E47" s="78">
        <f t="shared" si="11"/>
        <v>217.88569000000001</v>
      </c>
      <c r="F47" s="78">
        <f t="shared" si="11"/>
        <v>168.20148</v>
      </c>
      <c r="G47" s="78">
        <f t="shared" si="11"/>
        <v>120.20148</v>
      </c>
      <c r="H47" s="78">
        <f t="shared" si="11"/>
        <v>72.201480000000004</v>
      </c>
      <c r="I47" s="78">
        <f t="shared" si="11"/>
        <v>24.20148</v>
      </c>
      <c r="J47" s="78">
        <f t="shared" ref="J47:J49" si="12">SUM(C47:I47)</f>
        <v>1188.6492399999997</v>
      </c>
    </row>
    <row r="48" spans="2:10" ht="12.75" x14ac:dyDescent="0.2">
      <c r="B48" s="59" t="s">
        <v>252</v>
      </c>
      <c r="C48" s="78">
        <f>'Projected P&amp;L'!C23</f>
        <v>0</v>
      </c>
      <c r="D48" s="78">
        <f>'Projected P&amp;L'!D23</f>
        <v>0</v>
      </c>
      <c r="E48" s="78">
        <f>'Projected P&amp;L'!E23</f>
        <v>0</v>
      </c>
      <c r="F48" s="78">
        <f>'Projected P&amp;L'!F23</f>
        <v>0</v>
      </c>
      <c r="G48" s="78">
        <f>'Projected P&amp;L'!G23</f>
        <v>0</v>
      </c>
      <c r="H48" s="78">
        <f>'Projected P&amp;L'!H23</f>
        <v>0</v>
      </c>
      <c r="I48" s="78">
        <f>'Projected P&amp;L'!I23</f>
        <v>0</v>
      </c>
      <c r="J48" s="78">
        <f t="shared" si="12"/>
        <v>0</v>
      </c>
    </row>
    <row r="49" spans="2:10" ht="12.75" x14ac:dyDescent="0.2">
      <c r="B49" s="59" t="s">
        <v>253</v>
      </c>
      <c r="C49" s="78">
        <f>C25</f>
        <v>389.64706999999999</v>
      </c>
      <c r="D49" s="78">
        <f t="shared" ref="D49:I49" si="13">D25</f>
        <v>498.41735999999997</v>
      </c>
      <c r="E49" s="78">
        <f t="shared" si="13"/>
        <v>526.39114230000007</v>
      </c>
      <c r="F49" s="78">
        <f t="shared" si="13"/>
        <v>480</v>
      </c>
      <c r="G49" s="78">
        <f t="shared" si="13"/>
        <v>480</v>
      </c>
      <c r="H49" s="78">
        <f t="shared" si="13"/>
        <v>480</v>
      </c>
      <c r="I49" s="78">
        <f t="shared" si="13"/>
        <v>462.01468</v>
      </c>
      <c r="J49" s="78">
        <f t="shared" si="12"/>
        <v>3316.4702522999996</v>
      </c>
    </row>
    <row r="50" spans="2:10" ht="12.75" x14ac:dyDescent="0.2">
      <c r="B50" s="59" t="s">
        <v>254</v>
      </c>
      <c r="C50" s="78">
        <f>(C46+C47+C48)/(C47+C48+C49)</f>
        <v>1.1673964405617634</v>
      </c>
      <c r="D50" s="78">
        <f t="shared" ref="D50:J50" si="14">(D46+D47+D48)/(D47+D48+D49)</f>
        <v>1.0640719625584292</v>
      </c>
      <c r="E50" s="78">
        <f t="shared" si="14"/>
        <v>1.0717343905150503</v>
      </c>
      <c r="F50" s="78">
        <f t="shared" si="14"/>
        <v>1.2024379217093832</v>
      </c>
      <c r="G50" s="78">
        <f t="shared" si="14"/>
        <v>1.2696111001898458</v>
      </c>
      <c r="H50" s="78">
        <f t="shared" si="14"/>
        <v>1.3490229308117867</v>
      </c>
      <c r="I50" s="78">
        <f t="shared" si="14"/>
        <v>1.497469881867636</v>
      </c>
      <c r="J50" s="78">
        <f t="shared" si="14"/>
        <v>1.2105316628704885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J85"/>
  <sheetViews>
    <sheetView workbookViewId="0">
      <selection activeCell="I85" sqref="I85"/>
    </sheetView>
  </sheetViews>
  <sheetFormatPr defaultRowHeight="15" x14ac:dyDescent="0.25"/>
  <cols>
    <col min="2" max="2" width="38.28515625" bestFit="1" customWidth="1"/>
    <col min="3" max="3" width="14.28515625" customWidth="1"/>
    <col min="4" max="7" width="15.28515625" customWidth="1"/>
    <col min="8" max="8" width="14.28515625" customWidth="1"/>
    <col min="9" max="9" width="14.28515625" bestFit="1" customWidth="1"/>
  </cols>
  <sheetData>
    <row r="2" spans="2:9" x14ac:dyDescent="0.25">
      <c r="B2" s="10" t="s">
        <v>53</v>
      </c>
      <c r="C2" s="10"/>
      <c r="D2" s="10"/>
      <c r="E2" s="10"/>
      <c r="F2" s="10"/>
      <c r="G2" s="10"/>
      <c r="H2" s="10"/>
      <c r="I2" s="10"/>
    </row>
    <row r="4" spans="2:9" x14ac:dyDescent="0.25">
      <c r="B4" s="7" t="s">
        <v>51</v>
      </c>
      <c r="C4" s="6" t="s">
        <v>50</v>
      </c>
      <c r="D4" s="6" t="s">
        <v>49</v>
      </c>
      <c r="E4" s="6" t="s">
        <v>48</v>
      </c>
      <c r="F4" s="6" t="s">
        <v>47</v>
      </c>
      <c r="G4" s="6" t="s">
        <v>46</v>
      </c>
      <c r="H4" s="6" t="s">
        <v>45</v>
      </c>
      <c r="I4" s="6" t="s">
        <v>44</v>
      </c>
    </row>
    <row r="6" spans="2:9" x14ac:dyDescent="0.25">
      <c r="B6" s="4" t="s">
        <v>265</v>
      </c>
    </row>
    <row r="7" spans="2:9" x14ac:dyDescent="0.25">
      <c r="B7" s="168" t="s">
        <v>266</v>
      </c>
      <c r="C7" s="125">
        <v>111328</v>
      </c>
      <c r="D7" s="125">
        <v>1101910</v>
      </c>
      <c r="E7" s="125">
        <v>595395</v>
      </c>
      <c r="F7" s="125">
        <v>395644.08</v>
      </c>
      <c r="G7" s="125">
        <v>175000</v>
      </c>
      <c r="H7" s="125">
        <v>0</v>
      </c>
      <c r="I7" s="125">
        <v>0</v>
      </c>
    </row>
    <row r="8" spans="2:9" x14ac:dyDescent="0.25">
      <c r="B8" s="168" t="s">
        <v>267</v>
      </c>
      <c r="C8" s="125">
        <v>8214345</v>
      </c>
      <c r="D8" s="125">
        <v>25276682.98</v>
      </c>
      <c r="E8" s="125">
        <v>13892886.050000001</v>
      </c>
      <c r="F8" s="125">
        <v>4910027.8</v>
      </c>
      <c r="G8" s="125">
        <v>851310</v>
      </c>
      <c r="H8" s="125">
        <v>360975</v>
      </c>
      <c r="I8" s="125">
        <v>0</v>
      </c>
    </row>
    <row r="9" spans="2:9" x14ac:dyDescent="0.25">
      <c r="B9" s="168" t="s">
        <v>268</v>
      </c>
      <c r="C9" s="125">
        <v>24150</v>
      </c>
      <c r="D9" s="125">
        <v>26400</v>
      </c>
      <c r="E9" s="125">
        <v>243180</v>
      </c>
      <c r="F9" s="125">
        <v>23474.57</v>
      </c>
      <c r="G9" s="125">
        <v>0</v>
      </c>
      <c r="H9" s="125">
        <v>0</v>
      </c>
      <c r="I9" s="125">
        <v>0</v>
      </c>
    </row>
    <row r="10" spans="2:9" x14ac:dyDescent="0.25">
      <c r="B10" s="168" t="s">
        <v>269</v>
      </c>
      <c r="C10" s="125">
        <v>11647521</v>
      </c>
      <c r="D10" s="125">
        <v>36340720</v>
      </c>
      <c r="E10" s="125">
        <v>33345229</v>
      </c>
      <c r="F10" s="125">
        <v>25733126</v>
      </c>
      <c r="G10" s="125">
        <v>38206007</v>
      </c>
      <c r="H10" s="125">
        <v>19274448</v>
      </c>
      <c r="I10" s="125">
        <v>2833121</v>
      </c>
    </row>
    <row r="11" spans="2:9" x14ac:dyDescent="0.25">
      <c r="B11" s="168" t="s">
        <v>270</v>
      </c>
      <c r="C11" s="125">
        <v>13725326</v>
      </c>
      <c r="D11" s="125">
        <v>46060298</v>
      </c>
      <c r="E11" s="125">
        <v>19876201</v>
      </c>
      <c r="F11" s="125">
        <v>13646698</v>
      </c>
      <c r="G11" s="125">
        <v>56789341</v>
      </c>
      <c r="H11" s="125">
        <v>14198222</v>
      </c>
      <c r="I11" s="125">
        <v>5577315</v>
      </c>
    </row>
    <row r="12" spans="2:9" x14ac:dyDescent="0.25">
      <c r="B12" s="168" t="s">
        <v>321</v>
      </c>
      <c r="C12" s="125">
        <v>0</v>
      </c>
      <c r="D12" s="125">
        <v>0</v>
      </c>
      <c r="E12" s="125">
        <v>0</v>
      </c>
      <c r="F12" s="125">
        <v>0</v>
      </c>
      <c r="G12" s="125">
        <v>2105000</v>
      </c>
      <c r="H12" s="125">
        <v>272043</v>
      </c>
      <c r="I12" s="125">
        <v>0</v>
      </c>
    </row>
    <row r="13" spans="2:9" x14ac:dyDescent="0.25">
      <c r="B13" s="168" t="s">
        <v>271</v>
      </c>
      <c r="C13" s="125">
        <v>0</v>
      </c>
      <c r="D13" s="125">
        <v>158970</v>
      </c>
      <c r="E13" s="125">
        <v>152958</v>
      </c>
      <c r="F13" s="125">
        <v>0</v>
      </c>
      <c r="G13" s="125">
        <v>0</v>
      </c>
      <c r="H13" s="125">
        <v>0</v>
      </c>
      <c r="I13" s="125">
        <v>8900002</v>
      </c>
    </row>
    <row r="14" spans="2:9" x14ac:dyDescent="0.25">
      <c r="B14" s="168" t="s">
        <v>316</v>
      </c>
      <c r="C14" s="125">
        <v>5620</v>
      </c>
      <c r="D14" s="125">
        <v>434259.8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</row>
    <row r="15" spans="2:9" x14ac:dyDescent="0.25">
      <c r="B15" s="168" t="s">
        <v>272</v>
      </c>
      <c r="C15" s="125">
        <v>0</v>
      </c>
      <c r="D15" s="125">
        <v>1107170</v>
      </c>
      <c r="E15" s="125">
        <v>361100</v>
      </c>
      <c r="F15" s="125">
        <v>0</v>
      </c>
      <c r="G15" s="125">
        <v>0</v>
      </c>
      <c r="H15" s="125">
        <v>396834.74</v>
      </c>
      <c r="I15" s="125">
        <v>0</v>
      </c>
    </row>
    <row r="16" spans="2:9" x14ac:dyDescent="0.25">
      <c r="B16" s="168" t="s">
        <v>273</v>
      </c>
      <c r="C16" s="125">
        <v>0</v>
      </c>
      <c r="D16" s="125">
        <v>9864963.2599999998</v>
      </c>
      <c r="E16" s="125">
        <v>4555112</v>
      </c>
      <c r="F16" s="125">
        <v>7578772.5</v>
      </c>
      <c r="G16" s="125">
        <v>26862883.629999999</v>
      </c>
      <c r="H16" s="125">
        <v>9559435.0899999999</v>
      </c>
      <c r="I16" s="125">
        <v>2083090</v>
      </c>
    </row>
    <row r="17" spans="1:10" x14ac:dyDescent="0.25">
      <c r="B17" s="168" t="s">
        <v>322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3408154.9</v>
      </c>
      <c r="I17" s="125">
        <v>0</v>
      </c>
    </row>
    <row r="18" spans="1:10" x14ac:dyDescent="0.25">
      <c r="B18" s="168" t="s">
        <v>317</v>
      </c>
      <c r="C18" s="125">
        <v>0</v>
      </c>
      <c r="D18" s="125">
        <v>3600000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</row>
    <row r="19" spans="1:10" x14ac:dyDescent="0.25">
      <c r="B19" s="168" t="s">
        <v>274</v>
      </c>
      <c r="C19" s="125">
        <v>0</v>
      </c>
      <c r="D19" s="125">
        <v>1480874</v>
      </c>
      <c r="E19" s="125">
        <v>466842</v>
      </c>
      <c r="F19" s="125">
        <v>0</v>
      </c>
      <c r="G19" s="125">
        <v>0</v>
      </c>
      <c r="H19" s="125">
        <v>0</v>
      </c>
      <c r="I19" s="125">
        <v>0</v>
      </c>
    </row>
    <row r="20" spans="1:10" x14ac:dyDescent="0.25">
      <c r="A20" s="132"/>
      <c r="B20" s="133" t="s">
        <v>338</v>
      </c>
      <c r="C20" s="135">
        <f>SUM(C7:C19)</f>
        <v>33728290</v>
      </c>
      <c r="D20" s="135">
        <f>SUM(D7:D19)</f>
        <v>125452248.04000001</v>
      </c>
      <c r="E20" s="135">
        <f>SUM(E7:E19)</f>
        <v>73488903.049999997</v>
      </c>
      <c r="F20" s="135">
        <f>SUM(F7:F19)</f>
        <v>52287742.950000003</v>
      </c>
      <c r="G20" s="135">
        <f t="shared" ref="G20:I20" si="0">SUM(G7:G19)</f>
        <v>124989541.63</v>
      </c>
      <c r="H20" s="135">
        <f t="shared" si="0"/>
        <v>47470112.729999997</v>
      </c>
      <c r="I20" s="135">
        <f t="shared" si="0"/>
        <v>19393528</v>
      </c>
      <c r="J20" s="132"/>
    </row>
    <row r="22" spans="1:10" x14ac:dyDescent="0.25">
      <c r="B22" s="4" t="s">
        <v>275</v>
      </c>
    </row>
    <row r="23" spans="1:10" x14ac:dyDescent="0.25">
      <c r="B23" s="130" t="s">
        <v>276</v>
      </c>
      <c r="C23" s="127">
        <v>30000</v>
      </c>
      <c r="D23" s="127">
        <v>30000</v>
      </c>
      <c r="E23" s="127">
        <v>30000</v>
      </c>
      <c r="F23" s="127">
        <v>30000</v>
      </c>
      <c r="G23" s="127">
        <v>30000</v>
      </c>
      <c r="H23" s="127">
        <v>30000</v>
      </c>
      <c r="I23" s="127">
        <v>0</v>
      </c>
    </row>
    <row r="24" spans="1:10" x14ac:dyDescent="0.25">
      <c r="B24" s="130" t="s">
        <v>318</v>
      </c>
      <c r="C24" s="127">
        <v>20000</v>
      </c>
      <c r="D24" s="127">
        <v>60400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</row>
    <row r="25" spans="1:10" x14ac:dyDescent="0.25">
      <c r="B25" s="168" t="s">
        <v>324</v>
      </c>
      <c r="C25" s="125">
        <v>0</v>
      </c>
      <c r="D25" s="125">
        <v>0</v>
      </c>
      <c r="E25" s="125">
        <v>0</v>
      </c>
      <c r="F25" s="125">
        <v>0</v>
      </c>
      <c r="G25" s="125">
        <v>65000</v>
      </c>
      <c r="H25" s="125">
        <v>251802</v>
      </c>
      <c r="I25" s="125">
        <v>380000</v>
      </c>
    </row>
    <row r="26" spans="1:10" x14ac:dyDescent="0.25">
      <c r="B26" s="128" t="s">
        <v>325</v>
      </c>
      <c r="C26" s="127">
        <v>0</v>
      </c>
      <c r="D26" s="127">
        <v>0</v>
      </c>
      <c r="E26" s="127">
        <v>0</v>
      </c>
      <c r="F26" s="127">
        <v>0</v>
      </c>
      <c r="G26" s="127">
        <v>400000</v>
      </c>
      <c r="H26" s="127">
        <v>500000</v>
      </c>
      <c r="I26" s="127">
        <v>0</v>
      </c>
    </row>
    <row r="27" spans="1:10" x14ac:dyDescent="0.25">
      <c r="B27" s="129" t="s">
        <v>277</v>
      </c>
      <c r="C27" s="127">
        <v>1200000</v>
      </c>
      <c r="D27" s="127">
        <v>1200000</v>
      </c>
      <c r="E27" s="127">
        <v>1200000</v>
      </c>
      <c r="F27" s="127">
        <v>960000</v>
      </c>
      <c r="G27" s="127">
        <v>480000</v>
      </c>
      <c r="H27" s="127">
        <v>480000</v>
      </c>
      <c r="I27" s="127">
        <v>480000</v>
      </c>
    </row>
    <row r="28" spans="1:10" x14ac:dyDescent="0.25">
      <c r="B28" s="129" t="s">
        <v>330</v>
      </c>
      <c r="C28" s="127">
        <v>107181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</row>
    <row r="29" spans="1:10" x14ac:dyDescent="0.25">
      <c r="B29" s="129" t="s">
        <v>278</v>
      </c>
      <c r="C29" s="127">
        <v>29500</v>
      </c>
      <c r="D29" s="127">
        <v>2380786.64</v>
      </c>
      <c r="E29" s="127">
        <v>4228821.8499999996</v>
      </c>
      <c r="F29" s="127">
        <v>1650639.4</v>
      </c>
      <c r="G29" s="127">
        <v>348326.22</v>
      </c>
      <c r="H29" s="127">
        <v>197696</v>
      </c>
      <c r="I29" s="127">
        <v>61950</v>
      </c>
    </row>
    <row r="30" spans="1:10" x14ac:dyDescent="0.25">
      <c r="B30" s="168" t="s">
        <v>328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5429333</v>
      </c>
    </row>
    <row r="31" spans="1:10" x14ac:dyDescent="0.25">
      <c r="B31" s="168" t="s">
        <v>319</v>
      </c>
      <c r="C31" s="125">
        <v>0</v>
      </c>
      <c r="D31" s="125">
        <v>91319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</row>
    <row r="32" spans="1:10" x14ac:dyDescent="0.25">
      <c r="B32" s="129" t="s">
        <v>279</v>
      </c>
      <c r="C32" s="127">
        <v>0</v>
      </c>
      <c r="D32" s="127">
        <v>0</v>
      </c>
      <c r="E32" s="127">
        <v>200000</v>
      </c>
      <c r="F32" s="127">
        <v>0</v>
      </c>
      <c r="G32" s="127">
        <v>0</v>
      </c>
      <c r="H32" s="127">
        <v>0</v>
      </c>
      <c r="I32" s="127">
        <v>0</v>
      </c>
    </row>
    <row r="33" spans="2:9" x14ac:dyDescent="0.25">
      <c r="B33" s="129" t="s">
        <v>280</v>
      </c>
      <c r="C33" s="127">
        <v>313750</v>
      </c>
      <c r="D33" s="127">
        <v>90191</v>
      </c>
      <c r="E33" s="127">
        <v>715999</v>
      </c>
      <c r="F33" s="127">
        <v>134888</v>
      </c>
      <c r="G33" s="127">
        <v>975962</v>
      </c>
      <c r="H33" s="127">
        <v>0</v>
      </c>
      <c r="I33" s="127">
        <v>0</v>
      </c>
    </row>
    <row r="34" spans="2:9" x14ac:dyDescent="0.25">
      <c r="B34" s="168" t="s">
        <v>281</v>
      </c>
      <c r="C34" s="125">
        <v>0</v>
      </c>
      <c r="D34" s="125">
        <v>1666846</v>
      </c>
      <c r="E34" s="125">
        <v>602244</v>
      </c>
      <c r="F34" s="125">
        <v>4080636.5</v>
      </c>
      <c r="G34" s="125">
        <v>5508160.3799999999</v>
      </c>
      <c r="H34" s="125">
        <v>0</v>
      </c>
      <c r="I34" s="125">
        <v>0</v>
      </c>
    </row>
    <row r="35" spans="2:9" x14ac:dyDescent="0.25">
      <c r="B35" s="129" t="s">
        <v>320</v>
      </c>
      <c r="C35" s="127">
        <v>1215262</v>
      </c>
      <c r="D35" s="127">
        <v>1233296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</row>
    <row r="36" spans="2:9" x14ac:dyDescent="0.25">
      <c r="B36" s="168" t="s">
        <v>282</v>
      </c>
      <c r="C36" s="125">
        <v>24057673.100000001</v>
      </c>
      <c r="D36" s="125">
        <v>72054979.599999994</v>
      </c>
      <c r="E36" s="125">
        <v>59496504.329999998</v>
      </c>
      <c r="F36" s="125">
        <v>31593709.550000001</v>
      </c>
      <c r="G36" s="125">
        <v>345266.13</v>
      </c>
      <c r="H36" s="125">
        <v>0</v>
      </c>
      <c r="I36" s="125">
        <v>0</v>
      </c>
    </row>
    <row r="37" spans="2:9" x14ac:dyDescent="0.25">
      <c r="B37" s="168" t="s">
        <v>283</v>
      </c>
      <c r="C37" s="125">
        <v>92050</v>
      </c>
      <c r="D37" s="125">
        <v>72838</v>
      </c>
      <c r="E37" s="125">
        <v>36247</v>
      </c>
      <c r="F37" s="125">
        <v>6555</v>
      </c>
      <c r="G37" s="125">
        <v>182130</v>
      </c>
      <c r="H37" s="125">
        <v>5355</v>
      </c>
      <c r="I37" s="125">
        <v>0</v>
      </c>
    </row>
    <row r="38" spans="2:9" x14ac:dyDescent="0.25">
      <c r="B38" s="129" t="s">
        <v>284</v>
      </c>
      <c r="C38" s="127">
        <v>146200</v>
      </c>
      <c r="D38" s="127">
        <v>53200</v>
      </c>
      <c r="E38" s="127">
        <v>15900</v>
      </c>
      <c r="F38" s="127">
        <v>0</v>
      </c>
      <c r="G38" s="127">
        <v>0</v>
      </c>
      <c r="H38" s="127">
        <v>0</v>
      </c>
      <c r="I38" s="127">
        <v>0</v>
      </c>
    </row>
    <row r="39" spans="2:9" x14ac:dyDescent="0.25">
      <c r="B39" s="168" t="s">
        <v>285</v>
      </c>
      <c r="C39" s="125">
        <v>124991.75</v>
      </c>
      <c r="D39" s="125">
        <v>585184.6</v>
      </c>
      <c r="E39" s="125">
        <v>309380</v>
      </c>
      <c r="F39" s="125">
        <v>1127066</v>
      </c>
      <c r="G39" s="125">
        <v>66500</v>
      </c>
      <c r="H39" s="125">
        <v>0</v>
      </c>
      <c r="I39" s="125">
        <v>0</v>
      </c>
    </row>
    <row r="40" spans="2:9" x14ac:dyDescent="0.25">
      <c r="B40" s="129" t="s">
        <v>286</v>
      </c>
      <c r="C40" s="127">
        <v>29500</v>
      </c>
      <c r="D40" s="127">
        <v>436982</v>
      </c>
      <c r="E40" s="127">
        <v>302400</v>
      </c>
      <c r="F40" s="127">
        <v>402538</v>
      </c>
      <c r="G40" s="127">
        <v>0</v>
      </c>
      <c r="H40" s="127">
        <v>0</v>
      </c>
      <c r="I40" s="127">
        <v>0</v>
      </c>
    </row>
    <row r="41" spans="2:9" x14ac:dyDescent="0.25">
      <c r="B41" s="168" t="s">
        <v>287</v>
      </c>
      <c r="C41" s="125">
        <v>750000</v>
      </c>
      <c r="D41" s="125">
        <v>1889368.6</v>
      </c>
      <c r="E41" s="125">
        <v>1194666.55</v>
      </c>
      <c r="F41" s="125">
        <v>0</v>
      </c>
      <c r="G41" s="125">
        <v>808064</v>
      </c>
      <c r="H41" s="125">
        <v>300000</v>
      </c>
      <c r="I41" s="125">
        <v>87600</v>
      </c>
    </row>
    <row r="42" spans="2:9" x14ac:dyDescent="0.25">
      <c r="B42" s="168" t="s">
        <v>326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567890</v>
      </c>
      <c r="I42" s="125">
        <v>0</v>
      </c>
    </row>
    <row r="43" spans="2:9" x14ac:dyDescent="0.25">
      <c r="B43" s="129" t="s">
        <v>288</v>
      </c>
      <c r="C43" s="127">
        <v>306000</v>
      </c>
      <c r="D43" s="127">
        <v>2174850</v>
      </c>
      <c r="E43" s="127">
        <v>3141956</v>
      </c>
      <c r="F43" s="127">
        <v>311477</v>
      </c>
      <c r="G43" s="127">
        <v>454275</v>
      </c>
      <c r="H43" s="127">
        <v>552250</v>
      </c>
      <c r="I43" s="127">
        <v>260000</v>
      </c>
    </row>
    <row r="44" spans="2:9" x14ac:dyDescent="0.25">
      <c r="B44" s="168" t="s">
        <v>289</v>
      </c>
      <c r="C44" s="125"/>
      <c r="D44" s="125">
        <v>925000</v>
      </c>
      <c r="E44" s="125">
        <v>1808500</v>
      </c>
      <c r="F44" s="125">
        <v>140000</v>
      </c>
      <c r="G44" s="125">
        <v>320000</v>
      </c>
      <c r="H44" s="125">
        <v>0</v>
      </c>
      <c r="I44" s="125">
        <v>0</v>
      </c>
    </row>
    <row r="45" spans="2:9" x14ac:dyDescent="0.25">
      <c r="B45" s="129" t="s">
        <v>290</v>
      </c>
      <c r="C45" s="127">
        <v>352172.9</v>
      </c>
      <c r="D45" s="127">
        <v>369225</v>
      </c>
      <c r="E45" s="127">
        <v>1410522.85</v>
      </c>
      <c r="F45" s="127">
        <v>345768</v>
      </c>
      <c r="G45" s="127">
        <v>263744</v>
      </c>
      <c r="H45" s="127">
        <v>230</v>
      </c>
      <c r="I45" s="127">
        <v>617830</v>
      </c>
    </row>
    <row r="46" spans="2:9" x14ac:dyDescent="0.25">
      <c r="B46" s="129" t="s">
        <v>291</v>
      </c>
      <c r="C46" s="127">
        <v>898075.05</v>
      </c>
      <c r="D46" s="127">
        <v>476828</v>
      </c>
      <c r="E46" s="127">
        <v>486891</v>
      </c>
      <c r="F46" s="127">
        <v>187209</v>
      </c>
      <c r="G46" s="127">
        <v>520623</v>
      </c>
      <c r="H46" s="127">
        <v>127450</v>
      </c>
      <c r="I46" s="127">
        <v>32000</v>
      </c>
    </row>
    <row r="47" spans="2:9" x14ac:dyDescent="0.25">
      <c r="B47" s="129" t="s">
        <v>292</v>
      </c>
      <c r="C47" s="127">
        <v>22650</v>
      </c>
      <c r="D47" s="127">
        <v>0</v>
      </c>
      <c r="E47" s="127">
        <v>140000</v>
      </c>
      <c r="F47" s="127">
        <v>0</v>
      </c>
      <c r="G47" s="127">
        <v>0</v>
      </c>
      <c r="H47" s="127">
        <v>0</v>
      </c>
      <c r="I47" s="127">
        <v>0</v>
      </c>
    </row>
    <row r="48" spans="2:9" x14ac:dyDescent="0.25">
      <c r="B48" s="129" t="s">
        <v>331</v>
      </c>
      <c r="C48" s="127">
        <v>24328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</row>
    <row r="49" spans="2:9" x14ac:dyDescent="0.25">
      <c r="B49" s="168" t="s">
        <v>293</v>
      </c>
      <c r="C49" s="125">
        <v>136230</v>
      </c>
      <c r="D49" s="125">
        <v>27616.46</v>
      </c>
      <c r="E49" s="125">
        <v>1500</v>
      </c>
      <c r="F49" s="125">
        <v>0</v>
      </c>
      <c r="G49" s="125">
        <v>0</v>
      </c>
      <c r="H49" s="125">
        <v>0</v>
      </c>
      <c r="I49" s="125">
        <v>0</v>
      </c>
    </row>
    <row r="50" spans="2:9" x14ac:dyDescent="0.25">
      <c r="B50" s="129" t="s">
        <v>294</v>
      </c>
      <c r="C50" s="127">
        <v>50637</v>
      </c>
      <c r="D50" s="127">
        <v>190126</v>
      </c>
      <c r="E50" s="127">
        <v>320530</v>
      </c>
      <c r="F50" s="127">
        <v>255038</v>
      </c>
      <c r="G50" s="127">
        <v>74212</v>
      </c>
      <c r="H50" s="127">
        <v>15695</v>
      </c>
      <c r="I50" s="127">
        <v>0</v>
      </c>
    </row>
    <row r="51" spans="2:9" x14ac:dyDescent="0.25">
      <c r="B51" s="129" t="s">
        <v>295</v>
      </c>
      <c r="C51" s="127">
        <v>0</v>
      </c>
      <c r="D51" s="127">
        <v>839254</v>
      </c>
      <c r="E51" s="127">
        <v>899948</v>
      </c>
      <c r="F51" s="127">
        <v>165402.48000000001</v>
      </c>
      <c r="G51" s="127">
        <v>0</v>
      </c>
      <c r="H51" s="127">
        <v>0</v>
      </c>
      <c r="I51" s="127">
        <v>0</v>
      </c>
    </row>
    <row r="52" spans="2:9" x14ac:dyDescent="0.25">
      <c r="B52" s="168" t="s">
        <v>296</v>
      </c>
      <c r="C52" s="125">
        <v>365260.38</v>
      </c>
      <c r="D52" s="125">
        <v>585347</v>
      </c>
      <c r="E52" s="125">
        <v>1121300</v>
      </c>
      <c r="F52" s="125">
        <v>0</v>
      </c>
      <c r="G52" s="125">
        <v>0</v>
      </c>
      <c r="H52" s="125">
        <v>11800</v>
      </c>
      <c r="I52" s="125"/>
    </row>
    <row r="53" spans="2:9" x14ac:dyDescent="0.25">
      <c r="B53" s="129" t="s">
        <v>327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492394.63</v>
      </c>
      <c r="I53" s="127">
        <v>0</v>
      </c>
    </row>
    <row r="54" spans="2:9" x14ac:dyDescent="0.25">
      <c r="B54" s="129" t="s">
        <v>297</v>
      </c>
      <c r="C54" s="127">
        <v>0</v>
      </c>
      <c r="D54" s="127">
        <v>6900</v>
      </c>
      <c r="E54" s="127">
        <v>27871</v>
      </c>
      <c r="F54" s="127">
        <v>5800</v>
      </c>
      <c r="G54" s="127">
        <v>22256</v>
      </c>
      <c r="H54" s="127">
        <v>28142</v>
      </c>
      <c r="I54" s="127">
        <v>0</v>
      </c>
    </row>
    <row r="55" spans="2:9" x14ac:dyDescent="0.25">
      <c r="B55" s="168" t="s">
        <v>298</v>
      </c>
      <c r="C55" s="125">
        <v>0</v>
      </c>
      <c r="D55" s="125">
        <v>48600</v>
      </c>
      <c r="E55" s="125">
        <v>24300</v>
      </c>
      <c r="F55" s="125">
        <v>33125</v>
      </c>
      <c r="G55" s="125">
        <v>0</v>
      </c>
      <c r="H55" s="125">
        <v>0</v>
      </c>
      <c r="I55" s="125">
        <v>0</v>
      </c>
    </row>
    <row r="56" spans="2:9" x14ac:dyDescent="0.25">
      <c r="B56" s="168" t="s">
        <v>299</v>
      </c>
      <c r="C56" s="125">
        <v>0</v>
      </c>
      <c r="D56" s="125">
        <v>820315</v>
      </c>
      <c r="E56" s="125">
        <v>1033897</v>
      </c>
      <c r="F56" s="125">
        <v>6413860</v>
      </c>
      <c r="G56" s="125">
        <v>0</v>
      </c>
      <c r="H56" s="125">
        <v>0</v>
      </c>
      <c r="I56" s="125">
        <v>0</v>
      </c>
    </row>
    <row r="57" spans="2:9" x14ac:dyDescent="0.25">
      <c r="B57" s="129" t="s">
        <v>300</v>
      </c>
      <c r="C57" s="127">
        <v>0</v>
      </c>
      <c r="D57" s="127">
        <v>683200</v>
      </c>
      <c r="E57" s="127">
        <v>528168</v>
      </c>
      <c r="F57" s="127">
        <v>998291</v>
      </c>
      <c r="G57" s="127">
        <v>239313</v>
      </c>
      <c r="H57" s="127">
        <v>421565</v>
      </c>
      <c r="I57" s="127">
        <v>20187</v>
      </c>
    </row>
    <row r="58" spans="2:9" x14ac:dyDescent="0.25">
      <c r="B58" s="168" t="s">
        <v>301</v>
      </c>
      <c r="C58" s="125">
        <v>0</v>
      </c>
      <c r="D58" s="125">
        <v>46439.5</v>
      </c>
      <c r="E58" s="125">
        <v>63464.800000000003</v>
      </c>
      <c r="F58" s="125">
        <v>30884.49</v>
      </c>
      <c r="G58" s="125">
        <v>0</v>
      </c>
      <c r="H58" s="125">
        <v>0</v>
      </c>
      <c r="I58" s="125">
        <v>0</v>
      </c>
    </row>
    <row r="59" spans="2:9" x14ac:dyDescent="0.25">
      <c r="B59" s="168" t="s">
        <v>302</v>
      </c>
      <c r="C59" s="125">
        <v>0</v>
      </c>
      <c r="D59" s="125">
        <v>0</v>
      </c>
      <c r="E59" s="125">
        <v>16698743.17</v>
      </c>
      <c r="F59" s="125">
        <v>0</v>
      </c>
      <c r="G59" s="125">
        <v>0</v>
      </c>
      <c r="H59" s="125">
        <v>0</v>
      </c>
      <c r="I59" s="125">
        <v>0</v>
      </c>
    </row>
    <row r="60" spans="2:9" x14ac:dyDescent="0.25">
      <c r="B60" s="168" t="s">
        <v>303</v>
      </c>
      <c r="C60" s="125">
        <v>0</v>
      </c>
      <c r="D60" s="125">
        <v>1885.35</v>
      </c>
      <c r="E60" s="125">
        <v>1181.47</v>
      </c>
      <c r="F60" s="125">
        <v>0.25</v>
      </c>
      <c r="G60" s="125">
        <v>0.91</v>
      </c>
      <c r="H60" s="125">
        <v>1.86</v>
      </c>
      <c r="I60" s="125">
        <v>0</v>
      </c>
    </row>
    <row r="61" spans="2:9" x14ac:dyDescent="0.25">
      <c r="B61" s="133" t="s">
        <v>338</v>
      </c>
      <c r="C61" s="134">
        <f t="shared" ref="C61:D61" si="1">SUM(C23:C60)</f>
        <v>30271461.18</v>
      </c>
      <c r="D61" s="134">
        <f t="shared" si="1"/>
        <v>89040977.74999997</v>
      </c>
      <c r="E61" s="134">
        <f>SUM(E23:E60)</f>
        <v>96040936.019999996</v>
      </c>
      <c r="F61" s="134">
        <f t="shared" ref="F61:I61" si="2">SUM(F23:F60)</f>
        <v>48872887.670000002</v>
      </c>
      <c r="G61" s="134">
        <f t="shared" si="2"/>
        <v>11103832.640000001</v>
      </c>
      <c r="H61" s="134">
        <f t="shared" si="2"/>
        <v>3982271.4899999998</v>
      </c>
      <c r="I61" s="134">
        <f t="shared" si="2"/>
        <v>7368900</v>
      </c>
    </row>
    <row r="63" spans="2:9" x14ac:dyDescent="0.25">
      <c r="B63" s="4" t="s">
        <v>304</v>
      </c>
    </row>
    <row r="64" spans="2:9" x14ac:dyDescent="0.25">
      <c r="B64" s="167" t="s">
        <v>305</v>
      </c>
      <c r="C64" s="125">
        <v>478776.5</v>
      </c>
      <c r="D64" s="125">
        <v>1198736.5</v>
      </c>
      <c r="E64" s="125">
        <v>1109959.29</v>
      </c>
      <c r="F64" s="125">
        <v>2642711.0499999998</v>
      </c>
      <c r="G64" s="125">
        <v>1193409.8799999999</v>
      </c>
      <c r="H64" s="125">
        <v>0</v>
      </c>
      <c r="I64" s="125">
        <v>388641</v>
      </c>
    </row>
    <row r="65" spans="2:9" x14ac:dyDescent="0.25">
      <c r="B65" s="167" t="s">
        <v>306</v>
      </c>
      <c r="C65" s="125">
        <v>52850</v>
      </c>
      <c r="D65" s="125">
        <v>53750</v>
      </c>
      <c r="E65" s="125">
        <v>70250</v>
      </c>
      <c r="F65" s="125">
        <v>21950</v>
      </c>
      <c r="G65" s="125">
        <v>55140</v>
      </c>
      <c r="H65" s="125">
        <v>18547</v>
      </c>
      <c r="I65" s="125">
        <v>33355</v>
      </c>
    </row>
    <row r="66" spans="2:9" x14ac:dyDescent="0.25">
      <c r="B66" s="167" t="s">
        <v>307</v>
      </c>
      <c r="C66" s="125">
        <v>400781.16</v>
      </c>
      <c r="D66" s="125">
        <v>4745032.9000000004</v>
      </c>
      <c r="E66" s="125">
        <v>2397725.69</v>
      </c>
      <c r="F66" s="125">
        <v>754611.42</v>
      </c>
      <c r="G66" s="125">
        <v>921992</v>
      </c>
      <c r="H66" s="125">
        <v>374178.78</v>
      </c>
      <c r="I66" s="126"/>
    </row>
    <row r="67" spans="2:9" x14ac:dyDescent="0.25">
      <c r="B67" s="167" t="s">
        <v>96</v>
      </c>
      <c r="C67" s="125">
        <v>556656.97</v>
      </c>
      <c r="D67" s="125">
        <v>352907</v>
      </c>
      <c r="E67" s="125">
        <v>615599.85</v>
      </c>
      <c r="F67" s="125">
        <v>158032</v>
      </c>
      <c r="G67" s="125">
        <v>47834</v>
      </c>
      <c r="H67" s="125">
        <v>176287</v>
      </c>
      <c r="I67" s="125">
        <v>982280</v>
      </c>
    </row>
    <row r="68" spans="2:9" x14ac:dyDescent="0.25">
      <c r="B68" s="167" t="s">
        <v>308</v>
      </c>
      <c r="C68" s="125"/>
      <c r="D68" s="125">
        <v>169045.4</v>
      </c>
      <c r="E68" s="125">
        <v>268400</v>
      </c>
      <c r="F68" s="125">
        <v>51853</v>
      </c>
      <c r="G68" s="125">
        <v>56975.1</v>
      </c>
      <c r="H68" s="125">
        <v>38987.11</v>
      </c>
      <c r="I68" s="126"/>
    </row>
    <row r="69" spans="2:9" x14ac:dyDescent="0.25">
      <c r="B69" s="167" t="s">
        <v>340</v>
      </c>
      <c r="C69" s="125"/>
      <c r="D69" s="125">
        <v>82176.13</v>
      </c>
      <c r="E69" s="125">
        <v>11100.46</v>
      </c>
      <c r="F69" s="125">
        <v>285504.92</v>
      </c>
      <c r="G69" s="125">
        <v>28391.75</v>
      </c>
      <c r="H69" s="125">
        <v>0</v>
      </c>
      <c r="I69" s="126"/>
    </row>
    <row r="70" spans="2:9" x14ac:dyDescent="0.25">
      <c r="B70" s="167" t="s">
        <v>339</v>
      </c>
      <c r="C70" s="125"/>
      <c r="D70" s="125">
        <v>718171.04</v>
      </c>
      <c r="E70" s="125">
        <v>0</v>
      </c>
      <c r="F70" s="125">
        <v>37152</v>
      </c>
      <c r="G70" s="125">
        <v>24264</v>
      </c>
      <c r="H70" s="125">
        <v>60854</v>
      </c>
      <c r="I70" s="125">
        <v>6081718</v>
      </c>
    </row>
    <row r="71" spans="2:9" x14ac:dyDescent="0.25">
      <c r="B71" s="128" t="s">
        <v>309</v>
      </c>
      <c r="C71" s="127">
        <v>712945</v>
      </c>
      <c r="D71" s="127">
        <v>737699</v>
      </c>
      <c r="E71" s="127">
        <v>280455.71000000002</v>
      </c>
      <c r="F71" s="127">
        <v>138810</v>
      </c>
      <c r="G71" s="127">
        <v>35133</v>
      </c>
      <c r="H71" s="127">
        <v>131191</v>
      </c>
      <c r="I71" s="127">
        <v>305000</v>
      </c>
    </row>
    <row r="72" spans="2:9" x14ac:dyDescent="0.25">
      <c r="B72" s="128" t="s">
        <v>310</v>
      </c>
      <c r="C72" s="127">
        <v>1852060</v>
      </c>
      <c r="D72" s="127">
        <v>5191084</v>
      </c>
      <c r="E72" s="127">
        <v>4637184</v>
      </c>
      <c r="F72" s="127">
        <v>3801167</v>
      </c>
      <c r="G72" s="127">
        <v>5348723</v>
      </c>
      <c r="H72" s="127">
        <v>1509750</v>
      </c>
      <c r="I72" s="127">
        <v>854780</v>
      </c>
    </row>
    <row r="73" spans="2:9" x14ac:dyDescent="0.25">
      <c r="B73" s="128" t="s">
        <v>311</v>
      </c>
      <c r="C73" s="127">
        <v>144657</v>
      </c>
      <c r="D73" s="127">
        <v>81350</v>
      </c>
      <c r="E73" s="127">
        <v>188563</v>
      </c>
      <c r="F73" s="127">
        <v>0</v>
      </c>
      <c r="G73" s="127">
        <v>0</v>
      </c>
      <c r="H73" s="127">
        <v>0</v>
      </c>
      <c r="I73" s="129"/>
    </row>
    <row r="74" spans="2:9" x14ac:dyDescent="0.25">
      <c r="B74" s="128" t="s">
        <v>323</v>
      </c>
      <c r="C74" s="127"/>
      <c r="D74" s="127">
        <v>0</v>
      </c>
      <c r="E74" s="127">
        <v>0</v>
      </c>
      <c r="F74" s="127">
        <v>0</v>
      </c>
      <c r="G74" s="127">
        <v>0</v>
      </c>
      <c r="H74" s="127">
        <v>10800</v>
      </c>
      <c r="I74" s="129"/>
    </row>
    <row r="75" spans="2:9" x14ac:dyDescent="0.25">
      <c r="B75" s="128" t="s">
        <v>312</v>
      </c>
      <c r="C75" s="127">
        <v>1269465</v>
      </c>
      <c r="D75" s="127">
        <v>1047500</v>
      </c>
      <c r="E75" s="127">
        <v>424112</v>
      </c>
      <c r="F75" s="127">
        <v>1219000</v>
      </c>
      <c r="G75" s="127">
        <v>0</v>
      </c>
      <c r="H75" s="127">
        <v>48680</v>
      </c>
      <c r="I75" s="129"/>
    </row>
    <row r="76" spans="2:9" x14ac:dyDescent="0.25">
      <c r="B76" s="168" t="s">
        <v>329</v>
      </c>
      <c r="C76" s="125"/>
      <c r="D76" s="125"/>
      <c r="E76" s="125"/>
      <c r="F76" s="125"/>
      <c r="G76" s="125"/>
      <c r="H76" s="125"/>
      <c r="I76" s="125">
        <v>3163030</v>
      </c>
    </row>
    <row r="77" spans="2:9" x14ac:dyDescent="0.25">
      <c r="B77" s="128" t="s">
        <v>313</v>
      </c>
      <c r="C77" s="127">
        <v>1023440</v>
      </c>
      <c r="D77" s="127">
        <v>4630506</v>
      </c>
      <c r="E77" s="127">
        <v>1145499</v>
      </c>
      <c r="F77" s="127">
        <v>4510</v>
      </c>
      <c r="G77" s="127">
        <v>73930</v>
      </c>
      <c r="H77" s="127">
        <v>45920</v>
      </c>
      <c r="I77" s="127">
        <v>489350</v>
      </c>
    </row>
    <row r="78" spans="2:9" x14ac:dyDescent="0.25">
      <c r="B78" s="128" t="s">
        <v>314</v>
      </c>
      <c r="C78" s="127"/>
      <c r="D78" s="127">
        <v>86652</v>
      </c>
      <c r="E78" s="127">
        <v>74280</v>
      </c>
      <c r="F78" s="127">
        <v>14050</v>
      </c>
      <c r="G78" s="129"/>
      <c r="H78" s="129"/>
      <c r="I78" s="129"/>
    </row>
    <row r="79" spans="2:9" x14ac:dyDescent="0.25">
      <c r="B79" s="128" t="s">
        <v>315</v>
      </c>
      <c r="C79" s="127"/>
      <c r="D79" s="127">
        <v>0</v>
      </c>
      <c r="E79" s="127">
        <v>42394</v>
      </c>
      <c r="F79" s="127">
        <v>7560</v>
      </c>
      <c r="G79" s="127">
        <v>15500</v>
      </c>
      <c r="H79" s="127">
        <v>0</v>
      </c>
      <c r="I79" s="129"/>
    </row>
    <row r="80" spans="2:9" x14ac:dyDescent="0.25">
      <c r="B80" s="133" t="s">
        <v>337</v>
      </c>
      <c r="C80" s="135">
        <f t="shared" ref="C80:D80" si="3">SUM(C64:C79)</f>
        <v>6491631.6299999999</v>
      </c>
      <c r="D80" s="135">
        <f t="shared" si="3"/>
        <v>19094609.969999999</v>
      </c>
      <c r="E80" s="135">
        <f>SUM(E64:E79)</f>
        <v>11265523</v>
      </c>
      <c r="F80" s="135">
        <f t="shared" ref="F80:I80" si="4">SUM(F64:F79)</f>
        <v>9136911.3900000006</v>
      </c>
      <c r="G80" s="135">
        <f t="shared" si="4"/>
        <v>7801292.7300000004</v>
      </c>
      <c r="H80" s="135">
        <f t="shared" si="4"/>
        <v>2415194.89</v>
      </c>
      <c r="I80" s="135">
        <f t="shared" si="4"/>
        <v>12298154</v>
      </c>
    </row>
    <row r="82" spans="2:9" x14ac:dyDescent="0.25">
      <c r="B82" s="133" t="s">
        <v>336</v>
      </c>
      <c r="C82" s="134">
        <f t="shared" ref="C82:D82" si="5">C80+C61+C20</f>
        <v>70491382.810000002</v>
      </c>
      <c r="D82" s="134">
        <f t="shared" si="5"/>
        <v>233587835.75999999</v>
      </c>
      <c r="E82" s="134">
        <f>E80+E61+E20</f>
        <v>180795362.06999999</v>
      </c>
      <c r="F82" s="134">
        <f t="shared" ref="F82:H82" si="6">F80+F61+F20</f>
        <v>110297542.01000001</v>
      </c>
      <c r="G82" s="134">
        <f t="shared" si="6"/>
        <v>143894667</v>
      </c>
      <c r="H82" s="134">
        <f t="shared" si="6"/>
        <v>53867579.109999999</v>
      </c>
      <c r="I82" s="134">
        <f t="shared" ref="I82" si="7">I80+I61+I20</f>
        <v>39060582</v>
      </c>
    </row>
    <row r="85" spans="2:9" x14ac:dyDescent="0.25">
      <c r="I85" s="181">
        <f>SUM(I77:I79,I71:I75,I57,I53:I54,I50:I51,I45:I48,I43,I40,I35,I38,I32:I33,I26:I29,I23:I24)</f>
        <v>3121097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S38"/>
  <sheetViews>
    <sheetView tabSelected="1" topLeftCell="D55" workbookViewId="0">
      <selection activeCell="P66" sqref="P66"/>
    </sheetView>
  </sheetViews>
  <sheetFormatPr defaultRowHeight="15" x14ac:dyDescent="0.25"/>
  <cols>
    <col min="2" max="2" width="42.85546875" customWidth="1"/>
    <col min="3" max="3" width="9.28515625" bestFit="1" customWidth="1"/>
    <col min="4" max="4" width="10" bestFit="1" customWidth="1"/>
    <col min="5" max="5" width="9.7109375" bestFit="1" customWidth="1"/>
    <col min="6" max="6" width="11.7109375" bestFit="1" customWidth="1"/>
    <col min="7" max="9" width="9.28515625" bestFit="1" customWidth="1"/>
    <col min="10" max="10" width="8.5703125" customWidth="1"/>
    <col min="11" max="11" width="9.140625" customWidth="1"/>
    <col min="12" max="12" width="27" customWidth="1"/>
    <col min="18" max="18" width="10.5703125" bestFit="1" customWidth="1"/>
    <col min="19" max="19" width="9.5703125" bestFit="1" customWidth="1"/>
  </cols>
  <sheetData>
    <row r="2" spans="2:19" x14ac:dyDescent="0.25">
      <c r="B2" s="10" t="s">
        <v>53</v>
      </c>
      <c r="C2" s="10"/>
      <c r="D2" s="10"/>
      <c r="E2" s="10"/>
      <c r="F2" s="10"/>
      <c r="G2" s="10"/>
      <c r="H2" s="10"/>
      <c r="I2" s="10"/>
    </row>
    <row r="4" spans="2:19" x14ac:dyDescent="0.25">
      <c r="B4" s="9" t="s">
        <v>52</v>
      </c>
      <c r="C4" s="9"/>
      <c r="D4" s="9"/>
      <c r="E4" s="9"/>
      <c r="F4" s="9"/>
      <c r="G4" s="9"/>
      <c r="H4" s="9"/>
      <c r="I4" s="9"/>
      <c r="L4" s="9" t="s">
        <v>341</v>
      </c>
      <c r="M4" s="8"/>
      <c r="N4" s="8"/>
      <c r="O4" s="8"/>
      <c r="P4" s="8"/>
      <c r="Q4" s="8"/>
      <c r="R4" s="8"/>
      <c r="S4" s="8"/>
    </row>
    <row r="6" spans="2:19" x14ac:dyDescent="0.25">
      <c r="B6" s="7" t="s">
        <v>51</v>
      </c>
      <c r="C6" s="6" t="s">
        <v>50</v>
      </c>
      <c r="D6" s="6" t="s">
        <v>49</v>
      </c>
      <c r="E6" s="6" t="s">
        <v>48</v>
      </c>
      <c r="F6" s="6" t="s">
        <v>47</v>
      </c>
      <c r="G6" s="6" t="s">
        <v>46</v>
      </c>
      <c r="H6" s="6" t="s">
        <v>45</v>
      </c>
      <c r="I6" s="6" t="s">
        <v>44</v>
      </c>
      <c r="L6" s="7" t="s">
        <v>51</v>
      </c>
      <c r="M6" s="171" t="s">
        <v>50</v>
      </c>
      <c r="N6" s="171" t="s">
        <v>49</v>
      </c>
      <c r="O6" s="171" t="s">
        <v>48</v>
      </c>
      <c r="P6" s="171" t="s">
        <v>47</v>
      </c>
      <c r="Q6" s="171" t="s">
        <v>46</v>
      </c>
      <c r="R6" s="171" t="s">
        <v>45</v>
      </c>
      <c r="S6" s="171" t="s">
        <v>44</v>
      </c>
    </row>
    <row r="7" spans="2:19" x14ac:dyDescent="0.25">
      <c r="B7" t="s">
        <v>43</v>
      </c>
      <c r="C7" s="169">
        <f>492319984.22/10^5</f>
        <v>4923.1998422000006</v>
      </c>
      <c r="D7" s="169">
        <f>1478637015.27/10^5</f>
        <v>14786.370152699999</v>
      </c>
      <c r="E7" s="169">
        <f>909004069.69/10^5</f>
        <v>9090.0406969000014</v>
      </c>
      <c r="F7" s="169">
        <f>1065235586.26/10^5</f>
        <v>10652.355862599999</v>
      </c>
      <c r="G7" s="169">
        <f>7033.84</f>
        <v>7033.84</v>
      </c>
      <c r="H7" s="169">
        <f>167597130.82/10^5</f>
        <v>1675.9713081999998</v>
      </c>
      <c r="I7" s="169">
        <f>280277717.69/10^5</f>
        <v>2802.7771769000001</v>
      </c>
      <c r="L7" s="5" t="s">
        <v>42</v>
      </c>
      <c r="M7" s="172"/>
      <c r="N7" s="172"/>
      <c r="O7" s="172"/>
      <c r="P7" s="172"/>
      <c r="Q7" s="172"/>
      <c r="R7" s="172"/>
      <c r="S7" s="172"/>
    </row>
    <row r="8" spans="2:19" x14ac:dyDescent="0.25">
      <c r="B8" t="s">
        <v>41</v>
      </c>
      <c r="C8" s="169">
        <f>3113738.74/10^5</f>
        <v>31.137387400000001</v>
      </c>
      <c r="D8" s="169">
        <f>10718109.98/10^5</f>
        <v>107.1810998</v>
      </c>
      <c r="E8" s="169">
        <f>1539664.47/10^5</f>
        <v>15.3966447</v>
      </c>
      <c r="F8" s="169">
        <f>1638586.51/10^5</f>
        <v>16.3858651</v>
      </c>
      <c r="G8" s="169">
        <f>4.03</f>
        <v>4.03</v>
      </c>
      <c r="H8" s="169">
        <f>779879.6/10^5</f>
        <v>7.7987959999999994</v>
      </c>
      <c r="I8" s="169">
        <f>41697125/10^5</f>
        <v>416.97125</v>
      </c>
      <c r="L8" s="4" t="s">
        <v>40</v>
      </c>
      <c r="M8" s="172"/>
      <c r="N8" s="172"/>
      <c r="O8" s="172"/>
      <c r="P8" s="172"/>
      <c r="Q8" s="172"/>
      <c r="R8" s="172"/>
      <c r="S8" s="172"/>
    </row>
    <row r="9" spans="2:19" x14ac:dyDescent="0.25">
      <c r="B9" s="2" t="s">
        <v>39</v>
      </c>
      <c r="C9" s="170">
        <f t="shared" ref="C9:I9" si="0">SUM(C7:C8)</f>
        <v>4954.3372296000007</v>
      </c>
      <c r="D9" s="170">
        <f t="shared" si="0"/>
        <v>14893.551252499999</v>
      </c>
      <c r="E9" s="170">
        <f t="shared" si="0"/>
        <v>9105.4373416000017</v>
      </c>
      <c r="F9" s="170">
        <f t="shared" si="0"/>
        <v>10668.741727699999</v>
      </c>
      <c r="G9" s="170">
        <f t="shared" si="0"/>
        <v>7037.87</v>
      </c>
      <c r="H9" s="170">
        <f t="shared" si="0"/>
        <v>1683.7701041999999</v>
      </c>
      <c r="I9" s="170">
        <f t="shared" si="0"/>
        <v>3219.7484269000001</v>
      </c>
      <c r="L9" t="s">
        <v>38</v>
      </c>
      <c r="M9" s="169">
        <f>85000000/10^5</f>
        <v>850</v>
      </c>
      <c r="N9" s="169">
        <f>85000000/10^5</f>
        <v>850</v>
      </c>
      <c r="O9" s="169">
        <f>200000000/10^5</f>
        <v>2000</v>
      </c>
      <c r="P9" s="169">
        <f t="shared" ref="P9:S9" si="1">200000000/10^5</f>
        <v>2000</v>
      </c>
      <c r="Q9" s="169">
        <f t="shared" si="1"/>
        <v>2000</v>
      </c>
      <c r="R9" s="169">
        <f t="shared" si="1"/>
        <v>2000</v>
      </c>
      <c r="S9" s="169">
        <f t="shared" si="1"/>
        <v>2000</v>
      </c>
    </row>
    <row r="10" spans="2:19" x14ac:dyDescent="0.25">
      <c r="B10" t="s">
        <v>37</v>
      </c>
      <c r="C10" s="169">
        <f>400299081/10^5</f>
        <v>4002.9908099999998</v>
      </c>
      <c r="D10" s="169">
        <f>1443545033/10^5</f>
        <v>14435.45033</v>
      </c>
      <c r="E10" s="169">
        <f>812198148.2/10^5</f>
        <v>8121.9814820000001</v>
      </c>
      <c r="F10" s="169">
        <f>827118441.25/10^5</f>
        <v>8271.1844125000007</v>
      </c>
      <c r="G10" s="169">
        <f>3601.16</f>
        <v>3601.16</v>
      </c>
      <c r="H10" s="169">
        <f>71828985/10^5</f>
        <v>718.28985</v>
      </c>
      <c r="I10" s="169" t="s">
        <v>36</v>
      </c>
      <c r="L10" t="s">
        <v>35</v>
      </c>
      <c r="M10" s="169">
        <f>82923842.63/10^5</f>
        <v>829.2384262999999</v>
      </c>
      <c r="N10" s="169">
        <f t="shared" ref="N10:Q10" si="2">M10+D21</f>
        <v>854.9013389999983</v>
      </c>
      <c r="O10" s="169">
        <f t="shared" si="2"/>
        <v>873.26678929999969</v>
      </c>
      <c r="P10" s="169">
        <f t="shared" si="2"/>
        <v>885.52856019999831</v>
      </c>
      <c r="Q10" s="169">
        <f t="shared" si="2"/>
        <v>918.72856019999881</v>
      </c>
      <c r="R10" s="169">
        <f>93160066.04/10^5</f>
        <v>931.60066040000004</v>
      </c>
      <c r="S10" s="169">
        <f>+R10+I21</f>
        <v>1009.2198395</v>
      </c>
    </row>
    <row r="11" spans="2:19" x14ac:dyDescent="0.25">
      <c r="B11" t="s">
        <v>34</v>
      </c>
      <c r="C11" s="169">
        <f>-10423103.83/10^5</f>
        <v>-104.23103829999999</v>
      </c>
      <c r="D11" s="169">
        <f>-257083403.97/10^5</f>
        <v>-2570.8340397000002</v>
      </c>
      <c r="E11" s="169">
        <f>-144578036.41/10^5</f>
        <v>-1445.7803641</v>
      </c>
      <c r="F11" s="169">
        <f>75650580.34/10^5</f>
        <v>756.50580339999999</v>
      </c>
      <c r="G11" s="169">
        <f>1328.51</f>
        <v>1328.51</v>
      </c>
      <c r="H11" s="169">
        <f>-26596793.62/10^5</f>
        <v>-265.9679362</v>
      </c>
      <c r="I11" s="169">
        <f>200125729.42/10^5</f>
        <v>2001.2572941999999</v>
      </c>
      <c r="L11" s="2" t="s">
        <v>33</v>
      </c>
      <c r="M11" s="170">
        <f t="shared" ref="M11:S11" si="3">SUM(M9:M10)</f>
        <v>1679.2384262999999</v>
      </c>
      <c r="N11" s="170">
        <f t="shared" si="3"/>
        <v>1704.9013389999982</v>
      </c>
      <c r="O11" s="170">
        <f t="shared" si="3"/>
        <v>2873.2667892999998</v>
      </c>
      <c r="P11" s="170">
        <f t="shared" si="3"/>
        <v>2885.5285601999985</v>
      </c>
      <c r="Q11" s="170">
        <f t="shared" si="3"/>
        <v>2918.7285601999988</v>
      </c>
      <c r="R11" s="170">
        <f t="shared" si="3"/>
        <v>2931.6006603999999</v>
      </c>
      <c r="S11" s="170">
        <f t="shared" si="3"/>
        <v>3009.2198395</v>
      </c>
    </row>
    <row r="12" spans="2:19" x14ac:dyDescent="0.25">
      <c r="B12" t="s">
        <v>32</v>
      </c>
      <c r="C12" s="169">
        <f>14292626/10^5</f>
        <v>142.92626000000001</v>
      </c>
      <c r="D12" s="169">
        <f>25680652/10^5</f>
        <v>256.80651999999998</v>
      </c>
      <c r="E12" s="169">
        <f>26494792.64/10^5</f>
        <v>264.94792640000003</v>
      </c>
      <c r="F12" s="169">
        <f>15183906/10^5</f>
        <v>151.83905999999999</v>
      </c>
      <c r="G12" s="169">
        <f>182.98</f>
        <v>182.98</v>
      </c>
      <c r="H12" s="169">
        <f>12783889/10^5</f>
        <v>127.83889000000001</v>
      </c>
      <c r="I12" s="169">
        <f>9758242/10^5</f>
        <v>97.582419999999999</v>
      </c>
      <c r="L12" s="4" t="s">
        <v>31</v>
      </c>
      <c r="M12" s="172"/>
      <c r="N12" s="172"/>
      <c r="O12" s="172"/>
      <c r="P12" s="172"/>
      <c r="Q12" s="172"/>
      <c r="R12" s="172"/>
      <c r="S12" s="172"/>
    </row>
    <row r="13" spans="2:19" x14ac:dyDescent="0.25">
      <c r="B13" t="s">
        <v>30</v>
      </c>
      <c r="C13" s="169">
        <f>70491382.81/10^5</f>
        <v>704.91382810000005</v>
      </c>
      <c r="D13" s="169">
        <f>233587835.76/10^5</f>
        <v>2335.8783576000001</v>
      </c>
      <c r="E13" s="169">
        <f>180795362.07/10^5</f>
        <v>1807.9536206999999</v>
      </c>
      <c r="F13" s="169">
        <f>110297542.01/10^5</f>
        <v>1102.9754201000001</v>
      </c>
      <c r="G13" s="169">
        <f>1438.95</f>
        <v>1438.95</v>
      </c>
      <c r="H13" s="169">
        <f>53867579.11/10^5</f>
        <v>538.67579109999997</v>
      </c>
      <c r="I13" s="169">
        <f>39060582/10^5</f>
        <v>390.60581999999999</v>
      </c>
      <c r="L13" t="s">
        <v>29</v>
      </c>
      <c r="M13" s="169">
        <f>55285454.57/10^5</f>
        <v>552.85454570000002</v>
      </c>
      <c r="N13" s="169">
        <f>452743231/10^5</f>
        <v>4527.4323100000001</v>
      </c>
      <c r="O13" s="169">
        <f>443803472/10^5</f>
        <v>4438.0347199999997</v>
      </c>
      <c r="P13" s="169">
        <f>515203499/10^5</f>
        <v>5152.0349900000001</v>
      </c>
      <c r="Q13" s="169">
        <f>1253.31</f>
        <v>1253.31</v>
      </c>
      <c r="R13" s="169">
        <f>137661562.23/10^5</f>
        <v>1376.6156222999998</v>
      </c>
      <c r="S13" s="169">
        <f>124623257.23/10^5</f>
        <v>1246.2325723000001</v>
      </c>
    </row>
    <row r="14" spans="2:19" x14ac:dyDescent="0.25">
      <c r="B14" s="2" t="s">
        <v>28</v>
      </c>
      <c r="C14" s="170">
        <f>SUM(C10:C13)</f>
        <v>4746.5998598000006</v>
      </c>
      <c r="D14" s="170">
        <f t="shared" ref="D14:I14" si="4">SUM(D10:D13)</f>
        <v>14457.301167900001</v>
      </c>
      <c r="E14" s="170">
        <f t="shared" si="4"/>
        <v>8749.1026650000003</v>
      </c>
      <c r="F14" s="170">
        <f t="shared" si="4"/>
        <v>10282.504696</v>
      </c>
      <c r="G14" s="170">
        <f t="shared" si="4"/>
        <v>6551.5999999999995</v>
      </c>
      <c r="H14" s="170">
        <f t="shared" si="4"/>
        <v>1118.8365948999999</v>
      </c>
      <c r="I14" s="170">
        <f t="shared" si="4"/>
        <v>2489.4455342000001</v>
      </c>
      <c r="L14" t="s">
        <v>27</v>
      </c>
      <c r="M14" s="169">
        <f t="shared" ref="M14:Q14" si="5">7368802.1/10^5</f>
        <v>73.688020999999992</v>
      </c>
      <c r="N14" s="169">
        <f t="shared" si="5"/>
        <v>73.688020999999992</v>
      </c>
      <c r="O14" s="169">
        <f t="shared" si="5"/>
        <v>73.688020999999992</v>
      </c>
      <c r="P14" s="169">
        <f t="shared" si="5"/>
        <v>73.688020999999992</v>
      </c>
      <c r="Q14" s="169">
        <f t="shared" si="5"/>
        <v>73.688020999999992</v>
      </c>
      <c r="R14" s="169">
        <f>7368802.1/10^5</f>
        <v>73.688020999999992</v>
      </c>
      <c r="S14" s="169">
        <f>7368802.1/10^5</f>
        <v>73.688020999999992</v>
      </c>
    </row>
    <row r="15" spans="2:19" x14ac:dyDescent="0.25">
      <c r="B15" s="2" t="s">
        <v>26</v>
      </c>
      <c r="C15" s="170">
        <f t="shared" ref="C15:I15" si="6">C9-C14</f>
        <v>207.73736980000012</v>
      </c>
      <c r="D15" s="170">
        <f t="shared" si="6"/>
        <v>436.25008459999844</v>
      </c>
      <c r="E15" s="170">
        <f t="shared" si="6"/>
        <v>356.33467660000133</v>
      </c>
      <c r="F15" s="170">
        <f t="shared" si="6"/>
        <v>386.23703169999862</v>
      </c>
      <c r="G15" s="170">
        <f t="shared" si="6"/>
        <v>486.27000000000044</v>
      </c>
      <c r="H15" s="170">
        <f t="shared" si="6"/>
        <v>564.93350929999997</v>
      </c>
      <c r="I15" s="170">
        <f t="shared" si="6"/>
        <v>730.30289270000003</v>
      </c>
      <c r="L15" s="2" t="s">
        <v>25</v>
      </c>
      <c r="M15" s="170">
        <f t="shared" ref="M15:S15" si="7">SUM(M13:M14)</f>
        <v>626.54256669999995</v>
      </c>
      <c r="N15" s="170">
        <f t="shared" si="7"/>
        <v>4601.1203310000001</v>
      </c>
      <c r="O15" s="170">
        <f t="shared" si="7"/>
        <v>4511.7227409999996</v>
      </c>
      <c r="P15" s="170">
        <f t="shared" si="7"/>
        <v>5225.723011</v>
      </c>
      <c r="Q15" s="170">
        <f t="shared" si="7"/>
        <v>1326.9980209999999</v>
      </c>
      <c r="R15" s="170">
        <f t="shared" si="7"/>
        <v>1450.3036432999997</v>
      </c>
      <c r="S15" s="170">
        <f t="shared" si="7"/>
        <v>1319.9205933000001</v>
      </c>
    </row>
    <row r="16" spans="2:19" x14ac:dyDescent="0.25">
      <c r="B16" t="s">
        <v>24</v>
      </c>
      <c r="C16" s="169">
        <f>15426017.89/10^5</f>
        <v>154.2601789</v>
      </c>
      <c r="D16" s="169">
        <f>14803791.62/10^5</f>
        <v>148.03791619999998</v>
      </c>
      <c r="E16" s="169">
        <f>14096110.4/10^5</f>
        <v>140.96110400000001</v>
      </c>
      <c r="F16" s="169">
        <f>12823899.78/10^5</f>
        <v>128.23899779999999</v>
      </c>
      <c r="G16" s="169">
        <f>119.14</f>
        <v>119.14</v>
      </c>
      <c r="H16" s="169">
        <f>11105758/10^5</f>
        <v>111.05758</v>
      </c>
      <c r="I16" s="169">
        <f>8751515.21/10^5</f>
        <v>87.515152100000009</v>
      </c>
      <c r="L16" s="4" t="s">
        <v>23</v>
      </c>
      <c r="M16" s="172"/>
      <c r="N16" s="172"/>
      <c r="O16" s="172"/>
      <c r="P16" s="172"/>
      <c r="Q16" s="172"/>
      <c r="R16" s="172"/>
      <c r="S16" s="172"/>
    </row>
    <row r="17" spans="2:19" x14ac:dyDescent="0.25">
      <c r="B17" s="2" t="s">
        <v>22</v>
      </c>
      <c r="C17" s="170">
        <f t="shared" ref="C17:I17" si="8">C15-C16</f>
        <v>53.477190900000124</v>
      </c>
      <c r="D17" s="170">
        <f t="shared" si="8"/>
        <v>288.21216839999846</v>
      </c>
      <c r="E17" s="170">
        <f t="shared" si="8"/>
        <v>215.37357260000132</v>
      </c>
      <c r="F17" s="170">
        <f t="shared" si="8"/>
        <v>257.99803389999863</v>
      </c>
      <c r="G17" s="170">
        <f t="shared" si="8"/>
        <v>367.13000000000045</v>
      </c>
      <c r="H17" s="170">
        <f t="shared" si="8"/>
        <v>453.87592929999994</v>
      </c>
      <c r="I17" s="170">
        <f t="shared" si="8"/>
        <v>642.78774060000001</v>
      </c>
      <c r="L17" t="s">
        <v>21</v>
      </c>
      <c r="M17" s="172"/>
      <c r="N17" s="172"/>
      <c r="O17" s="169"/>
      <c r="P17" s="169"/>
      <c r="Q17" s="169">
        <f>3026.54</f>
        <v>3026.54</v>
      </c>
      <c r="R17" s="169">
        <f>303494746/10^5</f>
        <v>3034.9474599999999</v>
      </c>
      <c r="S17" s="169">
        <f>313801468/10^5</f>
        <v>3138.0146800000002</v>
      </c>
    </row>
    <row r="18" spans="2:19" x14ac:dyDescent="0.25">
      <c r="B18" t="s">
        <v>20</v>
      </c>
      <c r="C18" s="169">
        <f>10527.66/10^5</f>
        <v>0.1052766</v>
      </c>
      <c r="D18" s="169">
        <f>25353255.67/10^5</f>
        <v>253.53255670000001</v>
      </c>
      <c r="E18" s="169">
        <f>19055539.65/10^5</f>
        <v>190.55539649999997</v>
      </c>
      <c r="F18" s="169">
        <f>24142807.32/10^5</f>
        <v>241.4280732</v>
      </c>
      <c r="G18" s="169">
        <f>322.27</f>
        <v>322.27</v>
      </c>
      <c r="H18" s="169">
        <f>43647036.23/10^5</f>
        <v>436.47036229999998</v>
      </c>
      <c r="I18" s="169">
        <f>54978190.15/10^5</f>
        <v>549.7819015</v>
      </c>
      <c r="L18" t="s">
        <v>19</v>
      </c>
      <c r="M18" s="169">
        <f>125041112.45/10^5</f>
        <v>1250.4111245000001</v>
      </c>
      <c r="N18" s="169">
        <f>148860994.58/10^5</f>
        <v>1488.6099458000001</v>
      </c>
      <c r="O18" s="169">
        <f>56932036.1/10^5</f>
        <v>569.32036100000005</v>
      </c>
      <c r="P18" s="169">
        <f>66472465.52/10^5</f>
        <v>664.72465520000003</v>
      </c>
      <c r="Q18" s="169">
        <f>721.42</f>
        <v>721.42</v>
      </c>
      <c r="R18" s="169">
        <f>74619144.48/10^5</f>
        <v>746.1914448</v>
      </c>
      <c r="S18" s="169">
        <f>81156035.84/10^5</f>
        <v>811.56035840000004</v>
      </c>
    </row>
    <row r="19" spans="2:19" x14ac:dyDescent="0.25">
      <c r="B19" s="2" t="s">
        <v>18</v>
      </c>
      <c r="C19" s="170">
        <f t="shared" ref="C19:I19" si="9">C17-C18</f>
        <v>53.371914300000121</v>
      </c>
      <c r="D19" s="170">
        <f t="shared" si="9"/>
        <v>34.679611699998446</v>
      </c>
      <c r="E19" s="170">
        <f t="shared" si="9"/>
        <v>24.818176100001352</v>
      </c>
      <c r="F19" s="170">
        <f t="shared" si="9"/>
        <v>16.569960699998632</v>
      </c>
      <c r="G19" s="170">
        <f t="shared" si="9"/>
        <v>44.860000000000468</v>
      </c>
      <c r="H19" s="170">
        <f t="shared" si="9"/>
        <v>17.405566999999962</v>
      </c>
      <c r="I19" s="170">
        <f t="shared" si="9"/>
        <v>93.005839100000003</v>
      </c>
      <c r="L19" t="s">
        <v>17</v>
      </c>
      <c r="M19" s="169">
        <f>5493384.15/10^5</f>
        <v>54.933841500000007</v>
      </c>
      <c r="N19" s="169">
        <f>12339107.9/10^5</f>
        <v>123.391079</v>
      </c>
      <c r="O19" s="169">
        <f>9724163.75/10^5</f>
        <v>97.241637499999996</v>
      </c>
      <c r="P19" s="169">
        <f>7595930.66/10^5</f>
        <v>75.959306600000005</v>
      </c>
      <c r="Q19" s="169">
        <f>59.51</f>
        <v>59.51</v>
      </c>
      <c r="R19" s="169">
        <f>17476344.36/10^5</f>
        <v>174.76344359999999</v>
      </c>
      <c r="S19" s="169">
        <f>44686951.84/10^5</f>
        <v>446.86951840000006</v>
      </c>
    </row>
    <row r="20" spans="2:19" x14ac:dyDescent="0.25">
      <c r="B20" t="s">
        <v>16</v>
      </c>
      <c r="C20" s="169">
        <f>1349928.15/10^5</f>
        <v>13.499281499999999</v>
      </c>
      <c r="D20" s="169">
        <f>901669.9/10^5</f>
        <v>9.0166990000000009</v>
      </c>
      <c r="E20" s="169">
        <f>645272.58/10^5</f>
        <v>6.4527257999999996</v>
      </c>
      <c r="F20" s="169">
        <f>430818.98/10^5</f>
        <v>4.3081898000000001</v>
      </c>
      <c r="G20" s="169">
        <f>11.66</f>
        <v>11.66</v>
      </c>
      <c r="H20" s="169">
        <f>452544.74/10^5</f>
        <v>4.5254474</v>
      </c>
      <c r="I20" s="169">
        <f>1538666/10^5</f>
        <v>15.386659999999999</v>
      </c>
      <c r="L20" s="2" t="s">
        <v>15</v>
      </c>
      <c r="M20" s="170">
        <f t="shared" ref="M20:S20" si="10">SUM(M17:M19)</f>
        <v>1305.3449660000001</v>
      </c>
      <c r="N20" s="170">
        <f t="shared" si="10"/>
        <v>1612.0010248000001</v>
      </c>
      <c r="O20" s="170">
        <f t="shared" si="10"/>
        <v>666.56199850000007</v>
      </c>
      <c r="P20" s="170">
        <f t="shared" si="10"/>
        <v>740.68396180000002</v>
      </c>
      <c r="Q20" s="170">
        <f t="shared" si="10"/>
        <v>3807.4700000000003</v>
      </c>
      <c r="R20" s="170">
        <f t="shared" si="10"/>
        <v>3955.9023483999999</v>
      </c>
      <c r="S20" s="170">
        <f t="shared" si="10"/>
        <v>4396.4445568000001</v>
      </c>
    </row>
    <row r="21" spans="2:19" x14ac:dyDescent="0.25">
      <c r="B21" s="2" t="s">
        <v>14</v>
      </c>
      <c r="C21" s="170">
        <f t="shared" ref="C21:I21" si="11">C19-C20</f>
        <v>39.872632800000119</v>
      </c>
      <c r="D21" s="170">
        <f t="shared" si="11"/>
        <v>25.662912699998444</v>
      </c>
      <c r="E21" s="170">
        <f t="shared" si="11"/>
        <v>18.365450300001353</v>
      </c>
      <c r="F21" s="170">
        <f t="shared" si="11"/>
        <v>12.261770899998631</v>
      </c>
      <c r="G21" s="170">
        <f t="shared" si="11"/>
        <v>33.200000000000472</v>
      </c>
      <c r="H21" s="170">
        <f t="shared" si="11"/>
        <v>12.880119599999961</v>
      </c>
      <c r="I21" s="170">
        <f t="shared" si="11"/>
        <v>77.619179099999997</v>
      </c>
      <c r="L21" s="2" t="s">
        <v>13</v>
      </c>
      <c r="M21" s="170">
        <f t="shared" ref="M21:S21" si="12">M11+M15+M20</f>
        <v>3611.125959</v>
      </c>
      <c r="N21" s="170">
        <f t="shared" si="12"/>
        <v>7918.0226947999981</v>
      </c>
      <c r="O21" s="170">
        <f t="shared" si="12"/>
        <v>8051.5515287999997</v>
      </c>
      <c r="P21" s="170">
        <f t="shared" si="12"/>
        <v>8851.935532999998</v>
      </c>
      <c r="Q21" s="170">
        <f t="shared" si="12"/>
        <v>8053.1965811999989</v>
      </c>
      <c r="R21" s="170">
        <f t="shared" si="12"/>
        <v>8337.8066521000001</v>
      </c>
      <c r="S21" s="170">
        <f t="shared" si="12"/>
        <v>8725.5849896</v>
      </c>
    </row>
    <row r="22" spans="2:19" x14ac:dyDescent="0.25">
      <c r="M22" s="172"/>
      <c r="N22" s="172"/>
      <c r="O22" s="172"/>
      <c r="P22" s="172"/>
      <c r="Q22" s="172"/>
      <c r="R22" s="172"/>
      <c r="S22" s="172"/>
    </row>
    <row r="23" spans="2:19" x14ac:dyDescent="0.25">
      <c r="C23" s="58">
        <f>C20/C19</f>
        <v>0.25292856134260799</v>
      </c>
      <c r="D23" s="58">
        <f t="shared" ref="D23:I23" si="13">D20/D19</f>
        <v>0.25999999878892543</v>
      </c>
      <c r="E23" s="58">
        <f t="shared" si="13"/>
        <v>0.26000000056408851</v>
      </c>
      <c r="F23" s="58">
        <f t="shared" si="13"/>
        <v>0.26000000108632459</v>
      </c>
      <c r="G23" s="58">
        <f t="shared" si="13"/>
        <v>0.25991975033437087</v>
      </c>
      <c r="H23" s="58">
        <f t="shared" si="13"/>
        <v>0.25999999885094288</v>
      </c>
      <c r="I23" s="58">
        <f t="shared" si="13"/>
        <v>0.16543756982243063</v>
      </c>
      <c r="L23" s="5" t="s">
        <v>12</v>
      </c>
      <c r="M23" s="172"/>
      <c r="N23" s="172"/>
      <c r="O23" s="172"/>
      <c r="P23" s="172"/>
      <c r="Q23" s="172"/>
      <c r="R23" s="172"/>
      <c r="S23" s="172"/>
    </row>
    <row r="24" spans="2:19" ht="14.25" customHeight="1" x14ac:dyDescent="0.25">
      <c r="L24" s="4" t="s">
        <v>11</v>
      </c>
      <c r="M24" s="172"/>
      <c r="N24" s="172"/>
      <c r="O24" s="172"/>
      <c r="P24" s="172"/>
      <c r="Q24" s="172"/>
      <c r="R24" s="172"/>
      <c r="S24" s="172"/>
    </row>
    <row r="25" spans="2:19" x14ac:dyDescent="0.25">
      <c r="B25" t="s">
        <v>30</v>
      </c>
      <c r="C25" s="58">
        <f>C13/C9</f>
        <v>0.14228216518820072</v>
      </c>
      <c r="D25" s="58">
        <f t="shared" ref="D25:I25" si="14">D13/D9</f>
        <v>0.1568382394499703</v>
      </c>
      <c r="E25" s="58">
        <f t="shared" si="14"/>
        <v>0.19855758190109157</v>
      </c>
      <c r="F25" s="58">
        <f t="shared" si="14"/>
        <v>0.10338383365643466</v>
      </c>
      <c r="G25" s="58">
        <f t="shared" si="14"/>
        <v>0.2044581670306499</v>
      </c>
      <c r="H25" s="58">
        <f t="shared" si="14"/>
        <v>0.31992241087802065</v>
      </c>
      <c r="I25" s="58">
        <f t="shared" si="14"/>
        <v>0.1213156334627294</v>
      </c>
      <c r="L25" t="s">
        <v>10</v>
      </c>
      <c r="M25" s="169">
        <f>167475442.7/10^5</f>
        <v>1674.7544269999999</v>
      </c>
      <c r="N25" s="169">
        <f>167458234.75/10^5</f>
        <v>1674.5823475</v>
      </c>
      <c r="O25" s="169">
        <f>158296947.29/10^5</f>
        <v>1582.9694729</v>
      </c>
      <c r="P25" s="169">
        <f>150628503.79/10^5</f>
        <v>1506.2850378999999</v>
      </c>
      <c r="Q25" s="169">
        <f>1468.41</f>
        <v>1468.41</v>
      </c>
      <c r="R25" s="169">
        <f>139680156.22/10^5</f>
        <v>1396.8015622</v>
      </c>
      <c r="S25" s="169">
        <f>126506057.91/10^5</f>
        <v>1265.0605791</v>
      </c>
    </row>
    <row r="26" spans="2:19" x14ac:dyDescent="0.25">
      <c r="L26" t="s">
        <v>9</v>
      </c>
      <c r="M26" s="169">
        <f t="shared" ref="M26:R26" si="15">100000000/10^5</f>
        <v>1000</v>
      </c>
      <c r="N26" s="169">
        <f t="shared" si="15"/>
        <v>1000</v>
      </c>
      <c r="O26" s="169">
        <f t="shared" si="15"/>
        <v>1000</v>
      </c>
      <c r="P26" s="169">
        <f t="shared" si="15"/>
        <v>1000</v>
      </c>
      <c r="Q26" s="169">
        <f t="shared" si="15"/>
        <v>1000</v>
      </c>
      <c r="R26" s="169">
        <f t="shared" si="15"/>
        <v>1000</v>
      </c>
      <c r="S26" s="169">
        <f>100000000/10^5</f>
        <v>1000</v>
      </c>
    </row>
    <row r="27" spans="2:19" x14ac:dyDescent="0.25">
      <c r="L27" t="s">
        <v>8</v>
      </c>
      <c r="M27" s="169"/>
      <c r="N27" s="169"/>
      <c r="O27" s="169"/>
      <c r="P27" s="169"/>
      <c r="Q27" s="169">
        <f>24.73</f>
        <v>24.73</v>
      </c>
      <c r="R27" s="169">
        <f>2472738/10^5</f>
        <v>24.72738</v>
      </c>
      <c r="S27" s="169">
        <f>2472738/10^5</f>
        <v>24.72738</v>
      </c>
    </row>
    <row r="28" spans="2:19" x14ac:dyDescent="0.25">
      <c r="L28" s="2" t="s">
        <v>7</v>
      </c>
      <c r="M28" s="170">
        <f>SUM(M25:M26)</f>
        <v>2674.7544269999999</v>
      </c>
      <c r="N28" s="170">
        <f>SUM(N25:N26)</f>
        <v>2674.5823474999997</v>
      </c>
      <c r="O28" s="170">
        <f>SUM(O25:O26)</f>
        <v>2582.9694729000003</v>
      </c>
      <c r="P28" s="170">
        <f>SUM(P25:P26)</f>
        <v>2506.2850379000001</v>
      </c>
      <c r="Q28" s="170">
        <f>SUM(Q25:Q27)</f>
        <v>2493.14</v>
      </c>
      <c r="R28" s="170">
        <f>SUM(R25:R27)</f>
        <v>2421.5289422000001</v>
      </c>
      <c r="S28" s="170">
        <f>SUM(S25:S27)</f>
        <v>2289.7879590999996</v>
      </c>
    </row>
    <row r="29" spans="2:19" x14ac:dyDescent="0.25">
      <c r="B29" t="s">
        <v>152</v>
      </c>
      <c r="C29" s="58">
        <f t="shared" ref="C29:I29" si="16">C15/C9</f>
        <v>4.1930405657261298E-2</v>
      </c>
      <c r="D29" s="58">
        <f t="shared" si="16"/>
        <v>2.9291206456000241E-2</v>
      </c>
      <c r="E29" s="58">
        <f t="shared" si="16"/>
        <v>3.9134273646803927E-2</v>
      </c>
      <c r="F29" s="58">
        <f t="shared" si="16"/>
        <v>3.6202678962335783E-2</v>
      </c>
      <c r="G29" s="58">
        <f t="shared" si="16"/>
        <v>6.9093347845299843E-2</v>
      </c>
      <c r="H29" s="58">
        <f t="shared" si="16"/>
        <v>0.33551700905653842</v>
      </c>
      <c r="I29" s="58">
        <f t="shared" si="16"/>
        <v>0.22681986163842668</v>
      </c>
      <c r="L29" s="4" t="s">
        <v>6</v>
      </c>
      <c r="M29" s="172"/>
      <c r="N29" s="172"/>
      <c r="O29" s="172"/>
      <c r="P29" s="172"/>
      <c r="Q29" s="172"/>
      <c r="R29" s="172"/>
      <c r="S29" s="172"/>
    </row>
    <row r="30" spans="2:19" x14ac:dyDescent="0.25">
      <c r="B30" t="s">
        <v>153</v>
      </c>
      <c r="C30" s="58">
        <f t="shared" ref="C30:I30" si="17">C17/C9</f>
        <v>1.0794015106702319E-2</v>
      </c>
      <c r="D30" s="58">
        <f t="shared" si="17"/>
        <v>1.9351473903956907E-2</v>
      </c>
      <c r="E30" s="58">
        <f t="shared" si="17"/>
        <v>2.3653292480090366E-2</v>
      </c>
      <c r="F30" s="58">
        <f t="shared" si="17"/>
        <v>2.4182611266157127E-2</v>
      </c>
      <c r="G30" s="58">
        <f t="shared" si="17"/>
        <v>5.2164930582690568E-2</v>
      </c>
      <c r="H30" s="58">
        <f t="shared" si="17"/>
        <v>0.26955932295498702</v>
      </c>
      <c r="I30" s="58">
        <f t="shared" si="17"/>
        <v>0.19963911938886519</v>
      </c>
      <c r="L30" t="s">
        <v>5</v>
      </c>
      <c r="M30" s="169">
        <f>10423103.83/10^5</f>
        <v>104.23103829999999</v>
      </c>
      <c r="N30" s="169">
        <f>267506507.8/10^5</f>
        <v>2675.0650780000001</v>
      </c>
      <c r="O30" s="169">
        <f>412084544.21/10^5</f>
        <v>4120.8454420999997</v>
      </c>
      <c r="P30" s="169">
        <f>336433963.87/10^5</f>
        <v>3364.3396387000003</v>
      </c>
      <c r="Q30" s="169">
        <f>2035.82</f>
        <v>2035.82</v>
      </c>
      <c r="R30" s="169">
        <f>230179285.62/10^5</f>
        <v>2301.7928562000002</v>
      </c>
      <c r="S30" s="169">
        <f>30053556.2/10^5</f>
        <v>300.53556199999997</v>
      </c>
    </row>
    <row r="31" spans="2:19" x14ac:dyDescent="0.25">
      <c r="B31" t="s">
        <v>154</v>
      </c>
      <c r="C31" s="58">
        <f t="shared" ref="C31:I31" si="18">C21/C9</f>
        <v>8.0480255889281323E-3</v>
      </c>
      <c r="D31" s="58">
        <f t="shared" si="18"/>
        <v>1.7230888902799943E-3</v>
      </c>
      <c r="E31" s="58">
        <f t="shared" si="18"/>
        <v>2.0169761880733769E-3</v>
      </c>
      <c r="F31" s="58">
        <f t="shared" si="18"/>
        <v>1.1493174371409271E-3</v>
      </c>
      <c r="G31" s="58">
        <f t="shared" si="18"/>
        <v>4.7173363531864713E-3</v>
      </c>
      <c r="H31" s="58">
        <f t="shared" si="18"/>
        <v>7.6495713802447038E-3</v>
      </c>
      <c r="I31" s="58">
        <f t="shared" si="18"/>
        <v>2.4107218580034333E-2</v>
      </c>
      <c r="L31" t="s">
        <v>3</v>
      </c>
      <c r="M31" s="169">
        <f>67735588.39/10^5</f>
        <v>677.35588389999998</v>
      </c>
      <c r="N31" s="169">
        <f>201849449/10^5</f>
        <v>2018.49449</v>
      </c>
      <c r="O31" s="169">
        <f>92164666.84/10^5</f>
        <v>921.64666840000007</v>
      </c>
      <c r="P31" s="169">
        <f>267563319.33/10^5</f>
        <v>2675.6331933000001</v>
      </c>
      <c r="Q31" s="169">
        <f>3420.09</f>
        <v>3420.09</v>
      </c>
      <c r="R31" s="169">
        <f>344899694.36/10^5</f>
        <v>3448.9969436000001</v>
      </c>
      <c r="S31" s="169">
        <f>571449910.05/10^5</f>
        <v>5714.4991004999993</v>
      </c>
    </row>
    <row r="32" spans="2:19" x14ac:dyDescent="0.25">
      <c r="F32" s="3"/>
      <c r="L32" t="s">
        <v>4</v>
      </c>
      <c r="M32" s="169">
        <f>987735.51/10^5</f>
        <v>9.8773551000000008</v>
      </c>
      <c r="N32" s="169">
        <f>20872832.16/10^5</f>
        <v>208.72832160000002</v>
      </c>
      <c r="O32" s="169">
        <f>2345916.56/10^5</f>
        <v>23.459165600000002</v>
      </c>
      <c r="P32" s="169">
        <f>5588933.93/10^5</f>
        <v>55.889339299999996</v>
      </c>
      <c r="Q32" s="169">
        <f>12.75</f>
        <v>12.75</v>
      </c>
      <c r="R32" s="169">
        <f>7518161.22/10^5</f>
        <v>75.181612200000004</v>
      </c>
      <c r="S32" s="169">
        <f>8302398.46/10^5</f>
        <v>83.023984600000006</v>
      </c>
    </row>
    <row r="33" spans="12:19" x14ac:dyDescent="0.25">
      <c r="L33" t="s">
        <v>162</v>
      </c>
      <c r="M33" s="169">
        <f>10295662.48/10^5</f>
        <v>102.9566248</v>
      </c>
      <c r="N33" s="169">
        <f>21805219.96/10^5</f>
        <v>218.05219960000002</v>
      </c>
      <c r="O33" s="169">
        <f>12604479.39/10^5</f>
        <v>126.0447939</v>
      </c>
      <c r="P33" s="169">
        <f>15283741.42/10^5</f>
        <v>152.83741420000001</v>
      </c>
      <c r="Q33" s="169">
        <f>71.25</f>
        <v>71.25</v>
      </c>
      <c r="R33" s="169">
        <f>8590694.91/10^5</f>
        <v>85.906949100000006</v>
      </c>
      <c r="S33" s="169">
        <f>24949559.13/10^5</f>
        <v>249.4955913</v>
      </c>
    </row>
    <row r="34" spans="12:19" x14ac:dyDescent="0.25">
      <c r="L34" t="s">
        <v>345</v>
      </c>
      <c r="M34" s="169">
        <f>4195063/10^5</f>
        <v>41.950629999999997</v>
      </c>
      <c r="N34" s="169">
        <f>12310025.81/10^5</f>
        <v>123.1002581</v>
      </c>
      <c r="O34" s="169">
        <f>27658598.49/10^5</f>
        <v>276.58598489999997</v>
      </c>
      <c r="P34" s="169">
        <f>9695090.95/10^5</f>
        <v>96.950909499999995</v>
      </c>
      <c r="Q34" s="169">
        <f>20.15</f>
        <v>20.149999999999999</v>
      </c>
      <c r="R34" s="169">
        <f>439934.86/10^5</f>
        <v>4.3993485999999997</v>
      </c>
      <c r="S34" s="169">
        <f>8824279.33/10^5</f>
        <v>88.242793300000002</v>
      </c>
    </row>
    <row r="35" spans="12:19" x14ac:dyDescent="0.25">
      <c r="L35" s="2" t="s">
        <v>2</v>
      </c>
      <c r="M35" s="170">
        <f t="shared" ref="M35:S35" si="19">SUM(M30:M34)</f>
        <v>936.37153210000008</v>
      </c>
      <c r="N35" s="170">
        <f t="shared" si="19"/>
        <v>5243.4403473000002</v>
      </c>
      <c r="O35" s="170">
        <f t="shared" si="19"/>
        <v>5468.5820548999991</v>
      </c>
      <c r="P35" s="170">
        <f t="shared" si="19"/>
        <v>6345.6504950000008</v>
      </c>
      <c r="Q35" s="170">
        <f t="shared" si="19"/>
        <v>5560.0599999999995</v>
      </c>
      <c r="R35" s="170">
        <f t="shared" si="19"/>
        <v>5916.2777097000007</v>
      </c>
      <c r="S35" s="170">
        <f t="shared" si="19"/>
        <v>6435.7970316999999</v>
      </c>
    </row>
    <row r="36" spans="12:19" x14ac:dyDescent="0.25">
      <c r="L36" s="2" t="s">
        <v>1</v>
      </c>
      <c r="M36" s="170">
        <f t="shared" ref="M36:S36" si="20">M28+M35</f>
        <v>3611.1259590999998</v>
      </c>
      <c r="N36" s="170">
        <f t="shared" si="20"/>
        <v>7918.0226948</v>
      </c>
      <c r="O36" s="170">
        <f t="shared" si="20"/>
        <v>8051.5515277999993</v>
      </c>
      <c r="P36" s="170">
        <f t="shared" si="20"/>
        <v>8851.9355329000009</v>
      </c>
      <c r="Q36" s="170">
        <f t="shared" si="20"/>
        <v>8053.1999999999989</v>
      </c>
      <c r="R36" s="170">
        <f t="shared" si="20"/>
        <v>8337.8066519000004</v>
      </c>
      <c r="S36" s="170">
        <f t="shared" si="20"/>
        <v>8725.5849908</v>
      </c>
    </row>
    <row r="38" spans="12:19" x14ac:dyDescent="0.25">
      <c r="L38" t="s">
        <v>0</v>
      </c>
      <c r="M38" s="1">
        <f t="shared" ref="M38:S38" si="21">M21-M36</f>
        <v>-9.9999851954635233E-8</v>
      </c>
      <c r="N38" s="1">
        <f t="shared" si="21"/>
        <v>0</v>
      </c>
      <c r="O38" s="1">
        <f t="shared" si="21"/>
        <v>1.0000003385357559E-6</v>
      </c>
      <c r="P38" s="1">
        <f t="shared" si="21"/>
        <v>9.9997123470529914E-8</v>
      </c>
      <c r="Q38" s="1">
        <f t="shared" si="21"/>
        <v>-3.4187999999630847E-3</v>
      </c>
      <c r="R38" s="1">
        <f t="shared" si="21"/>
        <v>1.9999970390927047E-7</v>
      </c>
      <c r="S38" s="1">
        <f t="shared" si="21"/>
        <v>-1.2000000424450263E-6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N34"/>
  <sheetViews>
    <sheetView topLeftCell="A20" workbookViewId="0">
      <selection activeCell="J34" sqref="J34"/>
    </sheetView>
  </sheetViews>
  <sheetFormatPr defaultRowHeight="15" x14ac:dyDescent="0.25"/>
  <cols>
    <col min="1" max="1" width="9.140625" style="88"/>
    <col min="2" max="2" width="30.42578125" style="88" customWidth="1"/>
    <col min="3" max="3" width="13" style="88" bestFit="1" customWidth="1"/>
    <col min="4" max="11" width="9.140625" style="88"/>
    <col min="12" max="12" width="29" style="88" bestFit="1" customWidth="1"/>
    <col min="13" max="13" width="16.85546875" style="88" bestFit="1" customWidth="1"/>
    <col min="14" max="16384" width="9.140625" style="88"/>
  </cols>
  <sheetData>
    <row r="2" spans="2:13" x14ac:dyDescent="0.25">
      <c r="B2" s="90" t="str">
        <f>Historicals!B2</f>
        <v>Al-Saqib Exports Private Limited</v>
      </c>
      <c r="C2" s="90"/>
      <c r="D2" s="90"/>
      <c r="E2" s="90"/>
      <c r="F2" s="90"/>
      <c r="G2" s="90"/>
      <c r="H2" s="90"/>
      <c r="I2" s="90"/>
    </row>
    <row r="4" spans="2:13" x14ac:dyDescent="0.25">
      <c r="B4" s="111" t="s">
        <v>127</v>
      </c>
      <c r="C4" s="92" t="s">
        <v>104</v>
      </c>
      <c r="D4" s="92" t="s">
        <v>105</v>
      </c>
      <c r="E4" s="92" t="s">
        <v>106</v>
      </c>
      <c r="F4" s="92" t="s">
        <v>107</v>
      </c>
      <c r="G4" s="92" t="s">
        <v>108</v>
      </c>
      <c r="H4" s="92" t="s">
        <v>109</v>
      </c>
      <c r="I4" s="92" t="s">
        <v>110</v>
      </c>
    </row>
    <row r="5" spans="2:13" x14ac:dyDescent="0.25">
      <c r="M5" s="114" t="s">
        <v>257</v>
      </c>
    </row>
    <row r="6" spans="2:13" x14ac:dyDescent="0.25">
      <c r="B6" s="113" t="s">
        <v>256</v>
      </c>
      <c r="C6" s="177">
        <f>($M$6+$M$7)*12+Historicals!S30</f>
        <v>1380.535562</v>
      </c>
      <c r="D6" s="177">
        <f t="shared" ref="D6:I6" si="0">($M$6+$M$7)*12</f>
        <v>1080</v>
      </c>
      <c r="E6" s="177">
        <f t="shared" si="0"/>
        <v>1080</v>
      </c>
      <c r="F6" s="177">
        <f t="shared" si="0"/>
        <v>1080</v>
      </c>
      <c r="G6" s="177">
        <f t="shared" si="0"/>
        <v>1080</v>
      </c>
      <c r="H6" s="177">
        <f t="shared" si="0"/>
        <v>1080</v>
      </c>
      <c r="I6" s="177">
        <f t="shared" si="0"/>
        <v>1080</v>
      </c>
      <c r="K6" s="115"/>
      <c r="L6" s="116" t="s">
        <v>259</v>
      </c>
      <c r="M6" s="112">
        <v>2</v>
      </c>
    </row>
    <row r="7" spans="2:13" x14ac:dyDescent="0.25">
      <c r="B7" s="113" t="s">
        <v>129</v>
      </c>
      <c r="C7" s="87"/>
      <c r="D7" s="87"/>
      <c r="E7" s="97"/>
      <c r="F7" s="97"/>
      <c r="G7" s="97"/>
      <c r="H7" s="97"/>
      <c r="I7" s="97"/>
      <c r="K7" s="115"/>
      <c r="L7" s="116" t="s">
        <v>258</v>
      </c>
      <c r="M7" s="112">
        <v>88</v>
      </c>
    </row>
    <row r="8" spans="2:13" x14ac:dyDescent="0.25">
      <c r="B8" s="117" t="s">
        <v>130</v>
      </c>
      <c r="C8" s="87"/>
      <c r="D8" s="87"/>
      <c r="E8" s="87"/>
      <c r="F8" s="87"/>
      <c r="G8" s="87"/>
      <c r="H8" s="87"/>
      <c r="I8" s="87"/>
      <c r="K8" s="115"/>
      <c r="L8" s="116"/>
      <c r="M8" s="116"/>
    </row>
    <row r="9" spans="2:13" hidden="1" x14ac:dyDescent="0.25">
      <c r="B9" s="117" t="s">
        <v>131</v>
      </c>
      <c r="C9" s="87"/>
      <c r="D9" s="87"/>
      <c r="E9" s="87"/>
      <c r="F9" s="87"/>
      <c r="G9" s="87"/>
      <c r="H9" s="87"/>
      <c r="I9" s="87"/>
      <c r="K9" s="115"/>
      <c r="L9" s="116"/>
      <c r="M9" s="116"/>
    </row>
    <row r="10" spans="2:13" hidden="1" x14ac:dyDescent="0.25">
      <c r="B10" s="117" t="s">
        <v>132</v>
      </c>
      <c r="C10" s="87"/>
      <c r="D10" s="87"/>
      <c r="E10" s="87"/>
      <c r="F10" s="87"/>
      <c r="G10" s="87"/>
      <c r="H10" s="87"/>
      <c r="I10" s="87"/>
    </row>
    <row r="11" spans="2:13" x14ac:dyDescent="0.25">
      <c r="B11" s="117" t="s">
        <v>133</v>
      </c>
      <c r="C11" s="87"/>
      <c r="D11" s="87"/>
      <c r="E11" s="87"/>
      <c r="F11" s="87"/>
      <c r="G11" s="87"/>
      <c r="H11" s="87"/>
      <c r="I11" s="87"/>
    </row>
    <row r="12" spans="2:13" x14ac:dyDescent="0.25">
      <c r="B12" s="117" t="s">
        <v>134</v>
      </c>
    </row>
    <row r="13" spans="2:13" s="117" customFormat="1" x14ac:dyDescent="0.25">
      <c r="B13" s="117" t="s">
        <v>135</v>
      </c>
      <c r="C13" s="118"/>
      <c r="D13" s="87"/>
      <c r="E13" s="87"/>
      <c r="F13" s="87"/>
      <c r="G13" s="87"/>
      <c r="H13" s="87"/>
      <c r="I13" s="87"/>
    </row>
    <row r="14" spans="2:13" x14ac:dyDescent="0.25">
      <c r="B14" s="117" t="s">
        <v>24</v>
      </c>
      <c r="C14" s="87">
        <f>'Dep-WDV'!F118</f>
        <v>109.42751745000001</v>
      </c>
      <c r="D14" s="87">
        <f>'Dep-WDV'!G118</f>
        <v>94.176726750000014</v>
      </c>
      <c r="E14" s="87">
        <f>'Dep-WDV'!H118</f>
        <v>81.105480752250003</v>
      </c>
      <c r="F14" s="87">
        <f>'Dep-WDV'!I118</f>
        <v>69.894351226087522</v>
      </c>
      <c r="G14" s="87">
        <f>'Dep-WDV'!J118</f>
        <v>60.272395394221881</v>
      </c>
      <c r="H14" s="87">
        <f>'Dep-WDV'!K118</f>
        <v>52.009297366355369</v>
      </c>
      <c r="I14" s="87">
        <f>'Dep-WDV'!L118</f>
        <v>44.908958383196548</v>
      </c>
    </row>
    <row r="15" spans="2:13" x14ac:dyDescent="0.25">
      <c r="B15" s="113" t="s">
        <v>136</v>
      </c>
      <c r="C15" s="114">
        <f t="shared" ref="C15:I15" si="1">SUM(C8:C14)</f>
        <v>109.42751745000001</v>
      </c>
      <c r="D15" s="114">
        <f t="shared" si="1"/>
        <v>94.176726750000014</v>
      </c>
      <c r="E15" s="114">
        <f t="shared" si="1"/>
        <v>81.105480752250003</v>
      </c>
      <c r="F15" s="114">
        <f t="shared" si="1"/>
        <v>69.894351226087522</v>
      </c>
      <c r="G15" s="114">
        <f t="shared" si="1"/>
        <v>60.272395394221881</v>
      </c>
      <c r="H15" s="114">
        <f t="shared" si="1"/>
        <v>52.009297366355369</v>
      </c>
      <c r="I15" s="114">
        <f t="shared" si="1"/>
        <v>44.908958383196548</v>
      </c>
    </row>
    <row r="16" spans="2:13" x14ac:dyDescent="0.25">
      <c r="B16" s="117" t="s">
        <v>138</v>
      </c>
      <c r="C16" s="87">
        <f>Historicals!S30</f>
        <v>300.53556199999997</v>
      </c>
      <c r="D16" s="87">
        <f>C17</f>
        <v>0</v>
      </c>
      <c r="E16" s="87">
        <f t="shared" ref="E16:I16" si="2">D17</f>
        <v>0</v>
      </c>
      <c r="F16" s="87">
        <f t="shared" si="2"/>
        <v>0</v>
      </c>
      <c r="G16" s="87">
        <f t="shared" si="2"/>
        <v>0</v>
      </c>
      <c r="H16" s="87">
        <f t="shared" si="2"/>
        <v>0</v>
      </c>
      <c r="I16" s="87">
        <f t="shared" si="2"/>
        <v>0</v>
      </c>
    </row>
    <row r="17" spans="2:14" x14ac:dyDescent="0.25">
      <c r="B17" s="117" t="s">
        <v>139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</row>
    <row r="18" spans="2:14" x14ac:dyDescent="0.25">
      <c r="B18" s="113" t="s">
        <v>140</v>
      </c>
      <c r="C18" s="114">
        <f>C15+C16-C17</f>
        <v>409.96307945000001</v>
      </c>
      <c r="D18" s="114">
        <f t="shared" ref="D18:I18" si="3">D15+D16-D17</f>
        <v>94.176726750000014</v>
      </c>
      <c r="E18" s="114">
        <f t="shared" si="3"/>
        <v>81.105480752250003</v>
      </c>
      <c r="F18" s="114">
        <f t="shared" si="3"/>
        <v>69.894351226087522</v>
      </c>
      <c r="G18" s="114">
        <f t="shared" si="3"/>
        <v>60.272395394221881</v>
      </c>
      <c r="H18" s="114">
        <f t="shared" si="3"/>
        <v>52.009297366355369</v>
      </c>
      <c r="I18" s="114">
        <f t="shared" si="3"/>
        <v>44.908958383196548</v>
      </c>
    </row>
    <row r="19" spans="2:14" x14ac:dyDescent="0.25">
      <c r="B19" s="117" t="s">
        <v>141</v>
      </c>
      <c r="C19" s="87">
        <f>'Other Expenses'!I85/10^5*1.05</f>
        <v>32.771518499999999</v>
      </c>
      <c r="D19" s="87">
        <f>C19*1.05</f>
        <v>34.410094425000004</v>
      </c>
      <c r="E19" s="87">
        <f t="shared" ref="E19:I19" si="4">D19*1.05</f>
        <v>36.130599146250006</v>
      </c>
      <c r="F19" s="87">
        <f t="shared" si="4"/>
        <v>37.937129103562505</v>
      </c>
      <c r="G19" s="87">
        <f t="shared" si="4"/>
        <v>39.833985558740629</v>
      </c>
      <c r="H19" s="87">
        <f t="shared" si="4"/>
        <v>41.825684836677659</v>
      </c>
      <c r="I19" s="87">
        <f t="shared" si="4"/>
        <v>43.916969078511542</v>
      </c>
    </row>
    <row r="20" spans="2:14" x14ac:dyDescent="0.25">
      <c r="B20" s="113" t="s">
        <v>142</v>
      </c>
      <c r="C20" s="114">
        <f>C18+C19</f>
        <v>442.73459795000002</v>
      </c>
      <c r="D20" s="114">
        <f t="shared" ref="D20:I20" si="5">D18+D19</f>
        <v>128.58682117500001</v>
      </c>
      <c r="E20" s="114">
        <f t="shared" si="5"/>
        <v>117.23607989850001</v>
      </c>
      <c r="F20" s="114">
        <f t="shared" si="5"/>
        <v>107.83148032965002</v>
      </c>
      <c r="G20" s="114">
        <f t="shared" si="5"/>
        <v>100.10638095296251</v>
      </c>
      <c r="H20" s="114">
        <f t="shared" si="5"/>
        <v>93.834982203033036</v>
      </c>
      <c r="I20" s="114">
        <f t="shared" si="5"/>
        <v>88.825927461708091</v>
      </c>
    </row>
    <row r="21" spans="2:14" x14ac:dyDescent="0.25">
      <c r="B21" s="113" t="s">
        <v>143</v>
      </c>
      <c r="C21" s="114">
        <f t="shared" ref="C21:I21" si="6">C6-C20</f>
        <v>937.80096404999995</v>
      </c>
      <c r="D21" s="114">
        <f t="shared" si="6"/>
        <v>951.41317882499993</v>
      </c>
      <c r="E21" s="114">
        <f t="shared" si="6"/>
        <v>962.76392010149993</v>
      </c>
      <c r="F21" s="114">
        <f t="shared" si="6"/>
        <v>972.16851967034995</v>
      </c>
      <c r="G21" s="114">
        <f t="shared" si="6"/>
        <v>979.89361904703753</v>
      </c>
      <c r="H21" s="114">
        <f t="shared" si="6"/>
        <v>986.16501779696694</v>
      </c>
      <c r="I21" s="114">
        <f t="shared" si="6"/>
        <v>991.17407253829197</v>
      </c>
    </row>
    <row r="22" spans="2:14" x14ac:dyDescent="0.25">
      <c r="B22" s="117" t="s">
        <v>144</v>
      </c>
      <c r="C22" s="87">
        <f>'Debt Schedule'!K8</f>
        <v>316.73104999999998</v>
      </c>
      <c r="D22" s="87">
        <f>'Debt Schedule'!K9</f>
        <v>269.22658000000001</v>
      </c>
      <c r="E22" s="87">
        <f>'Debt Schedule'!K10</f>
        <v>217.88569000000001</v>
      </c>
      <c r="F22" s="87">
        <f>'Debt Schedule'!K11</f>
        <v>168.20148</v>
      </c>
      <c r="G22" s="87">
        <f>'Debt Schedule'!K12</f>
        <v>120.20148</v>
      </c>
      <c r="H22" s="87">
        <f>'Debt Schedule'!K13</f>
        <v>72.201480000000004</v>
      </c>
      <c r="I22" s="87">
        <f>'Debt Schedule'!K14</f>
        <v>24.20148</v>
      </c>
      <c r="M22" s="93" t="s">
        <v>51</v>
      </c>
      <c r="N22" s="93" t="s">
        <v>115</v>
      </c>
    </row>
    <row r="23" spans="2:14" x14ac:dyDescent="0.25">
      <c r="B23" s="117" t="s">
        <v>145</v>
      </c>
      <c r="C23" s="87"/>
      <c r="D23" s="87"/>
      <c r="E23" s="87"/>
      <c r="F23" s="87"/>
      <c r="G23" s="87"/>
      <c r="H23" s="87"/>
      <c r="I23" s="87"/>
      <c r="M23" s="154" t="s">
        <v>348</v>
      </c>
      <c r="N23" s="155">
        <v>0.25</v>
      </c>
    </row>
    <row r="24" spans="2:14" x14ac:dyDescent="0.25">
      <c r="B24" s="117" t="s">
        <v>146</v>
      </c>
      <c r="C24" s="87"/>
      <c r="D24" s="87"/>
      <c r="E24" s="87"/>
      <c r="F24" s="87"/>
      <c r="G24" s="87"/>
      <c r="H24" s="87"/>
      <c r="I24" s="87"/>
      <c r="M24" s="154" t="s">
        <v>349</v>
      </c>
      <c r="N24" s="155">
        <v>0.04</v>
      </c>
    </row>
    <row r="25" spans="2:14" x14ac:dyDescent="0.25">
      <c r="B25" s="119" t="s">
        <v>147</v>
      </c>
      <c r="C25" s="95">
        <f>C21-C22-C23</f>
        <v>621.06991404999997</v>
      </c>
      <c r="D25" s="95">
        <f t="shared" ref="D25:I25" si="7">D21-D22-D23</f>
        <v>682.18659882499992</v>
      </c>
      <c r="E25" s="95">
        <f t="shared" si="7"/>
        <v>744.87823010149987</v>
      </c>
      <c r="F25" s="95">
        <f t="shared" si="7"/>
        <v>803.96703967035</v>
      </c>
      <c r="G25" s="95">
        <f t="shared" si="7"/>
        <v>859.69213904703747</v>
      </c>
      <c r="H25" s="95">
        <f t="shared" si="7"/>
        <v>913.96353779696688</v>
      </c>
      <c r="I25" s="95">
        <f t="shared" si="7"/>
        <v>966.97259253829202</v>
      </c>
      <c r="M25" s="154" t="s">
        <v>350</v>
      </c>
      <c r="N25" s="155">
        <v>7.0000000000000007E-2</v>
      </c>
    </row>
    <row r="26" spans="2:14" x14ac:dyDescent="0.25">
      <c r="B26" s="117" t="s">
        <v>148</v>
      </c>
      <c r="C26" s="87">
        <f>C25*$N$26</f>
        <v>172.78165008870999</v>
      </c>
      <c r="D26" s="87">
        <f t="shared" ref="D26:I26" si="8">D25*$N$26</f>
        <v>189.78431179311497</v>
      </c>
      <c r="E26" s="87">
        <f t="shared" si="8"/>
        <v>207.22512361423728</v>
      </c>
      <c r="F26" s="87">
        <f t="shared" si="8"/>
        <v>223.66363043629138</v>
      </c>
      <c r="G26" s="87">
        <f t="shared" si="8"/>
        <v>239.16635308288582</v>
      </c>
      <c r="H26" s="87">
        <f t="shared" si="8"/>
        <v>254.26465621511619</v>
      </c>
      <c r="I26" s="87">
        <f t="shared" si="8"/>
        <v>269.01177524415283</v>
      </c>
      <c r="M26" s="156" t="s">
        <v>351</v>
      </c>
      <c r="N26" s="157">
        <f>N23*(1+N24)*(1+N25)</f>
        <v>0.2782</v>
      </c>
    </row>
    <row r="27" spans="2:14" x14ac:dyDescent="0.25">
      <c r="B27" s="119" t="s">
        <v>149</v>
      </c>
      <c r="C27" s="95">
        <f>C25-C26</f>
        <v>448.28826396129</v>
      </c>
      <c r="D27" s="95">
        <f t="shared" ref="D27:I27" si="9">D25-D26</f>
        <v>492.40228703188495</v>
      </c>
      <c r="E27" s="95">
        <f t="shared" si="9"/>
        <v>537.65310648726256</v>
      </c>
      <c r="F27" s="95">
        <f t="shared" si="9"/>
        <v>580.30340923405856</v>
      </c>
      <c r="G27" s="95">
        <f t="shared" si="9"/>
        <v>620.52578596415162</v>
      </c>
      <c r="H27" s="95">
        <f t="shared" si="9"/>
        <v>659.69888158185063</v>
      </c>
      <c r="I27" s="95">
        <f t="shared" si="9"/>
        <v>697.96081729413913</v>
      </c>
    </row>
    <row r="29" spans="2:14" x14ac:dyDescent="0.25">
      <c r="B29" s="117" t="s">
        <v>150</v>
      </c>
      <c r="C29" s="87">
        <f t="shared" ref="C29:I29" si="10">C27+C14</f>
        <v>557.71578141128998</v>
      </c>
      <c r="D29" s="87">
        <f t="shared" si="10"/>
        <v>586.57901378188501</v>
      </c>
      <c r="E29" s="87">
        <f>E27+E14</f>
        <v>618.75858723951251</v>
      </c>
      <c r="F29" s="87">
        <f t="shared" si="10"/>
        <v>650.19776046014613</v>
      </c>
      <c r="G29" s="87">
        <f t="shared" si="10"/>
        <v>680.79818135837354</v>
      </c>
      <c r="H29" s="87">
        <f>H27+H14</f>
        <v>711.70817894820595</v>
      </c>
      <c r="I29" s="87">
        <f t="shared" si="10"/>
        <v>742.86977567733572</v>
      </c>
    </row>
    <row r="31" spans="2:14" x14ac:dyDescent="0.25">
      <c r="J31" s="108" t="s">
        <v>151</v>
      </c>
    </row>
    <row r="32" spans="2:14" x14ac:dyDescent="0.25">
      <c r="B32" s="89" t="s">
        <v>152</v>
      </c>
      <c r="C32" s="97">
        <f t="shared" ref="C32:I32" si="11">(C21+C14)/C6</f>
        <v>0.75856682748749071</v>
      </c>
      <c r="D32" s="97">
        <f t="shared" si="11"/>
        <v>0.9681388014583332</v>
      </c>
      <c r="E32" s="97">
        <f t="shared" si="11"/>
        <v>0.96654574153124995</v>
      </c>
      <c r="F32" s="97">
        <f t="shared" si="11"/>
        <v>0.96487302860781254</v>
      </c>
      <c r="G32" s="97">
        <f t="shared" si="11"/>
        <v>0.96311668003820317</v>
      </c>
      <c r="H32" s="97">
        <f t="shared" si="11"/>
        <v>0.96127251404011316</v>
      </c>
      <c r="I32" s="97">
        <f t="shared" si="11"/>
        <v>0.95933613974211895</v>
      </c>
      <c r="J32" s="120">
        <f>AVERAGE(C32:I32)</f>
        <v>0.93454996184361738</v>
      </c>
    </row>
    <row r="33" spans="2:10" x14ac:dyDescent="0.25">
      <c r="B33" s="89" t="s">
        <v>153</v>
      </c>
      <c r="C33" s="97">
        <f t="shared" ref="C33:I33" si="12">C21/C6</f>
        <v>0.6793022866367856</v>
      </c>
      <c r="D33" s="97">
        <f t="shared" si="12"/>
        <v>0.88093812854166664</v>
      </c>
      <c r="E33" s="97">
        <f t="shared" si="12"/>
        <v>0.89144807416805549</v>
      </c>
      <c r="F33" s="97">
        <f t="shared" si="12"/>
        <v>0.90015603673180555</v>
      </c>
      <c r="G33" s="97">
        <f t="shared" si="12"/>
        <v>0.90730890652503471</v>
      </c>
      <c r="H33" s="97">
        <f t="shared" si="12"/>
        <v>0.91311575721941385</v>
      </c>
      <c r="I33" s="97">
        <f t="shared" si="12"/>
        <v>0.91775377086878884</v>
      </c>
      <c r="J33" s="120">
        <f>AVERAGE(C33:I33)</f>
        <v>0.87000328009879291</v>
      </c>
    </row>
    <row r="34" spans="2:10" x14ac:dyDescent="0.25">
      <c r="B34" s="89" t="s">
        <v>154</v>
      </c>
      <c r="C34" s="97">
        <f t="shared" ref="C34:I34" si="13">C27/C6</f>
        <v>0.32472054780816284</v>
      </c>
      <c r="D34" s="97">
        <f t="shared" si="13"/>
        <v>0.45592804354804162</v>
      </c>
      <c r="E34" s="97">
        <f t="shared" si="13"/>
        <v>0.49782695045116904</v>
      </c>
      <c r="F34" s="97">
        <f t="shared" si="13"/>
        <v>0.53731797151301719</v>
      </c>
      <c r="G34" s="97">
        <f t="shared" si="13"/>
        <v>0.57456091292977007</v>
      </c>
      <c r="H34" s="97">
        <f t="shared" si="13"/>
        <v>0.61083229776097281</v>
      </c>
      <c r="I34" s="97">
        <f t="shared" si="13"/>
        <v>0.6462600160130918</v>
      </c>
      <c r="J34" s="120">
        <f>AVERAGE(C34:I34)</f>
        <v>0.52106382000346074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J44"/>
  <sheetViews>
    <sheetView workbookViewId="0">
      <pane ySplit="4" topLeftCell="A20" activePane="bottomLeft" state="frozen"/>
      <selection activeCell="B1" sqref="B1"/>
      <selection pane="bottomLeft" activeCell="C29" sqref="C29"/>
    </sheetView>
  </sheetViews>
  <sheetFormatPr defaultRowHeight="12" x14ac:dyDescent="0.15"/>
  <cols>
    <col min="1" max="1" width="9.140625" style="110"/>
    <col min="2" max="2" width="36" style="110" customWidth="1"/>
    <col min="3" max="5" width="13.7109375" style="174" bestFit="1" customWidth="1"/>
    <col min="6" max="9" width="13.140625" style="174" bestFit="1" customWidth="1"/>
    <col min="10" max="10" width="10.7109375" style="110" customWidth="1"/>
    <col min="11" max="16384" width="9.140625" style="110"/>
  </cols>
  <sheetData>
    <row r="2" spans="2:9" ht="15" x14ac:dyDescent="0.15">
      <c r="B2" s="182" t="str">
        <f>Historicals!B2</f>
        <v>Al-Saqib Exports Private Limited</v>
      </c>
      <c r="C2" s="182"/>
      <c r="D2" s="182"/>
      <c r="E2" s="182"/>
      <c r="F2" s="182"/>
      <c r="G2" s="182"/>
      <c r="H2" s="182"/>
      <c r="I2" s="182"/>
    </row>
    <row r="4" spans="2:9" ht="15" x14ac:dyDescent="0.25">
      <c r="B4" s="111" t="s">
        <v>127</v>
      </c>
      <c r="C4" s="173" t="s">
        <v>104</v>
      </c>
      <c r="D4" s="173" t="s">
        <v>105</v>
      </c>
      <c r="E4" s="173" t="s">
        <v>106</v>
      </c>
      <c r="F4" s="173" t="s">
        <v>107</v>
      </c>
      <c r="G4" s="173" t="s">
        <v>108</v>
      </c>
      <c r="H4" s="173" t="s">
        <v>109</v>
      </c>
      <c r="I4" s="173" t="s">
        <v>110</v>
      </c>
    </row>
    <row r="5" spans="2:9" ht="15" x14ac:dyDescent="0.25">
      <c r="B5" s="89" t="s">
        <v>40</v>
      </c>
    </row>
    <row r="6" spans="2:9" ht="15" x14ac:dyDescent="0.25">
      <c r="B6" s="88" t="s">
        <v>38</v>
      </c>
      <c r="C6" s="175">
        <f>200000000/10^5</f>
        <v>2000</v>
      </c>
      <c r="D6" s="175">
        <f>C6</f>
        <v>2000</v>
      </c>
      <c r="E6" s="175">
        <f t="shared" ref="E6:I6" si="0">D6</f>
        <v>2000</v>
      </c>
      <c r="F6" s="175">
        <f t="shared" si="0"/>
        <v>2000</v>
      </c>
      <c r="G6" s="175">
        <f t="shared" si="0"/>
        <v>2000</v>
      </c>
      <c r="H6" s="175">
        <f t="shared" si="0"/>
        <v>2000</v>
      </c>
      <c r="I6" s="175">
        <f t="shared" si="0"/>
        <v>2000</v>
      </c>
    </row>
    <row r="7" spans="2:9" ht="15" x14ac:dyDescent="0.25">
      <c r="B7" s="88" t="s">
        <v>163</v>
      </c>
      <c r="C7" s="175">
        <f>+Historicals!S10+'Projected P&amp;L'!C27</f>
        <v>1457.5081034612899</v>
      </c>
      <c r="D7" s="175">
        <f>C7+'Projected P&amp;L'!D27</f>
        <v>1949.9103904931749</v>
      </c>
      <c r="E7" s="175">
        <f>D7+'Projected P&amp;L'!E27</f>
        <v>2487.5634969804373</v>
      </c>
      <c r="F7" s="175">
        <f>E7+'Projected P&amp;L'!F27</f>
        <v>3067.8669062144959</v>
      </c>
      <c r="G7" s="175">
        <f>F7+'Projected P&amp;L'!G27</f>
        <v>3688.3926921786474</v>
      </c>
      <c r="H7" s="175">
        <f>G7+'Projected P&amp;L'!H27</f>
        <v>4348.0915737604982</v>
      </c>
      <c r="I7" s="175">
        <f>H7+'Projected P&amp;L'!I27</f>
        <v>5046.0523910546372</v>
      </c>
    </row>
    <row r="8" spans="2:9" ht="15" x14ac:dyDescent="0.25">
      <c r="B8" s="94" t="s">
        <v>164</v>
      </c>
      <c r="C8" s="176">
        <f>SUM(C6:C7)</f>
        <v>3457.5081034612899</v>
      </c>
      <c r="D8" s="176">
        <f t="shared" ref="D8:I8" si="1">SUM(D6:D7)</f>
        <v>3949.9103904931749</v>
      </c>
      <c r="E8" s="176">
        <f t="shared" si="1"/>
        <v>4487.5634969804378</v>
      </c>
      <c r="F8" s="176">
        <f t="shared" si="1"/>
        <v>5067.8669062144963</v>
      </c>
      <c r="G8" s="176">
        <f t="shared" si="1"/>
        <v>5688.3926921786478</v>
      </c>
      <c r="H8" s="176">
        <f t="shared" si="1"/>
        <v>6348.0915737604982</v>
      </c>
      <c r="I8" s="176">
        <f t="shared" si="1"/>
        <v>7046.0523910546372</v>
      </c>
    </row>
    <row r="9" spans="2:9" ht="15" x14ac:dyDescent="0.25">
      <c r="B9" s="89" t="s">
        <v>31</v>
      </c>
    </row>
    <row r="10" spans="2:9" ht="15" x14ac:dyDescent="0.25">
      <c r="B10" s="88" t="s">
        <v>29</v>
      </c>
      <c r="C10" s="175">
        <f>+'Debt Schedule'!M8-'Projected BS'!C15</f>
        <v>2428.4058223000002</v>
      </c>
      <c r="D10" s="175">
        <f>+'Debt Schedule'!M9-'Projected BS'!D15</f>
        <v>1902.0146799999998</v>
      </c>
      <c r="E10" s="175">
        <f>+'Debt Schedule'!M10-'Projected BS'!E15</f>
        <v>1422.01468</v>
      </c>
      <c r="F10" s="175">
        <f>+'Debt Schedule'!M11-'Projected BS'!F15</f>
        <v>942.01468</v>
      </c>
      <c r="G10" s="175">
        <f>+'Debt Schedule'!M12-'Projected BS'!G15</f>
        <v>462.01468</v>
      </c>
      <c r="H10" s="175">
        <f>+'Debt Schedule'!M13-'Projected BS'!H15</f>
        <v>0</v>
      </c>
      <c r="I10" s="175">
        <f>+'Debt Schedule'!M14-'Projected BS'!I15</f>
        <v>0</v>
      </c>
    </row>
    <row r="11" spans="2:9" ht="15" x14ac:dyDescent="0.25">
      <c r="B11" s="88" t="s">
        <v>344</v>
      </c>
      <c r="C11" s="175">
        <f>Historicals!S14</f>
        <v>73.688020999999992</v>
      </c>
      <c r="D11" s="175">
        <f>C11</f>
        <v>73.688020999999992</v>
      </c>
      <c r="E11" s="175">
        <f t="shared" ref="E11:I11" si="2">D11</f>
        <v>73.688020999999992</v>
      </c>
      <c r="F11" s="175">
        <f t="shared" si="2"/>
        <v>73.688020999999992</v>
      </c>
      <c r="G11" s="175">
        <f t="shared" si="2"/>
        <v>73.688020999999992</v>
      </c>
      <c r="H11" s="175">
        <f t="shared" si="2"/>
        <v>73.688020999999992</v>
      </c>
      <c r="I11" s="175">
        <f t="shared" si="2"/>
        <v>73.688020999999992</v>
      </c>
    </row>
    <row r="12" spans="2:9" ht="15" x14ac:dyDescent="0.25">
      <c r="B12" s="88" t="s">
        <v>347</v>
      </c>
      <c r="C12" s="175">
        <f>106777700/10^5</f>
        <v>1067.777</v>
      </c>
      <c r="D12" s="175">
        <f t="shared" ref="D12:I12" si="3">106777700/10^5</f>
        <v>1067.777</v>
      </c>
      <c r="E12" s="175">
        <f t="shared" si="3"/>
        <v>1067.777</v>
      </c>
      <c r="F12" s="175">
        <f t="shared" si="3"/>
        <v>1067.777</v>
      </c>
      <c r="G12" s="175">
        <f t="shared" si="3"/>
        <v>1067.777</v>
      </c>
      <c r="H12" s="175">
        <f t="shared" si="3"/>
        <v>1067.777</v>
      </c>
      <c r="I12" s="175">
        <f t="shared" si="3"/>
        <v>1067.777</v>
      </c>
    </row>
    <row r="13" spans="2:9" ht="15" x14ac:dyDescent="0.25">
      <c r="B13" s="94" t="s">
        <v>25</v>
      </c>
      <c r="C13" s="176">
        <f>SUM(C10:C12)</f>
        <v>3569.8708433000002</v>
      </c>
      <c r="D13" s="176">
        <f t="shared" ref="D13:I13" si="4">SUM(D10:D12)</f>
        <v>3043.4797009999997</v>
      </c>
      <c r="E13" s="176">
        <f t="shared" si="4"/>
        <v>2563.4797010000002</v>
      </c>
      <c r="F13" s="176">
        <f t="shared" si="4"/>
        <v>2083.4797010000002</v>
      </c>
      <c r="G13" s="176">
        <f t="shared" si="4"/>
        <v>1603.479701</v>
      </c>
      <c r="H13" s="176">
        <f t="shared" si="4"/>
        <v>1141.465021</v>
      </c>
      <c r="I13" s="176">
        <f t="shared" si="4"/>
        <v>1141.465021</v>
      </c>
    </row>
    <row r="14" spans="2:9" ht="15" x14ac:dyDescent="0.25">
      <c r="B14" s="89" t="s">
        <v>23</v>
      </c>
      <c r="C14" s="175"/>
      <c r="D14" s="175"/>
      <c r="E14" s="175"/>
      <c r="F14" s="175"/>
      <c r="G14" s="175"/>
      <c r="H14" s="175"/>
      <c r="I14" s="175"/>
    </row>
    <row r="15" spans="2:9" ht="15" x14ac:dyDescent="0.25">
      <c r="B15" s="88" t="s">
        <v>165</v>
      </c>
      <c r="C15" s="175">
        <f>'Debt Schedule'!L9</f>
        <v>498.41735999999997</v>
      </c>
      <c r="D15" s="175">
        <f>'Debt Schedule'!L10</f>
        <v>526.39114230000007</v>
      </c>
      <c r="E15" s="175">
        <f>'Debt Schedule'!L11</f>
        <v>480</v>
      </c>
      <c r="F15" s="175">
        <f>'Debt Schedule'!L12</f>
        <v>480</v>
      </c>
      <c r="G15" s="175">
        <f>'Debt Schedule'!L13</f>
        <v>480</v>
      </c>
      <c r="H15" s="175">
        <f>'Debt Schedule'!L14</f>
        <v>462.01468</v>
      </c>
      <c r="I15" s="175">
        <f>'Debt Schedule'!L17</f>
        <v>0</v>
      </c>
    </row>
    <row r="16" spans="2:9" ht="15" x14ac:dyDescent="0.25">
      <c r="B16" s="88" t="s">
        <v>166</v>
      </c>
      <c r="C16" s="175">
        <f t="shared" ref="C16:I16" si="5">D41</f>
        <v>405.78017920000002</v>
      </c>
      <c r="D16" s="175">
        <f t="shared" si="5"/>
        <v>0</v>
      </c>
      <c r="E16" s="175">
        <f t="shared" si="5"/>
        <v>0</v>
      </c>
      <c r="F16" s="175">
        <f t="shared" si="5"/>
        <v>0</v>
      </c>
      <c r="G16" s="175">
        <f t="shared" si="5"/>
        <v>0</v>
      </c>
      <c r="H16" s="175">
        <f t="shared" si="5"/>
        <v>0</v>
      </c>
      <c r="I16" s="175">
        <f t="shared" si="5"/>
        <v>0</v>
      </c>
    </row>
    <row r="17" spans="2:9" ht="15" x14ac:dyDescent="0.25">
      <c r="B17" s="88" t="s">
        <v>17</v>
      </c>
      <c r="C17" s="175">
        <f>Historicals!S19</f>
        <v>446.86951840000006</v>
      </c>
      <c r="D17" s="175">
        <f>C17</f>
        <v>446.86951840000006</v>
      </c>
      <c r="E17" s="175">
        <f t="shared" ref="E17:I17" si="6">D17</f>
        <v>446.86951840000006</v>
      </c>
      <c r="F17" s="175">
        <f t="shared" si="6"/>
        <v>446.86951840000006</v>
      </c>
      <c r="G17" s="175">
        <f t="shared" si="6"/>
        <v>446.86951840000006</v>
      </c>
      <c r="H17" s="175">
        <f t="shared" si="6"/>
        <v>446.86951840000006</v>
      </c>
      <c r="I17" s="175">
        <f t="shared" si="6"/>
        <v>446.86951840000006</v>
      </c>
    </row>
    <row r="18" spans="2:9" ht="15" x14ac:dyDescent="0.25">
      <c r="B18" s="94" t="s">
        <v>15</v>
      </c>
      <c r="C18" s="176">
        <f>SUM(C15:C17)</f>
        <v>1351.0670576</v>
      </c>
      <c r="D18" s="176">
        <f t="shared" ref="D18:I18" si="7">SUM(D15:D17)</f>
        <v>973.26066070000013</v>
      </c>
      <c r="E18" s="176">
        <f t="shared" si="7"/>
        <v>926.86951840000006</v>
      </c>
      <c r="F18" s="176">
        <f t="shared" si="7"/>
        <v>926.86951840000006</v>
      </c>
      <c r="G18" s="176">
        <f t="shared" si="7"/>
        <v>926.86951840000006</v>
      </c>
      <c r="H18" s="176">
        <f t="shared" si="7"/>
        <v>908.88419840000006</v>
      </c>
      <c r="I18" s="176">
        <f t="shared" si="7"/>
        <v>446.86951840000006</v>
      </c>
    </row>
    <row r="19" spans="2:9" ht="15" x14ac:dyDescent="0.25">
      <c r="B19" s="94" t="s">
        <v>167</v>
      </c>
      <c r="C19" s="176">
        <f>C18+C13+C8</f>
        <v>8378.4460043612908</v>
      </c>
      <c r="D19" s="176">
        <f t="shared" ref="D19:I19" si="8">D18+D13+D8</f>
        <v>7966.6507521931744</v>
      </c>
      <c r="E19" s="176">
        <f t="shared" si="8"/>
        <v>7977.9127163804378</v>
      </c>
      <c r="F19" s="176">
        <f t="shared" si="8"/>
        <v>8078.2161256144964</v>
      </c>
      <c r="G19" s="176">
        <f t="shared" si="8"/>
        <v>8218.741911578647</v>
      </c>
      <c r="H19" s="176">
        <f t="shared" si="8"/>
        <v>8398.4407931604983</v>
      </c>
      <c r="I19" s="176">
        <f t="shared" si="8"/>
        <v>8634.386930454637</v>
      </c>
    </row>
    <row r="20" spans="2:9" ht="15" x14ac:dyDescent="0.25">
      <c r="B20" s="89" t="s">
        <v>12</v>
      </c>
    </row>
    <row r="21" spans="2:9" ht="15" x14ac:dyDescent="0.25">
      <c r="B21" s="89" t="s">
        <v>11</v>
      </c>
    </row>
    <row r="22" spans="2:9" ht="15" x14ac:dyDescent="0.25">
      <c r="B22" s="88" t="s">
        <v>155</v>
      </c>
      <c r="C22" s="175">
        <f>'Dep-WDV'!F120</f>
        <v>4007.1812396000005</v>
      </c>
      <c r="D22" s="175">
        <f>'Dep-WDV'!G120</f>
        <v>4007.1812396000005</v>
      </c>
      <c r="E22" s="175">
        <f>'Dep-WDV'!H120</f>
        <v>4007.1812396000005</v>
      </c>
      <c r="F22" s="175">
        <f>'Dep-WDV'!I120</f>
        <v>4007.1812396000005</v>
      </c>
      <c r="G22" s="175">
        <f>'Dep-WDV'!J120</f>
        <v>4007.1812396000005</v>
      </c>
      <c r="H22" s="175">
        <f>'Dep-WDV'!K120</f>
        <v>4007.1812396000005</v>
      </c>
      <c r="I22" s="175">
        <f>'Dep-WDV'!L120</f>
        <v>4007.1812396000005</v>
      </c>
    </row>
    <row r="23" spans="2:9" ht="15" x14ac:dyDescent="0.25">
      <c r="B23" s="88" t="s">
        <v>156</v>
      </c>
      <c r="C23" s="175">
        <f>'Dep-WDV'!F121</f>
        <v>2851.5481780500008</v>
      </c>
      <c r="D23" s="175">
        <f>+C23+'Projected P&amp;L'!D14</f>
        <v>2945.7249048000008</v>
      </c>
      <c r="E23" s="175">
        <f>+D23+'Projected P&amp;L'!E14</f>
        <v>3026.8303855522508</v>
      </c>
      <c r="F23" s="175">
        <f>+E23+'Projected P&amp;L'!F14</f>
        <v>3096.7247367783384</v>
      </c>
      <c r="G23" s="175">
        <f>+F23+'Projected P&amp;L'!G14</f>
        <v>3156.9971321725602</v>
      </c>
      <c r="H23" s="175">
        <f>+G23+'Projected P&amp;L'!H14</f>
        <v>3209.0064295389157</v>
      </c>
      <c r="I23" s="175">
        <f>+H23+'Projected P&amp;L'!I14</f>
        <v>3253.9153879221121</v>
      </c>
    </row>
    <row r="24" spans="2:9" ht="15" x14ac:dyDescent="0.25">
      <c r="B24" s="89" t="s">
        <v>71</v>
      </c>
      <c r="C24" s="177">
        <f>C22-C23</f>
        <v>1155.6330615499996</v>
      </c>
      <c r="D24" s="177">
        <f t="shared" ref="D24:I24" si="9">D22-D23</f>
        <v>1061.4563347999997</v>
      </c>
      <c r="E24" s="177">
        <f t="shared" si="9"/>
        <v>980.35085404774964</v>
      </c>
      <c r="F24" s="177">
        <f t="shared" si="9"/>
        <v>910.45650282166207</v>
      </c>
      <c r="G24" s="177">
        <f t="shared" si="9"/>
        <v>850.18410742744027</v>
      </c>
      <c r="H24" s="177">
        <f t="shared" si="9"/>
        <v>798.17481006108483</v>
      </c>
      <c r="I24" s="177">
        <f t="shared" si="9"/>
        <v>753.26585167788835</v>
      </c>
    </row>
    <row r="25" spans="2:9" ht="15" x14ac:dyDescent="0.25">
      <c r="B25" s="88" t="s">
        <v>332</v>
      </c>
      <c r="C25" s="175">
        <f>100000000/10^5</f>
        <v>1000</v>
      </c>
      <c r="D25" s="175">
        <f>C25</f>
        <v>1000</v>
      </c>
      <c r="E25" s="175">
        <f t="shared" ref="E25:I25" si="10">D25</f>
        <v>1000</v>
      </c>
      <c r="F25" s="175">
        <f t="shared" si="10"/>
        <v>1000</v>
      </c>
      <c r="G25" s="175">
        <f t="shared" si="10"/>
        <v>1000</v>
      </c>
      <c r="H25" s="175">
        <f t="shared" si="10"/>
        <v>1000</v>
      </c>
      <c r="I25" s="175">
        <f t="shared" si="10"/>
        <v>1000</v>
      </c>
    </row>
    <row r="26" spans="2:9" ht="15" x14ac:dyDescent="0.25">
      <c r="B26" s="88" t="s">
        <v>333</v>
      </c>
      <c r="C26" s="175">
        <f>2472738/10^5</f>
        <v>24.72738</v>
      </c>
      <c r="D26" s="175">
        <f t="shared" ref="D26:I26" si="11">2472738/10^5</f>
        <v>24.72738</v>
      </c>
      <c r="E26" s="175">
        <f t="shared" si="11"/>
        <v>24.72738</v>
      </c>
      <c r="F26" s="175">
        <f t="shared" si="11"/>
        <v>24.72738</v>
      </c>
      <c r="G26" s="175">
        <f t="shared" si="11"/>
        <v>24.72738</v>
      </c>
      <c r="H26" s="175">
        <f t="shared" si="11"/>
        <v>24.72738</v>
      </c>
      <c r="I26" s="175">
        <f t="shared" si="11"/>
        <v>24.72738</v>
      </c>
    </row>
    <row r="27" spans="2:9" ht="15" x14ac:dyDescent="0.25">
      <c r="B27" s="94" t="s">
        <v>7</v>
      </c>
      <c r="C27" s="176">
        <f t="shared" ref="C27:I27" si="12">SUM(C24:C26)</f>
        <v>2180.3604415499995</v>
      </c>
      <c r="D27" s="176">
        <f t="shared" si="12"/>
        <v>2086.1837147999995</v>
      </c>
      <c r="E27" s="176">
        <f t="shared" si="12"/>
        <v>2005.0782340477497</v>
      </c>
      <c r="F27" s="176">
        <f t="shared" si="12"/>
        <v>1935.1838828216621</v>
      </c>
      <c r="G27" s="176">
        <f t="shared" si="12"/>
        <v>1874.9114874274403</v>
      </c>
      <c r="H27" s="176">
        <f t="shared" si="12"/>
        <v>1822.9021900610849</v>
      </c>
      <c r="I27" s="176">
        <f t="shared" si="12"/>
        <v>1777.9932316778884</v>
      </c>
    </row>
    <row r="28" spans="2:9" ht="15" x14ac:dyDescent="0.25">
      <c r="B28" s="89" t="s">
        <v>6</v>
      </c>
      <c r="C28" s="175"/>
      <c r="D28" s="175"/>
      <c r="E28" s="175"/>
      <c r="F28" s="175"/>
      <c r="G28" s="175"/>
      <c r="H28" s="175"/>
      <c r="I28" s="175"/>
    </row>
    <row r="29" spans="2:9" ht="15" x14ac:dyDescent="0.25">
      <c r="B29" s="88" t="s">
        <v>5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</row>
    <row r="30" spans="2:9" ht="15" x14ac:dyDescent="0.25">
      <c r="B30" s="88" t="s">
        <v>160</v>
      </c>
      <c r="C30" s="175">
        <f>D40</f>
        <v>2857.2495502499996</v>
      </c>
      <c r="D30" s="175">
        <f t="shared" ref="D30:I30" si="13">E40</f>
        <v>0</v>
      </c>
      <c r="E30" s="175">
        <f t="shared" si="13"/>
        <v>0</v>
      </c>
      <c r="F30" s="175">
        <f t="shared" si="13"/>
        <v>0</v>
      </c>
      <c r="G30" s="175">
        <f t="shared" si="13"/>
        <v>0</v>
      </c>
      <c r="H30" s="175">
        <f t="shared" si="13"/>
        <v>0</v>
      </c>
      <c r="I30" s="175">
        <f t="shared" si="13"/>
        <v>0</v>
      </c>
    </row>
    <row r="31" spans="2:9" ht="15" x14ac:dyDescent="0.25">
      <c r="B31" s="88" t="s">
        <v>161</v>
      </c>
      <c r="C31" s="175">
        <f>'Projected CFS'!C25</f>
        <v>3003.0976290612894</v>
      </c>
      <c r="D31" s="175">
        <f>'Projected CFS'!D25</f>
        <v>5542.7286538931739</v>
      </c>
      <c r="E31" s="175">
        <f>'Projected CFS'!E25</f>
        <v>5635.096098832686</v>
      </c>
      <c r="F31" s="175">
        <f>'Projected CFS'!F25</f>
        <v>5805.2938592928322</v>
      </c>
      <c r="G31" s="175">
        <f>'Projected CFS'!G25</f>
        <v>6006.0920406512059</v>
      </c>
      <c r="H31" s="175">
        <f>'Projected CFS'!H25</f>
        <v>6237.8002195994122</v>
      </c>
      <c r="I31" s="175">
        <f>'Projected CFS'!I25</f>
        <v>6518.6553152767483</v>
      </c>
    </row>
    <row r="32" spans="2:9" ht="15" x14ac:dyDescent="0.25">
      <c r="B32" s="88" t="s">
        <v>162</v>
      </c>
      <c r="C32" s="175">
        <f>Historicals!S33</f>
        <v>249.4955913</v>
      </c>
      <c r="D32" s="175">
        <f>C32</f>
        <v>249.4955913</v>
      </c>
      <c r="E32" s="175">
        <f t="shared" ref="E32:I32" si="14">D32</f>
        <v>249.4955913</v>
      </c>
      <c r="F32" s="175">
        <f t="shared" si="14"/>
        <v>249.4955913</v>
      </c>
      <c r="G32" s="175">
        <f t="shared" si="14"/>
        <v>249.4955913</v>
      </c>
      <c r="H32" s="175">
        <f t="shared" si="14"/>
        <v>249.4955913</v>
      </c>
      <c r="I32" s="175">
        <f t="shared" si="14"/>
        <v>249.4955913</v>
      </c>
    </row>
    <row r="33" spans="2:10" ht="15" x14ac:dyDescent="0.25">
      <c r="B33" s="88" t="s">
        <v>345</v>
      </c>
      <c r="C33" s="175">
        <f>Historicals!S34</f>
        <v>88.242793300000002</v>
      </c>
      <c r="D33" s="175">
        <f>C33</f>
        <v>88.242793300000002</v>
      </c>
      <c r="E33" s="175">
        <f t="shared" ref="E33:I33" si="15">D33</f>
        <v>88.242793300000002</v>
      </c>
      <c r="F33" s="175">
        <f t="shared" si="15"/>
        <v>88.242793300000002</v>
      </c>
      <c r="G33" s="175">
        <f t="shared" si="15"/>
        <v>88.242793300000002</v>
      </c>
      <c r="H33" s="175">
        <f t="shared" si="15"/>
        <v>88.242793300000002</v>
      </c>
      <c r="I33" s="175">
        <f t="shared" si="15"/>
        <v>88.242793300000002</v>
      </c>
    </row>
    <row r="34" spans="2:10" ht="15" x14ac:dyDescent="0.25">
      <c r="B34" s="94" t="s">
        <v>2</v>
      </c>
      <c r="C34" s="176">
        <f t="shared" ref="C34" si="16">SUM(C29:C33)</f>
        <v>6198.0855639112897</v>
      </c>
      <c r="D34" s="176">
        <f t="shared" ref="D34" si="17">SUM(D29:D33)</f>
        <v>5880.4670384931742</v>
      </c>
      <c r="E34" s="176">
        <f t="shared" ref="E34" si="18">SUM(E29:E33)</f>
        <v>5972.8344834326863</v>
      </c>
      <c r="F34" s="176">
        <f t="shared" ref="F34" si="19">SUM(F29:F33)</f>
        <v>6143.0322438928324</v>
      </c>
      <c r="G34" s="176">
        <f t="shared" ref="G34" si="20">SUM(G29:G33)</f>
        <v>6343.8304252512062</v>
      </c>
      <c r="H34" s="176">
        <f t="shared" ref="H34" si="21">SUM(H29:H33)</f>
        <v>6575.5386041994125</v>
      </c>
      <c r="I34" s="176">
        <f t="shared" ref="I34" si="22">SUM(I29:I33)</f>
        <v>6856.3936998767485</v>
      </c>
    </row>
    <row r="35" spans="2:10" ht="15" x14ac:dyDescent="0.25">
      <c r="B35" s="94" t="s">
        <v>1</v>
      </c>
      <c r="C35" s="176">
        <f>C34+C27</f>
        <v>8378.44600546129</v>
      </c>
      <c r="D35" s="176">
        <f t="shared" ref="D35:I35" si="23">D34+D27</f>
        <v>7966.6507532931737</v>
      </c>
      <c r="E35" s="176">
        <f t="shared" si="23"/>
        <v>7977.9127174804362</v>
      </c>
      <c r="F35" s="176">
        <f t="shared" si="23"/>
        <v>8078.2161267144947</v>
      </c>
      <c r="G35" s="176">
        <f t="shared" si="23"/>
        <v>8218.7419126786463</v>
      </c>
      <c r="H35" s="176">
        <f t="shared" si="23"/>
        <v>8398.4407942604976</v>
      </c>
      <c r="I35" s="176">
        <f t="shared" si="23"/>
        <v>8634.3869315546362</v>
      </c>
    </row>
    <row r="37" spans="2:10" ht="15" x14ac:dyDescent="0.15">
      <c r="C37" s="175">
        <f t="shared" ref="C37:I37" si="24">C35-C19</f>
        <v>1.0999992809956893E-6</v>
      </c>
      <c r="D37" s="175">
        <f t="shared" si="24"/>
        <v>1.0999992809956893E-6</v>
      </c>
      <c r="E37" s="175">
        <f t="shared" si="24"/>
        <v>1.0999983715009876E-6</v>
      </c>
      <c r="F37" s="175">
        <f t="shared" si="24"/>
        <v>1.0999983715009876E-6</v>
      </c>
      <c r="G37" s="175">
        <f t="shared" si="24"/>
        <v>1.0999992809956893E-6</v>
      </c>
      <c r="H37" s="175">
        <f t="shared" si="24"/>
        <v>1.0999992809956893E-6</v>
      </c>
      <c r="I37" s="175">
        <f t="shared" si="24"/>
        <v>1.0999992809956893E-6</v>
      </c>
    </row>
    <row r="39" spans="2:10" ht="15" x14ac:dyDescent="0.15">
      <c r="C39" s="173" t="s">
        <v>103</v>
      </c>
      <c r="D39" s="173" t="s">
        <v>104</v>
      </c>
      <c r="E39" s="173" t="s">
        <v>105</v>
      </c>
      <c r="F39" s="173" t="s">
        <v>106</v>
      </c>
      <c r="G39" s="173" t="s">
        <v>107</v>
      </c>
      <c r="H39" s="173" t="s">
        <v>108</v>
      </c>
      <c r="I39" s="173" t="s">
        <v>109</v>
      </c>
      <c r="J39" s="92" t="s">
        <v>110</v>
      </c>
    </row>
    <row r="40" spans="2:10" ht="15" x14ac:dyDescent="0.15">
      <c r="B40" s="158" t="s">
        <v>160</v>
      </c>
      <c r="C40" s="175">
        <f>Historicals!S31</f>
        <v>5714.4991004999993</v>
      </c>
      <c r="D40" s="175">
        <f>+C40*0.5</f>
        <v>2857.2495502499996</v>
      </c>
      <c r="E40" s="175">
        <v>0</v>
      </c>
      <c r="F40" s="175">
        <v>0</v>
      </c>
      <c r="G40" s="175">
        <v>0</v>
      </c>
      <c r="H40" s="175">
        <v>0</v>
      </c>
      <c r="I40" s="175">
        <v>0</v>
      </c>
      <c r="J40" s="87">
        <v>0</v>
      </c>
    </row>
    <row r="41" spans="2:10" ht="15" x14ac:dyDescent="0.15">
      <c r="B41" s="158" t="s">
        <v>352</v>
      </c>
      <c r="C41" s="175">
        <f>+Historicals!S18</f>
        <v>811.56035840000004</v>
      </c>
      <c r="D41" s="175">
        <f>C41*0.5</f>
        <v>405.78017920000002</v>
      </c>
      <c r="E41" s="175">
        <v>0</v>
      </c>
      <c r="F41" s="175">
        <v>0</v>
      </c>
      <c r="G41" s="175">
        <v>0</v>
      </c>
      <c r="H41" s="175">
        <v>0</v>
      </c>
      <c r="I41" s="175">
        <v>0</v>
      </c>
      <c r="J41" s="87">
        <v>0</v>
      </c>
    </row>
    <row r="42" spans="2:10" x14ac:dyDescent="0.15">
      <c r="B42" s="159"/>
    </row>
    <row r="43" spans="2:10" x14ac:dyDescent="0.15">
      <c r="B43" s="159" t="s">
        <v>356</v>
      </c>
      <c r="C43" s="174">
        <f>+SUM(Historicals!S30:S31,Historicals!S33:S34)-SUM(Historicals!S18:S19)</f>
        <v>5094.3431702999997</v>
      </c>
      <c r="D43" s="174">
        <f t="shared" ref="D43:J43" si="25">SUM(C30,C32:C33)-SUM(C16:C17)</f>
        <v>2342.3382372499991</v>
      </c>
      <c r="E43" s="174">
        <f t="shared" si="25"/>
        <v>-109.13113380000004</v>
      </c>
      <c r="F43" s="174">
        <f t="shared" si="25"/>
        <v>-109.13113380000004</v>
      </c>
      <c r="G43" s="174">
        <f t="shared" si="25"/>
        <v>-109.13113380000004</v>
      </c>
      <c r="H43" s="174">
        <f t="shared" si="25"/>
        <v>-109.13113380000004</v>
      </c>
      <c r="I43" s="174">
        <f t="shared" si="25"/>
        <v>-109.13113380000004</v>
      </c>
      <c r="J43" s="110">
        <f t="shared" si="25"/>
        <v>-109.13113380000004</v>
      </c>
    </row>
    <row r="44" spans="2:10" x14ac:dyDescent="0.15">
      <c r="B44" s="159"/>
      <c r="D44" s="174">
        <f>D43-C43</f>
        <v>-2752.0049330500005</v>
      </c>
      <c r="E44" s="174">
        <f t="shared" ref="E44:J44" si="26">E43-D43</f>
        <v>-2451.4693710499992</v>
      </c>
      <c r="F44" s="174">
        <f t="shared" si="26"/>
        <v>0</v>
      </c>
      <c r="G44" s="174">
        <f t="shared" si="26"/>
        <v>0</v>
      </c>
      <c r="H44" s="174">
        <f t="shared" si="26"/>
        <v>0</v>
      </c>
      <c r="I44" s="174">
        <f t="shared" si="26"/>
        <v>0</v>
      </c>
      <c r="J44" s="110">
        <f t="shared" si="26"/>
        <v>0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I25"/>
  <sheetViews>
    <sheetView workbookViewId="0">
      <selection activeCell="C25" sqref="C25"/>
    </sheetView>
  </sheetViews>
  <sheetFormatPr defaultRowHeight="12" x14ac:dyDescent="0.15"/>
  <cols>
    <col min="1" max="1" width="9.140625" style="110"/>
    <col min="2" max="2" width="30.5703125" style="110" bestFit="1" customWidth="1"/>
    <col min="3" max="3" width="9.7109375" style="174" bestFit="1" customWidth="1"/>
    <col min="4" max="9" width="9.140625" style="174"/>
    <col min="10" max="16384" width="9.140625" style="110"/>
  </cols>
  <sheetData>
    <row r="2" spans="2:9" ht="15" x14ac:dyDescent="0.15">
      <c r="B2" s="182" t="str">
        <f>Historicals!B2</f>
        <v>Al-Saqib Exports Private Limited</v>
      </c>
      <c r="C2" s="182"/>
      <c r="D2" s="182"/>
      <c r="E2" s="182"/>
      <c r="F2" s="182"/>
      <c r="G2" s="182"/>
      <c r="H2" s="182"/>
      <c r="I2" s="182"/>
    </row>
    <row r="4" spans="2:9" ht="15" x14ac:dyDescent="0.25">
      <c r="B4" s="91" t="s">
        <v>127</v>
      </c>
      <c r="C4" s="173" t="s">
        <v>104</v>
      </c>
      <c r="D4" s="173" t="s">
        <v>105</v>
      </c>
      <c r="E4" s="173" t="s">
        <v>106</v>
      </c>
      <c r="F4" s="173" t="s">
        <v>107</v>
      </c>
      <c r="G4" s="173" t="s">
        <v>108</v>
      </c>
      <c r="H4" s="173" t="s">
        <v>109</v>
      </c>
      <c r="I4" s="173" t="s">
        <v>110</v>
      </c>
    </row>
    <row r="5" spans="2:9" ht="15" x14ac:dyDescent="0.15">
      <c r="B5" s="121" t="s">
        <v>168</v>
      </c>
    </row>
    <row r="6" spans="2:9" ht="15" x14ac:dyDescent="0.25">
      <c r="B6" s="122" t="s">
        <v>169</v>
      </c>
      <c r="C6" s="175"/>
      <c r="D6" s="175"/>
      <c r="E6" s="175"/>
      <c r="F6" s="175"/>
      <c r="G6" s="175"/>
      <c r="H6" s="175"/>
      <c r="I6" s="175"/>
    </row>
    <row r="7" spans="2:9" ht="15" x14ac:dyDescent="0.25">
      <c r="B7" s="122" t="s">
        <v>170</v>
      </c>
      <c r="C7" s="175">
        <f>-Historicals!$S$17</f>
        <v>-3138.0146800000002</v>
      </c>
      <c r="D7" s="175"/>
      <c r="E7" s="175"/>
      <c r="F7" s="175"/>
      <c r="G7" s="175"/>
      <c r="H7" s="175"/>
      <c r="I7" s="175"/>
    </row>
    <row r="8" spans="2:9" ht="15" x14ac:dyDescent="0.25">
      <c r="B8" s="122" t="s">
        <v>150</v>
      </c>
      <c r="C8" s="175">
        <f>'Projected P&amp;L'!C29</f>
        <v>557.71578141128998</v>
      </c>
      <c r="D8" s="175">
        <f>'Projected P&amp;L'!D29</f>
        <v>586.57901378188501</v>
      </c>
      <c r="E8" s="175">
        <f>'Projected P&amp;L'!E29</f>
        <v>618.75858723951251</v>
      </c>
      <c r="F8" s="175">
        <f>'Projected P&amp;L'!F29</f>
        <v>650.19776046014613</v>
      </c>
      <c r="G8" s="175">
        <f>'Projected P&amp;L'!G29</f>
        <v>680.79818135837354</v>
      </c>
      <c r="H8" s="175">
        <f>'Projected P&amp;L'!H29</f>
        <v>711.70817894820595</v>
      </c>
      <c r="I8" s="175">
        <f>'Projected P&amp;L'!I29</f>
        <v>742.86977567733572</v>
      </c>
    </row>
    <row r="9" spans="2:9" ht="15" x14ac:dyDescent="0.25">
      <c r="B9" s="122" t="s">
        <v>171</v>
      </c>
      <c r="C9" s="175">
        <f>-C7</f>
        <v>3138.0146800000002</v>
      </c>
      <c r="D9" s="175"/>
      <c r="E9" s="175"/>
      <c r="F9" s="175"/>
      <c r="G9" s="175"/>
      <c r="H9" s="175"/>
      <c r="I9" s="175"/>
    </row>
    <row r="10" spans="2:9" ht="15" x14ac:dyDescent="0.25">
      <c r="B10" s="122" t="s">
        <v>172</v>
      </c>
      <c r="C10" s="175"/>
      <c r="D10" s="175"/>
      <c r="E10" s="175"/>
      <c r="F10" s="175"/>
      <c r="G10" s="175"/>
      <c r="H10" s="175"/>
      <c r="I10" s="175"/>
    </row>
    <row r="11" spans="2:9" ht="15" x14ac:dyDescent="0.25">
      <c r="B11" s="122" t="s">
        <v>173</v>
      </c>
      <c r="C11" s="175">
        <f>(+Historicals!S30-'Projected BS'!C29)+(Historicals!S31-'Projected BS'!C30)</f>
        <v>3157.7851122499997</v>
      </c>
      <c r="D11" s="175">
        <f>('Projected BS'!C29+'Projected BS'!C30)-('Projected BS'!D29+'Projected BS'!D30)</f>
        <v>2857.2495502499996</v>
      </c>
      <c r="E11" s="175">
        <f>('Projected BS'!D29+'Projected BS'!D30)-('Projected BS'!E29+'Projected BS'!E30)</f>
        <v>0</v>
      </c>
      <c r="F11" s="175">
        <f>('Projected BS'!E29+'Projected BS'!E30)-('Projected BS'!F29+'Projected BS'!F30)</f>
        <v>0</v>
      </c>
      <c r="G11" s="175">
        <f>('Projected BS'!F29+'Projected BS'!F30)-('Projected BS'!G29+'Projected BS'!G30)</f>
        <v>0</v>
      </c>
      <c r="H11" s="175">
        <f>('Projected BS'!G29+'Projected BS'!G30)-('Projected BS'!H29+'Projected BS'!H30)</f>
        <v>0</v>
      </c>
      <c r="I11" s="175">
        <f>('Projected BS'!H29+'Projected BS'!H30)-('Projected BS'!I29+'Projected BS'!I30)</f>
        <v>0</v>
      </c>
    </row>
    <row r="12" spans="2:9" ht="15" x14ac:dyDescent="0.25">
      <c r="B12" s="122" t="s">
        <v>174</v>
      </c>
      <c r="C12" s="175"/>
      <c r="D12" s="175"/>
      <c r="E12" s="175"/>
      <c r="F12" s="175"/>
      <c r="G12" s="175"/>
      <c r="H12" s="175"/>
      <c r="I12" s="175"/>
    </row>
    <row r="13" spans="2:9" ht="15" x14ac:dyDescent="0.25">
      <c r="B13" s="122" t="s">
        <v>175</v>
      </c>
      <c r="C13" s="175"/>
      <c r="E13" s="175"/>
      <c r="F13" s="175"/>
      <c r="G13" s="175"/>
      <c r="H13" s="175"/>
      <c r="I13" s="175"/>
    </row>
    <row r="14" spans="2:9" ht="15" x14ac:dyDescent="0.15">
      <c r="B14" s="123" t="s">
        <v>176</v>
      </c>
      <c r="C14" s="176">
        <f t="shared" ref="C14:I14" si="0">SUM(C7:C13)</f>
        <v>3715.5008936612894</v>
      </c>
      <c r="D14" s="176">
        <f t="shared" si="0"/>
        <v>3443.8285640318845</v>
      </c>
      <c r="E14" s="176">
        <f t="shared" si="0"/>
        <v>618.75858723951251</v>
      </c>
      <c r="F14" s="176">
        <f t="shared" si="0"/>
        <v>650.19776046014613</v>
      </c>
      <c r="G14" s="176">
        <f t="shared" si="0"/>
        <v>680.79818135837354</v>
      </c>
      <c r="H14" s="176">
        <f t="shared" si="0"/>
        <v>711.70817894820595</v>
      </c>
      <c r="I14" s="176">
        <f t="shared" si="0"/>
        <v>742.86977567733572</v>
      </c>
    </row>
    <row r="15" spans="2:9" ht="15" x14ac:dyDescent="0.15">
      <c r="B15" s="121" t="s">
        <v>177</v>
      </c>
      <c r="C15" s="175"/>
      <c r="D15" s="175"/>
      <c r="E15" s="175"/>
      <c r="F15" s="175"/>
      <c r="G15" s="175"/>
      <c r="H15" s="175"/>
      <c r="I15" s="175"/>
    </row>
    <row r="16" spans="2:9" ht="15" x14ac:dyDescent="0.25">
      <c r="B16" s="122" t="s">
        <v>178</v>
      </c>
      <c r="C16" s="175">
        <f>'Dep-WDV'!F116</f>
        <v>0</v>
      </c>
      <c r="D16" s="175">
        <f>'Dep-WDV'!G116</f>
        <v>0</v>
      </c>
      <c r="E16" s="175">
        <f>'Dep-WDV'!H116</f>
        <v>0</v>
      </c>
      <c r="F16" s="175">
        <f>'Dep-WDV'!I116</f>
        <v>0</v>
      </c>
      <c r="G16" s="175">
        <f>'Dep-WDV'!J116</f>
        <v>0</v>
      </c>
      <c r="H16" s="175">
        <f>'Dep-WDV'!K116</f>
        <v>0</v>
      </c>
      <c r="I16" s="175">
        <f>'Dep-WDV'!L116</f>
        <v>0</v>
      </c>
    </row>
    <row r="17" spans="2:9" ht="15" x14ac:dyDescent="0.25">
      <c r="B17" s="122" t="s">
        <v>346</v>
      </c>
      <c r="C17" s="175">
        <f>'Debt Schedule'!L8</f>
        <v>389.64706999999999</v>
      </c>
      <c r="D17" s="175">
        <f>'Debt Schedule'!L9</f>
        <v>498.41735999999997</v>
      </c>
      <c r="E17" s="175">
        <f>'Debt Schedule'!L10</f>
        <v>526.39114230000007</v>
      </c>
      <c r="F17" s="175">
        <f>'Debt Schedule'!L11</f>
        <v>480</v>
      </c>
      <c r="G17" s="175">
        <f>'Debt Schedule'!L12</f>
        <v>480</v>
      </c>
      <c r="H17" s="175">
        <f>'Debt Schedule'!L13</f>
        <v>480</v>
      </c>
      <c r="I17" s="175">
        <f>'Debt Schedule'!L14</f>
        <v>462.01468</v>
      </c>
    </row>
    <row r="18" spans="2:9" ht="15" x14ac:dyDescent="0.25">
      <c r="B18" s="122" t="s">
        <v>179</v>
      </c>
      <c r="C18" s="175">
        <f>Historicals!S18-'Projected BS'!C16</f>
        <v>405.78017920000002</v>
      </c>
      <c r="D18" s="175">
        <f>'Projected BS'!C16-'Projected BS'!D16</f>
        <v>405.78017920000002</v>
      </c>
      <c r="E18" s="175">
        <f>'Projected BS'!D16-'Projected BS'!E16</f>
        <v>0</v>
      </c>
      <c r="F18" s="175">
        <f>'Projected BS'!E16-'Projected BS'!F16</f>
        <v>0</v>
      </c>
      <c r="G18" s="175">
        <f>'Projected BS'!F16-'Projected BS'!G16</f>
        <v>0</v>
      </c>
      <c r="H18" s="175">
        <f>'Projected BS'!G16-'Projected BS'!H16</f>
        <v>0</v>
      </c>
      <c r="I18" s="175">
        <f>'Projected BS'!H16-'Projected BS'!I16</f>
        <v>0</v>
      </c>
    </row>
    <row r="19" spans="2:9" ht="15" x14ac:dyDescent="0.25">
      <c r="B19" s="122" t="s">
        <v>180</v>
      </c>
      <c r="C19" s="175"/>
      <c r="D19" s="175"/>
      <c r="E19" s="175"/>
      <c r="F19" s="175"/>
      <c r="G19" s="175"/>
      <c r="H19" s="175"/>
      <c r="I19" s="175"/>
    </row>
    <row r="20" spans="2:9" ht="15" x14ac:dyDescent="0.25">
      <c r="B20" s="122" t="s">
        <v>181</v>
      </c>
      <c r="C20" s="175"/>
      <c r="D20" s="175"/>
      <c r="E20" s="175"/>
      <c r="F20" s="175"/>
      <c r="H20" s="175"/>
      <c r="I20" s="175"/>
    </row>
    <row r="21" spans="2:9" ht="15" x14ac:dyDescent="0.15">
      <c r="B21" s="123" t="s">
        <v>176</v>
      </c>
      <c r="C21" s="176">
        <f t="shared" ref="C21:I21" si="1">SUM(C16:C20)</f>
        <v>795.42724920000001</v>
      </c>
      <c r="D21" s="176">
        <f t="shared" si="1"/>
        <v>904.19753919999994</v>
      </c>
      <c r="E21" s="176">
        <f t="shared" si="1"/>
        <v>526.39114230000007</v>
      </c>
      <c r="F21" s="176">
        <f t="shared" si="1"/>
        <v>480</v>
      </c>
      <c r="G21" s="176">
        <f t="shared" si="1"/>
        <v>480</v>
      </c>
      <c r="H21" s="176">
        <f t="shared" si="1"/>
        <v>480</v>
      </c>
      <c r="I21" s="176">
        <f t="shared" si="1"/>
        <v>462.01468</v>
      </c>
    </row>
    <row r="22" spans="2:9" ht="15" x14ac:dyDescent="0.15">
      <c r="B22" s="121" t="s">
        <v>182</v>
      </c>
      <c r="D22" s="175"/>
      <c r="E22" s="175"/>
      <c r="F22" s="175"/>
      <c r="G22" s="175"/>
      <c r="H22" s="175"/>
      <c r="I22" s="175"/>
    </row>
    <row r="23" spans="2:9" ht="15" x14ac:dyDescent="0.25">
      <c r="B23" s="122" t="s">
        <v>99</v>
      </c>
      <c r="C23" s="175">
        <f>Historicals!S32</f>
        <v>83.023984600000006</v>
      </c>
      <c r="D23" s="175">
        <f>C25</f>
        <v>3003.0976290612894</v>
      </c>
      <c r="E23" s="175">
        <f t="shared" ref="E23:I23" si="2">D25</f>
        <v>5542.7286538931739</v>
      </c>
      <c r="F23" s="175">
        <f t="shared" si="2"/>
        <v>5635.096098832686</v>
      </c>
      <c r="G23" s="175">
        <f t="shared" si="2"/>
        <v>5805.2938592928322</v>
      </c>
      <c r="H23" s="175">
        <f t="shared" si="2"/>
        <v>6006.0920406512059</v>
      </c>
      <c r="I23" s="175">
        <f t="shared" si="2"/>
        <v>6237.8002195994122</v>
      </c>
    </row>
    <row r="24" spans="2:9" ht="15" x14ac:dyDescent="0.25">
      <c r="B24" s="122" t="s">
        <v>183</v>
      </c>
      <c r="C24" s="175">
        <f t="shared" ref="C24:I24" si="3">C14-C21</f>
        <v>2920.0736444612894</v>
      </c>
      <c r="D24" s="175">
        <f t="shared" si="3"/>
        <v>2539.6310248318846</v>
      </c>
      <c r="E24" s="175">
        <f t="shared" si="3"/>
        <v>92.367444939512438</v>
      </c>
      <c r="F24" s="175">
        <f t="shared" si="3"/>
        <v>170.19776046014613</v>
      </c>
      <c r="G24" s="175">
        <f t="shared" si="3"/>
        <v>200.79818135837354</v>
      </c>
      <c r="H24" s="175">
        <f t="shared" si="3"/>
        <v>231.70817894820595</v>
      </c>
      <c r="I24" s="175">
        <f t="shared" si="3"/>
        <v>280.85509567733573</v>
      </c>
    </row>
    <row r="25" spans="2:9" ht="15" x14ac:dyDescent="0.25">
      <c r="B25" s="124" t="s">
        <v>102</v>
      </c>
      <c r="C25" s="176">
        <f>C23+C24</f>
        <v>3003.0976290612894</v>
      </c>
      <c r="D25" s="176">
        <f t="shared" ref="D25:I25" si="4">D23+D24</f>
        <v>5542.7286538931739</v>
      </c>
      <c r="E25" s="176">
        <f t="shared" si="4"/>
        <v>5635.096098832686</v>
      </c>
      <c r="F25" s="176">
        <f t="shared" si="4"/>
        <v>5805.2938592928322</v>
      </c>
      <c r="G25" s="176">
        <f t="shared" si="4"/>
        <v>6006.0920406512059</v>
      </c>
      <c r="H25" s="176">
        <f t="shared" si="4"/>
        <v>6237.8002195994122</v>
      </c>
      <c r="I25" s="176">
        <f t="shared" si="4"/>
        <v>6518.6553152767483</v>
      </c>
    </row>
  </sheetData>
  <mergeCells count="1">
    <mergeCell ref="B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N129"/>
  <sheetViews>
    <sheetView zoomScale="90" zoomScaleNormal="90" workbookViewId="0">
      <selection activeCell="E25" sqref="E25"/>
    </sheetView>
  </sheetViews>
  <sheetFormatPr defaultRowHeight="12" x14ac:dyDescent="0.15"/>
  <cols>
    <col min="1" max="1" width="9.140625" style="11"/>
    <col min="2" max="2" width="19" style="11" customWidth="1"/>
    <col min="3" max="3" width="19.28515625" style="11" customWidth="1"/>
    <col min="4" max="4" width="33.140625" style="11" bestFit="1" customWidth="1"/>
    <col min="5" max="14" width="15.28515625" style="11" bestFit="1" customWidth="1"/>
    <col min="15" max="16384" width="9.140625" style="11"/>
  </cols>
  <sheetData>
    <row r="2" spans="2:14" ht="12" customHeight="1" x14ac:dyDescent="0.15">
      <c r="B2" s="90" t="str">
        <f>Historicals!B2</f>
        <v>Al-Saqib Exports Private Limited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4" spans="2:14" ht="15" x14ac:dyDescent="0.25">
      <c r="B4" s="27" t="s">
        <v>91</v>
      </c>
      <c r="C4" s="27"/>
      <c r="D4" s="27"/>
      <c r="E4" s="29">
        <v>366</v>
      </c>
      <c r="F4" s="27">
        <f t="shared" ref="F4:L4" si="0">F6-E6</f>
        <v>365</v>
      </c>
      <c r="G4" s="27">
        <f t="shared" si="0"/>
        <v>365</v>
      </c>
      <c r="H4" s="27">
        <f t="shared" si="0"/>
        <v>365</v>
      </c>
      <c r="I4" s="27">
        <f t="shared" si="0"/>
        <v>366</v>
      </c>
      <c r="J4" s="27">
        <f t="shared" si="0"/>
        <v>365</v>
      </c>
      <c r="K4" s="27">
        <f t="shared" si="0"/>
        <v>365</v>
      </c>
      <c r="L4" s="27">
        <f t="shared" si="0"/>
        <v>365</v>
      </c>
    </row>
    <row r="5" spans="2:14" ht="15" x14ac:dyDescent="0.25">
      <c r="B5" s="27" t="s">
        <v>90</v>
      </c>
      <c r="C5" s="27">
        <f>SUM(E4:S4)</f>
        <v>2922</v>
      </c>
      <c r="D5" s="27"/>
      <c r="E5" s="29"/>
      <c r="F5" s="27"/>
      <c r="G5" s="27"/>
      <c r="H5" s="27"/>
      <c r="I5" s="27"/>
      <c r="J5" s="27"/>
      <c r="K5" s="27"/>
      <c r="L5" s="27"/>
    </row>
    <row r="6" spans="2:14" ht="15" x14ac:dyDescent="0.25">
      <c r="B6" s="53" t="s">
        <v>89</v>
      </c>
      <c r="C6" s="53" t="s">
        <v>88</v>
      </c>
      <c r="D6" s="27"/>
      <c r="E6" s="55">
        <v>45382</v>
      </c>
      <c r="F6" s="54">
        <f t="shared" ref="F6:L6" si="1">EDATE(E6,12)</f>
        <v>45747</v>
      </c>
      <c r="G6" s="54">
        <f t="shared" si="1"/>
        <v>46112</v>
      </c>
      <c r="H6" s="54">
        <f t="shared" si="1"/>
        <v>46477</v>
      </c>
      <c r="I6" s="54">
        <f t="shared" si="1"/>
        <v>46843</v>
      </c>
      <c r="J6" s="54">
        <f t="shared" si="1"/>
        <v>47208</v>
      </c>
      <c r="K6" s="54">
        <f t="shared" si="1"/>
        <v>47573</v>
      </c>
      <c r="L6" s="54">
        <f t="shared" si="1"/>
        <v>47938</v>
      </c>
    </row>
    <row r="7" spans="2:14" ht="15" x14ac:dyDescent="0.25">
      <c r="B7" s="53" t="s">
        <v>87</v>
      </c>
      <c r="C7" s="71"/>
      <c r="D7" s="45" t="s">
        <v>86</v>
      </c>
      <c r="E7" s="29"/>
      <c r="F7" s="27"/>
      <c r="G7" s="27"/>
      <c r="H7" s="27"/>
      <c r="I7" s="27"/>
      <c r="J7" s="27"/>
      <c r="K7" s="27"/>
      <c r="L7" s="27"/>
      <c r="M7" s="27"/>
      <c r="N7" s="27"/>
    </row>
    <row r="8" spans="2:14" ht="15" x14ac:dyDescent="0.25">
      <c r="B8" s="27"/>
      <c r="C8" s="27"/>
      <c r="D8" s="27" t="s">
        <v>80</v>
      </c>
      <c r="E8" s="62">
        <v>45661137</v>
      </c>
      <c r="F8" s="63">
        <f t="shared" ref="F8:L8" si="2">E8+E9-E10</f>
        <v>45661137</v>
      </c>
      <c r="G8" s="63">
        <f t="shared" si="2"/>
        <v>45661137</v>
      </c>
      <c r="H8" s="63">
        <f t="shared" si="2"/>
        <v>45661137</v>
      </c>
      <c r="I8" s="63">
        <f t="shared" si="2"/>
        <v>45661137</v>
      </c>
      <c r="J8" s="63">
        <f t="shared" si="2"/>
        <v>45661137</v>
      </c>
      <c r="K8" s="63">
        <f t="shared" si="2"/>
        <v>45661137</v>
      </c>
      <c r="L8" s="63">
        <f t="shared" si="2"/>
        <v>45661137</v>
      </c>
      <c r="M8" s="27"/>
      <c r="N8" s="27"/>
    </row>
    <row r="9" spans="2:14" ht="15" x14ac:dyDescent="0.25">
      <c r="B9" s="27"/>
      <c r="C9" s="27"/>
      <c r="D9" s="27" t="s">
        <v>79</v>
      </c>
      <c r="E9" s="64"/>
      <c r="F9" s="65"/>
      <c r="G9" s="65"/>
      <c r="H9" s="65"/>
      <c r="I9" s="65"/>
      <c r="J9" s="65"/>
      <c r="K9" s="65"/>
      <c r="L9" s="65"/>
      <c r="M9" s="27"/>
      <c r="N9" s="27"/>
    </row>
    <row r="10" spans="2:14" ht="15" x14ac:dyDescent="0.25">
      <c r="B10" s="27"/>
      <c r="C10" s="27"/>
      <c r="D10" s="27" t="s">
        <v>78</v>
      </c>
      <c r="E10" s="64"/>
      <c r="F10" s="65"/>
      <c r="G10" s="65"/>
      <c r="H10" s="65"/>
      <c r="I10" s="65"/>
      <c r="J10" s="65"/>
      <c r="K10" s="65"/>
      <c r="L10" s="65"/>
      <c r="M10" s="27"/>
      <c r="N10" s="27"/>
    </row>
    <row r="11" spans="2:14" ht="15" x14ac:dyDescent="0.25">
      <c r="B11" s="27"/>
      <c r="C11" s="27"/>
      <c r="D11" s="27" t="s">
        <v>24</v>
      </c>
      <c r="E11" s="64"/>
      <c r="F11" s="65"/>
      <c r="G11" s="65"/>
      <c r="H11" s="65"/>
      <c r="I11" s="65"/>
      <c r="J11" s="65"/>
      <c r="K11" s="65"/>
      <c r="L11" s="65"/>
      <c r="M11" s="27"/>
      <c r="N11" s="27"/>
    </row>
    <row r="12" spans="2:14" ht="15" x14ac:dyDescent="0.25">
      <c r="B12" s="27"/>
      <c r="C12" s="27"/>
      <c r="D12" s="27" t="s">
        <v>77</v>
      </c>
      <c r="E12" s="64"/>
      <c r="F12" s="65"/>
      <c r="G12" s="65"/>
      <c r="H12" s="65"/>
      <c r="I12" s="65"/>
      <c r="J12" s="65"/>
      <c r="K12" s="65"/>
      <c r="L12" s="65"/>
      <c r="M12" s="27"/>
      <c r="N12" s="27"/>
    </row>
    <row r="13" spans="2:14" ht="15" x14ac:dyDescent="0.25">
      <c r="B13" s="27"/>
      <c r="C13" s="27"/>
      <c r="D13" s="27" t="s">
        <v>76</v>
      </c>
      <c r="E13" s="66"/>
      <c r="F13" s="67"/>
      <c r="G13" s="67"/>
      <c r="H13" s="67"/>
      <c r="I13" s="67"/>
      <c r="J13" s="67"/>
      <c r="K13" s="65"/>
      <c r="L13" s="65"/>
      <c r="M13" s="27"/>
      <c r="N13" s="27"/>
    </row>
    <row r="14" spans="2:14" ht="15" x14ac:dyDescent="0.25">
      <c r="B14" s="27"/>
      <c r="C14" s="27"/>
      <c r="D14" s="27" t="s">
        <v>71</v>
      </c>
      <c r="E14" s="68">
        <f t="shared" ref="E14:L14" si="3">E8</f>
        <v>45661137</v>
      </c>
      <c r="F14" s="69">
        <f t="shared" si="3"/>
        <v>45661137</v>
      </c>
      <c r="G14" s="69">
        <f t="shared" si="3"/>
        <v>45661137</v>
      </c>
      <c r="H14" s="69">
        <f t="shared" si="3"/>
        <v>45661137</v>
      </c>
      <c r="I14" s="69">
        <f t="shared" si="3"/>
        <v>45661137</v>
      </c>
      <c r="J14" s="69">
        <f t="shared" si="3"/>
        <v>45661137</v>
      </c>
      <c r="K14" s="69">
        <f t="shared" si="3"/>
        <v>45661137</v>
      </c>
      <c r="L14" s="69">
        <f t="shared" si="3"/>
        <v>45661137</v>
      </c>
      <c r="M14" s="27"/>
      <c r="N14" s="27"/>
    </row>
    <row r="15" spans="2:14" ht="15" x14ac:dyDescent="0.25">
      <c r="B15" s="27"/>
      <c r="C15" s="27"/>
      <c r="D15" s="27"/>
      <c r="E15" s="47"/>
      <c r="F15" s="49"/>
      <c r="G15" s="49"/>
      <c r="H15" s="49"/>
      <c r="I15" s="49"/>
      <c r="J15" s="49"/>
      <c r="K15" s="27"/>
      <c r="L15" s="27"/>
      <c r="M15" s="27"/>
      <c r="N15" s="27"/>
    </row>
    <row r="16" spans="2:14" ht="15" x14ac:dyDescent="0.25">
      <c r="B16" s="27"/>
      <c r="C16" s="27"/>
      <c r="D16" s="45" t="s">
        <v>85</v>
      </c>
      <c r="E16" s="29"/>
      <c r="F16" s="27"/>
      <c r="G16" s="27"/>
      <c r="H16" s="27"/>
      <c r="I16" s="27"/>
      <c r="J16" s="27"/>
      <c r="K16" s="27"/>
      <c r="L16" s="27"/>
      <c r="M16" s="27"/>
      <c r="N16" s="27"/>
    </row>
    <row r="17" spans="2:14" ht="15" x14ac:dyDescent="0.25">
      <c r="B17" s="42"/>
      <c r="C17" s="27"/>
      <c r="D17" s="27" t="s">
        <v>80</v>
      </c>
      <c r="E17" s="62">
        <f>48590918.68</f>
        <v>48590918.68</v>
      </c>
      <c r="F17" s="63">
        <f t="shared" ref="F17:L17" si="4">SUM(E17,E18,E19)</f>
        <v>48590918.68</v>
      </c>
      <c r="G17" s="63">
        <f t="shared" si="4"/>
        <v>48590918.68</v>
      </c>
      <c r="H17" s="63">
        <f t="shared" si="4"/>
        <v>48590918.68</v>
      </c>
      <c r="I17" s="63">
        <f t="shared" si="4"/>
        <v>48590918.68</v>
      </c>
      <c r="J17" s="63">
        <f t="shared" si="4"/>
        <v>48590918.68</v>
      </c>
      <c r="K17" s="63">
        <f t="shared" si="4"/>
        <v>48590918.68</v>
      </c>
      <c r="L17" s="63">
        <f t="shared" si="4"/>
        <v>48590918.68</v>
      </c>
      <c r="M17" s="27"/>
      <c r="N17" s="27"/>
    </row>
    <row r="18" spans="2:14" ht="15" x14ac:dyDescent="0.25">
      <c r="B18" s="42"/>
      <c r="C18" s="50">
        <v>0.1</v>
      </c>
      <c r="D18" s="27" t="s">
        <v>79</v>
      </c>
      <c r="E18" s="64"/>
      <c r="F18" s="65"/>
      <c r="G18" s="65"/>
      <c r="H18" s="65"/>
      <c r="I18" s="65"/>
      <c r="J18" s="65"/>
      <c r="K18" s="65"/>
      <c r="L18" s="65"/>
      <c r="M18" s="27"/>
      <c r="N18" s="27"/>
    </row>
    <row r="19" spans="2:14" ht="15" x14ac:dyDescent="0.25">
      <c r="B19" s="27"/>
      <c r="C19" s="33"/>
      <c r="D19" s="27" t="s">
        <v>78</v>
      </c>
      <c r="E19" s="64"/>
      <c r="F19" s="65"/>
      <c r="G19" s="65"/>
      <c r="H19" s="65"/>
      <c r="I19" s="65"/>
      <c r="J19" s="65"/>
      <c r="K19" s="65"/>
      <c r="L19" s="65"/>
      <c r="M19" s="27"/>
      <c r="N19" s="27"/>
    </row>
    <row r="20" spans="2:14" ht="15" x14ac:dyDescent="0.25">
      <c r="B20" s="27"/>
      <c r="C20" s="27"/>
      <c r="D20" s="27" t="s">
        <v>24</v>
      </c>
      <c r="E20" s="64">
        <f>807417.3</f>
        <v>807417.3</v>
      </c>
      <c r="F20" s="65">
        <f t="shared" ref="F20:L20" si="5">E23*$C$18</f>
        <v>1626675.57</v>
      </c>
      <c r="G20" s="65">
        <f t="shared" si="5"/>
        <v>1464008.0130000003</v>
      </c>
      <c r="H20" s="65">
        <f t="shared" si="5"/>
        <v>1317607.2117000008</v>
      </c>
      <c r="I20" s="65">
        <f t="shared" si="5"/>
        <v>1185846.4905300008</v>
      </c>
      <c r="J20" s="65">
        <f t="shared" si="5"/>
        <v>1067261.8414770009</v>
      </c>
      <c r="K20" s="65">
        <f t="shared" si="5"/>
        <v>960535.65732930088</v>
      </c>
      <c r="L20" s="65">
        <f t="shared" si="5"/>
        <v>864482.09159637103</v>
      </c>
      <c r="M20" s="27"/>
      <c r="N20" s="27"/>
    </row>
    <row r="21" spans="2:14" ht="15" x14ac:dyDescent="0.25">
      <c r="B21" s="27"/>
      <c r="C21" s="27"/>
      <c r="D21" s="27" t="s">
        <v>77</v>
      </c>
      <c r="E21" s="64"/>
      <c r="F21" s="65"/>
      <c r="G21" s="65"/>
      <c r="H21" s="65"/>
      <c r="I21" s="65"/>
      <c r="J21" s="65"/>
      <c r="K21" s="65"/>
      <c r="L21" s="65"/>
      <c r="M21" s="27"/>
      <c r="N21" s="27"/>
    </row>
    <row r="22" spans="2:14" ht="15" x14ac:dyDescent="0.25">
      <c r="B22" s="27"/>
      <c r="C22" s="27"/>
      <c r="D22" s="27" t="s">
        <v>76</v>
      </c>
      <c r="E22" s="66">
        <f>32324162.98</f>
        <v>32324162.98</v>
      </c>
      <c r="F22" s="67">
        <f t="shared" ref="F22:L22" si="6">F20+E22+F21-F19</f>
        <v>33950838.549999997</v>
      </c>
      <c r="G22" s="67">
        <f t="shared" si="6"/>
        <v>35414846.562999994</v>
      </c>
      <c r="H22" s="67">
        <f t="shared" si="6"/>
        <v>36732453.774699993</v>
      </c>
      <c r="I22" s="67">
        <f t="shared" si="6"/>
        <v>37918300.265229993</v>
      </c>
      <c r="J22" s="67">
        <f t="shared" si="6"/>
        <v>38985562.106706992</v>
      </c>
      <c r="K22" s="67">
        <f t="shared" si="6"/>
        <v>39946097.76403629</v>
      </c>
      <c r="L22" s="67">
        <f t="shared" si="6"/>
        <v>40810579.855632663</v>
      </c>
      <c r="M22" s="27"/>
      <c r="N22" s="27"/>
    </row>
    <row r="23" spans="2:14" ht="15" x14ac:dyDescent="0.25">
      <c r="B23" s="27"/>
      <c r="C23" s="27"/>
      <c r="D23" s="27" t="s">
        <v>71</v>
      </c>
      <c r="E23" s="68">
        <f t="shared" ref="E23:L23" si="7">E17+E18-E22-E19</f>
        <v>16266755.699999999</v>
      </c>
      <c r="F23" s="69">
        <f t="shared" si="7"/>
        <v>14640080.130000003</v>
      </c>
      <c r="G23" s="69">
        <f t="shared" si="7"/>
        <v>13176072.117000006</v>
      </c>
      <c r="H23" s="69">
        <f t="shared" si="7"/>
        <v>11858464.905300006</v>
      </c>
      <c r="I23" s="69">
        <f t="shared" si="7"/>
        <v>10672618.414770007</v>
      </c>
      <c r="J23" s="69">
        <f t="shared" si="7"/>
        <v>9605356.5732930079</v>
      </c>
      <c r="K23" s="69">
        <f t="shared" si="7"/>
        <v>8644820.9159637094</v>
      </c>
      <c r="L23" s="69">
        <f t="shared" si="7"/>
        <v>7780338.8243673369</v>
      </c>
      <c r="M23" s="27"/>
      <c r="N23" s="27"/>
    </row>
    <row r="24" spans="2:14" ht="15" x14ac:dyDescent="0.25">
      <c r="B24" s="27"/>
      <c r="C24" s="27"/>
      <c r="D24" s="45" t="s">
        <v>84</v>
      </c>
      <c r="E24" s="64"/>
      <c r="F24" s="65"/>
      <c r="G24" s="65"/>
      <c r="H24" s="65"/>
      <c r="I24" s="65"/>
      <c r="J24" s="65"/>
      <c r="K24" s="65"/>
      <c r="L24" s="65"/>
      <c r="M24" s="27"/>
      <c r="N24" s="27"/>
    </row>
    <row r="25" spans="2:14" ht="15" x14ac:dyDescent="0.25">
      <c r="B25" s="42"/>
      <c r="C25" s="27"/>
      <c r="D25" s="27" t="s">
        <v>80</v>
      </c>
      <c r="E25" s="62">
        <f>105405835.37</f>
        <v>105405835.37</v>
      </c>
      <c r="F25" s="63">
        <f t="shared" ref="F25:L25" si="8">E25+E26-E27</f>
        <v>105405835.37</v>
      </c>
      <c r="G25" s="63">
        <f t="shared" si="8"/>
        <v>105405835.37</v>
      </c>
      <c r="H25" s="63">
        <f t="shared" si="8"/>
        <v>105405835.37</v>
      </c>
      <c r="I25" s="63">
        <f t="shared" si="8"/>
        <v>105405835.37</v>
      </c>
      <c r="J25" s="63">
        <f t="shared" si="8"/>
        <v>105405835.37</v>
      </c>
      <c r="K25" s="63">
        <f t="shared" si="8"/>
        <v>105405835.37</v>
      </c>
      <c r="L25" s="63">
        <f t="shared" si="8"/>
        <v>105405835.37</v>
      </c>
      <c r="M25" s="27"/>
      <c r="N25" s="27"/>
    </row>
    <row r="26" spans="2:14" ht="15" x14ac:dyDescent="0.25">
      <c r="B26" s="27"/>
      <c r="C26" s="43">
        <v>0.15</v>
      </c>
      <c r="D26" s="27" t="s">
        <v>79</v>
      </c>
      <c r="E26" s="64"/>
      <c r="F26" s="65"/>
      <c r="G26" s="65"/>
      <c r="H26" s="65"/>
      <c r="I26" s="65"/>
      <c r="J26" s="65"/>
      <c r="K26" s="65"/>
      <c r="L26" s="65"/>
      <c r="M26" s="27"/>
      <c r="N26" s="27"/>
    </row>
    <row r="27" spans="2:14" ht="15" x14ac:dyDescent="0.25">
      <c r="B27" s="42"/>
      <c r="C27" s="33"/>
      <c r="D27" s="27" t="s">
        <v>78</v>
      </c>
      <c r="E27" s="64"/>
      <c r="F27" s="65"/>
      <c r="G27" s="65"/>
      <c r="H27" s="65"/>
      <c r="I27" s="65"/>
      <c r="J27" s="65"/>
      <c r="K27" s="65"/>
      <c r="L27" s="65"/>
      <c r="M27" s="27"/>
      <c r="N27" s="27"/>
    </row>
    <row r="28" spans="2:14" ht="15" x14ac:dyDescent="0.25">
      <c r="B28" s="27"/>
      <c r="C28" s="27"/>
      <c r="D28" s="27" t="s">
        <v>24</v>
      </c>
      <c r="E28" s="64">
        <f>3876698.52</f>
        <v>3876698.52</v>
      </c>
      <c r="F28" s="65">
        <f t="shared" ref="F28:L28" si="9">E31*$C$26</f>
        <v>2724074.2890000008</v>
      </c>
      <c r="G28" s="65">
        <f t="shared" si="9"/>
        <v>2315463.1456499998</v>
      </c>
      <c r="H28" s="65">
        <f t="shared" si="9"/>
        <v>1968143.6738025001</v>
      </c>
      <c r="I28" s="65">
        <f t="shared" si="9"/>
        <v>1672922.1227321259</v>
      </c>
      <c r="J28" s="65">
        <f t="shared" si="9"/>
        <v>1421983.8043223061</v>
      </c>
      <c r="K28" s="65">
        <f t="shared" si="9"/>
        <v>1208686.2336739607</v>
      </c>
      <c r="L28" s="65">
        <f t="shared" si="9"/>
        <v>1027383.2986228666</v>
      </c>
      <c r="M28" s="27"/>
      <c r="N28" s="27"/>
    </row>
    <row r="29" spans="2:14" ht="15" x14ac:dyDescent="0.25">
      <c r="B29" s="27"/>
      <c r="C29" s="27"/>
      <c r="D29" s="27" t="s">
        <v>77</v>
      </c>
      <c r="E29" s="64"/>
      <c r="F29" s="65"/>
      <c r="G29" s="65"/>
      <c r="H29" s="65"/>
      <c r="I29" s="65"/>
      <c r="J29" s="65"/>
      <c r="K29" s="65"/>
      <c r="L29" s="65"/>
      <c r="M29" s="27"/>
      <c r="N29" s="27"/>
    </row>
    <row r="30" spans="2:14" ht="15" x14ac:dyDescent="0.25">
      <c r="B30" s="27"/>
      <c r="C30" s="27"/>
      <c r="D30" s="27" t="s">
        <v>76</v>
      </c>
      <c r="E30" s="66">
        <f>87245340.11</f>
        <v>87245340.109999999</v>
      </c>
      <c r="F30" s="67">
        <f t="shared" ref="F30:L30" si="10">F28+E30+F29-F27</f>
        <v>89969414.399000004</v>
      </c>
      <c r="G30" s="67">
        <f t="shared" si="10"/>
        <v>92284877.544650003</v>
      </c>
      <c r="H30" s="67">
        <f t="shared" si="10"/>
        <v>94253021.218452498</v>
      </c>
      <c r="I30" s="67">
        <f t="shared" si="10"/>
        <v>95925943.341184631</v>
      </c>
      <c r="J30" s="67">
        <f t="shared" si="10"/>
        <v>97347927.145506933</v>
      </c>
      <c r="K30" s="67">
        <f t="shared" si="10"/>
        <v>98556613.379180893</v>
      </c>
      <c r="L30" s="67">
        <f t="shared" si="10"/>
        <v>99583996.677803755</v>
      </c>
      <c r="M30" s="27"/>
      <c r="N30" s="27"/>
    </row>
    <row r="31" spans="2:14" ht="15" x14ac:dyDescent="0.25">
      <c r="B31" s="27"/>
      <c r="C31" s="27"/>
      <c r="D31" s="27" t="s">
        <v>71</v>
      </c>
      <c r="E31" s="68">
        <f t="shared" ref="E31:J31" si="11">E25+E26-E30-E27</f>
        <v>18160495.260000005</v>
      </c>
      <c r="F31" s="69">
        <f t="shared" si="11"/>
        <v>15436420.971000001</v>
      </c>
      <c r="G31" s="69">
        <f t="shared" si="11"/>
        <v>13120957.825350001</v>
      </c>
      <c r="H31" s="69">
        <f t="shared" si="11"/>
        <v>11152814.151547506</v>
      </c>
      <c r="I31" s="69">
        <f t="shared" si="11"/>
        <v>9479892.0288153738</v>
      </c>
      <c r="J31" s="69">
        <f t="shared" si="11"/>
        <v>8057908.2244930714</v>
      </c>
      <c r="K31" s="69">
        <f>K25+J26-K30-K27</f>
        <v>6849221.9908191115</v>
      </c>
      <c r="L31" s="69">
        <f>L25+L26-L30-L27</f>
        <v>5821838.69219625</v>
      </c>
      <c r="M31" s="27"/>
      <c r="N31" s="27"/>
    </row>
    <row r="32" spans="2:14" ht="15" x14ac:dyDescent="0.25">
      <c r="B32" s="27"/>
      <c r="C32" s="27"/>
      <c r="D32" s="27"/>
      <c r="E32" s="48">
        <f t="shared" ref="E32:L32" si="12">IF(E30=0,(E29-E27)/E25,E31/E25)</f>
        <v>0.17229117530592372</v>
      </c>
      <c r="F32" s="52">
        <f t="shared" si="12"/>
        <v>0.14644749901003512</v>
      </c>
      <c r="G32" s="52">
        <f t="shared" si="12"/>
        <v>0.12448037415852986</v>
      </c>
      <c r="H32" s="52">
        <f t="shared" si="12"/>
        <v>0.10580831803475044</v>
      </c>
      <c r="I32" s="52">
        <f t="shared" si="12"/>
        <v>8.9937070329537808E-2</v>
      </c>
      <c r="J32" s="52">
        <f t="shared" si="12"/>
        <v>7.6446509780107169E-2</v>
      </c>
      <c r="K32" s="52">
        <f t="shared" si="12"/>
        <v>6.4979533313091101E-2</v>
      </c>
      <c r="L32" s="52">
        <f t="shared" si="12"/>
        <v>5.5232603316127483E-2</v>
      </c>
      <c r="M32" s="27"/>
      <c r="N32" s="27"/>
    </row>
    <row r="33" spans="2:14" ht="15" x14ac:dyDescent="0.25">
      <c r="B33" s="27"/>
      <c r="C33" s="27"/>
      <c r="D33" s="27"/>
      <c r="E33" s="51"/>
      <c r="F33" s="31"/>
      <c r="G33" s="31"/>
      <c r="H33" s="31"/>
      <c r="I33" s="31"/>
      <c r="J33" s="31"/>
      <c r="K33" s="27"/>
      <c r="L33" s="27"/>
      <c r="M33" s="27"/>
      <c r="N33" s="27"/>
    </row>
    <row r="34" spans="2:14" ht="15" x14ac:dyDescent="0.25">
      <c r="B34" s="27"/>
      <c r="C34" s="27"/>
      <c r="D34" s="45" t="s">
        <v>83</v>
      </c>
      <c r="E34" s="29"/>
      <c r="F34" s="27"/>
      <c r="G34" s="27"/>
      <c r="H34" s="27"/>
      <c r="I34" s="27"/>
      <c r="J34" s="27"/>
      <c r="K34" s="27"/>
      <c r="L34" s="27"/>
      <c r="M34" s="27"/>
      <c r="N34" s="27"/>
    </row>
    <row r="35" spans="2:14" ht="15" x14ac:dyDescent="0.25">
      <c r="B35" s="42"/>
      <c r="C35" s="27"/>
      <c r="D35" s="27" t="s">
        <v>80</v>
      </c>
      <c r="E35" s="62">
        <f>19220107.41</f>
        <v>19220107.41</v>
      </c>
      <c r="F35" s="63">
        <f t="shared" ref="F35:L35" si="13">E35+E36-E37</f>
        <v>19220107.41</v>
      </c>
      <c r="G35" s="63">
        <f t="shared" si="13"/>
        <v>19220107.41</v>
      </c>
      <c r="H35" s="63">
        <f t="shared" si="13"/>
        <v>19220107.41</v>
      </c>
      <c r="I35" s="63">
        <f t="shared" si="13"/>
        <v>19220107.41</v>
      </c>
      <c r="J35" s="63">
        <f t="shared" si="13"/>
        <v>19220107.41</v>
      </c>
      <c r="K35" s="63">
        <f t="shared" si="13"/>
        <v>19220107.41</v>
      </c>
      <c r="L35" s="63">
        <f t="shared" si="13"/>
        <v>19220107.41</v>
      </c>
      <c r="M35" s="27"/>
      <c r="N35" s="27"/>
    </row>
    <row r="36" spans="2:14" ht="15" x14ac:dyDescent="0.25">
      <c r="B36" s="27"/>
      <c r="C36" s="50">
        <v>0.1</v>
      </c>
      <c r="D36" s="27" t="s">
        <v>79</v>
      </c>
      <c r="E36" s="39"/>
      <c r="F36" s="38"/>
      <c r="G36" s="37"/>
      <c r="H36" s="37"/>
      <c r="I36" s="37"/>
      <c r="J36" s="38"/>
      <c r="K36" s="38"/>
      <c r="L36" s="37"/>
      <c r="M36" s="27"/>
      <c r="N36" s="27"/>
    </row>
    <row r="37" spans="2:14" ht="15" x14ac:dyDescent="0.25">
      <c r="B37" s="42"/>
      <c r="C37" s="41"/>
      <c r="D37" s="27" t="s">
        <v>78</v>
      </c>
      <c r="E37" s="39"/>
      <c r="F37" s="37"/>
      <c r="G37" s="37"/>
      <c r="H37" s="37"/>
      <c r="I37" s="37"/>
      <c r="J37" s="37"/>
      <c r="K37" s="37"/>
      <c r="L37" s="37"/>
      <c r="M37" s="27"/>
      <c r="N37" s="27"/>
    </row>
    <row r="38" spans="2:14" ht="15" x14ac:dyDescent="0.25">
      <c r="B38" s="40"/>
      <c r="C38" s="27"/>
      <c r="D38" s="27" t="s">
        <v>24</v>
      </c>
      <c r="E38" s="39">
        <f>723132.41</f>
        <v>723132.41</v>
      </c>
      <c r="F38" s="38">
        <f t="shared" ref="F38:L38" si="14">E41*$C$36</f>
        <v>646601.36100000003</v>
      </c>
      <c r="G38" s="38">
        <f t="shared" si="14"/>
        <v>581941.22490000003</v>
      </c>
      <c r="H38" s="38">
        <f t="shared" si="14"/>
        <v>523747.10241000005</v>
      </c>
      <c r="I38" s="38">
        <f t="shared" si="14"/>
        <v>471372.39216900006</v>
      </c>
      <c r="J38" s="38">
        <f t="shared" si="14"/>
        <v>424235.15295209998</v>
      </c>
      <c r="K38" s="38">
        <f t="shared" si="14"/>
        <v>381811.63765689009</v>
      </c>
      <c r="L38" s="38">
        <f t="shared" si="14"/>
        <v>343630.47389120108</v>
      </c>
      <c r="M38" s="27"/>
      <c r="N38" s="27"/>
    </row>
    <row r="39" spans="2:14" ht="15" x14ac:dyDescent="0.25">
      <c r="B39" s="27"/>
      <c r="C39" s="27"/>
      <c r="D39" s="27" t="s">
        <v>77</v>
      </c>
      <c r="E39" s="39"/>
      <c r="F39" s="37"/>
      <c r="G39" s="37"/>
      <c r="H39" s="37"/>
      <c r="I39" s="37"/>
      <c r="J39" s="37"/>
      <c r="K39" s="37"/>
      <c r="L39" s="37"/>
      <c r="M39" s="27"/>
      <c r="N39" s="27"/>
    </row>
    <row r="40" spans="2:14" ht="15" x14ac:dyDescent="0.25">
      <c r="B40" s="27"/>
      <c r="C40" s="27"/>
      <c r="D40" s="27" t="s">
        <v>76</v>
      </c>
      <c r="E40" s="39">
        <f>12754093.8</f>
        <v>12754093.800000001</v>
      </c>
      <c r="F40" s="65">
        <f t="shared" ref="F40:L40" si="15">E40+F38+F39-F37</f>
        <v>13400695.161</v>
      </c>
      <c r="G40" s="65">
        <f t="shared" si="15"/>
        <v>13982636.3859</v>
      </c>
      <c r="H40" s="65">
        <f t="shared" si="15"/>
        <v>14506383.48831</v>
      </c>
      <c r="I40" s="65">
        <f t="shared" si="15"/>
        <v>14977755.880479001</v>
      </c>
      <c r="J40" s="65">
        <f t="shared" si="15"/>
        <v>15401991.0334311</v>
      </c>
      <c r="K40" s="65">
        <f t="shared" si="15"/>
        <v>15783802.67108799</v>
      </c>
      <c r="L40" s="65">
        <f t="shared" si="15"/>
        <v>16127433.14497919</v>
      </c>
      <c r="M40" s="27"/>
      <c r="N40" s="27"/>
    </row>
    <row r="41" spans="2:14" ht="15" x14ac:dyDescent="0.25">
      <c r="B41" s="27"/>
      <c r="C41" s="33"/>
      <c r="D41" s="27" t="s">
        <v>71</v>
      </c>
      <c r="E41" s="36">
        <f t="shared" ref="E41:L41" si="16">E35+E36-E40-E37</f>
        <v>6466013.6099999994</v>
      </c>
      <c r="F41" s="69">
        <f t="shared" si="16"/>
        <v>5819412.2489999998</v>
      </c>
      <c r="G41" s="69">
        <f t="shared" si="16"/>
        <v>5237471.0241</v>
      </c>
      <c r="H41" s="69">
        <f t="shared" si="16"/>
        <v>4713723.9216900002</v>
      </c>
      <c r="I41" s="69">
        <f t="shared" si="16"/>
        <v>4242351.5295209996</v>
      </c>
      <c r="J41" s="69">
        <f t="shared" si="16"/>
        <v>3818116.3765689004</v>
      </c>
      <c r="K41" s="69">
        <f t="shared" si="16"/>
        <v>3436304.7389120106</v>
      </c>
      <c r="L41" s="69">
        <f t="shared" si="16"/>
        <v>3092674.2650208101</v>
      </c>
      <c r="M41" s="27"/>
      <c r="N41" s="27"/>
    </row>
    <row r="42" spans="2:14" ht="15" x14ac:dyDescent="0.25">
      <c r="B42" s="27"/>
      <c r="C42" s="27"/>
      <c r="D42" s="27"/>
      <c r="E42" s="48">
        <f t="shared" ref="E42:L42" si="17">IF(E40=0,(E39-E37)/E35,E41/E35)</f>
        <v>0.33641922347612935</v>
      </c>
      <c r="F42" s="48">
        <f t="shared" si="17"/>
        <v>0.30277730112851642</v>
      </c>
      <c r="G42" s="48">
        <f t="shared" si="17"/>
        <v>0.2724995710156648</v>
      </c>
      <c r="H42" s="48">
        <f t="shared" si="17"/>
        <v>0.24524961391409833</v>
      </c>
      <c r="I42" s="48">
        <f t="shared" si="17"/>
        <v>0.22072465252268847</v>
      </c>
      <c r="J42" s="48">
        <f t="shared" si="17"/>
        <v>0.19865218727041964</v>
      </c>
      <c r="K42" s="48">
        <f t="shared" si="17"/>
        <v>0.17878696854337769</v>
      </c>
      <c r="L42" s="48">
        <f t="shared" si="17"/>
        <v>0.16090827168903996</v>
      </c>
      <c r="M42" s="27"/>
      <c r="N42" s="27"/>
    </row>
    <row r="43" spans="2:14" ht="15" x14ac:dyDescent="0.25">
      <c r="B43" s="27"/>
      <c r="C43" s="27"/>
      <c r="D43" s="27"/>
      <c r="E43" s="47"/>
      <c r="F43" s="49"/>
      <c r="G43" s="49"/>
      <c r="H43" s="49"/>
      <c r="I43" s="49"/>
      <c r="J43" s="49"/>
      <c r="K43" s="27"/>
      <c r="L43" s="27"/>
      <c r="M43" s="27"/>
      <c r="N43" s="27"/>
    </row>
    <row r="44" spans="2:14" ht="15" x14ac:dyDescent="0.25">
      <c r="B44" s="27"/>
      <c r="C44" s="27"/>
      <c r="D44" s="45" t="s">
        <v>82</v>
      </c>
      <c r="E44" s="29"/>
      <c r="F44" s="27"/>
      <c r="G44" s="27"/>
      <c r="H44" s="27"/>
      <c r="I44" s="27"/>
      <c r="J44" s="27"/>
      <c r="K44" s="27"/>
      <c r="L44" s="27"/>
      <c r="M44" s="27"/>
      <c r="N44" s="27"/>
    </row>
    <row r="45" spans="2:14" ht="15" x14ac:dyDescent="0.25">
      <c r="B45" s="42"/>
      <c r="C45" s="27"/>
      <c r="D45" s="27" t="s">
        <v>80</v>
      </c>
      <c r="E45" s="44">
        <f>4103341.4</f>
        <v>4103341.4</v>
      </c>
      <c r="F45" s="63">
        <f t="shared" ref="F45:L45" si="18">E45+E46-E47</f>
        <v>4103341.4</v>
      </c>
      <c r="G45" s="63">
        <f t="shared" si="18"/>
        <v>4103341.4</v>
      </c>
      <c r="H45" s="63">
        <f t="shared" si="18"/>
        <v>4103341.4</v>
      </c>
      <c r="I45" s="63">
        <f t="shared" si="18"/>
        <v>4103341.4</v>
      </c>
      <c r="J45" s="63">
        <f t="shared" si="18"/>
        <v>4103341.4</v>
      </c>
      <c r="K45" s="63">
        <f t="shared" si="18"/>
        <v>4103341.4</v>
      </c>
      <c r="L45" s="63">
        <f t="shared" si="18"/>
        <v>4103341.4</v>
      </c>
      <c r="M45" s="27"/>
      <c r="N45" s="27"/>
    </row>
    <row r="46" spans="2:14" ht="15" x14ac:dyDescent="0.25">
      <c r="B46" s="27"/>
      <c r="C46" s="43">
        <v>0.1</v>
      </c>
      <c r="D46" s="27" t="s">
        <v>79</v>
      </c>
      <c r="E46" s="39"/>
      <c r="F46" s="38"/>
      <c r="G46" s="37"/>
      <c r="H46" s="37"/>
      <c r="I46" s="38"/>
      <c r="J46" s="37"/>
      <c r="K46" s="38"/>
      <c r="L46" s="38"/>
      <c r="M46" s="27"/>
      <c r="N46" s="27"/>
    </row>
    <row r="47" spans="2:14" ht="15" x14ac:dyDescent="0.25">
      <c r="B47" s="42"/>
      <c r="C47" s="41"/>
      <c r="D47" s="27" t="s">
        <v>78</v>
      </c>
      <c r="E47" s="39"/>
      <c r="F47" s="37"/>
      <c r="G47" s="37"/>
      <c r="H47" s="37"/>
      <c r="I47" s="37"/>
      <c r="J47" s="37"/>
      <c r="K47" s="37"/>
      <c r="L47" s="37"/>
      <c r="M47" s="27"/>
      <c r="N47" s="27"/>
    </row>
    <row r="48" spans="2:14" ht="15" x14ac:dyDescent="0.25">
      <c r="B48" s="40"/>
      <c r="C48" s="27"/>
      <c r="D48" s="27" t="s">
        <v>24</v>
      </c>
      <c r="E48" s="39">
        <f>200262.65</f>
        <v>200262.65</v>
      </c>
      <c r="F48" s="38">
        <f t="shared" ref="F48:L48" si="19">E51*$C$46</f>
        <v>108462.16400000002</v>
      </c>
      <c r="G48" s="38">
        <f t="shared" si="19"/>
        <v>97615.947600000029</v>
      </c>
      <c r="H48" s="38">
        <f t="shared" si="19"/>
        <v>87854.352840000021</v>
      </c>
      <c r="I48" s="38">
        <f t="shared" si="19"/>
        <v>79068.917556000044</v>
      </c>
      <c r="J48" s="38">
        <f t="shared" si="19"/>
        <v>71162.02580040005</v>
      </c>
      <c r="K48" s="38">
        <f t="shared" si="19"/>
        <v>64045.823220360049</v>
      </c>
      <c r="L48" s="38">
        <f t="shared" si="19"/>
        <v>57641.240898324038</v>
      </c>
      <c r="M48" s="27"/>
      <c r="N48" s="27"/>
    </row>
    <row r="49" spans="2:14" ht="15" x14ac:dyDescent="0.25">
      <c r="B49" s="27"/>
      <c r="C49" s="27"/>
      <c r="D49" s="27" t="s">
        <v>77</v>
      </c>
      <c r="E49" s="39"/>
      <c r="F49" s="37"/>
      <c r="G49" s="37"/>
      <c r="H49" s="37"/>
      <c r="I49" s="37"/>
      <c r="J49" s="37"/>
      <c r="K49" s="37"/>
      <c r="L49" s="37"/>
      <c r="M49" s="27"/>
      <c r="N49" s="27"/>
    </row>
    <row r="50" spans="2:14" ht="15" x14ac:dyDescent="0.25">
      <c r="B50" s="27"/>
      <c r="C50" s="27"/>
      <c r="D50" s="27" t="s">
        <v>76</v>
      </c>
      <c r="E50" s="39">
        <f>3018719.76</f>
        <v>3018719.76</v>
      </c>
      <c r="F50" s="65">
        <f t="shared" ref="F50:L50" si="20">E50+F48+F49-F47</f>
        <v>3127181.9239999996</v>
      </c>
      <c r="G50" s="65">
        <f t="shared" si="20"/>
        <v>3224797.8715999997</v>
      </c>
      <c r="H50" s="65">
        <f t="shared" si="20"/>
        <v>3312652.2244399996</v>
      </c>
      <c r="I50" s="65">
        <f t="shared" si="20"/>
        <v>3391721.1419959995</v>
      </c>
      <c r="J50" s="65">
        <f t="shared" si="20"/>
        <v>3462883.1677963994</v>
      </c>
      <c r="K50" s="65">
        <f t="shared" si="20"/>
        <v>3526928.9910167595</v>
      </c>
      <c r="L50" s="65">
        <f t="shared" si="20"/>
        <v>3584570.2319150837</v>
      </c>
      <c r="M50" s="27"/>
      <c r="N50" s="27"/>
    </row>
    <row r="51" spans="2:14" ht="15" x14ac:dyDescent="0.25">
      <c r="B51" s="27"/>
      <c r="C51" s="33"/>
      <c r="D51" s="27" t="s">
        <v>71</v>
      </c>
      <c r="E51" s="36">
        <f t="shared" ref="E51:L51" si="21">E45+E46-E50-E47</f>
        <v>1084621.6400000001</v>
      </c>
      <c r="F51" s="69">
        <f t="shared" si="21"/>
        <v>976159.47600000026</v>
      </c>
      <c r="G51" s="69">
        <f t="shared" si="21"/>
        <v>878543.52840000018</v>
      </c>
      <c r="H51" s="69">
        <f t="shared" si="21"/>
        <v>790689.17556000035</v>
      </c>
      <c r="I51" s="69">
        <f t="shared" si="21"/>
        <v>711620.25800400041</v>
      </c>
      <c r="J51" s="69">
        <f t="shared" si="21"/>
        <v>640458.23220360046</v>
      </c>
      <c r="K51" s="69">
        <f t="shared" si="21"/>
        <v>576412.40898324037</v>
      </c>
      <c r="L51" s="69">
        <f t="shared" si="21"/>
        <v>518771.16808491619</v>
      </c>
      <c r="M51" s="27"/>
      <c r="N51" s="27"/>
    </row>
    <row r="52" spans="2:14" ht="15" x14ac:dyDescent="0.25">
      <c r="B52" s="27"/>
      <c r="C52" s="33"/>
      <c r="D52" s="27"/>
      <c r="E52" s="48">
        <f t="shared" ref="E52:L52" si="22">IF(E50=0,(E49-E47)/E45,E51/E45)</f>
        <v>0.26432644380991555</v>
      </c>
      <c r="F52" s="48">
        <f t="shared" si="22"/>
        <v>0.23789379942892402</v>
      </c>
      <c r="G52" s="48">
        <f t="shared" si="22"/>
        <v>0.21410441948603159</v>
      </c>
      <c r="H52" s="48">
        <f t="shared" si="22"/>
        <v>0.19269397753742848</v>
      </c>
      <c r="I52" s="48">
        <f t="shared" si="22"/>
        <v>0.17342457978368567</v>
      </c>
      <c r="J52" s="48">
        <f t="shared" si="22"/>
        <v>0.15608212180531711</v>
      </c>
      <c r="K52" s="48">
        <f t="shared" si="22"/>
        <v>0.1404739096247854</v>
      </c>
      <c r="L52" s="48">
        <f t="shared" si="22"/>
        <v>0.12642651866230684</v>
      </c>
      <c r="M52" s="27"/>
      <c r="N52" s="27"/>
    </row>
    <row r="53" spans="2:14" ht="15" x14ac:dyDescent="0.25">
      <c r="B53" s="27"/>
      <c r="C53" s="33"/>
      <c r="D53" s="27"/>
      <c r="E53" s="32"/>
      <c r="F53" s="31"/>
      <c r="G53" s="31"/>
      <c r="H53" s="31"/>
      <c r="I53" s="31"/>
      <c r="J53" s="31"/>
      <c r="K53" s="27"/>
      <c r="L53" s="27"/>
      <c r="M53" s="27"/>
      <c r="N53" s="27"/>
    </row>
    <row r="54" spans="2:14" ht="15" x14ac:dyDescent="0.25">
      <c r="B54" s="27"/>
      <c r="C54" s="27"/>
      <c r="D54" s="45" t="s">
        <v>81</v>
      </c>
      <c r="E54" s="29"/>
      <c r="F54" s="27"/>
      <c r="G54" s="27"/>
      <c r="H54" s="27"/>
      <c r="I54" s="27"/>
      <c r="J54" s="27"/>
      <c r="K54" s="27"/>
      <c r="L54" s="27"/>
      <c r="M54" s="27"/>
      <c r="N54" s="27"/>
    </row>
    <row r="55" spans="2:14" ht="15" x14ac:dyDescent="0.25">
      <c r="B55" s="42"/>
      <c r="C55" s="27"/>
      <c r="D55" s="27" t="s">
        <v>80</v>
      </c>
      <c r="E55" s="44">
        <f>2937197.93</f>
        <v>2937197.93</v>
      </c>
      <c r="F55" s="63">
        <f t="shared" ref="F55:L55" si="23">E55+E56-E57</f>
        <v>2937197.93</v>
      </c>
      <c r="G55" s="63">
        <f t="shared" si="23"/>
        <v>2937197.93</v>
      </c>
      <c r="H55" s="63">
        <f t="shared" si="23"/>
        <v>2937197.93</v>
      </c>
      <c r="I55" s="63">
        <f t="shared" si="23"/>
        <v>2937197.93</v>
      </c>
      <c r="J55" s="63">
        <f t="shared" si="23"/>
        <v>2937197.93</v>
      </c>
      <c r="K55" s="63">
        <f t="shared" si="23"/>
        <v>2937197.93</v>
      </c>
      <c r="L55" s="63">
        <f t="shared" si="23"/>
        <v>2937197.93</v>
      </c>
      <c r="M55" s="27"/>
      <c r="N55" s="27"/>
    </row>
    <row r="56" spans="2:14" ht="15" x14ac:dyDescent="0.25">
      <c r="B56" s="27"/>
      <c r="C56" s="43">
        <v>0.4</v>
      </c>
      <c r="D56" s="27" t="s">
        <v>79</v>
      </c>
      <c r="E56" s="39"/>
      <c r="F56" s="37"/>
      <c r="G56" s="38"/>
      <c r="H56" s="37"/>
      <c r="I56" s="37"/>
      <c r="J56" s="38"/>
      <c r="K56" s="38"/>
      <c r="L56" s="37"/>
      <c r="M56" s="27"/>
      <c r="N56" s="27"/>
    </row>
    <row r="57" spans="2:14" ht="15" x14ac:dyDescent="0.25">
      <c r="B57" s="42"/>
      <c r="C57" s="41"/>
      <c r="D57" s="27" t="s">
        <v>78</v>
      </c>
      <c r="E57" s="39"/>
      <c r="F57" s="37"/>
      <c r="G57" s="37"/>
      <c r="H57" s="37"/>
      <c r="I57" s="37"/>
      <c r="J57" s="37"/>
      <c r="K57" s="37"/>
      <c r="L57" s="37"/>
      <c r="M57" s="27"/>
      <c r="N57" s="27"/>
    </row>
    <row r="58" spans="2:14" ht="15" x14ac:dyDescent="0.25">
      <c r="B58" s="40"/>
      <c r="C58" s="27"/>
      <c r="D58" s="27" t="s">
        <v>24</v>
      </c>
      <c r="E58" s="39">
        <f>48581.09</f>
        <v>48581.09</v>
      </c>
      <c r="F58" s="38">
        <f t="shared" ref="F58:L58" si="24">E61*$C$56</f>
        <v>11013.052000000142</v>
      </c>
      <c r="G58" s="38">
        <f t="shared" si="24"/>
        <v>6607.8312000000851</v>
      </c>
      <c r="H58" s="38">
        <f t="shared" si="24"/>
        <v>3964.6987200001258</v>
      </c>
      <c r="I58" s="38">
        <f t="shared" si="24"/>
        <v>2378.819232000038</v>
      </c>
      <c r="J58" s="38">
        <f t="shared" si="24"/>
        <v>1427.291539200023</v>
      </c>
      <c r="K58" s="38">
        <f t="shared" si="24"/>
        <v>856.37492351997651</v>
      </c>
      <c r="L58" s="38">
        <f t="shared" si="24"/>
        <v>513.82495411206037</v>
      </c>
      <c r="M58" s="27"/>
      <c r="N58" s="27"/>
    </row>
    <row r="59" spans="2:14" ht="15" x14ac:dyDescent="0.25">
      <c r="B59" s="27"/>
      <c r="C59" s="27"/>
      <c r="D59" s="27" t="s">
        <v>77</v>
      </c>
      <c r="E59" s="39"/>
      <c r="F59" s="37"/>
      <c r="G59" s="37"/>
      <c r="H59" s="37"/>
      <c r="I59" s="37"/>
      <c r="J59" s="37"/>
      <c r="K59" s="37"/>
      <c r="L59" s="37"/>
      <c r="M59" s="27"/>
      <c r="N59" s="27"/>
    </row>
    <row r="60" spans="2:14" ht="15" x14ac:dyDescent="0.25">
      <c r="B60" s="27"/>
      <c r="C60" s="27"/>
      <c r="D60" s="27" t="s">
        <v>76</v>
      </c>
      <c r="E60" s="39">
        <f>2909665.3</f>
        <v>2909665.3</v>
      </c>
      <c r="F60" s="65">
        <f t="shared" ref="F60:L60" si="25">E60+F58+F59-F57</f>
        <v>2920678.352</v>
      </c>
      <c r="G60" s="65">
        <f t="shared" si="25"/>
        <v>2927286.1831999999</v>
      </c>
      <c r="H60" s="65">
        <f t="shared" si="25"/>
        <v>2931250.8819200001</v>
      </c>
      <c r="I60" s="65">
        <f t="shared" si="25"/>
        <v>2933629.7011520001</v>
      </c>
      <c r="J60" s="65">
        <f t="shared" si="25"/>
        <v>2935056.9926912002</v>
      </c>
      <c r="K60" s="65">
        <f t="shared" si="25"/>
        <v>2935913.36761472</v>
      </c>
      <c r="L60" s="65">
        <f t="shared" si="25"/>
        <v>2936427.1925688321</v>
      </c>
      <c r="M60" s="27"/>
      <c r="N60" s="27"/>
    </row>
    <row r="61" spans="2:14" ht="15" x14ac:dyDescent="0.25">
      <c r="B61" s="27"/>
      <c r="C61" s="33"/>
      <c r="D61" s="27" t="s">
        <v>71</v>
      </c>
      <c r="E61" s="36">
        <f t="shared" ref="E61:L61" si="26">E55+E56-E60-E57</f>
        <v>27532.630000000354</v>
      </c>
      <c r="F61" s="69">
        <f t="shared" si="26"/>
        <v>16519.578000000212</v>
      </c>
      <c r="G61" s="69">
        <f t="shared" si="26"/>
        <v>9911.7468000003137</v>
      </c>
      <c r="H61" s="69">
        <f t="shared" si="26"/>
        <v>5947.0480800000951</v>
      </c>
      <c r="I61" s="69">
        <f t="shared" si="26"/>
        <v>3568.228848000057</v>
      </c>
      <c r="J61" s="69">
        <f t="shared" si="26"/>
        <v>2140.9373087999411</v>
      </c>
      <c r="K61" s="69">
        <f t="shared" si="26"/>
        <v>1284.5623852801509</v>
      </c>
      <c r="L61" s="69">
        <f t="shared" si="26"/>
        <v>770.73743116809055</v>
      </c>
      <c r="M61" s="27"/>
      <c r="N61" s="27"/>
    </row>
    <row r="62" spans="2:14" ht="15" x14ac:dyDescent="0.25">
      <c r="B62" s="27"/>
      <c r="C62" s="33"/>
      <c r="D62" s="27"/>
      <c r="E62" s="48">
        <f t="shared" ref="E62:L62" si="27">IF(E60=0,(E59-E57)/E55,E61/E55)</f>
        <v>9.3737741398995031E-3</v>
      </c>
      <c r="F62" s="48">
        <f t="shared" si="27"/>
        <v>5.624264483939702E-3</v>
      </c>
      <c r="G62" s="48">
        <f t="shared" si="27"/>
        <v>3.3745586903638847E-3</v>
      </c>
      <c r="H62" s="48">
        <f t="shared" si="27"/>
        <v>2.0247352142182991E-3</v>
      </c>
      <c r="I62" s="48">
        <f t="shared" si="27"/>
        <v>1.2148411285309794E-3</v>
      </c>
      <c r="J62" s="48">
        <f t="shared" si="27"/>
        <v>7.2890467711855594E-4</v>
      </c>
      <c r="K62" s="48">
        <f t="shared" si="27"/>
        <v>4.3734280627119701E-4</v>
      </c>
      <c r="L62" s="48">
        <f t="shared" si="27"/>
        <v>2.6240568376271822E-4</v>
      </c>
      <c r="M62" s="27"/>
      <c r="N62" s="27"/>
    </row>
    <row r="63" spans="2:14" ht="15" x14ac:dyDescent="0.25">
      <c r="B63" s="27"/>
      <c r="C63" s="33"/>
      <c r="D63" s="27"/>
      <c r="E63" s="32"/>
      <c r="F63" s="31"/>
      <c r="G63" s="31"/>
      <c r="H63" s="31"/>
      <c r="I63" s="31"/>
      <c r="J63" s="31"/>
      <c r="K63" s="27"/>
      <c r="L63" s="27"/>
      <c r="M63" s="27"/>
      <c r="N63" s="27"/>
    </row>
    <row r="64" spans="2:14" ht="15" x14ac:dyDescent="0.25">
      <c r="B64" s="27"/>
      <c r="C64" s="27"/>
      <c r="D64" s="45" t="s">
        <v>92</v>
      </c>
      <c r="E64" s="29"/>
      <c r="F64" s="27"/>
      <c r="G64" s="27"/>
      <c r="H64" s="27"/>
      <c r="I64" s="27"/>
      <c r="J64" s="27"/>
      <c r="K64" s="27"/>
      <c r="L64" s="27"/>
      <c r="M64" s="27"/>
      <c r="N64" s="27"/>
    </row>
    <row r="65" spans="2:14" ht="15" x14ac:dyDescent="0.25">
      <c r="B65" s="42"/>
      <c r="C65" s="27"/>
      <c r="D65" s="27" t="s">
        <v>80</v>
      </c>
      <c r="E65" s="44">
        <f>12944941</f>
        <v>12944941</v>
      </c>
      <c r="F65" s="63">
        <f t="shared" ref="F65:L65" si="28">E65+E66-E67</f>
        <v>12944941</v>
      </c>
      <c r="G65" s="63">
        <f t="shared" si="28"/>
        <v>12944941</v>
      </c>
      <c r="H65" s="63">
        <f t="shared" si="28"/>
        <v>12944941</v>
      </c>
      <c r="I65" s="63">
        <f t="shared" si="28"/>
        <v>12944941</v>
      </c>
      <c r="J65" s="63">
        <f t="shared" si="28"/>
        <v>12944941</v>
      </c>
      <c r="K65" s="63">
        <f t="shared" si="28"/>
        <v>12944941</v>
      </c>
      <c r="L65" s="63">
        <f t="shared" si="28"/>
        <v>12944941</v>
      </c>
      <c r="M65" s="27"/>
      <c r="N65" s="27"/>
    </row>
    <row r="66" spans="2:14" ht="15" x14ac:dyDescent="0.25">
      <c r="B66" s="27"/>
      <c r="C66" s="72">
        <v>0.15</v>
      </c>
      <c r="D66" s="27" t="s">
        <v>79</v>
      </c>
      <c r="E66" s="39"/>
      <c r="F66" s="37"/>
      <c r="G66" s="38"/>
      <c r="H66" s="37"/>
      <c r="I66" s="37"/>
      <c r="J66" s="38"/>
      <c r="K66" s="38"/>
      <c r="L66" s="37"/>
      <c r="M66" s="27"/>
      <c r="N66" s="27"/>
    </row>
    <row r="67" spans="2:14" ht="15" x14ac:dyDescent="0.25">
      <c r="B67" s="42"/>
      <c r="C67" s="41"/>
      <c r="D67" s="27" t="s">
        <v>78</v>
      </c>
      <c r="E67" s="39"/>
      <c r="F67" s="37"/>
      <c r="G67" s="37"/>
      <c r="H67" s="37"/>
      <c r="I67" s="37"/>
      <c r="J67" s="37"/>
      <c r="K67" s="37"/>
      <c r="L67" s="37"/>
      <c r="M67" s="27"/>
      <c r="N67" s="27"/>
    </row>
    <row r="68" spans="2:14" ht="15" x14ac:dyDescent="0.25">
      <c r="B68" s="40"/>
      <c r="C68" s="27"/>
      <c r="D68" s="27" t="s">
        <v>24</v>
      </c>
      <c r="E68" s="39">
        <f>260946.95</f>
        <v>260946.95</v>
      </c>
      <c r="F68" s="38">
        <f>E71*$C$66</f>
        <v>221804.91150000002</v>
      </c>
      <c r="G68" s="38">
        <f t="shared" ref="G68:L68" si="29">F71*$C$66</f>
        <v>188534.17477500011</v>
      </c>
      <c r="H68" s="38">
        <f t="shared" si="29"/>
        <v>160254.04855874999</v>
      </c>
      <c r="I68" s="38">
        <f t="shared" si="29"/>
        <v>136215.94127493762</v>
      </c>
      <c r="J68" s="38">
        <f t="shared" si="29"/>
        <v>115783.55008369703</v>
      </c>
      <c r="K68" s="38">
        <f t="shared" si="29"/>
        <v>98416.017571142496</v>
      </c>
      <c r="L68" s="38">
        <f t="shared" si="29"/>
        <v>83653.614935471211</v>
      </c>
      <c r="M68" s="27"/>
      <c r="N68" s="27"/>
    </row>
    <row r="69" spans="2:14" ht="15" x14ac:dyDescent="0.25">
      <c r="B69" s="27"/>
      <c r="C69" s="27"/>
      <c r="D69" s="27" t="s">
        <v>77</v>
      </c>
      <c r="E69" s="39"/>
      <c r="F69" s="37"/>
      <c r="G69" s="37"/>
      <c r="H69" s="37"/>
      <c r="I69" s="37"/>
      <c r="J69" s="37"/>
      <c r="K69" s="37"/>
      <c r="L69" s="37"/>
      <c r="M69" s="27"/>
      <c r="N69" s="27"/>
    </row>
    <row r="70" spans="2:14" ht="15" x14ac:dyDescent="0.25">
      <c r="B70" s="27"/>
      <c r="C70" s="27"/>
      <c r="D70" s="27" t="s">
        <v>76</v>
      </c>
      <c r="E70" s="39">
        <f>11466241.59</f>
        <v>11466241.59</v>
      </c>
      <c r="F70" s="65">
        <f t="shared" ref="F70:L70" si="30">E70+F68+F69-F67</f>
        <v>11688046.501499999</v>
      </c>
      <c r="G70" s="65">
        <f t="shared" si="30"/>
        <v>11876580.676275</v>
      </c>
      <c r="H70" s="65">
        <f t="shared" si="30"/>
        <v>12036834.724833749</v>
      </c>
      <c r="I70" s="65">
        <f t="shared" si="30"/>
        <v>12173050.666108686</v>
      </c>
      <c r="J70" s="65">
        <f t="shared" si="30"/>
        <v>12288834.216192383</v>
      </c>
      <c r="K70" s="65">
        <f t="shared" si="30"/>
        <v>12387250.233763525</v>
      </c>
      <c r="L70" s="65">
        <f t="shared" si="30"/>
        <v>12470903.848698996</v>
      </c>
      <c r="M70" s="27"/>
      <c r="N70" s="27"/>
    </row>
    <row r="71" spans="2:14" ht="15" x14ac:dyDescent="0.25">
      <c r="B71" s="27"/>
      <c r="C71" s="33"/>
      <c r="D71" s="27" t="s">
        <v>71</v>
      </c>
      <c r="E71" s="36">
        <f t="shared" ref="E71:L71" si="31">E65+E66-E70-E67</f>
        <v>1478699.4100000001</v>
      </c>
      <c r="F71" s="69">
        <f t="shared" si="31"/>
        <v>1256894.4985000007</v>
      </c>
      <c r="G71" s="69">
        <f t="shared" si="31"/>
        <v>1068360.323725</v>
      </c>
      <c r="H71" s="69">
        <f t="shared" si="31"/>
        <v>908106.27516625077</v>
      </c>
      <c r="I71" s="69">
        <f t="shared" si="31"/>
        <v>771890.33389131352</v>
      </c>
      <c r="J71" s="69">
        <f t="shared" si="31"/>
        <v>656106.78380761668</v>
      </c>
      <c r="K71" s="69">
        <f t="shared" si="31"/>
        <v>557690.76623647474</v>
      </c>
      <c r="L71" s="69">
        <f t="shared" si="31"/>
        <v>474037.15130100399</v>
      </c>
      <c r="M71" s="27"/>
      <c r="N71" s="27"/>
    </row>
    <row r="72" spans="2:14" ht="15" x14ac:dyDescent="0.25">
      <c r="B72" s="27"/>
      <c r="C72" s="33"/>
      <c r="D72" s="27"/>
      <c r="E72" s="48">
        <f t="shared" ref="E72:L72" si="32">IF(E70=0,(E69-E67)/E65,E71/E65)</f>
        <v>0.11422990726647578</v>
      </c>
      <c r="F72" s="48">
        <f t="shared" si="32"/>
        <v>9.7095421176504451E-2</v>
      </c>
      <c r="G72" s="48">
        <f t="shared" si="32"/>
        <v>8.2531108000028733E-2</v>
      </c>
      <c r="H72" s="48">
        <f t="shared" si="32"/>
        <v>7.0151441800024486E-2</v>
      </c>
      <c r="I72" s="48">
        <f t="shared" si="32"/>
        <v>5.962872553002084E-2</v>
      </c>
      <c r="J72" s="48">
        <f t="shared" si="32"/>
        <v>5.068441670051773E-2</v>
      </c>
      <c r="K72" s="48">
        <f t="shared" si="32"/>
        <v>4.3081754195440115E-2</v>
      </c>
      <c r="L72" s="48">
        <f t="shared" si="32"/>
        <v>3.6619491066124131E-2</v>
      </c>
      <c r="M72" s="27"/>
      <c r="N72" s="27"/>
    </row>
    <row r="73" spans="2:14" ht="15" x14ac:dyDescent="0.25">
      <c r="B73" s="27"/>
      <c r="C73" s="33"/>
      <c r="D73" s="27"/>
      <c r="E73" s="47"/>
      <c r="F73" s="46"/>
      <c r="G73" s="46"/>
      <c r="H73" s="46"/>
      <c r="I73" s="46"/>
      <c r="J73" s="46"/>
      <c r="K73" s="46"/>
      <c r="L73" s="46"/>
      <c r="M73" s="27"/>
      <c r="N73" s="27"/>
    </row>
    <row r="74" spans="2:14" ht="15" x14ac:dyDescent="0.25">
      <c r="B74" s="27"/>
      <c r="C74" s="27"/>
      <c r="D74" s="45" t="s">
        <v>93</v>
      </c>
      <c r="E74" s="29"/>
      <c r="F74" s="27"/>
      <c r="G74" s="27"/>
      <c r="H74" s="27"/>
      <c r="I74" s="27"/>
      <c r="J74" s="27"/>
      <c r="K74" s="27"/>
      <c r="L74" s="27"/>
      <c r="M74" s="27"/>
      <c r="N74" s="27"/>
    </row>
    <row r="75" spans="2:14" ht="15" x14ac:dyDescent="0.25">
      <c r="B75" s="42"/>
      <c r="C75" s="71"/>
      <c r="D75" s="27" t="s">
        <v>80</v>
      </c>
      <c r="E75" s="44">
        <f>31127514</f>
        <v>31127514</v>
      </c>
      <c r="F75" s="63">
        <f t="shared" ref="F75:L75" si="33">E75+E76-E77</f>
        <v>31127514</v>
      </c>
      <c r="G75" s="63">
        <f t="shared" si="33"/>
        <v>31127514</v>
      </c>
      <c r="H75" s="63">
        <f t="shared" si="33"/>
        <v>31127514</v>
      </c>
      <c r="I75" s="63">
        <f t="shared" si="33"/>
        <v>31127514</v>
      </c>
      <c r="J75" s="63">
        <f t="shared" si="33"/>
        <v>31127514</v>
      </c>
      <c r="K75" s="63">
        <f t="shared" si="33"/>
        <v>31127514</v>
      </c>
      <c r="L75" s="63">
        <f t="shared" si="33"/>
        <v>31127514</v>
      </c>
      <c r="M75" s="27"/>
      <c r="N75" s="27"/>
    </row>
    <row r="76" spans="2:14" ht="15" x14ac:dyDescent="0.25">
      <c r="B76" s="27"/>
      <c r="C76" s="72">
        <v>0.15</v>
      </c>
      <c r="D76" s="27" t="s">
        <v>79</v>
      </c>
      <c r="E76" s="39"/>
      <c r="F76" s="65"/>
      <c r="G76" s="65"/>
      <c r="H76" s="65"/>
      <c r="I76" s="65"/>
      <c r="J76" s="65"/>
      <c r="K76" s="65"/>
      <c r="L76" s="65"/>
      <c r="M76" s="27"/>
      <c r="N76" s="27"/>
    </row>
    <row r="77" spans="2:14" ht="15" x14ac:dyDescent="0.25">
      <c r="B77" s="42"/>
      <c r="C77" s="41"/>
      <c r="D77" s="27" t="s">
        <v>78</v>
      </c>
      <c r="E77" s="39"/>
      <c r="F77" s="65"/>
      <c r="G77" s="65"/>
      <c r="H77" s="65"/>
      <c r="I77" s="65"/>
      <c r="J77" s="65"/>
      <c r="K77" s="65"/>
      <c r="L77" s="65"/>
      <c r="M77" s="27"/>
      <c r="N77" s="27"/>
    </row>
    <row r="78" spans="2:14" ht="15" x14ac:dyDescent="0.25">
      <c r="B78" s="40"/>
      <c r="C78" s="71"/>
      <c r="D78" s="27" t="s">
        <v>24</v>
      </c>
      <c r="E78" s="39">
        <f>727413.93</f>
        <v>727413.93</v>
      </c>
      <c r="F78" s="65">
        <f t="shared" ref="F78:L78" si="34">E81*$C$76</f>
        <v>618301.84200000018</v>
      </c>
      <c r="G78" s="65">
        <f t="shared" si="34"/>
        <v>525556.56570000015</v>
      </c>
      <c r="H78" s="65">
        <f t="shared" si="34"/>
        <v>446723.08084499981</v>
      </c>
      <c r="I78" s="65">
        <f t="shared" si="34"/>
        <v>379714.61871825007</v>
      </c>
      <c r="J78" s="65">
        <f t="shared" si="34"/>
        <v>322757.42591051233</v>
      </c>
      <c r="K78" s="65">
        <f t="shared" si="34"/>
        <v>274343.81202393526</v>
      </c>
      <c r="L78" s="65">
        <f t="shared" si="34"/>
        <v>233192.24022034518</v>
      </c>
      <c r="M78" s="27"/>
      <c r="N78" s="27"/>
    </row>
    <row r="79" spans="2:14" ht="15" x14ac:dyDescent="0.25">
      <c r="B79" s="27"/>
      <c r="C79" s="71"/>
      <c r="D79" s="27" t="s">
        <v>77</v>
      </c>
      <c r="E79" s="39"/>
      <c r="F79" s="65"/>
      <c r="G79" s="65"/>
      <c r="H79" s="65"/>
      <c r="I79" s="65"/>
      <c r="J79" s="65"/>
      <c r="K79" s="65"/>
      <c r="L79" s="65"/>
      <c r="M79" s="27"/>
      <c r="N79" s="27"/>
    </row>
    <row r="80" spans="2:14" ht="15" x14ac:dyDescent="0.25">
      <c r="B80" s="27"/>
      <c r="C80" s="71"/>
      <c r="D80" s="27" t="s">
        <v>76</v>
      </c>
      <c r="E80" s="39">
        <f>27005501.72</f>
        <v>27005501.719999999</v>
      </c>
      <c r="F80" s="65">
        <f t="shared" ref="F80:L80" si="35">E80+F78+F79-F77</f>
        <v>27623803.561999999</v>
      </c>
      <c r="G80" s="65">
        <f t="shared" si="35"/>
        <v>28149360.127700001</v>
      </c>
      <c r="H80" s="65">
        <f t="shared" si="35"/>
        <v>28596083.208544999</v>
      </c>
      <c r="I80" s="65">
        <f t="shared" si="35"/>
        <v>28975797.827263251</v>
      </c>
      <c r="J80" s="65">
        <f t="shared" si="35"/>
        <v>29298555.253173765</v>
      </c>
      <c r="K80" s="65">
        <f t="shared" si="35"/>
        <v>29572899.065197699</v>
      </c>
      <c r="L80" s="65">
        <f t="shared" si="35"/>
        <v>29806091.305418044</v>
      </c>
      <c r="M80" s="27"/>
      <c r="N80" s="27"/>
    </row>
    <row r="81" spans="2:14" ht="15" x14ac:dyDescent="0.25">
      <c r="B81" s="27"/>
      <c r="C81" s="41"/>
      <c r="D81" s="27" t="s">
        <v>71</v>
      </c>
      <c r="E81" s="36">
        <f t="shared" ref="E81:L81" si="36">E75+E76-E80-E77</f>
        <v>4122012.2800000012</v>
      </c>
      <c r="F81" s="69">
        <f t="shared" si="36"/>
        <v>3503710.438000001</v>
      </c>
      <c r="G81" s="69">
        <f t="shared" si="36"/>
        <v>2978153.872299999</v>
      </c>
      <c r="H81" s="69">
        <f t="shared" si="36"/>
        <v>2531430.7914550006</v>
      </c>
      <c r="I81" s="69">
        <f t="shared" si="36"/>
        <v>2151716.1727367491</v>
      </c>
      <c r="J81" s="69">
        <f t="shared" si="36"/>
        <v>1828958.7468262352</v>
      </c>
      <c r="K81" s="69">
        <f t="shared" si="36"/>
        <v>1554614.9348023012</v>
      </c>
      <c r="L81" s="69">
        <f t="shared" si="36"/>
        <v>1321422.6945819557</v>
      </c>
      <c r="M81" s="27"/>
      <c r="N81" s="27"/>
    </row>
    <row r="82" spans="2:14" ht="15" x14ac:dyDescent="0.25">
      <c r="B82" s="27"/>
      <c r="C82" s="71"/>
      <c r="D82" s="27"/>
      <c r="E82" s="35">
        <f t="shared" ref="E82:L82" si="37">IF(E80=0,(E79-E77)/E75,E81/E75)</f>
        <v>0.13242343349359673</v>
      </c>
      <c r="F82" s="34">
        <f t="shared" si="37"/>
        <v>0.11255991846955722</v>
      </c>
      <c r="G82" s="34">
        <f t="shared" si="37"/>
        <v>9.5675930699123585E-2</v>
      </c>
      <c r="H82" s="34">
        <f t="shared" si="37"/>
        <v>8.132454109425509E-2</v>
      </c>
      <c r="I82" s="34">
        <f t="shared" si="37"/>
        <v>6.9125859930116773E-2</v>
      </c>
      <c r="J82" s="34">
        <f t="shared" si="37"/>
        <v>5.8756980940599217E-2</v>
      </c>
      <c r="K82" s="34">
        <f t="shared" si="37"/>
        <v>4.9943433799509371E-2</v>
      </c>
      <c r="L82" s="34">
        <f t="shared" si="37"/>
        <v>4.2451918729582955E-2</v>
      </c>
      <c r="M82" s="27"/>
      <c r="N82" s="27"/>
    </row>
    <row r="83" spans="2:14" ht="15" x14ac:dyDescent="0.25">
      <c r="B83" s="27"/>
      <c r="C83" s="71"/>
      <c r="D83" s="27"/>
      <c r="E83" s="56"/>
      <c r="F83" s="57"/>
      <c r="G83" s="57"/>
      <c r="H83" s="57"/>
      <c r="I83" s="57"/>
      <c r="J83" s="57"/>
      <c r="K83" s="57"/>
      <c r="L83" s="57"/>
      <c r="M83" s="27"/>
      <c r="N83" s="27"/>
    </row>
    <row r="84" spans="2:14" ht="15" x14ac:dyDescent="0.25">
      <c r="B84" s="27"/>
      <c r="C84" s="71"/>
      <c r="D84" s="45" t="s">
        <v>96</v>
      </c>
      <c r="E84" s="29"/>
      <c r="F84" s="27"/>
      <c r="G84" s="27"/>
      <c r="H84" s="27"/>
      <c r="I84" s="27"/>
      <c r="J84" s="27"/>
      <c r="K84" s="27"/>
      <c r="L84" s="27"/>
      <c r="M84" s="27"/>
      <c r="N84" s="27"/>
    </row>
    <row r="85" spans="2:14" ht="15" x14ac:dyDescent="0.25">
      <c r="B85" s="42"/>
      <c r="C85" s="71"/>
      <c r="D85" s="27" t="s">
        <v>80</v>
      </c>
      <c r="E85" s="44">
        <f>79781759.5</f>
        <v>79781759.5</v>
      </c>
      <c r="F85" s="63">
        <f t="shared" ref="F85:L85" si="38">E85+E86-E87</f>
        <v>79781759.5</v>
      </c>
      <c r="G85" s="63">
        <f t="shared" si="38"/>
        <v>79781759.5</v>
      </c>
      <c r="H85" s="63">
        <f t="shared" si="38"/>
        <v>79781759.5</v>
      </c>
      <c r="I85" s="63">
        <f t="shared" si="38"/>
        <v>79781759.5</v>
      </c>
      <c r="J85" s="63">
        <f t="shared" si="38"/>
        <v>79781759.5</v>
      </c>
      <c r="K85" s="63">
        <f t="shared" si="38"/>
        <v>79781759.5</v>
      </c>
      <c r="L85" s="63">
        <f t="shared" si="38"/>
        <v>79781759.5</v>
      </c>
      <c r="M85" s="27"/>
      <c r="N85" s="27"/>
    </row>
    <row r="86" spans="2:14" ht="15" x14ac:dyDescent="0.25">
      <c r="B86" s="27"/>
      <c r="C86" s="72">
        <v>0.15</v>
      </c>
      <c r="D86" s="27" t="s">
        <v>79</v>
      </c>
      <c r="E86" s="39"/>
      <c r="F86" s="65"/>
      <c r="G86" s="65"/>
      <c r="H86" s="65"/>
      <c r="I86" s="65"/>
      <c r="J86" s="65"/>
      <c r="K86" s="65"/>
      <c r="L86" s="65"/>
      <c r="M86" s="27"/>
      <c r="N86" s="27"/>
    </row>
    <row r="87" spans="2:14" ht="15" x14ac:dyDescent="0.25">
      <c r="B87" s="42"/>
      <c r="C87" s="41"/>
      <c r="D87" s="27" t="s">
        <v>78</v>
      </c>
      <c r="E87" s="39"/>
      <c r="F87" s="65"/>
      <c r="G87" s="65"/>
      <c r="H87" s="65"/>
      <c r="I87" s="65"/>
      <c r="J87" s="65"/>
      <c r="K87" s="65"/>
      <c r="L87" s="65"/>
      <c r="M87" s="27"/>
      <c r="N87" s="27"/>
    </row>
    <row r="88" spans="2:14" ht="15" x14ac:dyDescent="0.25">
      <c r="B88" s="40"/>
      <c r="C88" s="71"/>
      <c r="D88" s="27" t="s">
        <v>24</v>
      </c>
      <c r="E88" s="39">
        <f>2095160.49</f>
        <v>2095160.49</v>
      </c>
      <c r="F88" s="65">
        <f>E91*$C$86</f>
        <v>1780886.4164999998</v>
      </c>
      <c r="G88" s="65">
        <f t="shared" ref="G88:L88" si="39">F91*$C$86</f>
        <v>1513753.4540249996</v>
      </c>
      <c r="H88" s="65">
        <f t="shared" si="39"/>
        <v>1286690.4359212494</v>
      </c>
      <c r="I88" s="65">
        <f t="shared" si="39"/>
        <v>1093686.8705330617</v>
      </c>
      <c r="J88" s="65">
        <f t="shared" si="39"/>
        <v>929633.83995310217</v>
      </c>
      <c r="K88" s="65">
        <f t="shared" si="39"/>
        <v>790188.76396013796</v>
      </c>
      <c r="L88" s="65">
        <f t="shared" si="39"/>
        <v>671660.44936611725</v>
      </c>
      <c r="M88" s="27"/>
      <c r="N88" s="27"/>
    </row>
    <row r="89" spans="2:14" ht="15" x14ac:dyDescent="0.25">
      <c r="B89" s="27"/>
      <c r="C89" s="71"/>
      <c r="D89" s="27" t="s">
        <v>77</v>
      </c>
      <c r="E89" s="39"/>
      <c r="F89" s="65"/>
      <c r="G89" s="65"/>
      <c r="H89" s="65"/>
      <c r="I89" s="65"/>
      <c r="J89" s="65"/>
      <c r="K89" s="65"/>
      <c r="L89" s="65"/>
      <c r="M89" s="27"/>
      <c r="N89" s="27"/>
    </row>
    <row r="90" spans="2:14" ht="15" x14ac:dyDescent="0.25">
      <c r="B90" s="27"/>
      <c r="C90" s="71"/>
      <c r="D90" s="27" t="s">
        <v>76</v>
      </c>
      <c r="E90" s="39">
        <f>67909183.39</f>
        <v>67909183.390000001</v>
      </c>
      <c r="F90" s="65">
        <f t="shared" ref="F90:L90" si="40">E90+F88+F89-F87</f>
        <v>69690069.806500003</v>
      </c>
      <c r="G90" s="65">
        <f t="shared" si="40"/>
        <v>71203823.260525003</v>
      </c>
      <c r="H90" s="65">
        <f t="shared" si="40"/>
        <v>72490513.696446255</v>
      </c>
      <c r="I90" s="65">
        <f t="shared" si="40"/>
        <v>73584200.566979319</v>
      </c>
      <c r="J90" s="65">
        <f t="shared" si="40"/>
        <v>74513834.406932414</v>
      </c>
      <c r="K90" s="65">
        <f t="shared" si="40"/>
        <v>75304023.170892552</v>
      </c>
      <c r="L90" s="65">
        <f t="shared" si="40"/>
        <v>75975683.620258674</v>
      </c>
      <c r="M90" s="27"/>
      <c r="N90" s="27"/>
    </row>
    <row r="91" spans="2:14" ht="15" x14ac:dyDescent="0.25">
      <c r="B91" s="27"/>
      <c r="C91" s="41"/>
      <c r="D91" s="27" t="s">
        <v>71</v>
      </c>
      <c r="E91" s="36">
        <f t="shared" ref="E91:L91" si="41">E85+E86-E90-E87</f>
        <v>11872576.109999999</v>
      </c>
      <c r="F91" s="69">
        <f t="shared" si="41"/>
        <v>10091689.693499997</v>
      </c>
      <c r="G91" s="69">
        <f t="shared" si="41"/>
        <v>8577936.2394749969</v>
      </c>
      <c r="H91" s="69">
        <f t="shared" si="41"/>
        <v>7291245.8035537452</v>
      </c>
      <c r="I91" s="69">
        <f t="shared" si="41"/>
        <v>6197558.9330206811</v>
      </c>
      <c r="J91" s="69">
        <f t="shared" si="41"/>
        <v>5267925.0930675864</v>
      </c>
      <c r="K91" s="69">
        <f t="shared" si="41"/>
        <v>4477736.3291074485</v>
      </c>
      <c r="L91" s="69">
        <f t="shared" si="41"/>
        <v>3806075.879741326</v>
      </c>
      <c r="M91" s="27"/>
      <c r="N91" s="27"/>
    </row>
    <row r="92" spans="2:14" ht="15" x14ac:dyDescent="0.25">
      <c r="B92" s="27"/>
      <c r="C92" s="71"/>
      <c r="D92" s="27"/>
      <c r="E92" s="35">
        <f t="shared" ref="E92:L92" si="42">IF(E90=0,(E89-E87)/E85,E91/E85)</f>
        <v>0.1488131646181606</v>
      </c>
      <c r="F92" s="34">
        <f t="shared" si="42"/>
        <v>0.12649118992543648</v>
      </c>
      <c r="G92" s="34">
        <f t="shared" si="42"/>
        <v>0.10751751143662101</v>
      </c>
      <c r="H92" s="34">
        <f t="shared" si="42"/>
        <v>9.1389884721127829E-2</v>
      </c>
      <c r="I92" s="34">
        <f t="shared" si="42"/>
        <v>7.7681402012958631E-2</v>
      </c>
      <c r="J92" s="34">
        <f t="shared" si="42"/>
        <v>6.6029191711014928E-2</v>
      </c>
      <c r="K92" s="34">
        <f t="shared" si="42"/>
        <v>5.6124812954362689E-2</v>
      </c>
      <c r="L92" s="34">
        <f t="shared" si="42"/>
        <v>4.7706091011208221E-2</v>
      </c>
      <c r="M92" s="27"/>
      <c r="N92" s="27"/>
    </row>
    <row r="93" spans="2:14" ht="15" x14ac:dyDescent="0.25">
      <c r="B93" s="27"/>
      <c r="C93" s="41"/>
      <c r="D93" s="27"/>
      <c r="E93" s="47"/>
      <c r="F93" s="46"/>
      <c r="G93" s="46"/>
      <c r="H93" s="46"/>
      <c r="I93" s="46"/>
      <c r="J93" s="46"/>
      <c r="K93" s="46"/>
      <c r="L93" s="46"/>
      <c r="M93" s="27"/>
      <c r="N93" s="27"/>
    </row>
    <row r="94" spans="2:14" ht="15" x14ac:dyDescent="0.25">
      <c r="B94" s="27"/>
      <c r="C94" s="71"/>
      <c r="D94" s="45" t="s">
        <v>94</v>
      </c>
      <c r="E94" s="29"/>
      <c r="F94" s="27"/>
      <c r="G94" s="27"/>
      <c r="H94" s="27"/>
      <c r="I94" s="27"/>
      <c r="J94" s="27"/>
      <c r="K94" s="27"/>
      <c r="L94" s="27"/>
      <c r="M94" s="27"/>
      <c r="N94" s="27"/>
    </row>
    <row r="95" spans="2:14" ht="15" x14ac:dyDescent="0.25">
      <c r="B95" s="42"/>
      <c r="C95" s="71"/>
      <c r="D95" s="27" t="s">
        <v>80</v>
      </c>
      <c r="E95" s="44">
        <f>50417968.67</f>
        <v>50417968.670000002</v>
      </c>
      <c r="F95" s="63">
        <f t="shared" ref="F95:L95" si="43">E95+E96-E97</f>
        <v>50417968.670000002</v>
      </c>
      <c r="G95" s="63">
        <f t="shared" si="43"/>
        <v>50417968.670000002</v>
      </c>
      <c r="H95" s="63">
        <f t="shared" si="43"/>
        <v>50417968.670000002</v>
      </c>
      <c r="I95" s="63">
        <f t="shared" si="43"/>
        <v>50417968.670000002</v>
      </c>
      <c r="J95" s="63">
        <f t="shared" si="43"/>
        <v>50417968.670000002</v>
      </c>
      <c r="K95" s="63">
        <f t="shared" si="43"/>
        <v>50417968.670000002</v>
      </c>
      <c r="L95" s="63">
        <f t="shared" si="43"/>
        <v>50417968.670000002</v>
      </c>
      <c r="M95" s="27"/>
      <c r="N95" s="27"/>
    </row>
    <row r="96" spans="2:14" ht="15" x14ac:dyDescent="0.25">
      <c r="B96" s="27"/>
      <c r="C96" s="72">
        <v>0.15</v>
      </c>
      <c r="D96" s="27" t="s">
        <v>79</v>
      </c>
      <c r="E96" s="39"/>
      <c r="F96" s="65"/>
      <c r="G96" s="65"/>
      <c r="H96" s="65"/>
      <c r="I96" s="65"/>
      <c r="J96" s="65"/>
      <c r="K96" s="65"/>
      <c r="L96" s="65"/>
      <c r="M96" s="27"/>
      <c r="N96" s="27"/>
    </row>
    <row r="97" spans="2:14" ht="15" x14ac:dyDescent="0.25">
      <c r="B97" s="42"/>
      <c r="C97" s="41"/>
      <c r="D97" s="27" t="s">
        <v>78</v>
      </c>
      <c r="E97" s="39"/>
      <c r="F97" s="65"/>
      <c r="G97" s="65"/>
      <c r="H97" s="65"/>
      <c r="I97" s="65"/>
      <c r="J97" s="65"/>
      <c r="K97" s="65"/>
      <c r="L97" s="65"/>
      <c r="M97" s="27"/>
      <c r="N97" s="27"/>
    </row>
    <row r="98" spans="2:14" ht="15" x14ac:dyDescent="0.25">
      <c r="B98" s="40"/>
      <c r="C98" s="71"/>
      <c r="D98" s="27" t="s">
        <v>24</v>
      </c>
      <c r="E98" s="39"/>
      <c r="F98" s="65">
        <f>E101*$C$96</f>
        <v>3194815.5449999999</v>
      </c>
      <c r="G98" s="65">
        <f t="shared" ref="G98:L98" si="44">F101*$C$96</f>
        <v>2715593.2132500005</v>
      </c>
      <c r="H98" s="65">
        <f t="shared" si="44"/>
        <v>2308254.2312624999</v>
      </c>
      <c r="I98" s="65">
        <f t="shared" si="44"/>
        <v>1962016.0965731251</v>
      </c>
      <c r="J98" s="65">
        <f t="shared" si="44"/>
        <v>1667713.6820871569</v>
      </c>
      <c r="K98" s="65">
        <f t="shared" si="44"/>
        <v>1417556.6297740838</v>
      </c>
      <c r="L98" s="65">
        <f t="shared" si="44"/>
        <v>1204923.1353079709</v>
      </c>
      <c r="M98" s="27"/>
      <c r="N98" s="27"/>
    </row>
    <row r="99" spans="2:14" ht="15" x14ac:dyDescent="0.25">
      <c r="B99" s="27"/>
      <c r="C99" s="71"/>
      <c r="D99" s="27" t="s">
        <v>77</v>
      </c>
      <c r="E99" s="39"/>
      <c r="F99" s="65"/>
      <c r="G99" s="65"/>
      <c r="H99" s="65"/>
      <c r="I99" s="65"/>
      <c r="J99" s="65"/>
      <c r="K99" s="65"/>
      <c r="L99" s="65"/>
      <c r="M99" s="27"/>
      <c r="N99" s="27"/>
    </row>
    <row r="100" spans="2:14" ht="15" x14ac:dyDescent="0.25">
      <c r="B100" s="27"/>
      <c r="C100" s="71"/>
      <c r="D100" s="27" t="s">
        <v>76</v>
      </c>
      <c r="E100" s="39">
        <f>29119198.37</f>
        <v>29119198.370000001</v>
      </c>
      <c r="F100" s="65">
        <f t="shared" ref="F100:L100" si="45">E100+F98+F99-F97</f>
        <v>32314013.914999999</v>
      </c>
      <c r="G100" s="65">
        <f t="shared" si="45"/>
        <v>35029607.128250003</v>
      </c>
      <c r="H100" s="65">
        <f t="shared" si="45"/>
        <v>37337861.3595125</v>
      </c>
      <c r="I100" s="65">
        <f t="shared" si="45"/>
        <v>39299877.456085622</v>
      </c>
      <c r="J100" s="65">
        <f t="shared" si="45"/>
        <v>40967591.138172776</v>
      </c>
      <c r="K100" s="65">
        <f t="shared" si="45"/>
        <v>42385147.767946862</v>
      </c>
      <c r="L100" s="65">
        <f t="shared" si="45"/>
        <v>43590070.903254829</v>
      </c>
      <c r="M100" s="27"/>
      <c r="N100" s="27"/>
    </row>
    <row r="101" spans="2:14" ht="15" x14ac:dyDescent="0.25">
      <c r="B101" s="27"/>
      <c r="C101" s="41"/>
      <c r="D101" s="27" t="s">
        <v>71</v>
      </c>
      <c r="E101" s="36">
        <f t="shared" ref="E101:L101" si="46">E95+E96-E100-E97</f>
        <v>21298770.300000001</v>
      </c>
      <c r="F101" s="69">
        <f t="shared" si="46"/>
        <v>18103954.755000003</v>
      </c>
      <c r="G101" s="69">
        <f t="shared" si="46"/>
        <v>15388361.541749999</v>
      </c>
      <c r="H101" s="69">
        <f t="shared" si="46"/>
        <v>13080107.310487501</v>
      </c>
      <c r="I101" s="69">
        <f t="shared" si="46"/>
        <v>11118091.213914379</v>
      </c>
      <c r="J101" s="69">
        <f t="shared" si="46"/>
        <v>9450377.5318272263</v>
      </c>
      <c r="K101" s="69">
        <f t="shared" si="46"/>
        <v>8032820.9020531401</v>
      </c>
      <c r="L101" s="69">
        <f t="shared" si="46"/>
        <v>6827897.7667451724</v>
      </c>
      <c r="M101" s="27"/>
      <c r="N101" s="27"/>
    </row>
    <row r="102" spans="2:14" ht="15" x14ac:dyDescent="0.25">
      <c r="B102" s="27"/>
      <c r="C102" s="71"/>
      <c r="D102" s="27"/>
      <c r="E102" s="35">
        <f t="shared" ref="E102:L102" si="47">IF(E100=0,(E99-E97)/E95,E101/E95)</f>
        <v>0.42244403854122986</v>
      </c>
      <c r="F102" s="34">
        <f t="shared" si="47"/>
        <v>0.35907743276004545</v>
      </c>
      <c r="G102" s="34">
        <f t="shared" si="47"/>
        <v>0.30521581784603857</v>
      </c>
      <c r="H102" s="34">
        <f t="shared" si="47"/>
        <v>0.2594334451691328</v>
      </c>
      <c r="I102" s="34">
        <f t="shared" si="47"/>
        <v>0.22051842839376296</v>
      </c>
      <c r="J102" s="34">
        <f t="shared" si="47"/>
        <v>0.18744066413469859</v>
      </c>
      <c r="K102" s="34">
        <f t="shared" si="47"/>
        <v>0.15932456451449376</v>
      </c>
      <c r="L102" s="34">
        <f t="shared" si="47"/>
        <v>0.13542587983731977</v>
      </c>
      <c r="M102" s="27"/>
      <c r="N102" s="27"/>
    </row>
    <row r="103" spans="2:14" ht="15" x14ac:dyDescent="0.25">
      <c r="B103" s="27"/>
      <c r="C103" s="71"/>
      <c r="E103" s="56"/>
      <c r="F103" s="57"/>
      <c r="G103" s="57"/>
      <c r="H103" s="57"/>
      <c r="I103" s="57"/>
      <c r="J103" s="57"/>
      <c r="K103" s="57"/>
      <c r="L103" s="57"/>
      <c r="M103" s="27"/>
      <c r="N103" s="27"/>
    </row>
    <row r="104" spans="2:14" ht="15" x14ac:dyDescent="0.25">
      <c r="B104" s="27"/>
      <c r="C104" s="71"/>
      <c r="D104" s="45" t="s">
        <v>95</v>
      </c>
      <c r="E104" s="29"/>
      <c r="F104" s="27"/>
      <c r="G104" s="27"/>
      <c r="H104" s="27"/>
      <c r="I104" s="27"/>
      <c r="J104" s="27"/>
      <c r="K104" s="27"/>
      <c r="L104" s="27"/>
      <c r="M104" s="27"/>
      <c r="N104" s="27"/>
    </row>
    <row r="105" spans="2:14" ht="15" x14ac:dyDescent="0.25">
      <c r="B105" s="27"/>
      <c r="C105" s="71"/>
      <c r="D105" s="27" t="s">
        <v>80</v>
      </c>
      <c r="E105" s="44">
        <f>527403</f>
        <v>527403</v>
      </c>
      <c r="F105" s="63">
        <f t="shared" ref="F105:L105" si="48">E105+E106-E107</f>
        <v>527403</v>
      </c>
      <c r="G105" s="63">
        <f t="shared" si="48"/>
        <v>527403</v>
      </c>
      <c r="H105" s="63">
        <f t="shared" si="48"/>
        <v>527403</v>
      </c>
      <c r="I105" s="63">
        <f t="shared" si="48"/>
        <v>527403</v>
      </c>
      <c r="J105" s="63">
        <f t="shared" si="48"/>
        <v>527403</v>
      </c>
      <c r="K105" s="63">
        <f t="shared" si="48"/>
        <v>527403</v>
      </c>
      <c r="L105" s="63">
        <f t="shared" si="48"/>
        <v>527403</v>
      </c>
      <c r="M105" s="27"/>
      <c r="N105" s="27"/>
    </row>
    <row r="106" spans="2:14" ht="15" x14ac:dyDescent="0.25">
      <c r="B106" s="27"/>
      <c r="C106" s="72">
        <v>0.15</v>
      </c>
      <c r="D106" s="27" t="s">
        <v>79</v>
      </c>
      <c r="E106" s="39"/>
      <c r="F106" s="65"/>
      <c r="G106" s="65"/>
      <c r="H106" s="65"/>
      <c r="I106" s="65"/>
      <c r="J106" s="65"/>
      <c r="K106" s="65"/>
      <c r="L106" s="65"/>
      <c r="M106" s="27"/>
      <c r="N106" s="27"/>
    </row>
    <row r="107" spans="2:14" ht="15" x14ac:dyDescent="0.25">
      <c r="B107" s="27"/>
      <c r="C107" s="41"/>
      <c r="D107" s="27" t="s">
        <v>78</v>
      </c>
      <c r="E107" s="39"/>
      <c r="F107" s="65"/>
      <c r="G107" s="65"/>
      <c r="H107" s="65"/>
      <c r="I107" s="65"/>
      <c r="J107" s="65"/>
      <c r="K107" s="65"/>
      <c r="L107" s="65"/>
      <c r="M107" s="27"/>
      <c r="N107" s="27"/>
    </row>
    <row r="108" spans="2:14" ht="15" x14ac:dyDescent="0.25">
      <c r="B108" s="27"/>
      <c r="C108" s="27"/>
      <c r="D108" s="27" t="s">
        <v>24</v>
      </c>
      <c r="E108" s="39">
        <f>11901.87</f>
        <v>11901.87</v>
      </c>
      <c r="F108" s="65">
        <f>E111*$C$106</f>
        <v>10116.594000000003</v>
      </c>
      <c r="G108" s="65">
        <f t="shared" ref="G108:L108" si="49">F111*$C$106</f>
        <v>8599.1049000000057</v>
      </c>
      <c r="H108" s="65">
        <f t="shared" si="49"/>
        <v>7309.239165</v>
      </c>
      <c r="I108" s="65">
        <f t="shared" si="49"/>
        <v>6212.8532902500037</v>
      </c>
      <c r="J108" s="65">
        <f t="shared" si="49"/>
        <v>5280.925296712504</v>
      </c>
      <c r="K108" s="65">
        <f t="shared" si="49"/>
        <v>4488.7865022056294</v>
      </c>
      <c r="L108" s="65">
        <f t="shared" si="49"/>
        <v>3815.4685268747821</v>
      </c>
      <c r="M108" s="27"/>
      <c r="N108" s="27"/>
    </row>
    <row r="109" spans="2:14" ht="15" x14ac:dyDescent="0.25">
      <c r="B109" s="27"/>
      <c r="C109" s="27"/>
      <c r="D109" s="27" t="s">
        <v>77</v>
      </c>
      <c r="E109" s="39"/>
      <c r="F109" s="65"/>
      <c r="G109" s="65"/>
      <c r="H109" s="65"/>
      <c r="I109" s="65"/>
      <c r="J109" s="65"/>
      <c r="K109" s="65"/>
      <c r="L109" s="65"/>
      <c r="M109" s="27"/>
      <c r="N109" s="27"/>
    </row>
    <row r="110" spans="2:14" ht="15" x14ac:dyDescent="0.25">
      <c r="B110" s="27"/>
      <c r="C110" s="27"/>
      <c r="D110" s="27" t="s">
        <v>76</v>
      </c>
      <c r="E110" s="39">
        <f>459959.04</f>
        <v>459959.03999999998</v>
      </c>
      <c r="F110" s="65">
        <f t="shared" ref="F110:L110" si="50">E110+F108+F109-F107</f>
        <v>470075.63399999996</v>
      </c>
      <c r="G110" s="65">
        <f t="shared" si="50"/>
        <v>478674.7389</v>
      </c>
      <c r="H110" s="65">
        <f t="shared" si="50"/>
        <v>485983.97806499997</v>
      </c>
      <c r="I110" s="65">
        <f t="shared" si="50"/>
        <v>492196.83135524997</v>
      </c>
      <c r="J110" s="65">
        <f t="shared" si="50"/>
        <v>497477.75665196247</v>
      </c>
      <c r="K110" s="65">
        <f t="shared" si="50"/>
        <v>501966.54315416812</v>
      </c>
      <c r="L110" s="65">
        <f t="shared" si="50"/>
        <v>505782.0116810429</v>
      </c>
      <c r="M110" s="27"/>
      <c r="N110" s="27"/>
    </row>
    <row r="111" spans="2:14" ht="15" x14ac:dyDescent="0.25">
      <c r="B111" s="27"/>
      <c r="C111" s="33"/>
      <c r="D111" s="27" t="s">
        <v>71</v>
      </c>
      <c r="E111" s="36">
        <f t="shared" ref="E111:L111" si="51">E105+E106-E110-E107</f>
        <v>67443.960000000021</v>
      </c>
      <c r="F111" s="69">
        <f t="shared" si="51"/>
        <v>57327.366000000038</v>
      </c>
      <c r="G111" s="69">
        <f t="shared" si="51"/>
        <v>48728.261100000003</v>
      </c>
      <c r="H111" s="69">
        <f t="shared" si="51"/>
        <v>41419.021935000026</v>
      </c>
      <c r="I111" s="69">
        <f t="shared" si="51"/>
        <v>35206.168644750025</v>
      </c>
      <c r="J111" s="69">
        <f t="shared" si="51"/>
        <v>29925.243348037533</v>
      </c>
      <c r="K111" s="69">
        <f t="shared" si="51"/>
        <v>25436.456845831883</v>
      </c>
      <c r="L111" s="69">
        <f t="shared" si="51"/>
        <v>21620.988318957097</v>
      </c>
      <c r="M111" s="27"/>
      <c r="N111" s="27"/>
    </row>
    <row r="112" spans="2:14" ht="15" x14ac:dyDescent="0.25">
      <c r="B112" s="27"/>
      <c r="C112" s="27"/>
      <c r="D112" s="27"/>
      <c r="E112" s="35">
        <f t="shared" ref="E112:L112" si="52">IF(E110=0,(E109-E107)/E105,E111/E105)</f>
        <v>0.12787936359861438</v>
      </c>
      <c r="F112" s="34">
        <f t="shared" si="52"/>
        <v>0.10869745905882226</v>
      </c>
      <c r="G112" s="34">
        <f t="shared" si="52"/>
        <v>9.2392840199998869E-2</v>
      </c>
      <c r="H112" s="34">
        <f t="shared" si="52"/>
        <v>7.8533914169999081E-2</v>
      </c>
      <c r="I112" s="34">
        <f t="shared" si="52"/>
        <v>6.6753827044499225E-2</v>
      </c>
      <c r="J112" s="34">
        <f t="shared" si="52"/>
        <v>5.6740752987824362E-2</v>
      </c>
      <c r="K112" s="34">
        <f t="shared" si="52"/>
        <v>4.8229640039650669E-2</v>
      </c>
      <c r="L112" s="34">
        <f t="shared" si="52"/>
        <v>4.0995194033703067E-2</v>
      </c>
      <c r="M112" s="27"/>
      <c r="N112" s="27"/>
    </row>
    <row r="113" spans="2:14" ht="15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</row>
    <row r="114" spans="2:14" ht="15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</row>
    <row r="115" spans="2:14" ht="15" x14ac:dyDescent="0.25">
      <c r="B115" s="27"/>
      <c r="C115" s="27"/>
      <c r="D115" s="30" t="s">
        <v>75</v>
      </c>
      <c r="E115" s="29"/>
      <c r="F115" s="27"/>
      <c r="G115" s="27"/>
      <c r="H115" s="27"/>
      <c r="I115" s="27"/>
      <c r="J115" s="27"/>
      <c r="K115" s="27"/>
      <c r="L115" s="27"/>
      <c r="M115" s="27"/>
      <c r="N115" s="27"/>
    </row>
    <row r="116" spans="2:14" ht="15" x14ac:dyDescent="0.25">
      <c r="B116" s="27"/>
      <c r="C116" s="27"/>
      <c r="D116" s="28" t="s">
        <v>74</v>
      </c>
      <c r="E116" s="70">
        <f>SUMIF($D$7:$D$112,"Addition",E$7:E$112)/10^5</f>
        <v>0</v>
      </c>
      <c r="F116" s="70">
        <f t="shared" ref="F116:L116" si="53">SUMIF($D$7:$D$112,"Addition",F$7:F$112)/10^5</f>
        <v>0</v>
      </c>
      <c r="G116" s="70">
        <f t="shared" si="53"/>
        <v>0</v>
      </c>
      <c r="H116" s="70">
        <f t="shared" si="53"/>
        <v>0</v>
      </c>
      <c r="I116" s="70">
        <f t="shared" si="53"/>
        <v>0</v>
      </c>
      <c r="J116" s="70">
        <f t="shared" si="53"/>
        <v>0</v>
      </c>
      <c r="K116" s="70">
        <f t="shared" si="53"/>
        <v>0</v>
      </c>
      <c r="L116" s="70">
        <f t="shared" si="53"/>
        <v>0</v>
      </c>
      <c r="M116" s="27"/>
      <c r="N116" s="27"/>
    </row>
    <row r="117" spans="2:14" ht="15" x14ac:dyDescent="0.25">
      <c r="B117" s="27"/>
      <c r="C117" s="27"/>
      <c r="D117" s="28" t="s">
        <v>73</v>
      </c>
      <c r="E117" s="70">
        <f>SUMIF($D$7:$D$112,"Asset Write off (Net block)",E$7:E$112)/10^5</f>
        <v>0</v>
      </c>
      <c r="F117" s="70">
        <f t="shared" ref="F117:L117" si="54">SUMIF($D$7:$D$112,"Asset Write off (Net block)",F$7:F$112)/10^5</f>
        <v>0</v>
      </c>
      <c r="G117" s="70">
        <f t="shared" si="54"/>
        <v>0</v>
      </c>
      <c r="H117" s="70">
        <f t="shared" si="54"/>
        <v>0</v>
      </c>
      <c r="I117" s="70">
        <f t="shared" si="54"/>
        <v>0</v>
      </c>
      <c r="J117" s="70">
        <f t="shared" si="54"/>
        <v>0</v>
      </c>
      <c r="K117" s="70">
        <f t="shared" si="54"/>
        <v>0</v>
      </c>
      <c r="L117" s="70">
        <f t="shared" si="54"/>
        <v>0</v>
      </c>
      <c r="M117" s="27"/>
      <c r="N117" s="27"/>
    </row>
    <row r="118" spans="2:14" ht="15" x14ac:dyDescent="0.25">
      <c r="B118" s="27"/>
      <c r="C118" s="27"/>
      <c r="D118" s="28" t="s">
        <v>72</v>
      </c>
      <c r="E118" s="70">
        <f>SUMIF($D$7:$D$112,"Depreciation",E$7:E$112)/10^5</f>
        <v>87.515152099999995</v>
      </c>
      <c r="F118" s="70">
        <f t="shared" ref="F118:L118" si="55">SUMIF($D$7:$D$112,"Depreciation",F$7:F$112)/10^5</f>
        <v>109.42751745000001</v>
      </c>
      <c r="G118" s="70">
        <f t="shared" si="55"/>
        <v>94.176726750000014</v>
      </c>
      <c r="H118" s="70">
        <f t="shared" si="55"/>
        <v>81.105480752250003</v>
      </c>
      <c r="I118" s="70">
        <f t="shared" si="55"/>
        <v>69.894351226087522</v>
      </c>
      <c r="J118" s="70">
        <f t="shared" si="55"/>
        <v>60.272395394221881</v>
      </c>
      <c r="K118" s="70">
        <f t="shared" si="55"/>
        <v>52.009297366355369</v>
      </c>
      <c r="L118" s="70">
        <f t="shared" si="55"/>
        <v>44.908958383196548</v>
      </c>
      <c r="M118" s="27"/>
      <c r="N118" s="27"/>
    </row>
    <row r="119" spans="2:14" ht="15" x14ac:dyDescent="0.25">
      <c r="B119" s="27"/>
      <c r="C119" s="27"/>
      <c r="D119" s="28" t="s">
        <v>71</v>
      </c>
      <c r="E119" s="70">
        <f>SUMIF($D$7:$D$112,"Net Block",E$7:E$112)/10^5</f>
        <v>1265.060579</v>
      </c>
      <c r="F119" s="70">
        <f t="shared" ref="F119:L119" si="56">SUMIF($D$7:$D$112,"Net Block",F$7:F$112)/10^5</f>
        <v>1155.6330615500001</v>
      </c>
      <c r="G119" s="70">
        <f t="shared" si="56"/>
        <v>1061.4563348000001</v>
      </c>
      <c r="H119" s="70">
        <f t="shared" si="56"/>
        <v>980.35085404775009</v>
      </c>
      <c r="I119" s="70">
        <f t="shared" si="56"/>
        <v>910.45650282166253</v>
      </c>
      <c r="J119" s="70">
        <f t="shared" si="56"/>
        <v>850.18410742744084</v>
      </c>
      <c r="K119" s="70">
        <f t="shared" si="56"/>
        <v>798.1748100610854</v>
      </c>
      <c r="L119" s="70">
        <f t="shared" si="56"/>
        <v>753.26585167788892</v>
      </c>
      <c r="M119" s="27"/>
      <c r="N119" s="27"/>
    </row>
    <row r="120" spans="2:14" ht="15" x14ac:dyDescent="0.25">
      <c r="B120" s="27"/>
      <c r="C120" s="27"/>
      <c r="D120" s="28" t="s">
        <v>80</v>
      </c>
      <c r="E120" s="70">
        <f>SUMIF($D$7:$D$112,"Gross Block",E$7:E$112)/10^5</f>
        <v>4007.1812396000005</v>
      </c>
      <c r="F120" s="70">
        <f t="shared" ref="F120:L120" si="57">SUMIF($D$7:$D$112,"Gross Block",F$7:F$112)/10^5</f>
        <v>4007.1812396000005</v>
      </c>
      <c r="G120" s="70">
        <f t="shared" si="57"/>
        <v>4007.1812396000005</v>
      </c>
      <c r="H120" s="70">
        <f t="shared" si="57"/>
        <v>4007.1812396000005</v>
      </c>
      <c r="I120" s="70">
        <f t="shared" si="57"/>
        <v>4007.1812396000005</v>
      </c>
      <c r="J120" s="70">
        <f t="shared" si="57"/>
        <v>4007.1812396000005</v>
      </c>
      <c r="K120" s="70">
        <f t="shared" si="57"/>
        <v>4007.1812396000005</v>
      </c>
      <c r="L120" s="70">
        <f t="shared" si="57"/>
        <v>4007.1812396000005</v>
      </c>
      <c r="M120" s="27"/>
      <c r="N120" s="27"/>
    </row>
    <row r="121" spans="2:14" ht="15" x14ac:dyDescent="0.25">
      <c r="B121" s="27"/>
      <c r="C121" s="27"/>
      <c r="D121" s="28" t="s">
        <v>76</v>
      </c>
      <c r="E121" s="70">
        <f>SUMIF($D$7:$D$112,"Accumulated Depreciation",E$7:E$112)/10^5</f>
        <v>2742.1206606000005</v>
      </c>
      <c r="F121" s="70">
        <f t="shared" ref="F121:L121" si="58">SUMIF($D$7:$D$112,"Accumulated Depreciation",F$7:F$112)/10^5</f>
        <v>2851.5481780500008</v>
      </c>
      <c r="G121" s="70">
        <f t="shared" si="58"/>
        <v>2945.7249048000003</v>
      </c>
      <c r="H121" s="70">
        <f t="shared" si="58"/>
        <v>3026.8303855522508</v>
      </c>
      <c r="I121" s="70">
        <f t="shared" si="58"/>
        <v>3096.724736778338</v>
      </c>
      <c r="J121" s="70">
        <f t="shared" si="58"/>
        <v>3156.9971321725588</v>
      </c>
      <c r="K121" s="70">
        <f t="shared" si="58"/>
        <v>3209.0064295389138</v>
      </c>
      <c r="L121" s="70">
        <f t="shared" si="58"/>
        <v>3253.9153879221108</v>
      </c>
      <c r="M121" s="27"/>
      <c r="N121" s="27"/>
    </row>
    <row r="122" spans="2:14" ht="15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</row>
    <row r="123" spans="2:14" ht="15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</row>
    <row r="124" spans="2:14" ht="12.75" x14ac:dyDescent="0.2">
      <c r="B124" s="26" t="s">
        <v>70</v>
      </c>
    </row>
    <row r="125" spans="2:14" ht="15" x14ac:dyDescent="0.25">
      <c r="B125" s="25" t="s">
        <v>69</v>
      </c>
      <c r="C125" s="24" t="s">
        <v>68</v>
      </c>
      <c r="D125" s="22" t="s">
        <v>67</v>
      </c>
      <c r="E125" s="22" t="s">
        <v>66</v>
      </c>
      <c r="F125" s="22" t="s">
        <v>65</v>
      </c>
      <c r="G125" s="22" t="s">
        <v>64</v>
      </c>
      <c r="H125" s="22" t="s">
        <v>63</v>
      </c>
      <c r="I125" s="22" t="s">
        <v>62</v>
      </c>
      <c r="J125" s="22" t="s">
        <v>61</v>
      </c>
      <c r="K125" s="23" t="s">
        <v>60</v>
      </c>
      <c r="L125" s="22" t="s">
        <v>59</v>
      </c>
      <c r="M125" s="22" t="s">
        <v>58</v>
      </c>
      <c r="N125" s="22" t="s">
        <v>57</v>
      </c>
    </row>
    <row r="126" spans="2:14" ht="12.75" x14ac:dyDescent="0.2">
      <c r="B126" s="20" t="s">
        <v>56</v>
      </c>
      <c r="C126" s="19">
        <v>100</v>
      </c>
      <c r="D126" s="21">
        <v>106.9</v>
      </c>
      <c r="E126" s="21">
        <v>112.5</v>
      </c>
      <c r="F126" s="21">
        <v>113.9</v>
      </c>
      <c r="G126" s="21">
        <v>109.7</v>
      </c>
      <c r="H126" s="21">
        <v>111.6</v>
      </c>
      <c r="I126" s="21">
        <v>114.9</v>
      </c>
      <c r="J126" s="21">
        <v>119.8</v>
      </c>
      <c r="K126" s="21">
        <v>121.8</v>
      </c>
      <c r="L126" s="21">
        <v>123.4</v>
      </c>
      <c r="M126" s="21">
        <v>139.4</v>
      </c>
      <c r="N126" s="21">
        <v>152.5</v>
      </c>
    </row>
    <row r="127" spans="2:14" ht="12.75" x14ac:dyDescent="0.2">
      <c r="B127" s="20"/>
      <c r="C127" s="19"/>
      <c r="D127" s="18">
        <f t="shared" ref="D127:N127" si="59">+D126/C126-1</f>
        <v>6.899999999999995E-2</v>
      </c>
      <c r="E127" s="18">
        <f t="shared" si="59"/>
        <v>5.2385406922357269E-2</v>
      </c>
      <c r="F127" s="18">
        <f t="shared" si="59"/>
        <v>1.244444444444448E-2</v>
      </c>
      <c r="G127" s="18">
        <f t="shared" si="59"/>
        <v>-3.687445127304656E-2</v>
      </c>
      <c r="H127" s="18">
        <f t="shared" si="59"/>
        <v>1.7319963536918781E-2</v>
      </c>
      <c r="I127" s="18">
        <f t="shared" si="59"/>
        <v>2.9569892473118475E-2</v>
      </c>
      <c r="J127" s="18">
        <f t="shared" si="59"/>
        <v>4.2645778938207091E-2</v>
      </c>
      <c r="K127" s="18">
        <f t="shared" si="59"/>
        <v>1.6694490818029983E-2</v>
      </c>
      <c r="L127" s="18">
        <f t="shared" si="59"/>
        <v>1.3136288998357948E-2</v>
      </c>
      <c r="M127" s="18">
        <f t="shared" si="59"/>
        <v>0.12965964343598047</v>
      </c>
      <c r="N127" s="18">
        <f t="shared" si="59"/>
        <v>9.3974175035868024E-2</v>
      </c>
    </row>
    <row r="128" spans="2:14" ht="12.75" x14ac:dyDescent="0.2">
      <c r="B128" s="17" t="s">
        <v>55</v>
      </c>
      <c r="C128" s="16">
        <f>(N126/C126)^(1/COUNT(D126:N126))-1</f>
        <v>3.9108493961018453E-2</v>
      </c>
      <c r="D128" s="13"/>
      <c r="E128" s="12"/>
      <c r="F128" s="12"/>
      <c r="G128" s="12"/>
      <c r="H128" s="12"/>
      <c r="I128" s="12"/>
      <c r="J128" s="12"/>
    </row>
    <row r="129" spans="2:10" ht="12.75" x14ac:dyDescent="0.2">
      <c r="B129" s="15" t="s">
        <v>54</v>
      </c>
      <c r="C129" s="14">
        <f>C128</f>
        <v>3.9108493961018453E-2</v>
      </c>
      <c r="D129" s="13"/>
      <c r="E129" s="12"/>
      <c r="F129" s="12"/>
      <c r="G129" s="12"/>
      <c r="H129" s="12"/>
      <c r="I129" s="12"/>
      <c r="J129" s="1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B2:W194"/>
  <sheetViews>
    <sheetView topLeftCell="A13" workbookViewId="0">
      <selection activeCell="F57" sqref="F57"/>
    </sheetView>
  </sheetViews>
  <sheetFormatPr defaultRowHeight="15" x14ac:dyDescent="0.25"/>
  <cols>
    <col min="1" max="1" width="9.140625" style="136"/>
    <col min="2" max="2" width="14.5703125" style="136" customWidth="1"/>
    <col min="3" max="3" width="15.7109375" style="136" customWidth="1"/>
    <col min="4" max="4" width="20.85546875" style="136" bestFit="1" customWidth="1"/>
    <col min="5" max="5" width="15.85546875" style="136" bestFit="1" customWidth="1"/>
    <col min="6" max="6" width="17.28515625" style="136" bestFit="1" customWidth="1"/>
    <col min="7" max="7" width="15" style="136" customWidth="1"/>
    <col min="8" max="8" width="7.42578125" style="136" customWidth="1"/>
    <col min="9" max="9" width="19.7109375" style="136" bestFit="1" customWidth="1"/>
    <col min="10" max="10" width="14.7109375" style="136" bestFit="1" customWidth="1"/>
    <col min="11" max="11" width="16" style="136" bestFit="1" customWidth="1"/>
    <col min="12" max="12" width="14.85546875" style="136" bestFit="1" customWidth="1"/>
    <col min="13" max="13" width="13.7109375" style="136" bestFit="1" customWidth="1"/>
    <col min="14" max="15" width="9.28515625" style="136" bestFit="1" customWidth="1"/>
    <col min="16" max="16" width="19.28515625" style="136" customWidth="1"/>
    <col min="17" max="19" width="9.28515625" style="136" bestFit="1" customWidth="1"/>
    <col min="20" max="257" width="9.140625" style="136"/>
    <col min="258" max="258" width="14.5703125" style="136" customWidth="1"/>
    <col min="259" max="259" width="15.7109375" style="136" customWidth="1"/>
    <col min="260" max="260" width="15.85546875" style="136" customWidth="1"/>
    <col min="261" max="262" width="15.5703125" style="136" bestFit="1" customWidth="1"/>
    <col min="263" max="263" width="15" style="136" customWidth="1"/>
    <col min="264" max="264" width="7.42578125" style="136" customWidth="1"/>
    <col min="265" max="265" width="16.28515625" style="136" customWidth="1"/>
    <col min="266" max="267" width="14.5703125" style="136" bestFit="1" customWidth="1"/>
    <col min="268" max="268" width="14.42578125" style="136" bestFit="1" customWidth="1"/>
    <col min="269" max="271" width="9.140625" style="136"/>
    <col min="272" max="272" width="19.28515625" style="136" customWidth="1"/>
    <col min="273" max="513" width="9.140625" style="136"/>
    <col min="514" max="514" width="14.5703125" style="136" customWidth="1"/>
    <col min="515" max="515" width="15.7109375" style="136" customWidth="1"/>
    <col min="516" max="516" width="15.85546875" style="136" customWidth="1"/>
    <col min="517" max="518" width="15.5703125" style="136" bestFit="1" customWidth="1"/>
    <col min="519" max="519" width="15" style="136" customWidth="1"/>
    <col min="520" max="520" width="7.42578125" style="136" customWidth="1"/>
    <col min="521" max="521" width="16.28515625" style="136" customWidth="1"/>
    <col min="522" max="523" width="14.5703125" style="136" bestFit="1" customWidth="1"/>
    <col min="524" max="524" width="14.42578125" style="136" bestFit="1" customWidth="1"/>
    <col min="525" max="527" width="9.140625" style="136"/>
    <col min="528" max="528" width="19.28515625" style="136" customWidth="1"/>
    <col min="529" max="769" width="9.140625" style="136"/>
    <col min="770" max="770" width="14.5703125" style="136" customWidth="1"/>
    <col min="771" max="771" width="15.7109375" style="136" customWidth="1"/>
    <col min="772" max="772" width="15.85546875" style="136" customWidth="1"/>
    <col min="773" max="774" width="15.5703125" style="136" bestFit="1" customWidth="1"/>
    <col min="775" max="775" width="15" style="136" customWidth="1"/>
    <col min="776" max="776" width="7.42578125" style="136" customWidth="1"/>
    <col min="777" max="777" width="16.28515625" style="136" customWidth="1"/>
    <col min="778" max="779" width="14.5703125" style="136" bestFit="1" customWidth="1"/>
    <col min="780" max="780" width="14.42578125" style="136" bestFit="1" customWidth="1"/>
    <col min="781" max="783" width="9.140625" style="136"/>
    <col min="784" max="784" width="19.28515625" style="136" customWidth="1"/>
    <col min="785" max="1025" width="9.140625" style="136"/>
    <col min="1026" max="1026" width="14.5703125" style="136" customWidth="1"/>
    <col min="1027" max="1027" width="15.7109375" style="136" customWidth="1"/>
    <col min="1028" max="1028" width="15.85546875" style="136" customWidth="1"/>
    <col min="1029" max="1030" width="15.5703125" style="136" bestFit="1" customWidth="1"/>
    <col min="1031" max="1031" width="15" style="136" customWidth="1"/>
    <col min="1032" max="1032" width="7.42578125" style="136" customWidth="1"/>
    <col min="1033" max="1033" width="16.28515625" style="136" customWidth="1"/>
    <col min="1034" max="1035" width="14.5703125" style="136" bestFit="1" customWidth="1"/>
    <col min="1036" max="1036" width="14.42578125" style="136" bestFit="1" customWidth="1"/>
    <col min="1037" max="1039" width="9.140625" style="136"/>
    <col min="1040" max="1040" width="19.28515625" style="136" customWidth="1"/>
    <col min="1041" max="1281" width="9.140625" style="136"/>
    <col min="1282" max="1282" width="14.5703125" style="136" customWidth="1"/>
    <col min="1283" max="1283" width="15.7109375" style="136" customWidth="1"/>
    <col min="1284" max="1284" width="15.85546875" style="136" customWidth="1"/>
    <col min="1285" max="1286" width="15.5703125" style="136" bestFit="1" customWidth="1"/>
    <col min="1287" max="1287" width="15" style="136" customWidth="1"/>
    <col min="1288" max="1288" width="7.42578125" style="136" customWidth="1"/>
    <col min="1289" max="1289" width="16.28515625" style="136" customWidth="1"/>
    <col min="1290" max="1291" width="14.5703125" style="136" bestFit="1" customWidth="1"/>
    <col min="1292" max="1292" width="14.42578125" style="136" bestFit="1" customWidth="1"/>
    <col min="1293" max="1295" width="9.140625" style="136"/>
    <col min="1296" max="1296" width="19.28515625" style="136" customWidth="1"/>
    <col min="1297" max="1537" width="9.140625" style="136"/>
    <col min="1538" max="1538" width="14.5703125" style="136" customWidth="1"/>
    <col min="1539" max="1539" width="15.7109375" style="136" customWidth="1"/>
    <col min="1540" max="1540" width="15.85546875" style="136" customWidth="1"/>
    <col min="1541" max="1542" width="15.5703125" style="136" bestFit="1" customWidth="1"/>
    <col min="1543" max="1543" width="15" style="136" customWidth="1"/>
    <col min="1544" max="1544" width="7.42578125" style="136" customWidth="1"/>
    <col min="1545" max="1545" width="16.28515625" style="136" customWidth="1"/>
    <col min="1546" max="1547" width="14.5703125" style="136" bestFit="1" customWidth="1"/>
    <col min="1548" max="1548" width="14.42578125" style="136" bestFit="1" customWidth="1"/>
    <col min="1549" max="1551" width="9.140625" style="136"/>
    <col min="1552" max="1552" width="19.28515625" style="136" customWidth="1"/>
    <col min="1553" max="1793" width="9.140625" style="136"/>
    <col min="1794" max="1794" width="14.5703125" style="136" customWidth="1"/>
    <col min="1795" max="1795" width="15.7109375" style="136" customWidth="1"/>
    <col min="1796" max="1796" width="15.85546875" style="136" customWidth="1"/>
    <col min="1797" max="1798" width="15.5703125" style="136" bestFit="1" customWidth="1"/>
    <col min="1799" max="1799" width="15" style="136" customWidth="1"/>
    <col min="1800" max="1800" width="7.42578125" style="136" customWidth="1"/>
    <col min="1801" max="1801" width="16.28515625" style="136" customWidth="1"/>
    <col min="1802" max="1803" width="14.5703125" style="136" bestFit="1" customWidth="1"/>
    <col min="1804" max="1804" width="14.42578125" style="136" bestFit="1" customWidth="1"/>
    <col min="1805" max="1807" width="9.140625" style="136"/>
    <col min="1808" max="1808" width="19.28515625" style="136" customWidth="1"/>
    <col min="1809" max="2049" width="9.140625" style="136"/>
    <col min="2050" max="2050" width="14.5703125" style="136" customWidth="1"/>
    <col min="2051" max="2051" width="15.7109375" style="136" customWidth="1"/>
    <col min="2052" max="2052" width="15.85546875" style="136" customWidth="1"/>
    <col min="2053" max="2054" width="15.5703125" style="136" bestFit="1" customWidth="1"/>
    <col min="2055" max="2055" width="15" style="136" customWidth="1"/>
    <col min="2056" max="2056" width="7.42578125" style="136" customWidth="1"/>
    <col min="2057" max="2057" width="16.28515625" style="136" customWidth="1"/>
    <col min="2058" max="2059" width="14.5703125" style="136" bestFit="1" customWidth="1"/>
    <col min="2060" max="2060" width="14.42578125" style="136" bestFit="1" customWidth="1"/>
    <col min="2061" max="2063" width="9.140625" style="136"/>
    <col min="2064" max="2064" width="19.28515625" style="136" customWidth="1"/>
    <col min="2065" max="2305" width="9.140625" style="136"/>
    <col min="2306" max="2306" width="14.5703125" style="136" customWidth="1"/>
    <col min="2307" max="2307" width="15.7109375" style="136" customWidth="1"/>
    <col min="2308" max="2308" width="15.85546875" style="136" customWidth="1"/>
    <col min="2309" max="2310" width="15.5703125" style="136" bestFit="1" customWidth="1"/>
    <col min="2311" max="2311" width="15" style="136" customWidth="1"/>
    <col min="2312" max="2312" width="7.42578125" style="136" customWidth="1"/>
    <col min="2313" max="2313" width="16.28515625" style="136" customWidth="1"/>
    <col min="2314" max="2315" width="14.5703125" style="136" bestFit="1" customWidth="1"/>
    <col min="2316" max="2316" width="14.42578125" style="136" bestFit="1" customWidth="1"/>
    <col min="2317" max="2319" width="9.140625" style="136"/>
    <col min="2320" max="2320" width="19.28515625" style="136" customWidth="1"/>
    <col min="2321" max="2561" width="9.140625" style="136"/>
    <col min="2562" max="2562" width="14.5703125" style="136" customWidth="1"/>
    <col min="2563" max="2563" width="15.7109375" style="136" customWidth="1"/>
    <col min="2564" max="2564" width="15.85546875" style="136" customWidth="1"/>
    <col min="2565" max="2566" width="15.5703125" style="136" bestFit="1" customWidth="1"/>
    <col min="2567" max="2567" width="15" style="136" customWidth="1"/>
    <col min="2568" max="2568" width="7.42578125" style="136" customWidth="1"/>
    <col min="2569" max="2569" width="16.28515625" style="136" customWidth="1"/>
    <col min="2570" max="2571" width="14.5703125" style="136" bestFit="1" customWidth="1"/>
    <col min="2572" max="2572" width="14.42578125" style="136" bestFit="1" customWidth="1"/>
    <col min="2573" max="2575" width="9.140625" style="136"/>
    <col min="2576" max="2576" width="19.28515625" style="136" customWidth="1"/>
    <col min="2577" max="2817" width="9.140625" style="136"/>
    <col min="2818" max="2818" width="14.5703125" style="136" customWidth="1"/>
    <col min="2819" max="2819" width="15.7109375" style="136" customWidth="1"/>
    <col min="2820" max="2820" width="15.85546875" style="136" customWidth="1"/>
    <col min="2821" max="2822" width="15.5703125" style="136" bestFit="1" customWidth="1"/>
    <col min="2823" max="2823" width="15" style="136" customWidth="1"/>
    <col min="2824" max="2824" width="7.42578125" style="136" customWidth="1"/>
    <col min="2825" max="2825" width="16.28515625" style="136" customWidth="1"/>
    <col min="2826" max="2827" width="14.5703125" style="136" bestFit="1" customWidth="1"/>
    <col min="2828" max="2828" width="14.42578125" style="136" bestFit="1" customWidth="1"/>
    <col min="2829" max="2831" width="9.140625" style="136"/>
    <col min="2832" max="2832" width="19.28515625" style="136" customWidth="1"/>
    <col min="2833" max="3073" width="9.140625" style="136"/>
    <col min="3074" max="3074" width="14.5703125" style="136" customWidth="1"/>
    <col min="3075" max="3075" width="15.7109375" style="136" customWidth="1"/>
    <col min="3076" max="3076" width="15.85546875" style="136" customWidth="1"/>
    <col min="3077" max="3078" width="15.5703125" style="136" bestFit="1" customWidth="1"/>
    <col min="3079" max="3079" width="15" style="136" customWidth="1"/>
    <col min="3080" max="3080" width="7.42578125" style="136" customWidth="1"/>
    <col min="3081" max="3081" width="16.28515625" style="136" customWidth="1"/>
    <col min="3082" max="3083" width="14.5703125" style="136" bestFit="1" customWidth="1"/>
    <col min="3084" max="3084" width="14.42578125" style="136" bestFit="1" customWidth="1"/>
    <col min="3085" max="3087" width="9.140625" style="136"/>
    <col min="3088" max="3088" width="19.28515625" style="136" customWidth="1"/>
    <col min="3089" max="3329" width="9.140625" style="136"/>
    <col min="3330" max="3330" width="14.5703125" style="136" customWidth="1"/>
    <col min="3331" max="3331" width="15.7109375" style="136" customWidth="1"/>
    <col min="3332" max="3332" width="15.85546875" style="136" customWidth="1"/>
    <col min="3333" max="3334" width="15.5703125" style="136" bestFit="1" customWidth="1"/>
    <col min="3335" max="3335" width="15" style="136" customWidth="1"/>
    <col min="3336" max="3336" width="7.42578125" style="136" customWidth="1"/>
    <col min="3337" max="3337" width="16.28515625" style="136" customWidth="1"/>
    <col min="3338" max="3339" width="14.5703125" style="136" bestFit="1" customWidth="1"/>
    <col min="3340" max="3340" width="14.42578125" style="136" bestFit="1" customWidth="1"/>
    <col min="3341" max="3343" width="9.140625" style="136"/>
    <col min="3344" max="3344" width="19.28515625" style="136" customWidth="1"/>
    <col min="3345" max="3585" width="9.140625" style="136"/>
    <col min="3586" max="3586" width="14.5703125" style="136" customWidth="1"/>
    <col min="3587" max="3587" width="15.7109375" style="136" customWidth="1"/>
    <col min="3588" max="3588" width="15.85546875" style="136" customWidth="1"/>
    <col min="3589" max="3590" width="15.5703125" style="136" bestFit="1" customWidth="1"/>
    <col min="3591" max="3591" width="15" style="136" customWidth="1"/>
    <col min="3592" max="3592" width="7.42578125" style="136" customWidth="1"/>
    <col min="3593" max="3593" width="16.28515625" style="136" customWidth="1"/>
    <col min="3594" max="3595" width="14.5703125" style="136" bestFit="1" customWidth="1"/>
    <col min="3596" max="3596" width="14.42578125" style="136" bestFit="1" customWidth="1"/>
    <col min="3597" max="3599" width="9.140625" style="136"/>
    <col min="3600" max="3600" width="19.28515625" style="136" customWidth="1"/>
    <col min="3601" max="3841" width="9.140625" style="136"/>
    <col min="3842" max="3842" width="14.5703125" style="136" customWidth="1"/>
    <col min="3843" max="3843" width="15.7109375" style="136" customWidth="1"/>
    <col min="3844" max="3844" width="15.85546875" style="136" customWidth="1"/>
    <col min="3845" max="3846" width="15.5703125" style="136" bestFit="1" customWidth="1"/>
    <col min="3847" max="3847" width="15" style="136" customWidth="1"/>
    <col min="3848" max="3848" width="7.42578125" style="136" customWidth="1"/>
    <col min="3849" max="3849" width="16.28515625" style="136" customWidth="1"/>
    <col min="3850" max="3851" width="14.5703125" style="136" bestFit="1" customWidth="1"/>
    <col min="3852" max="3852" width="14.42578125" style="136" bestFit="1" customWidth="1"/>
    <col min="3853" max="3855" width="9.140625" style="136"/>
    <col min="3856" max="3856" width="19.28515625" style="136" customWidth="1"/>
    <col min="3857" max="4097" width="9.140625" style="136"/>
    <col min="4098" max="4098" width="14.5703125" style="136" customWidth="1"/>
    <col min="4099" max="4099" width="15.7109375" style="136" customWidth="1"/>
    <col min="4100" max="4100" width="15.85546875" style="136" customWidth="1"/>
    <col min="4101" max="4102" width="15.5703125" style="136" bestFit="1" customWidth="1"/>
    <col min="4103" max="4103" width="15" style="136" customWidth="1"/>
    <col min="4104" max="4104" width="7.42578125" style="136" customWidth="1"/>
    <col min="4105" max="4105" width="16.28515625" style="136" customWidth="1"/>
    <col min="4106" max="4107" width="14.5703125" style="136" bestFit="1" customWidth="1"/>
    <col min="4108" max="4108" width="14.42578125" style="136" bestFit="1" customWidth="1"/>
    <col min="4109" max="4111" width="9.140625" style="136"/>
    <col min="4112" max="4112" width="19.28515625" style="136" customWidth="1"/>
    <col min="4113" max="4353" width="9.140625" style="136"/>
    <col min="4354" max="4354" width="14.5703125" style="136" customWidth="1"/>
    <col min="4355" max="4355" width="15.7109375" style="136" customWidth="1"/>
    <col min="4356" max="4356" width="15.85546875" style="136" customWidth="1"/>
    <col min="4357" max="4358" width="15.5703125" style="136" bestFit="1" customWidth="1"/>
    <col min="4359" max="4359" width="15" style="136" customWidth="1"/>
    <col min="4360" max="4360" width="7.42578125" style="136" customWidth="1"/>
    <col min="4361" max="4361" width="16.28515625" style="136" customWidth="1"/>
    <col min="4362" max="4363" width="14.5703125" style="136" bestFit="1" customWidth="1"/>
    <col min="4364" max="4364" width="14.42578125" style="136" bestFit="1" customWidth="1"/>
    <col min="4365" max="4367" width="9.140625" style="136"/>
    <col min="4368" max="4368" width="19.28515625" style="136" customWidth="1"/>
    <col min="4369" max="4609" width="9.140625" style="136"/>
    <col min="4610" max="4610" width="14.5703125" style="136" customWidth="1"/>
    <col min="4611" max="4611" width="15.7109375" style="136" customWidth="1"/>
    <col min="4612" max="4612" width="15.85546875" style="136" customWidth="1"/>
    <col min="4613" max="4614" width="15.5703125" style="136" bestFit="1" customWidth="1"/>
    <col min="4615" max="4615" width="15" style="136" customWidth="1"/>
    <col min="4616" max="4616" width="7.42578125" style="136" customWidth="1"/>
    <col min="4617" max="4617" width="16.28515625" style="136" customWidth="1"/>
    <col min="4618" max="4619" width="14.5703125" style="136" bestFit="1" customWidth="1"/>
    <col min="4620" max="4620" width="14.42578125" style="136" bestFit="1" customWidth="1"/>
    <col min="4621" max="4623" width="9.140625" style="136"/>
    <col min="4624" max="4624" width="19.28515625" style="136" customWidth="1"/>
    <col min="4625" max="4865" width="9.140625" style="136"/>
    <col min="4866" max="4866" width="14.5703125" style="136" customWidth="1"/>
    <col min="4867" max="4867" width="15.7109375" style="136" customWidth="1"/>
    <col min="4868" max="4868" width="15.85546875" style="136" customWidth="1"/>
    <col min="4869" max="4870" width="15.5703125" style="136" bestFit="1" customWidth="1"/>
    <col min="4871" max="4871" width="15" style="136" customWidth="1"/>
    <col min="4872" max="4872" width="7.42578125" style="136" customWidth="1"/>
    <col min="4873" max="4873" width="16.28515625" style="136" customWidth="1"/>
    <col min="4874" max="4875" width="14.5703125" style="136" bestFit="1" customWidth="1"/>
    <col min="4876" max="4876" width="14.42578125" style="136" bestFit="1" customWidth="1"/>
    <col min="4877" max="4879" width="9.140625" style="136"/>
    <col min="4880" max="4880" width="19.28515625" style="136" customWidth="1"/>
    <col min="4881" max="5121" width="9.140625" style="136"/>
    <col min="5122" max="5122" width="14.5703125" style="136" customWidth="1"/>
    <col min="5123" max="5123" width="15.7109375" style="136" customWidth="1"/>
    <col min="5124" max="5124" width="15.85546875" style="136" customWidth="1"/>
    <col min="5125" max="5126" width="15.5703125" style="136" bestFit="1" customWidth="1"/>
    <col min="5127" max="5127" width="15" style="136" customWidth="1"/>
    <col min="5128" max="5128" width="7.42578125" style="136" customWidth="1"/>
    <col min="5129" max="5129" width="16.28515625" style="136" customWidth="1"/>
    <col min="5130" max="5131" width="14.5703125" style="136" bestFit="1" customWidth="1"/>
    <col min="5132" max="5132" width="14.42578125" style="136" bestFit="1" customWidth="1"/>
    <col min="5133" max="5135" width="9.140625" style="136"/>
    <col min="5136" max="5136" width="19.28515625" style="136" customWidth="1"/>
    <col min="5137" max="5377" width="9.140625" style="136"/>
    <col min="5378" max="5378" width="14.5703125" style="136" customWidth="1"/>
    <col min="5379" max="5379" width="15.7109375" style="136" customWidth="1"/>
    <col min="5380" max="5380" width="15.85546875" style="136" customWidth="1"/>
    <col min="5381" max="5382" width="15.5703125" style="136" bestFit="1" customWidth="1"/>
    <col min="5383" max="5383" width="15" style="136" customWidth="1"/>
    <col min="5384" max="5384" width="7.42578125" style="136" customWidth="1"/>
    <col min="5385" max="5385" width="16.28515625" style="136" customWidth="1"/>
    <col min="5386" max="5387" width="14.5703125" style="136" bestFit="1" customWidth="1"/>
    <col min="5388" max="5388" width="14.42578125" style="136" bestFit="1" customWidth="1"/>
    <col min="5389" max="5391" width="9.140625" style="136"/>
    <col min="5392" max="5392" width="19.28515625" style="136" customWidth="1"/>
    <col min="5393" max="5633" width="9.140625" style="136"/>
    <col min="5634" max="5634" width="14.5703125" style="136" customWidth="1"/>
    <col min="5635" max="5635" width="15.7109375" style="136" customWidth="1"/>
    <col min="5636" max="5636" width="15.85546875" style="136" customWidth="1"/>
    <col min="5637" max="5638" width="15.5703125" style="136" bestFit="1" customWidth="1"/>
    <col min="5639" max="5639" width="15" style="136" customWidth="1"/>
    <col min="5640" max="5640" width="7.42578125" style="136" customWidth="1"/>
    <col min="5641" max="5641" width="16.28515625" style="136" customWidth="1"/>
    <col min="5642" max="5643" width="14.5703125" style="136" bestFit="1" customWidth="1"/>
    <col min="5644" max="5644" width="14.42578125" style="136" bestFit="1" customWidth="1"/>
    <col min="5645" max="5647" width="9.140625" style="136"/>
    <col min="5648" max="5648" width="19.28515625" style="136" customWidth="1"/>
    <col min="5649" max="5889" width="9.140625" style="136"/>
    <col min="5890" max="5890" width="14.5703125" style="136" customWidth="1"/>
    <col min="5891" max="5891" width="15.7109375" style="136" customWidth="1"/>
    <col min="5892" max="5892" width="15.85546875" style="136" customWidth="1"/>
    <col min="5893" max="5894" width="15.5703125" style="136" bestFit="1" customWidth="1"/>
    <col min="5895" max="5895" width="15" style="136" customWidth="1"/>
    <col min="5896" max="5896" width="7.42578125" style="136" customWidth="1"/>
    <col min="5897" max="5897" width="16.28515625" style="136" customWidth="1"/>
    <col min="5898" max="5899" width="14.5703125" style="136" bestFit="1" customWidth="1"/>
    <col min="5900" max="5900" width="14.42578125" style="136" bestFit="1" customWidth="1"/>
    <col min="5901" max="5903" width="9.140625" style="136"/>
    <col min="5904" max="5904" width="19.28515625" style="136" customWidth="1"/>
    <col min="5905" max="6145" width="9.140625" style="136"/>
    <col min="6146" max="6146" width="14.5703125" style="136" customWidth="1"/>
    <col min="6147" max="6147" width="15.7109375" style="136" customWidth="1"/>
    <col min="6148" max="6148" width="15.85546875" style="136" customWidth="1"/>
    <col min="6149" max="6150" width="15.5703125" style="136" bestFit="1" customWidth="1"/>
    <col min="6151" max="6151" width="15" style="136" customWidth="1"/>
    <col min="6152" max="6152" width="7.42578125" style="136" customWidth="1"/>
    <col min="6153" max="6153" width="16.28515625" style="136" customWidth="1"/>
    <col min="6154" max="6155" width="14.5703125" style="136" bestFit="1" customWidth="1"/>
    <col min="6156" max="6156" width="14.42578125" style="136" bestFit="1" customWidth="1"/>
    <col min="6157" max="6159" width="9.140625" style="136"/>
    <col min="6160" max="6160" width="19.28515625" style="136" customWidth="1"/>
    <col min="6161" max="6401" width="9.140625" style="136"/>
    <col min="6402" max="6402" width="14.5703125" style="136" customWidth="1"/>
    <col min="6403" max="6403" width="15.7109375" style="136" customWidth="1"/>
    <col min="6404" max="6404" width="15.85546875" style="136" customWidth="1"/>
    <col min="6405" max="6406" width="15.5703125" style="136" bestFit="1" customWidth="1"/>
    <col min="6407" max="6407" width="15" style="136" customWidth="1"/>
    <col min="6408" max="6408" width="7.42578125" style="136" customWidth="1"/>
    <col min="6409" max="6409" width="16.28515625" style="136" customWidth="1"/>
    <col min="6410" max="6411" width="14.5703125" style="136" bestFit="1" customWidth="1"/>
    <col min="6412" max="6412" width="14.42578125" style="136" bestFit="1" customWidth="1"/>
    <col min="6413" max="6415" width="9.140625" style="136"/>
    <col min="6416" max="6416" width="19.28515625" style="136" customWidth="1"/>
    <col min="6417" max="6657" width="9.140625" style="136"/>
    <col min="6658" max="6658" width="14.5703125" style="136" customWidth="1"/>
    <col min="6659" max="6659" width="15.7109375" style="136" customWidth="1"/>
    <col min="6660" max="6660" width="15.85546875" style="136" customWidth="1"/>
    <col min="6661" max="6662" width="15.5703125" style="136" bestFit="1" customWidth="1"/>
    <col min="6663" max="6663" width="15" style="136" customWidth="1"/>
    <col min="6664" max="6664" width="7.42578125" style="136" customWidth="1"/>
    <col min="6665" max="6665" width="16.28515625" style="136" customWidth="1"/>
    <col min="6666" max="6667" width="14.5703125" style="136" bestFit="1" customWidth="1"/>
    <col min="6668" max="6668" width="14.42578125" style="136" bestFit="1" customWidth="1"/>
    <col min="6669" max="6671" width="9.140625" style="136"/>
    <col min="6672" max="6672" width="19.28515625" style="136" customWidth="1"/>
    <col min="6673" max="6913" width="9.140625" style="136"/>
    <col min="6914" max="6914" width="14.5703125" style="136" customWidth="1"/>
    <col min="6915" max="6915" width="15.7109375" style="136" customWidth="1"/>
    <col min="6916" max="6916" width="15.85546875" style="136" customWidth="1"/>
    <col min="6917" max="6918" width="15.5703125" style="136" bestFit="1" customWidth="1"/>
    <col min="6919" max="6919" width="15" style="136" customWidth="1"/>
    <col min="6920" max="6920" width="7.42578125" style="136" customWidth="1"/>
    <col min="6921" max="6921" width="16.28515625" style="136" customWidth="1"/>
    <col min="6922" max="6923" width="14.5703125" style="136" bestFit="1" customWidth="1"/>
    <col min="6924" max="6924" width="14.42578125" style="136" bestFit="1" customWidth="1"/>
    <col min="6925" max="6927" width="9.140625" style="136"/>
    <col min="6928" max="6928" width="19.28515625" style="136" customWidth="1"/>
    <col min="6929" max="7169" width="9.140625" style="136"/>
    <col min="7170" max="7170" width="14.5703125" style="136" customWidth="1"/>
    <col min="7171" max="7171" width="15.7109375" style="136" customWidth="1"/>
    <col min="7172" max="7172" width="15.85546875" style="136" customWidth="1"/>
    <col min="7173" max="7174" width="15.5703125" style="136" bestFit="1" customWidth="1"/>
    <col min="7175" max="7175" width="15" style="136" customWidth="1"/>
    <col min="7176" max="7176" width="7.42578125" style="136" customWidth="1"/>
    <col min="7177" max="7177" width="16.28515625" style="136" customWidth="1"/>
    <col min="7178" max="7179" width="14.5703125" style="136" bestFit="1" customWidth="1"/>
    <col min="7180" max="7180" width="14.42578125" style="136" bestFit="1" customWidth="1"/>
    <col min="7181" max="7183" width="9.140625" style="136"/>
    <col min="7184" max="7184" width="19.28515625" style="136" customWidth="1"/>
    <col min="7185" max="7425" width="9.140625" style="136"/>
    <col min="7426" max="7426" width="14.5703125" style="136" customWidth="1"/>
    <col min="7427" max="7427" width="15.7109375" style="136" customWidth="1"/>
    <col min="7428" max="7428" width="15.85546875" style="136" customWidth="1"/>
    <col min="7429" max="7430" width="15.5703125" style="136" bestFit="1" customWidth="1"/>
    <col min="7431" max="7431" width="15" style="136" customWidth="1"/>
    <col min="7432" max="7432" width="7.42578125" style="136" customWidth="1"/>
    <col min="7433" max="7433" width="16.28515625" style="136" customWidth="1"/>
    <col min="7434" max="7435" width="14.5703125" style="136" bestFit="1" customWidth="1"/>
    <col min="7436" max="7436" width="14.42578125" style="136" bestFit="1" customWidth="1"/>
    <col min="7437" max="7439" width="9.140625" style="136"/>
    <col min="7440" max="7440" width="19.28515625" style="136" customWidth="1"/>
    <col min="7441" max="7681" width="9.140625" style="136"/>
    <col min="7682" max="7682" width="14.5703125" style="136" customWidth="1"/>
    <col min="7683" max="7683" width="15.7109375" style="136" customWidth="1"/>
    <col min="7684" max="7684" width="15.85546875" style="136" customWidth="1"/>
    <col min="7685" max="7686" width="15.5703125" style="136" bestFit="1" customWidth="1"/>
    <col min="7687" max="7687" width="15" style="136" customWidth="1"/>
    <col min="7688" max="7688" width="7.42578125" style="136" customWidth="1"/>
    <col min="7689" max="7689" width="16.28515625" style="136" customWidth="1"/>
    <col min="7690" max="7691" width="14.5703125" style="136" bestFit="1" customWidth="1"/>
    <col min="7692" max="7692" width="14.42578125" style="136" bestFit="1" customWidth="1"/>
    <col min="7693" max="7695" width="9.140625" style="136"/>
    <col min="7696" max="7696" width="19.28515625" style="136" customWidth="1"/>
    <col min="7697" max="7937" width="9.140625" style="136"/>
    <col min="7938" max="7938" width="14.5703125" style="136" customWidth="1"/>
    <col min="7939" max="7939" width="15.7109375" style="136" customWidth="1"/>
    <col min="7940" max="7940" width="15.85546875" style="136" customWidth="1"/>
    <col min="7941" max="7942" width="15.5703125" style="136" bestFit="1" customWidth="1"/>
    <col min="7943" max="7943" width="15" style="136" customWidth="1"/>
    <col min="7944" max="7944" width="7.42578125" style="136" customWidth="1"/>
    <col min="7945" max="7945" width="16.28515625" style="136" customWidth="1"/>
    <col min="7946" max="7947" width="14.5703125" style="136" bestFit="1" customWidth="1"/>
    <col min="7948" max="7948" width="14.42578125" style="136" bestFit="1" customWidth="1"/>
    <col min="7949" max="7951" width="9.140625" style="136"/>
    <col min="7952" max="7952" width="19.28515625" style="136" customWidth="1"/>
    <col min="7953" max="8193" width="9.140625" style="136"/>
    <col min="8194" max="8194" width="14.5703125" style="136" customWidth="1"/>
    <col min="8195" max="8195" width="15.7109375" style="136" customWidth="1"/>
    <col min="8196" max="8196" width="15.85546875" style="136" customWidth="1"/>
    <col min="8197" max="8198" width="15.5703125" style="136" bestFit="1" customWidth="1"/>
    <col min="8199" max="8199" width="15" style="136" customWidth="1"/>
    <col min="8200" max="8200" width="7.42578125" style="136" customWidth="1"/>
    <col min="8201" max="8201" width="16.28515625" style="136" customWidth="1"/>
    <col min="8202" max="8203" width="14.5703125" style="136" bestFit="1" customWidth="1"/>
    <col min="8204" max="8204" width="14.42578125" style="136" bestFit="1" customWidth="1"/>
    <col min="8205" max="8207" width="9.140625" style="136"/>
    <col min="8208" max="8208" width="19.28515625" style="136" customWidth="1"/>
    <col min="8209" max="8449" width="9.140625" style="136"/>
    <col min="8450" max="8450" width="14.5703125" style="136" customWidth="1"/>
    <col min="8451" max="8451" width="15.7109375" style="136" customWidth="1"/>
    <col min="8452" max="8452" width="15.85546875" style="136" customWidth="1"/>
    <col min="8453" max="8454" width="15.5703125" style="136" bestFit="1" customWidth="1"/>
    <col min="8455" max="8455" width="15" style="136" customWidth="1"/>
    <col min="8456" max="8456" width="7.42578125" style="136" customWidth="1"/>
    <col min="8457" max="8457" width="16.28515625" style="136" customWidth="1"/>
    <col min="8458" max="8459" width="14.5703125" style="136" bestFit="1" customWidth="1"/>
    <col min="8460" max="8460" width="14.42578125" style="136" bestFit="1" customWidth="1"/>
    <col min="8461" max="8463" width="9.140625" style="136"/>
    <col min="8464" max="8464" width="19.28515625" style="136" customWidth="1"/>
    <col min="8465" max="8705" width="9.140625" style="136"/>
    <col min="8706" max="8706" width="14.5703125" style="136" customWidth="1"/>
    <col min="8707" max="8707" width="15.7109375" style="136" customWidth="1"/>
    <col min="8708" max="8708" width="15.85546875" style="136" customWidth="1"/>
    <col min="8709" max="8710" width="15.5703125" style="136" bestFit="1" customWidth="1"/>
    <col min="8711" max="8711" width="15" style="136" customWidth="1"/>
    <col min="8712" max="8712" width="7.42578125" style="136" customWidth="1"/>
    <col min="8713" max="8713" width="16.28515625" style="136" customWidth="1"/>
    <col min="8714" max="8715" width="14.5703125" style="136" bestFit="1" customWidth="1"/>
    <col min="8716" max="8716" width="14.42578125" style="136" bestFit="1" customWidth="1"/>
    <col min="8717" max="8719" width="9.140625" style="136"/>
    <col min="8720" max="8720" width="19.28515625" style="136" customWidth="1"/>
    <col min="8721" max="8961" width="9.140625" style="136"/>
    <col min="8962" max="8962" width="14.5703125" style="136" customWidth="1"/>
    <col min="8963" max="8963" width="15.7109375" style="136" customWidth="1"/>
    <col min="8964" max="8964" width="15.85546875" style="136" customWidth="1"/>
    <col min="8965" max="8966" width="15.5703125" style="136" bestFit="1" customWidth="1"/>
    <col min="8967" max="8967" width="15" style="136" customWidth="1"/>
    <col min="8968" max="8968" width="7.42578125" style="136" customWidth="1"/>
    <col min="8969" max="8969" width="16.28515625" style="136" customWidth="1"/>
    <col min="8970" max="8971" width="14.5703125" style="136" bestFit="1" customWidth="1"/>
    <col min="8972" max="8972" width="14.42578125" style="136" bestFit="1" customWidth="1"/>
    <col min="8973" max="8975" width="9.140625" style="136"/>
    <col min="8976" max="8976" width="19.28515625" style="136" customWidth="1"/>
    <col min="8977" max="9217" width="9.140625" style="136"/>
    <col min="9218" max="9218" width="14.5703125" style="136" customWidth="1"/>
    <col min="9219" max="9219" width="15.7109375" style="136" customWidth="1"/>
    <col min="9220" max="9220" width="15.85546875" style="136" customWidth="1"/>
    <col min="9221" max="9222" width="15.5703125" style="136" bestFit="1" customWidth="1"/>
    <col min="9223" max="9223" width="15" style="136" customWidth="1"/>
    <col min="9224" max="9224" width="7.42578125" style="136" customWidth="1"/>
    <col min="9225" max="9225" width="16.28515625" style="136" customWidth="1"/>
    <col min="9226" max="9227" width="14.5703125" style="136" bestFit="1" customWidth="1"/>
    <col min="9228" max="9228" width="14.42578125" style="136" bestFit="1" customWidth="1"/>
    <col min="9229" max="9231" width="9.140625" style="136"/>
    <col min="9232" max="9232" width="19.28515625" style="136" customWidth="1"/>
    <col min="9233" max="9473" width="9.140625" style="136"/>
    <col min="9474" max="9474" width="14.5703125" style="136" customWidth="1"/>
    <col min="9475" max="9475" width="15.7109375" style="136" customWidth="1"/>
    <col min="9476" max="9476" width="15.85546875" style="136" customWidth="1"/>
    <col min="9477" max="9478" width="15.5703125" style="136" bestFit="1" customWidth="1"/>
    <col min="9479" max="9479" width="15" style="136" customWidth="1"/>
    <col min="9480" max="9480" width="7.42578125" style="136" customWidth="1"/>
    <col min="9481" max="9481" width="16.28515625" style="136" customWidth="1"/>
    <col min="9482" max="9483" width="14.5703125" style="136" bestFit="1" customWidth="1"/>
    <col min="9484" max="9484" width="14.42578125" style="136" bestFit="1" customWidth="1"/>
    <col min="9485" max="9487" width="9.140625" style="136"/>
    <col min="9488" max="9488" width="19.28515625" style="136" customWidth="1"/>
    <col min="9489" max="9729" width="9.140625" style="136"/>
    <col min="9730" max="9730" width="14.5703125" style="136" customWidth="1"/>
    <col min="9731" max="9731" width="15.7109375" style="136" customWidth="1"/>
    <col min="9732" max="9732" width="15.85546875" style="136" customWidth="1"/>
    <col min="9733" max="9734" width="15.5703125" style="136" bestFit="1" customWidth="1"/>
    <col min="9735" max="9735" width="15" style="136" customWidth="1"/>
    <col min="9736" max="9736" width="7.42578125" style="136" customWidth="1"/>
    <col min="9737" max="9737" width="16.28515625" style="136" customWidth="1"/>
    <col min="9738" max="9739" width="14.5703125" style="136" bestFit="1" customWidth="1"/>
    <col min="9740" max="9740" width="14.42578125" style="136" bestFit="1" customWidth="1"/>
    <col min="9741" max="9743" width="9.140625" style="136"/>
    <col min="9744" max="9744" width="19.28515625" style="136" customWidth="1"/>
    <col min="9745" max="9985" width="9.140625" style="136"/>
    <col min="9986" max="9986" width="14.5703125" style="136" customWidth="1"/>
    <col min="9987" max="9987" width="15.7109375" style="136" customWidth="1"/>
    <col min="9988" max="9988" width="15.85546875" style="136" customWidth="1"/>
    <col min="9989" max="9990" width="15.5703125" style="136" bestFit="1" customWidth="1"/>
    <col min="9991" max="9991" width="15" style="136" customWidth="1"/>
    <col min="9992" max="9992" width="7.42578125" style="136" customWidth="1"/>
    <col min="9993" max="9993" width="16.28515625" style="136" customWidth="1"/>
    <col min="9994" max="9995" width="14.5703125" style="136" bestFit="1" customWidth="1"/>
    <col min="9996" max="9996" width="14.42578125" style="136" bestFit="1" customWidth="1"/>
    <col min="9997" max="9999" width="9.140625" style="136"/>
    <col min="10000" max="10000" width="19.28515625" style="136" customWidth="1"/>
    <col min="10001" max="10241" width="9.140625" style="136"/>
    <col min="10242" max="10242" width="14.5703125" style="136" customWidth="1"/>
    <col min="10243" max="10243" width="15.7109375" style="136" customWidth="1"/>
    <col min="10244" max="10244" width="15.85546875" style="136" customWidth="1"/>
    <col min="10245" max="10246" width="15.5703125" style="136" bestFit="1" customWidth="1"/>
    <col min="10247" max="10247" width="15" style="136" customWidth="1"/>
    <col min="10248" max="10248" width="7.42578125" style="136" customWidth="1"/>
    <col min="10249" max="10249" width="16.28515625" style="136" customWidth="1"/>
    <col min="10250" max="10251" width="14.5703125" style="136" bestFit="1" customWidth="1"/>
    <col min="10252" max="10252" width="14.42578125" style="136" bestFit="1" customWidth="1"/>
    <col min="10253" max="10255" width="9.140625" style="136"/>
    <col min="10256" max="10256" width="19.28515625" style="136" customWidth="1"/>
    <col min="10257" max="10497" width="9.140625" style="136"/>
    <col min="10498" max="10498" width="14.5703125" style="136" customWidth="1"/>
    <col min="10499" max="10499" width="15.7109375" style="136" customWidth="1"/>
    <col min="10500" max="10500" width="15.85546875" style="136" customWidth="1"/>
    <col min="10501" max="10502" width="15.5703125" style="136" bestFit="1" customWidth="1"/>
    <col min="10503" max="10503" width="15" style="136" customWidth="1"/>
    <col min="10504" max="10504" width="7.42578125" style="136" customWidth="1"/>
    <col min="10505" max="10505" width="16.28515625" style="136" customWidth="1"/>
    <col min="10506" max="10507" width="14.5703125" style="136" bestFit="1" customWidth="1"/>
    <col min="10508" max="10508" width="14.42578125" style="136" bestFit="1" customWidth="1"/>
    <col min="10509" max="10511" width="9.140625" style="136"/>
    <col min="10512" max="10512" width="19.28515625" style="136" customWidth="1"/>
    <col min="10513" max="10753" width="9.140625" style="136"/>
    <col min="10754" max="10754" width="14.5703125" style="136" customWidth="1"/>
    <col min="10755" max="10755" width="15.7109375" style="136" customWidth="1"/>
    <col min="10756" max="10756" width="15.85546875" style="136" customWidth="1"/>
    <col min="10757" max="10758" width="15.5703125" style="136" bestFit="1" customWidth="1"/>
    <col min="10759" max="10759" width="15" style="136" customWidth="1"/>
    <col min="10760" max="10760" width="7.42578125" style="136" customWidth="1"/>
    <col min="10761" max="10761" width="16.28515625" style="136" customWidth="1"/>
    <col min="10762" max="10763" width="14.5703125" style="136" bestFit="1" customWidth="1"/>
    <col min="10764" max="10764" width="14.42578125" style="136" bestFit="1" customWidth="1"/>
    <col min="10765" max="10767" width="9.140625" style="136"/>
    <col min="10768" max="10768" width="19.28515625" style="136" customWidth="1"/>
    <col min="10769" max="11009" width="9.140625" style="136"/>
    <col min="11010" max="11010" width="14.5703125" style="136" customWidth="1"/>
    <col min="11011" max="11011" width="15.7109375" style="136" customWidth="1"/>
    <col min="11012" max="11012" width="15.85546875" style="136" customWidth="1"/>
    <col min="11013" max="11014" width="15.5703125" style="136" bestFit="1" customWidth="1"/>
    <col min="11015" max="11015" width="15" style="136" customWidth="1"/>
    <col min="11016" max="11016" width="7.42578125" style="136" customWidth="1"/>
    <col min="11017" max="11017" width="16.28515625" style="136" customWidth="1"/>
    <col min="11018" max="11019" width="14.5703125" style="136" bestFit="1" customWidth="1"/>
    <col min="11020" max="11020" width="14.42578125" style="136" bestFit="1" customWidth="1"/>
    <col min="11021" max="11023" width="9.140625" style="136"/>
    <col min="11024" max="11024" width="19.28515625" style="136" customWidth="1"/>
    <col min="11025" max="11265" width="9.140625" style="136"/>
    <col min="11266" max="11266" width="14.5703125" style="136" customWidth="1"/>
    <col min="11267" max="11267" width="15.7109375" style="136" customWidth="1"/>
    <col min="11268" max="11268" width="15.85546875" style="136" customWidth="1"/>
    <col min="11269" max="11270" width="15.5703125" style="136" bestFit="1" customWidth="1"/>
    <col min="11271" max="11271" width="15" style="136" customWidth="1"/>
    <col min="11272" max="11272" width="7.42578125" style="136" customWidth="1"/>
    <col min="11273" max="11273" width="16.28515625" style="136" customWidth="1"/>
    <col min="11274" max="11275" width="14.5703125" style="136" bestFit="1" customWidth="1"/>
    <col min="11276" max="11276" width="14.42578125" style="136" bestFit="1" customWidth="1"/>
    <col min="11277" max="11279" width="9.140625" style="136"/>
    <col min="11280" max="11280" width="19.28515625" style="136" customWidth="1"/>
    <col min="11281" max="11521" width="9.140625" style="136"/>
    <col min="11522" max="11522" width="14.5703125" style="136" customWidth="1"/>
    <col min="11523" max="11523" width="15.7109375" style="136" customWidth="1"/>
    <col min="11524" max="11524" width="15.85546875" style="136" customWidth="1"/>
    <col min="11525" max="11526" width="15.5703125" style="136" bestFit="1" customWidth="1"/>
    <col min="11527" max="11527" width="15" style="136" customWidth="1"/>
    <col min="11528" max="11528" width="7.42578125" style="136" customWidth="1"/>
    <col min="11529" max="11529" width="16.28515625" style="136" customWidth="1"/>
    <col min="11530" max="11531" width="14.5703125" style="136" bestFit="1" customWidth="1"/>
    <col min="11532" max="11532" width="14.42578125" style="136" bestFit="1" customWidth="1"/>
    <col min="11533" max="11535" width="9.140625" style="136"/>
    <col min="11536" max="11536" width="19.28515625" style="136" customWidth="1"/>
    <col min="11537" max="11777" width="9.140625" style="136"/>
    <col min="11778" max="11778" width="14.5703125" style="136" customWidth="1"/>
    <col min="11779" max="11779" width="15.7109375" style="136" customWidth="1"/>
    <col min="11780" max="11780" width="15.85546875" style="136" customWidth="1"/>
    <col min="11781" max="11782" width="15.5703125" style="136" bestFit="1" customWidth="1"/>
    <col min="11783" max="11783" width="15" style="136" customWidth="1"/>
    <col min="11784" max="11784" width="7.42578125" style="136" customWidth="1"/>
    <col min="11785" max="11785" width="16.28515625" style="136" customWidth="1"/>
    <col min="11786" max="11787" width="14.5703125" style="136" bestFit="1" customWidth="1"/>
    <col min="11788" max="11788" width="14.42578125" style="136" bestFit="1" customWidth="1"/>
    <col min="11789" max="11791" width="9.140625" style="136"/>
    <col min="11792" max="11792" width="19.28515625" style="136" customWidth="1"/>
    <col min="11793" max="12033" width="9.140625" style="136"/>
    <col min="12034" max="12034" width="14.5703125" style="136" customWidth="1"/>
    <col min="12035" max="12035" width="15.7109375" style="136" customWidth="1"/>
    <col min="12036" max="12036" width="15.85546875" style="136" customWidth="1"/>
    <col min="12037" max="12038" width="15.5703125" style="136" bestFit="1" customWidth="1"/>
    <col min="12039" max="12039" width="15" style="136" customWidth="1"/>
    <col min="12040" max="12040" width="7.42578125" style="136" customWidth="1"/>
    <col min="12041" max="12041" width="16.28515625" style="136" customWidth="1"/>
    <col min="12042" max="12043" width="14.5703125" style="136" bestFit="1" customWidth="1"/>
    <col min="12044" max="12044" width="14.42578125" style="136" bestFit="1" customWidth="1"/>
    <col min="12045" max="12047" width="9.140625" style="136"/>
    <col min="12048" max="12048" width="19.28515625" style="136" customWidth="1"/>
    <col min="12049" max="12289" width="9.140625" style="136"/>
    <col min="12290" max="12290" width="14.5703125" style="136" customWidth="1"/>
    <col min="12291" max="12291" width="15.7109375" style="136" customWidth="1"/>
    <col min="12292" max="12292" width="15.85546875" style="136" customWidth="1"/>
    <col min="12293" max="12294" width="15.5703125" style="136" bestFit="1" customWidth="1"/>
    <col min="12295" max="12295" width="15" style="136" customWidth="1"/>
    <col min="12296" max="12296" width="7.42578125" style="136" customWidth="1"/>
    <col min="12297" max="12297" width="16.28515625" style="136" customWidth="1"/>
    <col min="12298" max="12299" width="14.5703125" style="136" bestFit="1" customWidth="1"/>
    <col min="12300" max="12300" width="14.42578125" style="136" bestFit="1" customWidth="1"/>
    <col min="12301" max="12303" width="9.140625" style="136"/>
    <col min="12304" max="12304" width="19.28515625" style="136" customWidth="1"/>
    <col min="12305" max="12545" width="9.140625" style="136"/>
    <col min="12546" max="12546" width="14.5703125" style="136" customWidth="1"/>
    <col min="12547" max="12547" width="15.7109375" style="136" customWidth="1"/>
    <col min="12548" max="12548" width="15.85546875" style="136" customWidth="1"/>
    <col min="12549" max="12550" width="15.5703125" style="136" bestFit="1" customWidth="1"/>
    <col min="12551" max="12551" width="15" style="136" customWidth="1"/>
    <col min="12552" max="12552" width="7.42578125" style="136" customWidth="1"/>
    <col min="12553" max="12553" width="16.28515625" style="136" customWidth="1"/>
    <col min="12554" max="12555" width="14.5703125" style="136" bestFit="1" customWidth="1"/>
    <col min="12556" max="12556" width="14.42578125" style="136" bestFit="1" customWidth="1"/>
    <col min="12557" max="12559" width="9.140625" style="136"/>
    <col min="12560" max="12560" width="19.28515625" style="136" customWidth="1"/>
    <col min="12561" max="12801" width="9.140625" style="136"/>
    <col min="12802" max="12802" width="14.5703125" style="136" customWidth="1"/>
    <col min="12803" max="12803" width="15.7109375" style="136" customWidth="1"/>
    <col min="12804" max="12804" width="15.85546875" style="136" customWidth="1"/>
    <col min="12805" max="12806" width="15.5703125" style="136" bestFit="1" customWidth="1"/>
    <col min="12807" max="12807" width="15" style="136" customWidth="1"/>
    <col min="12808" max="12808" width="7.42578125" style="136" customWidth="1"/>
    <col min="12809" max="12809" width="16.28515625" style="136" customWidth="1"/>
    <col min="12810" max="12811" width="14.5703125" style="136" bestFit="1" customWidth="1"/>
    <col min="12812" max="12812" width="14.42578125" style="136" bestFit="1" customWidth="1"/>
    <col min="12813" max="12815" width="9.140625" style="136"/>
    <col min="12816" max="12816" width="19.28515625" style="136" customWidth="1"/>
    <col min="12817" max="13057" width="9.140625" style="136"/>
    <col min="13058" max="13058" width="14.5703125" style="136" customWidth="1"/>
    <col min="13059" max="13059" width="15.7109375" style="136" customWidth="1"/>
    <col min="13060" max="13060" width="15.85546875" style="136" customWidth="1"/>
    <col min="13061" max="13062" width="15.5703125" style="136" bestFit="1" customWidth="1"/>
    <col min="13063" max="13063" width="15" style="136" customWidth="1"/>
    <col min="13064" max="13064" width="7.42578125" style="136" customWidth="1"/>
    <col min="13065" max="13065" width="16.28515625" style="136" customWidth="1"/>
    <col min="13066" max="13067" width="14.5703125" style="136" bestFit="1" customWidth="1"/>
    <col min="13068" max="13068" width="14.42578125" style="136" bestFit="1" customWidth="1"/>
    <col min="13069" max="13071" width="9.140625" style="136"/>
    <col min="13072" max="13072" width="19.28515625" style="136" customWidth="1"/>
    <col min="13073" max="13313" width="9.140625" style="136"/>
    <col min="13314" max="13314" width="14.5703125" style="136" customWidth="1"/>
    <col min="13315" max="13315" width="15.7109375" style="136" customWidth="1"/>
    <col min="13316" max="13316" width="15.85546875" style="136" customWidth="1"/>
    <col min="13317" max="13318" width="15.5703125" style="136" bestFit="1" customWidth="1"/>
    <col min="13319" max="13319" width="15" style="136" customWidth="1"/>
    <col min="13320" max="13320" width="7.42578125" style="136" customWidth="1"/>
    <col min="13321" max="13321" width="16.28515625" style="136" customWidth="1"/>
    <col min="13322" max="13323" width="14.5703125" style="136" bestFit="1" customWidth="1"/>
    <col min="13324" max="13324" width="14.42578125" style="136" bestFit="1" customWidth="1"/>
    <col min="13325" max="13327" width="9.140625" style="136"/>
    <col min="13328" max="13328" width="19.28515625" style="136" customWidth="1"/>
    <col min="13329" max="13569" width="9.140625" style="136"/>
    <col min="13570" max="13570" width="14.5703125" style="136" customWidth="1"/>
    <col min="13571" max="13571" width="15.7109375" style="136" customWidth="1"/>
    <col min="13572" max="13572" width="15.85546875" style="136" customWidth="1"/>
    <col min="13573" max="13574" width="15.5703125" style="136" bestFit="1" customWidth="1"/>
    <col min="13575" max="13575" width="15" style="136" customWidth="1"/>
    <col min="13576" max="13576" width="7.42578125" style="136" customWidth="1"/>
    <col min="13577" max="13577" width="16.28515625" style="136" customWidth="1"/>
    <col min="13578" max="13579" width="14.5703125" style="136" bestFit="1" customWidth="1"/>
    <col min="13580" max="13580" width="14.42578125" style="136" bestFit="1" customWidth="1"/>
    <col min="13581" max="13583" width="9.140625" style="136"/>
    <col min="13584" max="13584" width="19.28515625" style="136" customWidth="1"/>
    <col min="13585" max="13825" width="9.140625" style="136"/>
    <col min="13826" max="13826" width="14.5703125" style="136" customWidth="1"/>
    <col min="13827" max="13827" width="15.7109375" style="136" customWidth="1"/>
    <col min="13828" max="13828" width="15.85546875" style="136" customWidth="1"/>
    <col min="13829" max="13830" width="15.5703125" style="136" bestFit="1" customWidth="1"/>
    <col min="13831" max="13831" width="15" style="136" customWidth="1"/>
    <col min="13832" max="13832" width="7.42578125" style="136" customWidth="1"/>
    <col min="13833" max="13833" width="16.28515625" style="136" customWidth="1"/>
    <col min="13834" max="13835" width="14.5703125" style="136" bestFit="1" customWidth="1"/>
    <col min="13836" max="13836" width="14.42578125" style="136" bestFit="1" customWidth="1"/>
    <col min="13837" max="13839" width="9.140625" style="136"/>
    <col min="13840" max="13840" width="19.28515625" style="136" customWidth="1"/>
    <col min="13841" max="14081" width="9.140625" style="136"/>
    <col min="14082" max="14082" width="14.5703125" style="136" customWidth="1"/>
    <col min="14083" max="14083" width="15.7109375" style="136" customWidth="1"/>
    <col min="14084" max="14084" width="15.85546875" style="136" customWidth="1"/>
    <col min="14085" max="14086" width="15.5703125" style="136" bestFit="1" customWidth="1"/>
    <col min="14087" max="14087" width="15" style="136" customWidth="1"/>
    <col min="14088" max="14088" width="7.42578125" style="136" customWidth="1"/>
    <col min="14089" max="14089" width="16.28515625" style="136" customWidth="1"/>
    <col min="14090" max="14091" width="14.5703125" style="136" bestFit="1" customWidth="1"/>
    <col min="14092" max="14092" width="14.42578125" style="136" bestFit="1" customWidth="1"/>
    <col min="14093" max="14095" width="9.140625" style="136"/>
    <col min="14096" max="14096" width="19.28515625" style="136" customWidth="1"/>
    <col min="14097" max="14337" width="9.140625" style="136"/>
    <col min="14338" max="14338" width="14.5703125" style="136" customWidth="1"/>
    <col min="14339" max="14339" width="15.7109375" style="136" customWidth="1"/>
    <col min="14340" max="14340" width="15.85546875" style="136" customWidth="1"/>
    <col min="14341" max="14342" width="15.5703125" style="136" bestFit="1" customWidth="1"/>
    <col min="14343" max="14343" width="15" style="136" customWidth="1"/>
    <col min="14344" max="14344" width="7.42578125" style="136" customWidth="1"/>
    <col min="14345" max="14345" width="16.28515625" style="136" customWidth="1"/>
    <col min="14346" max="14347" width="14.5703125" style="136" bestFit="1" customWidth="1"/>
    <col min="14348" max="14348" width="14.42578125" style="136" bestFit="1" customWidth="1"/>
    <col min="14349" max="14351" width="9.140625" style="136"/>
    <col min="14352" max="14352" width="19.28515625" style="136" customWidth="1"/>
    <col min="14353" max="14593" width="9.140625" style="136"/>
    <col min="14594" max="14594" width="14.5703125" style="136" customWidth="1"/>
    <col min="14595" max="14595" width="15.7109375" style="136" customWidth="1"/>
    <col min="14596" max="14596" width="15.85546875" style="136" customWidth="1"/>
    <col min="14597" max="14598" width="15.5703125" style="136" bestFit="1" customWidth="1"/>
    <col min="14599" max="14599" width="15" style="136" customWidth="1"/>
    <col min="14600" max="14600" width="7.42578125" style="136" customWidth="1"/>
    <col min="14601" max="14601" width="16.28515625" style="136" customWidth="1"/>
    <col min="14602" max="14603" width="14.5703125" style="136" bestFit="1" customWidth="1"/>
    <col min="14604" max="14604" width="14.42578125" style="136" bestFit="1" customWidth="1"/>
    <col min="14605" max="14607" width="9.140625" style="136"/>
    <col min="14608" max="14608" width="19.28515625" style="136" customWidth="1"/>
    <col min="14609" max="14849" width="9.140625" style="136"/>
    <col min="14850" max="14850" width="14.5703125" style="136" customWidth="1"/>
    <col min="14851" max="14851" width="15.7109375" style="136" customWidth="1"/>
    <col min="14852" max="14852" width="15.85546875" style="136" customWidth="1"/>
    <col min="14853" max="14854" width="15.5703125" style="136" bestFit="1" customWidth="1"/>
    <col min="14855" max="14855" width="15" style="136" customWidth="1"/>
    <col min="14856" max="14856" width="7.42578125" style="136" customWidth="1"/>
    <col min="14857" max="14857" width="16.28515625" style="136" customWidth="1"/>
    <col min="14858" max="14859" width="14.5703125" style="136" bestFit="1" customWidth="1"/>
    <col min="14860" max="14860" width="14.42578125" style="136" bestFit="1" customWidth="1"/>
    <col min="14861" max="14863" width="9.140625" style="136"/>
    <col min="14864" max="14864" width="19.28515625" style="136" customWidth="1"/>
    <col min="14865" max="15105" width="9.140625" style="136"/>
    <col min="15106" max="15106" width="14.5703125" style="136" customWidth="1"/>
    <col min="15107" max="15107" width="15.7109375" style="136" customWidth="1"/>
    <col min="15108" max="15108" width="15.85546875" style="136" customWidth="1"/>
    <col min="15109" max="15110" width="15.5703125" style="136" bestFit="1" customWidth="1"/>
    <col min="15111" max="15111" width="15" style="136" customWidth="1"/>
    <col min="15112" max="15112" width="7.42578125" style="136" customWidth="1"/>
    <col min="15113" max="15113" width="16.28515625" style="136" customWidth="1"/>
    <col min="15114" max="15115" width="14.5703125" style="136" bestFit="1" customWidth="1"/>
    <col min="15116" max="15116" width="14.42578125" style="136" bestFit="1" customWidth="1"/>
    <col min="15117" max="15119" width="9.140625" style="136"/>
    <col min="15120" max="15120" width="19.28515625" style="136" customWidth="1"/>
    <col min="15121" max="15361" width="9.140625" style="136"/>
    <col min="15362" max="15362" width="14.5703125" style="136" customWidth="1"/>
    <col min="15363" max="15363" width="15.7109375" style="136" customWidth="1"/>
    <col min="15364" max="15364" width="15.85546875" style="136" customWidth="1"/>
    <col min="15365" max="15366" width="15.5703125" style="136" bestFit="1" customWidth="1"/>
    <col min="15367" max="15367" width="15" style="136" customWidth="1"/>
    <col min="15368" max="15368" width="7.42578125" style="136" customWidth="1"/>
    <col min="15369" max="15369" width="16.28515625" style="136" customWidth="1"/>
    <col min="15370" max="15371" width="14.5703125" style="136" bestFit="1" customWidth="1"/>
    <col min="15372" max="15372" width="14.42578125" style="136" bestFit="1" customWidth="1"/>
    <col min="15373" max="15375" width="9.140625" style="136"/>
    <col min="15376" max="15376" width="19.28515625" style="136" customWidth="1"/>
    <col min="15377" max="15617" width="9.140625" style="136"/>
    <col min="15618" max="15618" width="14.5703125" style="136" customWidth="1"/>
    <col min="15619" max="15619" width="15.7109375" style="136" customWidth="1"/>
    <col min="15620" max="15620" width="15.85546875" style="136" customWidth="1"/>
    <col min="15621" max="15622" width="15.5703125" style="136" bestFit="1" customWidth="1"/>
    <col min="15623" max="15623" width="15" style="136" customWidth="1"/>
    <col min="15624" max="15624" width="7.42578125" style="136" customWidth="1"/>
    <col min="15625" max="15625" width="16.28515625" style="136" customWidth="1"/>
    <col min="15626" max="15627" width="14.5703125" style="136" bestFit="1" customWidth="1"/>
    <col min="15628" max="15628" width="14.42578125" style="136" bestFit="1" customWidth="1"/>
    <col min="15629" max="15631" width="9.140625" style="136"/>
    <col min="15632" max="15632" width="19.28515625" style="136" customWidth="1"/>
    <col min="15633" max="15873" width="9.140625" style="136"/>
    <col min="15874" max="15874" width="14.5703125" style="136" customWidth="1"/>
    <col min="15875" max="15875" width="15.7109375" style="136" customWidth="1"/>
    <col min="15876" max="15876" width="15.85546875" style="136" customWidth="1"/>
    <col min="15877" max="15878" width="15.5703125" style="136" bestFit="1" customWidth="1"/>
    <col min="15879" max="15879" width="15" style="136" customWidth="1"/>
    <col min="15880" max="15880" width="7.42578125" style="136" customWidth="1"/>
    <col min="15881" max="15881" width="16.28515625" style="136" customWidth="1"/>
    <col min="15882" max="15883" width="14.5703125" style="136" bestFit="1" customWidth="1"/>
    <col min="15884" max="15884" width="14.42578125" style="136" bestFit="1" customWidth="1"/>
    <col min="15885" max="15887" width="9.140625" style="136"/>
    <col min="15888" max="15888" width="19.28515625" style="136" customWidth="1"/>
    <col min="15889" max="16129" width="9.140625" style="136"/>
    <col min="16130" max="16130" width="14.5703125" style="136" customWidth="1"/>
    <col min="16131" max="16131" width="15.7109375" style="136" customWidth="1"/>
    <col min="16132" max="16132" width="15.85546875" style="136" customWidth="1"/>
    <col min="16133" max="16134" width="15.5703125" style="136" bestFit="1" customWidth="1"/>
    <col min="16135" max="16135" width="15" style="136" customWidth="1"/>
    <col min="16136" max="16136" width="7.42578125" style="136" customWidth="1"/>
    <col min="16137" max="16137" width="16.28515625" style="136" customWidth="1"/>
    <col min="16138" max="16139" width="14.5703125" style="136" bestFit="1" customWidth="1"/>
    <col min="16140" max="16140" width="14.42578125" style="136" bestFit="1" customWidth="1"/>
    <col min="16141" max="16143" width="9.140625" style="136"/>
    <col min="16144" max="16144" width="19.28515625" style="136" customWidth="1"/>
    <col min="16145" max="16384" width="9.140625" style="136"/>
  </cols>
  <sheetData>
    <row r="2" spans="2:23" s="88" customFormat="1" ht="16.5" customHeight="1" x14ac:dyDescent="0.25">
      <c r="B2" s="109" t="str">
        <f>Historicals!B2</f>
        <v>Al-Saqib Exports Private Limited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36"/>
    </row>
    <row r="3" spans="2:23" s="88" customFormat="1" x14ac:dyDescent="0.25"/>
    <row r="4" spans="2:23" x14ac:dyDescent="0.25">
      <c r="B4" s="183" t="s">
        <v>97</v>
      </c>
      <c r="C4" s="183"/>
      <c r="D4" s="183"/>
      <c r="E4" s="183"/>
      <c r="F4" s="183"/>
      <c r="I4" s="183" t="s">
        <v>343</v>
      </c>
      <c r="J4" s="183"/>
      <c r="K4" s="183"/>
      <c r="L4" s="183"/>
      <c r="M4" s="183"/>
    </row>
    <row r="6" spans="2:23" ht="30" x14ac:dyDescent="0.25">
      <c r="B6" s="137" t="s">
        <v>98</v>
      </c>
      <c r="C6" s="137" t="s">
        <v>99</v>
      </c>
      <c r="D6" s="137" t="s">
        <v>100</v>
      </c>
      <c r="E6" s="137" t="s">
        <v>101</v>
      </c>
      <c r="F6" s="137" t="s">
        <v>102</v>
      </c>
      <c r="I6" s="137" t="s">
        <v>98</v>
      </c>
      <c r="J6" s="137" t="s">
        <v>99</v>
      </c>
      <c r="K6" s="137" t="s">
        <v>100</v>
      </c>
      <c r="L6" s="137" t="s">
        <v>101</v>
      </c>
      <c r="M6" s="137" t="s">
        <v>102</v>
      </c>
      <c r="O6" s="138"/>
      <c r="P6" s="138"/>
      <c r="Q6" s="138"/>
      <c r="R6" s="138"/>
      <c r="S6" s="138"/>
      <c r="T6" s="138"/>
      <c r="U6" s="138"/>
      <c r="V6" s="138"/>
      <c r="W6" s="138"/>
    </row>
    <row r="7" spans="2:23" x14ac:dyDescent="0.25">
      <c r="B7" s="139" t="s">
        <v>103</v>
      </c>
      <c r="C7" s="139"/>
      <c r="D7" s="139"/>
      <c r="E7" s="139"/>
      <c r="F7" s="139">
        <f>+I21+I62+I103</f>
        <v>331647025.23000002</v>
      </c>
      <c r="I7" s="139" t="s">
        <v>103</v>
      </c>
      <c r="J7" s="139">
        <v>0</v>
      </c>
      <c r="K7" s="139">
        <f t="shared" ref="K7:L7" si="0">+D7/10000000</f>
        <v>0</v>
      </c>
      <c r="L7" s="139">
        <f t="shared" si="0"/>
        <v>0</v>
      </c>
      <c r="M7" s="139">
        <f>+F7/100000</f>
        <v>3316.4702523000001</v>
      </c>
      <c r="N7" s="61"/>
      <c r="O7" s="138"/>
      <c r="P7" s="138"/>
      <c r="Q7" s="138"/>
      <c r="R7" s="138"/>
      <c r="S7" s="138"/>
      <c r="T7" s="138"/>
      <c r="U7" s="138"/>
      <c r="V7" s="138"/>
      <c r="W7" s="138"/>
    </row>
    <row r="8" spans="2:23" x14ac:dyDescent="0.25">
      <c r="B8" s="139" t="s">
        <v>104</v>
      </c>
      <c r="C8" s="139">
        <f>F7</f>
        <v>331647025.23000002</v>
      </c>
      <c r="D8" s="139">
        <f>+G34+G75+G116</f>
        <v>31673105</v>
      </c>
      <c r="E8" s="139">
        <f>+F34+F75+F116</f>
        <v>38964707</v>
      </c>
      <c r="F8" s="139">
        <f>+I33+I74+I115</f>
        <v>292682318.23000002</v>
      </c>
      <c r="I8" s="139" t="s">
        <v>104</v>
      </c>
      <c r="J8" s="139">
        <f t="shared" ref="J8:J14" si="1">+M7</f>
        <v>3316.4702523000001</v>
      </c>
      <c r="K8" s="139">
        <f>+D8/100000</f>
        <v>316.73104999999998</v>
      </c>
      <c r="L8" s="139">
        <f t="shared" ref="L8:M14" si="2">+E8/100000</f>
        <v>389.64706999999999</v>
      </c>
      <c r="M8" s="139">
        <f t="shared" si="2"/>
        <v>2926.8231823000001</v>
      </c>
      <c r="N8" s="61"/>
      <c r="O8" s="138"/>
      <c r="P8" s="138"/>
      <c r="Q8" s="138"/>
      <c r="R8" s="138"/>
      <c r="S8" s="138"/>
      <c r="T8" s="138"/>
      <c r="U8" s="138"/>
      <c r="V8" s="138"/>
      <c r="W8" s="138"/>
    </row>
    <row r="9" spans="2:23" x14ac:dyDescent="0.25">
      <c r="B9" s="139" t="s">
        <v>105</v>
      </c>
      <c r="C9" s="139">
        <f t="shared" ref="C9:C14" si="3">+F8</f>
        <v>292682318.23000002</v>
      </c>
      <c r="D9" s="139">
        <f>+G47+G88+G129</f>
        <v>26922658</v>
      </c>
      <c r="E9" s="139">
        <f>+F47+F88+F129</f>
        <v>49841736</v>
      </c>
      <c r="F9" s="139">
        <f>+I46+I87+I128</f>
        <v>242840582.22999999</v>
      </c>
      <c r="I9" s="139" t="s">
        <v>105</v>
      </c>
      <c r="J9" s="139">
        <f t="shared" si="1"/>
        <v>2926.8231823000001</v>
      </c>
      <c r="K9" s="139">
        <f t="shared" ref="K9:K14" si="4">+D9/100000</f>
        <v>269.22658000000001</v>
      </c>
      <c r="L9" s="139">
        <f t="shared" si="2"/>
        <v>498.41735999999997</v>
      </c>
      <c r="M9" s="139">
        <f t="shared" si="2"/>
        <v>2428.4058222999997</v>
      </c>
      <c r="N9" s="61"/>
      <c r="O9" s="61"/>
      <c r="P9" s="140"/>
    </row>
    <row r="10" spans="2:23" x14ac:dyDescent="0.25">
      <c r="B10" s="139" t="s">
        <v>106</v>
      </c>
      <c r="C10" s="139">
        <f t="shared" si="3"/>
        <v>242840582.22999999</v>
      </c>
      <c r="D10" s="139">
        <f>+G57+G142+G96</f>
        <v>21788569</v>
      </c>
      <c r="E10" s="139">
        <f>+F57+F142+F96</f>
        <v>52639114.230000004</v>
      </c>
      <c r="F10" s="139">
        <f>+I56+I141+I95</f>
        <v>190201468</v>
      </c>
      <c r="I10" s="139" t="s">
        <v>106</v>
      </c>
      <c r="J10" s="139">
        <f t="shared" si="1"/>
        <v>2428.4058222999997</v>
      </c>
      <c r="K10" s="139">
        <f t="shared" si="4"/>
        <v>217.88569000000001</v>
      </c>
      <c r="L10" s="139">
        <f t="shared" si="2"/>
        <v>526.39114230000007</v>
      </c>
      <c r="M10" s="139">
        <f t="shared" si="2"/>
        <v>1902.01468</v>
      </c>
      <c r="N10" s="61"/>
      <c r="O10" s="61"/>
      <c r="P10" s="140"/>
    </row>
    <row r="11" spans="2:23" x14ac:dyDescent="0.25">
      <c r="B11" s="139" t="s">
        <v>107</v>
      </c>
      <c r="C11" s="139">
        <f t="shared" si="3"/>
        <v>190201468</v>
      </c>
      <c r="D11" s="139">
        <f>+G155</f>
        <v>16820148</v>
      </c>
      <c r="E11" s="139">
        <f>+F155</f>
        <v>48000000</v>
      </c>
      <c r="F11" s="139">
        <f>+I154</f>
        <v>142201468</v>
      </c>
      <c r="I11" s="139" t="s">
        <v>107</v>
      </c>
      <c r="J11" s="139">
        <f t="shared" si="1"/>
        <v>1902.01468</v>
      </c>
      <c r="K11" s="139">
        <f t="shared" si="4"/>
        <v>168.20148</v>
      </c>
      <c r="L11" s="139">
        <f t="shared" si="2"/>
        <v>480</v>
      </c>
      <c r="M11" s="139">
        <f t="shared" si="2"/>
        <v>1422.01468</v>
      </c>
      <c r="N11" s="61"/>
      <c r="O11" s="61"/>
      <c r="P11" s="140"/>
    </row>
    <row r="12" spans="2:23" x14ac:dyDescent="0.25">
      <c r="B12" s="139" t="s">
        <v>108</v>
      </c>
      <c r="C12" s="139">
        <f t="shared" si="3"/>
        <v>142201468</v>
      </c>
      <c r="D12" s="139">
        <f>+G168</f>
        <v>12020148</v>
      </c>
      <c r="E12" s="139">
        <f>+F168</f>
        <v>48000000</v>
      </c>
      <c r="F12" s="139">
        <f>+I167</f>
        <v>94201468</v>
      </c>
      <c r="I12" s="139" t="s">
        <v>108</v>
      </c>
      <c r="J12" s="139">
        <f t="shared" si="1"/>
        <v>1422.01468</v>
      </c>
      <c r="K12" s="139">
        <f t="shared" si="4"/>
        <v>120.20148</v>
      </c>
      <c r="L12" s="139">
        <f t="shared" si="2"/>
        <v>480</v>
      </c>
      <c r="M12" s="139">
        <f t="shared" si="2"/>
        <v>942.01468</v>
      </c>
      <c r="N12" s="61"/>
      <c r="O12" s="61"/>
      <c r="P12" s="140"/>
    </row>
    <row r="13" spans="2:23" x14ac:dyDescent="0.25">
      <c r="B13" s="139" t="s">
        <v>109</v>
      </c>
      <c r="C13" s="139">
        <f t="shared" si="3"/>
        <v>94201468</v>
      </c>
      <c r="D13" s="139">
        <f>+G181</f>
        <v>7220148</v>
      </c>
      <c r="E13" s="139">
        <f>+F181</f>
        <v>48000000</v>
      </c>
      <c r="F13" s="139">
        <f>+I180</f>
        <v>46201468</v>
      </c>
      <c r="I13" s="139" t="s">
        <v>109</v>
      </c>
      <c r="J13" s="139">
        <f t="shared" si="1"/>
        <v>942.01468</v>
      </c>
      <c r="K13" s="139">
        <f t="shared" si="4"/>
        <v>72.201480000000004</v>
      </c>
      <c r="L13" s="139">
        <f t="shared" si="2"/>
        <v>480</v>
      </c>
      <c r="M13" s="139">
        <f t="shared" si="2"/>
        <v>462.01468</v>
      </c>
      <c r="N13" s="61"/>
      <c r="O13" s="61"/>
      <c r="P13" s="140"/>
    </row>
    <row r="14" spans="2:23" x14ac:dyDescent="0.25">
      <c r="B14" s="139" t="s">
        <v>110</v>
      </c>
      <c r="C14" s="139">
        <f t="shared" si="3"/>
        <v>46201468</v>
      </c>
      <c r="D14" s="139">
        <f>+G194</f>
        <v>2420148</v>
      </c>
      <c r="E14" s="139">
        <f>+F194</f>
        <v>46201468</v>
      </c>
      <c r="F14" s="139">
        <f>+I193</f>
        <v>0</v>
      </c>
      <c r="I14" s="139" t="s">
        <v>110</v>
      </c>
      <c r="J14" s="139">
        <f t="shared" si="1"/>
        <v>462.01468</v>
      </c>
      <c r="K14" s="139">
        <f t="shared" si="4"/>
        <v>24.20148</v>
      </c>
      <c r="L14" s="139">
        <f t="shared" si="2"/>
        <v>462.01468</v>
      </c>
      <c r="M14" s="139">
        <f t="shared" si="2"/>
        <v>0</v>
      </c>
      <c r="N14" s="61"/>
      <c r="O14" s="61"/>
      <c r="P14" s="140"/>
    </row>
    <row r="15" spans="2:23" x14ac:dyDescent="0.25">
      <c r="B15" s="153"/>
      <c r="C15" s="153"/>
      <c r="D15" s="153"/>
      <c r="E15" s="153"/>
      <c r="F15" s="153"/>
      <c r="I15" s="153"/>
      <c r="J15" s="153"/>
      <c r="K15" s="153"/>
      <c r="L15" s="153"/>
      <c r="M15" s="153"/>
      <c r="N15" s="61"/>
      <c r="O15" s="61"/>
      <c r="P15" s="140"/>
    </row>
    <row r="16" spans="2:23" x14ac:dyDescent="0.25">
      <c r="B16" s="153"/>
      <c r="C16" s="153"/>
      <c r="D16" s="153"/>
      <c r="E16" s="153"/>
      <c r="F16" s="153"/>
      <c r="I16" s="153"/>
      <c r="J16" s="153"/>
      <c r="K16" s="153"/>
      <c r="L16" s="153"/>
      <c r="M16" s="153"/>
      <c r="N16" s="61"/>
      <c r="O16" s="61"/>
      <c r="P16" s="140"/>
    </row>
    <row r="17" spans="2:20" x14ac:dyDescent="0.25">
      <c r="B17" s="60"/>
      <c r="C17" s="60"/>
      <c r="D17" s="60"/>
      <c r="E17" s="60"/>
      <c r="F17" s="60"/>
      <c r="I17" s="60"/>
      <c r="J17" s="60"/>
      <c r="K17" s="60"/>
      <c r="M17" s="60"/>
      <c r="N17" s="61"/>
      <c r="O17" s="61"/>
      <c r="P17" s="61"/>
      <c r="Q17" s="61"/>
      <c r="R17" s="61"/>
      <c r="S17" s="61"/>
      <c r="T17" s="61"/>
    </row>
    <row r="18" spans="2:20" x14ac:dyDescent="0.25">
      <c r="B18" s="141" t="s">
        <v>125</v>
      </c>
      <c r="K18" s="138"/>
      <c r="L18" s="138"/>
      <c r="M18" s="138"/>
      <c r="N18" s="138"/>
      <c r="O18" s="138"/>
      <c r="P18" s="138"/>
      <c r="Q18" s="138"/>
    </row>
    <row r="19" spans="2:20" x14ac:dyDescent="0.25">
      <c r="M19" s="140"/>
    </row>
    <row r="20" spans="2:20" x14ac:dyDescent="0.25">
      <c r="B20" s="142" t="s">
        <v>98</v>
      </c>
      <c r="C20" s="142" t="s">
        <v>111</v>
      </c>
      <c r="D20" s="143" t="s">
        <v>112</v>
      </c>
      <c r="E20" s="142" t="s">
        <v>113</v>
      </c>
      <c r="F20" s="142" t="s">
        <v>114</v>
      </c>
      <c r="G20" s="142" t="s">
        <v>100</v>
      </c>
      <c r="H20" s="142" t="s">
        <v>115</v>
      </c>
      <c r="I20" s="142" t="s">
        <v>116</v>
      </c>
    </row>
    <row r="21" spans="2:20" x14ac:dyDescent="0.25">
      <c r="B21" s="141" t="s">
        <v>104</v>
      </c>
      <c r="E21" s="144"/>
      <c r="F21" s="144"/>
      <c r="G21" s="144"/>
      <c r="I21" s="145">
        <v>15685991.23</v>
      </c>
    </row>
    <row r="22" spans="2:20" x14ac:dyDescent="0.25">
      <c r="B22" s="146">
        <v>1</v>
      </c>
      <c r="C22" s="147">
        <v>45389</v>
      </c>
      <c r="E22" s="148">
        <f>+F22+G22</f>
        <v>601469</v>
      </c>
      <c r="F22" s="148">
        <v>480556</v>
      </c>
      <c r="G22" s="148">
        <f>ROUND(+I21*H22/1200,0)</f>
        <v>120913</v>
      </c>
      <c r="H22" s="179">
        <v>9.25</v>
      </c>
      <c r="I22" s="148">
        <f>+I21-F22</f>
        <v>15205435.23</v>
      </c>
    </row>
    <row r="23" spans="2:20" x14ac:dyDescent="0.25">
      <c r="B23" s="146">
        <f>+B22+1</f>
        <v>2</v>
      </c>
      <c r="C23" s="147">
        <f>EDATE(C22,1)</f>
        <v>45419</v>
      </c>
      <c r="E23" s="148">
        <f>+F23+G23</f>
        <v>597765</v>
      </c>
      <c r="F23" s="148">
        <v>480556</v>
      </c>
      <c r="G23" s="148">
        <f>ROUND(+I22*H23/1200,0)</f>
        <v>117209</v>
      </c>
      <c r="H23" s="148">
        <v>9.25</v>
      </c>
      <c r="I23" s="148">
        <f>+I22-F23</f>
        <v>14724879.23</v>
      </c>
    </row>
    <row r="24" spans="2:20" x14ac:dyDescent="0.25">
      <c r="B24" s="146">
        <f t="shared" ref="B24:B33" si="5">+B23+1</f>
        <v>3</v>
      </c>
      <c r="C24" s="147">
        <f t="shared" ref="C24:C33" si="6">EDATE(C23,1)</f>
        <v>45450</v>
      </c>
      <c r="E24" s="148">
        <f t="shared" ref="E24:E33" si="7">+F24+G24</f>
        <v>594060</v>
      </c>
      <c r="F24" s="148">
        <v>480556</v>
      </c>
      <c r="G24" s="148">
        <f t="shared" ref="G24:G33" si="8">ROUND(+I23*H24/1200,0)</f>
        <v>113504</v>
      </c>
      <c r="H24" s="148">
        <v>9.25</v>
      </c>
      <c r="I24" s="148">
        <f t="shared" ref="I24:I33" si="9">+I23-F24</f>
        <v>14244323.23</v>
      </c>
    </row>
    <row r="25" spans="2:20" x14ac:dyDescent="0.25">
      <c r="B25" s="146">
        <f t="shared" si="5"/>
        <v>4</v>
      </c>
      <c r="C25" s="147">
        <f t="shared" si="6"/>
        <v>45480</v>
      </c>
      <c r="E25" s="148">
        <f t="shared" si="7"/>
        <v>590356</v>
      </c>
      <c r="F25" s="148">
        <v>480556</v>
      </c>
      <c r="G25" s="148">
        <f t="shared" si="8"/>
        <v>109800</v>
      </c>
      <c r="H25" s="148">
        <v>9.25</v>
      </c>
      <c r="I25" s="148">
        <f t="shared" si="9"/>
        <v>13763767.23</v>
      </c>
    </row>
    <row r="26" spans="2:20" x14ac:dyDescent="0.25">
      <c r="B26" s="146">
        <f t="shared" si="5"/>
        <v>5</v>
      </c>
      <c r="C26" s="147">
        <f t="shared" si="6"/>
        <v>45511</v>
      </c>
      <c r="E26" s="148">
        <f t="shared" si="7"/>
        <v>586652</v>
      </c>
      <c r="F26" s="148">
        <v>480556</v>
      </c>
      <c r="G26" s="148">
        <f t="shared" si="8"/>
        <v>106096</v>
      </c>
      <c r="H26" s="148">
        <v>9.25</v>
      </c>
      <c r="I26" s="148">
        <f t="shared" si="9"/>
        <v>13283211.23</v>
      </c>
    </row>
    <row r="27" spans="2:20" x14ac:dyDescent="0.25">
      <c r="B27" s="146">
        <f t="shared" si="5"/>
        <v>6</v>
      </c>
      <c r="C27" s="147">
        <f t="shared" si="6"/>
        <v>45542</v>
      </c>
      <c r="E27" s="148">
        <f t="shared" si="7"/>
        <v>582947</v>
      </c>
      <c r="F27" s="148">
        <v>480556</v>
      </c>
      <c r="G27" s="148">
        <f t="shared" si="8"/>
        <v>102391</v>
      </c>
      <c r="H27" s="148">
        <v>9.25</v>
      </c>
      <c r="I27" s="148">
        <f t="shared" si="9"/>
        <v>12802655.23</v>
      </c>
    </row>
    <row r="28" spans="2:20" x14ac:dyDescent="0.25">
      <c r="B28" s="146">
        <f t="shared" si="5"/>
        <v>7</v>
      </c>
      <c r="C28" s="147">
        <f t="shared" si="6"/>
        <v>45572</v>
      </c>
      <c r="E28" s="148">
        <f t="shared" si="7"/>
        <v>579243</v>
      </c>
      <c r="F28" s="148">
        <v>480556</v>
      </c>
      <c r="G28" s="148">
        <f t="shared" si="8"/>
        <v>98687</v>
      </c>
      <c r="H28" s="148">
        <v>9.25</v>
      </c>
      <c r="I28" s="148">
        <f t="shared" si="9"/>
        <v>12322099.23</v>
      </c>
    </row>
    <row r="29" spans="2:20" x14ac:dyDescent="0.25">
      <c r="B29" s="146">
        <f t="shared" si="5"/>
        <v>8</v>
      </c>
      <c r="C29" s="147">
        <f t="shared" si="6"/>
        <v>45603</v>
      </c>
      <c r="E29" s="148">
        <f t="shared" si="7"/>
        <v>575539</v>
      </c>
      <c r="F29" s="148">
        <v>480556</v>
      </c>
      <c r="G29" s="148">
        <f t="shared" si="8"/>
        <v>94983</v>
      </c>
      <c r="H29" s="148">
        <v>9.25</v>
      </c>
      <c r="I29" s="148">
        <f t="shared" si="9"/>
        <v>11841543.23</v>
      </c>
    </row>
    <row r="30" spans="2:20" x14ac:dyDescent="0.25">
      <c r="B30" s="146">
        <f t="shared" si="5"/>
        <v>9</v>
      </c>
      <c r="C30" s="147">
        <f t="shared" si="6"/>
        <v>45633</v>
      </c>
      <c r="E30" s="148">
        <f t="shared" si="7"/>
        <v>571835</v>
      </c>
      <c r="F30" s="148">
        <v>480556</v>
      </c>
      <c r="G30" s="148">
        <f t="shared" si="8"/>
        <v>91279</v>
      </c>
      <c r="H30" s="148">
        <v>9.25</v>
      </c>
      <c r="I30" s="148">
        <f t="shared" si="9"/>
        <v>11360987.23</v>
      </c>
    </row>
    <row r="31" spans="2:20" x14ac:dyDescent="0.25">
      <c r="B31" s="146">
        <f t="shared" si="5"/>
        <v>10</v>
      </c>
      <c r="C31" s="147">
        <f t="shared" si="6"/>
        <v>45664</v>
      </c>
      <c r="E31" s="148">
        <f t="shared" si="7"/>
        <v>568130</v>
      </c>
      <c r="F31" s="148">
        <v>480556</v>
      </c>
      <c r="G31" s="148">
        <f t="shared" si="8"/>
        <v>87574</v>
      </c>
      <c r="H31" s="148">
        <v>9.25</v>
      </c>
      <c r="I31" s="148">
        <f t="shared" si="9"/>
        <v>10880431.23</v>
      </c>
    </row>
    <row r="32" spans="2:20" x14ac:dyDescent="0.25">
      <c r="B32" s="146">
        <f t="shared" si="5"/>
        <v>11</v>
      </c>
      <c r="C32" s="147">
        <f t="shared" si="6"/>
        <v>45695</v>
      </c>
      <c r="E32" s="148">
        <f t="shared" si="7"/>
        <v>564426</v>
      </c>
      <c r="F32" s="148">
        <v>480556</v>
      </c>
      <c r="G32" s="148">
        <f t="shared" si="8"/>
        <v>83870</v>
      </c>
      <c r="H32" s="148">
        <v>9.25</v>
      </c>
      <c r="I32" s="148">
        <f t="shared" si="9"/>
        <v>10399875.23</v>
      </c>
    </row>
    <row r="33" spans="2:9" x14ac:dyDescent="0.25">
      <c r="B33" s="146">
        <f t="shared" si="5"/>
        <v>12</v>
      </c>
      <c r="C33" s="147">
        <f t="shared" si="6"/>
        <v>45723</v>
      </c>
      <c r="E33" s="148">
        <f t="shared" si="7"/>
        <v>560722</v>
      </c>
      <c r="F33" s="148">
        <v>480556</v>
      </c>
      <c r="G33" s="148">
        <f t="shared" si="8"/>
        <v>80166</v>
      </c>
      <c r="H33" s="148">
        <v>9.25</v>
      </c>
      <c r="I33" s="148">
        <f t="shared" si="9"/>
        <v>9919319.2300000004</v>
      </c>
    </row>
    <row r="34" spans="2:9" x14ac:dyDescent="0.25">
      <c r="B34" s="141" t="s">
        <v>118</v>
      </c>
      <c r="E34" s="149">
        <f>SUM(E22:E33)</f>
        <v>6973144</v>
      </c>
      <c r="F34" s="149">
        <f>SUM(F22:F33)</f>
        <v>5766672</v>
      </c>
      <c r="G34" s="149">
        <f>SUM(G22:G33)</f>
        <v>1206472</v>
      </c>
    </row>
    <row r="35" spans="2:9" x14ac:dyDescent="0.25">
      <c r="B35" s="146">
        <f>+B33+1</f>
        <v>13</v>
      </c>
      <c r="C35" s="147">
        <f>EDATE(C33,1)</f>
        <v>45754</v>
      </c>
      <c r="E35" s="148">
        <f>+F35+G35</f>
        <v>557017</v>
      </c>
      <c r="F35" s="148">
        <v>480556</v>
      </c>
      <c r="G35" s="148">
        <f>ROUND(+I33*H35/1200,0)</f>
        <v>76461</v>
      </c>
      <c r="H35" s="148">
        <v>9.25</v>
      </c>
      <c r="I35" s="148">
        <f>+I33+G35-E35</f>
        <v>9438763.2300000004</v>
      </c>
    </row>
    <row r="36" spans="2:9" x14ac:dyDescent="0.25">
      <c r="B36" s="146">
        <f>+B35+1</f>
        <v>14</v>
      </c>
      <c r="C36" s="147">
        <f>EDATE(C35,1)</f>
        <v>45784</v>
      </c>
      <c r="E36" s="148">
        <f>+F36+G36</f>
        <v>553313</v>
      </c>
      <c r="F36" s="148">
        <v>480556</v>
      </c>
      <c r="G36" s="148">
        <f>ROUND(+I35*H36/1200,0)</f>
        <v>72757</v>
      </c>
      <c r="H36" s="148">
        <v>9.25</v>
      </c>
      <c r="I36" s="148">
        <f>+I35+G36-E36</f>
        <v>8958207.2300000004</v>
      </c>
    </row>
    <row r="37" spans="2:9" x14ac:dyDescent="0.25">
      <c r="B37" s="146">
        <f t="shared" ref="B37:B46" si="10">+B36+1</f>
        <v>15</v>
      </c>
      <c r="C37" s="147">
        <f t="shared" ref="C37:C46" si="11">EDATE(C36,1)</f>
        <v>45815</v>
      </c>
      <c r="E37" s="148">
        <f t="shared" ref="E37:E46" si="12">+F37+G37</f>
        <v>549609</v>
      </c>
      <c r="F37" s="148">
        <v>480556</v>
      </c>
      <c r="G37" s="148">
        <f t="shared" ref="G37:G46" si="13">ROUND(+I36*H37/1200,0)</f>
        <v>69053</v>
      </c>
      <c r="H37" s="148">
        <v>9.25</v>
      </c>
      <c r="I37" s="148">
        <f t="shared" ref="I37:I46" si="14">+I36+G37-E37</f>
        <v>8477651.2300000004</v>
      </c>
    </row>
    <row r="38" spans="2:9" x14ac:dyDescent="0.25">
      <c r="B38" s="146">
        <f t="shared" si="10"/>
        <v>16</v>
      </c>
      <c r="C38" s="147">
        <f t="shared" si="11"/>
        <v>45845</v>
      </c>
      <c r="E38" s="148">
        <f t="shared" si="12"/>
        <v>545905</v>
      </c>
      <c r="F38" s="148">
        <v>480556</v>
      </c>
      <c r="G38" s="148">
        <f t="shared" si="13"/>
        <v>65349</v>
      </c>
      <c r="H38" s="148">
        <v>9.25</v>
      </c>
      <c r="I38" s="148">
        <f t="shared" si="14"/>
        <v>7997095.2300000004</v>
      </c>
    </row>
    <row r="39" spans="2:9" x14ac:dyDescent="0.25">
      <c r="B39" s="146">
        <f t="shared" si="10"/>
        <v>17</v>
      </c>
      <c r="C39" s="147">
        <f t="shared" si="11"/>
        <v>45876</v>
      </c>
      <c r="E39" s="148">
        <f t="shared" si="12"/>
        <v>542200</v>
      </c>
      <c r="F39" s="148">
        <v>480556</v>
      </c>
      <c r="G39" s="148">
        <f t="shared" si="13"/>
        <v>61644</v>
      </c>
      <c r="H39" s="148">
        <v>9.25</v>
      </c>
      <c r="I39" s="148">
        <f t="shared" si="14"/>
        <v>7516539.2300000004</v>
      </c>
    </row>
    <row r="40" spans="2:9" x14ac:dyDescent="0.25">
      <c r="B40" s="146">
        <f t="shared" si="10"/>
        <v>18</v>
      </c>
      <c r="C40" s="147">
        <f t="shared" si="11"/>
        <v>45907</v>
      </c>
      <c r="E40" s="148">
        <f t="shared" si="12"/>
        <v>538496</v>
      </c>
      <c r="F40" s="148">
        <v>480556</v>
      </c>
      <c r="G40" s="148">
        <f t="shared" si="13"/>
        <v>57940</v>
      </c>
      <c r="H40" s="148">
        <v>9.25</v>
      </c>
      <c r="I40" s="148">
        <f t="shared" si="14"/>
        <v>7035983.2300000004</v>
      </c>
    </row>
    <row r="41" spans="2:9" x14ac:dyDescent="0.25">
      <c r="B41" s="146">
        <f t="shared" si="10"/>
        <v>19</v>
      </c>
      <c r="C41" s="147">
        <f t="shared" si="11"/>
        <v>45937</v>
      </c>
      <c r="E41" s="148">
        <f t="shared" si="12"/>
        <v>534792</v>
      </c>
      <c r="F41" s="148">
        <v>480556</v>
      </c>
      <c r="G41" s="148">
        <f t="shared" si="13"/>
        <v>54236</v>
      </c>
      <c r="H41" s="148">
        <v>9.25</v>
      </c>
      <c r="I41" s="148">
        <f t="shared" si="14"/>
        <v>6555427.2300000004</v>
      </c>
    </row>
    <row r="42" spans="2:9" x14ac:dyDescent="0.25">
      <c r="B42" s="146">
        <f t="shared" si="10"/>
        <v>20</v>
      </c>
      <c r="C42" s="147">
        <f t="shared" si="11"/>
        <v>45968</v>
      </c>
      <c r="E42" s="148">
        <f t="shared" si="12"/>
        <v>531087</v>
      </c>
      <c r="F42" s="148">
        <v>480556</v>
      </c>
      <c r="G42" s="148">
        <f t="shared" si="13"/>
        <v>50531</v>
      </c>
      <c r="H42" s="148">
        <v>9.25</v>
      </c>
      <c r="I42" s="148">
        <f t="shared" si="14"/>
        <v>6074871.2300000004</v>
      </c>
    </row>
    <row r="43" spans="2:9" x14ac:dyDescent="0.25">
      <c r="B43" s="146">
        <f t="shared" si="10"/>
        <v>21</v>
      </c>
      <c r="C43" s="147">
        <f t="shared" si="11"/>
        <v>45998</v>
      </c>
      <c r="E43" s="148">
        <f t="shared" si="12"/>
        <v>527383</v>
      </c>
      <c r="F43" s="148">
        <v>480556</v>
      </c>
      <c r="G43" s="148">
        <f t="shared" si="13"/>
        <v>46827</v>
      </c>
      <c r="H43" s="148">
        <v>9.25</v>
      </c>
      <c r="I43" s="148">
        <f t="shared" si="14"/>
        <v>5594315.2300000004</v>
      </c>
    </row>
    <row r="44" spans="2:9" x14ac:dyDescent="0.25">
      <c r="B44" s="146">
        <f t="shared" si="10"/>
        <v>22</v>
      </c>
      <c r="C44" s="147">
        <f t="shared" si="11"/>
        <v>46029</v>
      </c>
      <c r="E44" s="148">
        <f t="shared" si="12"/>
        <v>523679</v>
      </c>
      <c r="F44" s="148">
        <v>480556</v>
      </c>
      <c r="G44" s="148">
        <f t="shared" si="13"/>
        <v>43123</v>
      </c>
      <c r="H44" s="148">
        <v>9.25</v>
      </c>
      <c r="I44" s="148">
        <f t="shared" si="14"/>
        <v>5113759.2300000004</v>
      </c>
    </row>
    <row r="45" spans="2:9" x14ac:dyDescent="0.25">
      <c r="B45" s="146">
        <f t="shared" si="10"/>
        <v>23</v>
      </c>
      <c r="C45" s="147">
        <f t="shared" si="11"/>
        <v>46060</v>
      </c>
      <c r="E45" s="148">
        <f t="shared" si="12"/>
        <v>519975</v>
      </c>
      <c r="F45" s="148">
        <v>480556</v>
      </c>
      <c r="G45" s="148">
        <f t="shared" si="13"/>
        <v>39419</v>
      </c>
      <c r="H45" s="148">
        <v>9.25</v>
      </c>
      <c r="I45" s="148">
        <f t="shared" si="14"/>
        <v>4633203.2300000004</v>
      </c>
    </row>
    <row r="46" spans="2:9" x14ac:dyDescent="0.25">
      <c r="B46" s="146">
        <f t="shared" si="10"/>
        <v>24</v>
      </c>
      <c r="C46" s="147">
        <f t="shared" si="11"/>
        <v>46088</v>
      </c>
      <c r="E46" s="148">
        <f t="shared" si="12"/>
        <v>516270</v>
      </c>
      <c r="F46" s="148">
        <v>480556</v>
      </c>
      <c r="G46" s="148">
        <f t="shared" si="13"/>
        <v>35714</v>
      </c>
      <c r="H46" s="148">
        <v>9.25</v>
      </c>
      <c r="I46" s="148">
        <f t="shared" si="14"/>
        <v>4152647.2300000004</v>
      </c>
    </row>
    <row r="47" spans="2:9" x14ac:dyDescent="0.25">
      <c r="B47" s="141" t="s">
        <v>119</v>
      </c>
      <c r="E47" s="149">
        <f>SUM(E35:E46)</f>
        <v>6439726</v>
      </c>
      <c r="F47" s="149">
        <f>SUM(F35:F46)</f>
        <v>5766672</v>
      </c>
      <c r="G47" s="149">
        <f>SUM(G35:G46)</f>
        <v>673054</v>
      </c>
    </row>
    <row r="48" spans="2:9" x14ac:dyDescent="0.25">
      <c r="B48" s="146">
        <f>+B46+1</f>
        <v>25</v>
      </c>
      <c r="C48" s="147">
        <f>EDATE(C46,1)</f>
        <v>46119</v>
      </c>
      <c r="E48" s="148">
        <f t="shared" ref="E48:E54" si="15">+F48+G48</f>
        <v>512566</v>
      </c>
      <c r="F48" s="148">
        <v>480556</v>
      </c>
      <c r="G48" s="148">
        <f>ROUND(+I46*H48/1200,0)</f>
        <v>32010</v>
      </c>
      <c r="H48" s="148">
        <v>9.25</v>
      </c>
      <c r="I48" s="148">
        <f>+I46+G48-E48</f>
        <v>3672091.2300000004</v>
      </c>
    </row>
    <row r="49" spans="2:9" x14ac:dyDescent="0.25">
      <c r="B49" s="146">
        <f t="shared" ref="B49:B56" si="16">+B48+1</f>
        <v>26</v>
      </c>
      <c r="C49" s="147">
        <f t="shared" ref="C49:C56" si="17">EDATE(C48,1)</f>
        <v>46149</v>
      </c>
      <c r="E49" s="148">
        <f t="shared" si="15"/>
        <v>508862</v>
      </c>
      <c r="F49" s="148">
        <v>480556</v>
      </c>
      <c r="G49" s="148">
        <f t="shared" ref="G49:G54" si="18">ROUND(+I48*H49/1200,0)</f>
        <v>28306</v>
      </c>
      <c r="H49" s="148">
        <v>9.25</v>
      </c>
      <c r="I49" s="148">
        <f t="shared" ref="I49:I54" si="19">+I48+G49-E49</f>
        <v>3191535.2300000004</v>
      </c>
    </row>
    <row r="50" spans="2:9" x14ac:dyDescent="0.25">
      <c r="B50" s="146">
        <f t="shared" si="16"/>
        <v>27</v>
      </c>
      <c r="C50" s="147">
        <f t="shared" si="17"/>
        <v>46180</v>
      </c>
      <c r="E50" s="148">
        <f t="shared" si="15"/>
        <v>505157</v>
      </c>
      <c r="F50" s="148">
        <v>480556</v>
      </c>
      <c r="G50" s="148">
        <f t="shared" si="18"/>
        <v>24601</v>
      </c>
      <c r="H50" s="148">
        <v>9.25</v>
      </c>
      <c r="I50" s="148">
        <f t="shared" si="19"/>
        <v>2710979.2300000004</v>
      </c>
    </row>
    <row r="51" spans="2:9" x14ac:dyDescent="0.25">
      <c r="B51" s="146">
        <f t="shared" si="16"/>
        <v>28</v>
      </c>
      <c r="C51" s="147">
        <f t="shared" si="17"/>
        <v>46210</v>
      </c>
      <c r="E51" s="148">
        <f t="shared" si="15"/>
        <v>501453</v>
      </c>
      <c r="F51" s="148">
        <v>480556</v>
      </c>
      <c r="G51" s="148">
        <f t="shared" si="18"/>
        <v>20897</v>
      </c>
      <c r="H51" s="148">
        <v>9.25</v>
      </c>
      <c r="I51" s="148">
        <f t="shared" si="19"/>
        <v>2230423.2300000004</v>
      </c>
    </row>
    <row r="52" spans="2:9" x14ac:dyDescent="0.25">
      <c r="B52" s="146">
        <f t="shared" si="16"/>
        <v>29</v>
      </c>
      <c r="C52" s="147">
        <f t="shared" si="17"/>
        <v>46241</v>
      </c>
      <c r="E52" s="148">
        <f t="shared" si="15"/>
        <v>497749</v>
      </c>
      <c r="F52" s="148">
        <v>480556</v>
      </c>
      <c r="G52" s="148">
        <f t="shared" si="18"/>
        <v>17193</v>
      </c>
      <c r="H52" s="148">
        <v>9.25</v>
      </c>
      <c r="I52" s="148">
        <f t="shared" si="19"/>
        <v>1749867.2300000004</v>
      </c>
    </row>
    <row r="53" spans="2:9" x14ac:dyDescent="0.25">
      <c r="B53" s="146">
        <f t="shared" si="16"/>
        <v>30</v>
      </c>
      <c r="C53" s="147">
        <f t="shared" si="17"/>
        <v>46272</v>
      </c>
      <c r="E53" s="148">
        <f t="shared" si="15"/>
        <v>494045</v>
      </c>
      <c r="F53" s="148">
        <v>480556</v>
      </c>
      <c r="G53" s="148">
        <f t="shared" si="18"/>
        <v>13489</v>
      </c>
      <c r="H53" s="148">
        <v>9.25</v>
      </c>
      <c r="I53" s="148">
        <f t="shared" si="19"/>
        <v>1269311.2300000004</v>
      </c>
    </row>
    <row r="54" spans="2:9" x14ac:dyDescent="0.25">
      <c r="B54" s="146">
        <f t="shared" si="16"/>
        <v>31</v>
      </c>
      <c r="C54" s="147">
        <f t="shared" si="17"/>
        <v>46302</v>
      </c>
      <c r="E54" s="148">
        <f t="shared" si="15"/>
        <v>490324</v>
      </c>
      <c r="F54" s="148">
        <v>480540</v>
      </c>
      <c r="G54" s="148">
        <f t="shared" si="18"/>
        <v>9784</v>
      </c>
      <c r="H54" s="148">
        <v>9.25</v>
      </c>
      <c r="I54" s="148">
        <f t="shared" si="19"/>
        <v>788771.23000000045</v>
      </c>
    </row>
    <row r="55" spans="2:9" x14ac:dyDescent="0.25">
      <c r="B55" s="146">
        <f t="shared" si="16"/>
        <v>32</v>
      </c>
      <c r="C55" s="147">
        <f t="shared" si="17"/>
        <v>46333</v>
      </c>
      <c r="E55" s="148">
        <f t="shared" ref="E55:E56" si="20">+F55+G55</f>
        <v>486620</v>
      </c>
      <c r="F55" s="148">
        <v>480540</v>
      </c>
      <c r="G55" s="148">
        <f t="shared" ref="G55:G56" si="21">ROUND(+I54*H55/1200,0)</f>
        <v>6080</v>
      </c>
      <c r="H55" s="148">
        <v>9.25</v>
      </c>
      <c r="I55" s="148">
        <f t="shared" ref="I55:I56" si="22">+I54+G55-E55</f>
        <v>308231.23000000045</v>
      </c>
    </row>
    <row r="56" spans="2:9" x14ac:dyDescent="0.25">
      <c r="B56" s="146">
        <f t="shared" si="16"/>
        <v>33</v>
      </c>
      <c r="C56" s="147">
        <f t="shared" si="17"/>
        <v>46363</v>
      </c>
      <c r="E56" s="148">
        <f t="shared" si="20"/>
        <v>310607.23000000045</v>
      </c>
      <c r="F56" s="148">
        <f>I55</f>
        <v>308231.23000000045</v>
      </c>
      <c r="G56" s="148">
        <f t="shared" si="21"/>
        <v>2376</v>
      </c>
      <c r="H56" s="148">
        <v>9.25</v>
      </c>
      <c r="I56" s="148">
        <f t="shared" si="22"/>
        <v>0</v>
      </c>
    </row>
    <row r="57" spans="2:9" x14ac:dyDescent="0.25">
      <c r="B57" s="146"/>
      <c r="C57" s="147"/>
      <c r="E57" s="149">
        <f>SUM(E48:E56)</f>
        <v>4307383.2300000004</v>
      </c>
      <c r="F57" s="149">
        <f t="shared" ref="F57:G57" si="23">SUM(F48:F56)</f>
        <v>4152647.2300000004</v>
      </c>
      <c r="G57" s="149">
        <f t="shared" si="23"/>
        <v>154736</v>
      </c>
      <c r="H57" s="148"/>
      <c r="I57" s="148"/>
    </row>
    <row r="59" spans="2:9" x14ac:dyDescent="0.25">
      <c r="B59" s="141" t="s">
        <v>126</v>
      </c>
    </row>
    <row r="61" spans="2:9" x14ac:dyDescent="0.25">
      <c r="B61" s="142" t="s">
        <v>98</v>
      </c>
      <c r="C61" s="142" t="s">
        <v>111</v>
      </c>
      <c r="D61" s="143" t="s">
        <v>112</v>
      </c>
      <c r="E61" s="142" t="s">
        <v>113</v>
      </c>
      <c r="F61" s="142" t="s">
        <v>114</v>
      </c>
      <c r="G61" s="142" t="s">
        <v>100</v>
      </c>
      <c r="H61" s="142" t="s">
        <v>115</v>
      </c>
      <c r="I61" s="142" t="s">
        <v>116</v>
      </c>
    </row>
    <row r="62" spans="2:9" x14ac:dyDescent="0.25">
      <c r="B62" s="141" t="s">
        <v>117</v>
      </c>
      <c r="E62" s="144"/>
      <c r="F62" s="144"/>
      <c r="G62" s="144"/>
      <c r="I62" s="145">
        <v>2159566</v>
      </c>
    </row>
    <row r="63" spans="2:9" x14ac:dyDescent="0.25">
      <c r="B63" s="146">
        <v>1</v>
      </c>
      <c r="C63" s="147">
        <v>45399</v>
      </c>
      <c r="E63" s="148">
        <v>80377</v>
      </c>
      <c r="F63" s="148">
        <f>E63-G63</f>
        <v>63730</v>
      </c>
      <c r="G63" s="148">
        <f>ROUND(+I62*H63/1200,0)</f>
        <v>16647</v>
      </c>
      <c r="H63" s="148">
        <v>9.25</v>
      </c>
      <c r="I63" s="148">
        <f>I62+G63-E63</f>
        <v>2095836</v>
      </c>
    </row>
    <row r="64" spans="2:9" x14ac:dyDescent="0.25">
      <c r="B64" s="146">
        <f>+B63+1</f>
        <v>2</v>
      </c>
      <c r="C64" s="147">
        <f>EDATE(C63,1)</f>
        <v>45429</v>
      </c>
      <c r="E64" s="148">
        <v>80377</v>
      </c>
      <c r="F64" s="148">
        <f t="shared" ref="F64:F94" si="24">E64-G64</f>
        <v>64222</v>
      </c>
      <c r="G64" s="148">
        <f t="shared" ref="G64:G74" si="25">ROUND(+I63*H64/1200,0)</f>
        <v>16155</v>
      </c>
      <c r="H64" s="148">
        <v>9.25</v>
      </c>
      <c r="I64" s="148">
        <f>+I63+G64-E64</f>
        <v>2031614</v>
      </c>
    </row>
    <row r="65" spans="2:9" x14ac:dyDescent="0.25">
      <c r="B65" s="146">
        <f t="shared" ref="B65:B74" si="26">+B64+1</f>
        <v>3</v>
      </c>
      <c r="C65" s="147">
        <f t="shared" ref="C65:C74" si="27">EDATE(C64,1)</f>
        <v>45460</v>
      </c>
      <c r="E65" s="148">
        <v>80377</v>
      </c>
      <c r="F65" s="148">
        <f t="shared" si="24"/>
        <v>64717</v>
      </c>
      <c r="G65" s="148">
        <f t="shared" si="25"/>
        <v>15660</v>
      </c>
      <c r="H65" s="148">
        <v>9.25</v>
      </c>
      <c r="I65" s="148">
        <f t="shared" ref="I65:I74" si="28">+I64+G65-E65</f>
        <v>1966897</v>
      </c>
    </row>
    <row r="66" spans="2:9" x14ac:dyDescent="0.25">
      <c r="B66" s="146">
        <f t="shared" si="26"/>
        <v>4</v>
      </c>
      <c r="C66" s="147">
        <f t="shared" si="27"/>
        <v>45490</v>
      </c>
      <c r="E66" s="148">
        <v>80377</v>
      </c>
      <c r="F66" s="148">
        <f t="shared" si="24"/>
        <v>65216</v>
      </c>
      <c r="G66" s="148">
        <f t="shared" si="25"/>
        <v>15161</v>
      </c>
      <c r="H66" s="148">
        <v>9.25</v>
      </c>
      <c r="I66" s="148">
        <f t="shared" si="28"/>
        <v>1901681</v>
      </c>
    </row>
    <row r="67" spans="2:9" x14ac:dyDescent="0.25">
      <c r="B67" s="146">
        <f t="shared" si="26"/>
        <v>5</v>
      </c>
      <c r="C67" s="147">
        <f t="shared" si="27"/>
        <v>45521</v>
      </c>
      <c r="E67" s="148">
        <v>80377</v>
      </c>
      <c r="F67" s="148">
        <f t="shared" si="24"/>
        <v>65718</v>
      </c>
      <c r="G67" s="148">
        <f t="shared" si="25"/>
        <v>14659</v>
      </c>
      <c r="H67" s="148">
        <v>9.25</v>
      </c>
      <c r="I67" s="148">
        <f t="shared" si="28"/>
        <v>1835963</v>
      </c>
    </row>
    <row r="68" spans="2:9" x14ac:dyDescent="0.25">
      <c r="B68" s="146">
        <f t="shared" si="26"/>
        <v>6</v>
      </c>
      <c r="C68" s="147">
        <f t="shared" si="27"/>
        <v>45552</v>
      </c>
      <c r="E68" s="148">
        <v>80377</v>
      </c>
      <c r="F68" s="148">
        <f t="shared" si="24"/>
        <v>66225</v>
      </c>
      <c r="G68" s="148">
        <f t="shared" si="25"/>
        <v>14152</v>
      </c>
      <c r="H68" s="148">
        <v>9.25</v>
      </c>
      <c r="I68" s="148">
        <f t="shared" si="28"/>
        <v>1769738</v>
      </c>
    </row>
    <row r="69" spans="2:9" x14ac:dyDescent="0.25">
      <c r="B69" s="146">
        <f t="shared" si="26"/>
        <v>7</v>
      </c>
      <c r="C69" s="147">
        <f t="shared" si="27"/>
        <v>45582</v>
      </c>
      <c r="E69" s="148">
        <v>80377</v>
      </c>
      <c r="F69" s="148">
        <f t="shared" si="24"/>
        <v>66735</v>
      </c>
      <c r="G69" s="148">
        <f t="shared" si="25"/>
        <v>13642</v>
      </c>
      <c r="H69" s="148">
        <v>9.25</v>
      </c>
      <c r="I69" s="148">
        <f t="shared" si="28"/>
        <v>1703003</v>
      </c>
    </row>
    <row r="70" spans="2:9" x14ac:dyDescent="0.25">
      <c r="B70" s="146">
        <f t="shared" si="26"/>
        <v>8</v>
      </c>
      <c r="C70" s="147">
        <f t="shared" si="27"/>
        <v>45613</v>
      </c>
      <c r="E70" s="148">
        <v>80377</v>
      </c>
      <c r="F70" s="148">
        <f t="shared" si="24"/>
        <v>67250</v>
      </c>
      <c r="G70" s="148">
        <f t="shared" si="25"/>
        <v>13127</v>
      </c>
      <c r="H70" s="148">
        <v>9.25</v>
      </c>
      <c r="I70" s="148">
        <f t="shared" si="28"/>
        <v>1635753</v>
      </c>
    </row>
    <row r="71" spans="2:9" x14ac:dyDescent="0.25">
      <c r="B71" s="146">
        <f t="shared" si="26"/>
        <v>9</v>
      </c>
      <c r="C71" s="147">
        <f t="shared" si="27"/>
        <v>45643</v>
      </c>
      <c r="E71" s="148">
        <v>80377</v>
      </c>
      <c r="F71" s="148">
        <f t="shared" si="24"/>
        <v>67768</v>
      </c>
      <c r="G71" s="148">
        <f t="shared" si="25"/>
        <v>12609</v>
      </c>
      <c r="H71" s="148">
        <v>9.25</v>
      </c>
      <c r="I71" s="148">
        <f t="shared" si="28"/>
        <v>1567985</v>
      </c>
    </row>
    <row r="72" spans="2:9" x14ac:dyDescent="0.25">
      <c r="B72" s="146">
        <f t="shared" si="26"/>
        <v>10</v>
      </c>
      <c r="C72" s="147">
        <f t="shared" si="27"/>
        <v>45674</v>
      </c>
      <c r="E72" s="148">
        <v>80377</v>
      </c>
      <c r="F72" s="148">
        <f t="shared" si="24"/>
        <v>68290</v>
      </c>
      <c r="G72" s="148">
        <f t="shared" si="25"/>
        <v>12087</v>
      </c>
      <c r="H72" s="148">
        <v>9.25</v>
      </c>
      <c r="I72" s="148">
        <f t="shared" si="28"/>
        <v>1499695</v>
      </c>
    </row>
    <row r="73" spans="2:9" x14ac:dyDescent="0.25">
      <c r="B73" s="146">
        <f t="shared" si="26"/>
        <v>11</v>
      </c>
      <c r="C73" s="147">
        <f t="shared" si="27"/>
        <v>45705</v>
      </c>
      <c r="E73" s="148">
        <v>80377</v>
      </c>
      <c r="F73" s="148">
        <f t="shared" si="24"/>
        <v>68817</v>
      </c>
      <c r="G73" s="148">
        <f t="shared" si="25"/>
        <v>11560</v>
      </c>
      <c r="H73" s="148">
        <v>9.25</v>
      </c>
      <c r="I73" s="148">
        <f t="shared" si="28"/>
        <v>1430878</v>
      </c>
    </row>
    <row r="74" spans="2:9" x14ac:dyDescent="0.25">
      <c r="B74" s="146">
        <f t="shared" si="26"/>
        <v>12</v>
      </c>
      <c r="C74" s="147">
        <f t="shared" si="27"/>
        <v>45733</v>
      </c>
      <c r="E74" s="148">
        <v>80377</v>
      </c>
      <c r="F74" s="148">
        <f t="shared" si="24"/>
        <v>69347</v>
      </c>
      <c r="G74" s="148">
        <f t="shared" si="25"/>
        <v>11030</v>
      </c>
      <c r="H74" s="148">
        <v>9.25</v>
      </c>
      <c r="I74" s="148">
        <f t="shared" si="28"/>
        <v>1361531</v>
      </c>
    </row>
    <row r="75" spans="2:9" x14ac:dyDescent="0.25">
      <c r="B75" s="141" t="s">
        <v>118</v>
      </c>
      <c r="E75" s="149">
        <f>SUM(E63:E74)</f>
        <v>964524</v>
      </c>
      <c r="F75" s="149">
        <f>SUM(F63:F74)</f>
        <v>798035</v>
      </c>
      <c r="G75" s="149">
        <f>SUM(G63:G74)</f>
        <v>166489</v>
      </c>
    </row>
    <row r="76" spans="2:9" x14ac:dyDescent="0.25">
      <c r="B76" s="146">
        <f>+B74+1</f>
        <v>13</v>
      </c>
      <c r="C76" s="147">
        <f>EDATE(C74,1)</f>
        <v>45764</v>
      </c>
      <c r="E76" s="148">
        <v>80377</v>
      </c>
      <c r="F76" s="148">
        <f t="shared" si="24"/>
        <v>69882</v>
      </c>
      <c r="G76" s="148">
        <f>ROUND(+I74*H76/1200,0)</f>
        <v>10495</v>
      </c>
      <c r="H76" s="148">
        <v>9.25</v>
      </c>
      <c r="I76" s="148">
        <f>+I74+G76-E76</f>
        <v>1291649</v>
      </c>
    </row>
    <row r="77" spans="2:9" x14ac:dyDescent="0.25">
      <c r="B77" s="146">
        <f>+B76+1</f>
        <v>14</v>
      </c>
      <c r="C77" s="147">
        <f>EDATE(C76,1)</f>
        <v>45794</v>
      </c>
      <c r="E77" s="148">
        <v>80377</v>
      </c>
      <c r="F77" s="148">
        <f t="shared" si="24"/>
        <v>70421</v>
      </c>
      <c r="G77" s="148">
        <f>ROUND(+I76*H77/1200,0)</f>
        <v>9956</v>
      </c>
      <c r="H77" s="148">
        <v>9.25</v>
      </c>
      <c r="I77" s="148">
        <f>+I76+G77-E77</f>
        <v>1221228</v>
      </c>
    </row>
    <row r="78" spans="2:9" x14ac:dyDescent="0.25">
      <c r="B78" s="146">
        <f>+B77+1</f>
        <v>15</v>
      </c>
      <c r="C78" s="147">
        <f>EDATE(C77,1)</f>
        <v>45825</v>
      </c>
      <c r="E78" s="148">
        <v>80377</v>
      </c>
      <c r="F78" s="148">
        <f t="shared" si="24"/>
        <v>70963</v>
      </c>
      <c r="G78" s="148">
        <f>ROUND(+I77*H78/1200,0)</f>
        <v>9414</v>
      </c>
      <c r="H78" s="148">
        <v>9.25</v>
      </c>
      <c r="I78" s="148">
        <f>+I77+G78-E78</f>
        <v>1150265</v>
      </c>
    </row>
    <row r="79" spans="2:9" x14ac:dyDescent="0.25">
      <c r="B79" s="146">
        <f t="shared" ref="B79:B87" si="29">+B78+1</f>
        <v>16</v>
      </c>
      <c r="C79" s="147">
        <f t="shared" ref="C79:C86" si="30">EDATE(C78,1)</f>
        <v>45855</v>
      </c>
      <c r="E79" s="148">
        <v>80377</v>
      </c>
      <c r="F79" s="148">
        <f t="shared" si="24"/>
        <v>71510</v>
      </c>
      <c r="G79" s="148">
        <f t="shared" ref="G79:G86" si="31">ROUND(+I78*H79/1200,0)</f>
        <v>8867</v>
      </c>
      <c r="H79" s="148">
        <v>9.25</v>
      </c>
      <c r="I79" s="148">
        <f t="shared" ref="I79:I86" si="32">+I78+G79-E79</f>
        <v>1078755</v>
      </c>
    </row>
    <row r="80" spans="2:9" x14ac:dyDescent="0.25">
      <c r="B80" s="146">
        <f t="shared" si="29"/>
        <v>17</v>
      </c>
      <c r="C80" s="147">
        <f t="shared" si="30"/>
        <v>45886</v>
      </c>
      <c r="E80" s="148">
        <v>80377</v>
      </c>
      <c r="F80" s="148">
        <f t="shared" si="24"/>
        <v>72062</v>
      </c>
      <c r="G80" s="148">
        <f t="shared" si="31"/>
        <v>8315</v>
      </c>
      <c r="H80" s="148">
        <v>9.25</v>
      </c>
      <c r="I80" s="148">
        <f t="shared" si="32"/>
        <v>1006693</v>
      </c>
    </row>
    <row r="81" spans="2:9" x14ac:dyDescent="0.25">
      <c r="B81" s="146">
        <f t="shared" si="29"/>
        <v>18</v>
      </c>
      <c r="C81" s="147">
        <f t="shared" si="30"/>
        <v>45917</v>
      </c>
      <c r="E81" s="148">
        <v>80377</v>
      </c>
      <c r="F81" s="148">
        <f t="shared" si="24"/>
        <v>72617</v>
      </c>
      <c r="G81" s="148">
        <f t="shared" si="31"/>
        <v>7760</v>
      </c>
      <c r="H81" s="148">
        <v>9.25</v>
      </c>
      <c r="I81" s="148">
        <f t="shared" si="32"/>
        <v>934076</v>
      </c>
    </row>
    <row r="82" spans="2:9" x14ac:dyDescent="0.25">
      <c r="B82" s="146">
        <f t="shared" si="29"/>
        <v>19</v>
      </c>
      <c r="C82" s="147">
        <f t="shared" si="30"/>
        <v>45947</v>
      </c>
      <c r="E82" s="148">
        <v>80377</v>
      </c>
      <c r="F82" s="148">
        <f t="shared" si="24"/>
        <v>73177</v>
      </c>
      <c r="G82" s="148">
        <f t="shared" si="31"/>
        <v>7200</v>
      </c>
      <c r="H82" s="148">
        <v>9.25</v>
      </c>
      <c r="I82" s="148">
        <f t="shared" si="32"/>
        <v>860899</v>
      </c>
    </row>
    <row r="83" spans="2:9" x14ac:dyDescent="0.25">
      <c r="B83" s="146">
        <f t="shared" si="29"/>
        <v>20</v>
      </c>
      <c r="C83" s="147">
        <f t="shared" si="30"/>
        <v>45978</v>
      </c>
      <c r="E83" s="148">
        <v>80377</v>
      </c>
      <c r="F83" s="148">
        <f t="shared" si="24"/>
        <v>73741</v>
      </c>
      <c r="G83" s="148">
        <f t="shared" si="31"/>
        <v>6636</v>
      </c>
      <c r="H83" s="148">
        <v>9.25</v>
      </c>
      <c r="I83" s="148">
        <f t="shared" si="32"/>
        <v>787158</v>
      </c>
    </row>
    <row r="84" spans="2:9" x14ac:dyDescent="0.25">
      <c r="B84" s="146">
        <f t="shared" si="29"/>
        <v>21</v>
      </c>
      <c r="C84" s="147">
        <f t="shared" si="30"/>
        <v>46008</v>
      </c>
      <c r="E84" s="148">
        <v>80377</v>
      </c>
      <c r="F84" s="148">
        <f t="shared" si="24"/>
        <v>74309</v>
      </c>
      <c r="G84" s="148">
        <f t="shared" si="31"/>
        <v>6068</v>
      </c>
      <c r="H84" s="148">
        <v>9.25</v>
      </c>
      <c r="I84" s="148">
        <f t="shared" si="32"/>
        <v>712849</v>
      </c>
    </row>
    <row r="85" spans="2:9" x14ac:dyDescent="0.25">
      <c r="B85" s="146">
        <f t="shared" si="29"/>
        <v>22</v>
      </c>
      <c r="C85" s="147">
        <f t="shared" si="30"/>
        <v>46039</v>
      </c>
      <c r="E85" s="148">
        <v>80377</v>
      </c>
      <c r="F85" s="148">
        <f t="shared" si="24"/>
        <v>74882</v>
      </c>
      <c r="G85" s="148">
        <f t="shared" si="31"/>
        <v>5495</v>
      </c>
      <c r="H85" s="148">
        <v>9.25</v>
      </c>
      <c r="I85" s="148">
        <f t="shared" si="32"/>
        <v>637967</v>
      </c>
    </row>
    <row r="86" spans="2:9" x14ac:dyDescent="0.25">
      <c r="B86" s="146">
        <f t="shared" si="29"/>
        <v>23</v>
      </c>
      <c r="C86" s="147">
        <f t="shared" si="30"/>
        <v>46070</v>
      </c>
      <c r="E86" s="148">
        <v>80377</v>
      </c>
      <c r="F86" s="148">
        <f t="shared" si="24"/>
        <v>75459</v>
      </c>
      <c r="G86" s="148">
        <f t="shared" si="31"/>
        <v>4918</v>
      </c>
      <c r="H86" s="148">
        <v>9.25</v>
      </c>
      <c r="I86" s="148">
        <f t="shared" si="32"/>
        <v>562508</v>
      </c>
    </row>
    <row r="87" spans="2:9" x14ac:dyDescent="0.25">
      <c r="B87" s="146">
        <f t="shared" si="29"/>
        <v>24</v>
      </c>
      <c r="C87" s="147">
        <f t="shared" ref="C87" si="33">EDATE(C86,1)</f>
        <v>46098</v>
      </c>
      <c r="E87" s="148">
        <v>80377</v>
      </c>
      <c r="F87" s="148">
        <f t="shared" si="24"/>
        <v>76041</v>
      </c>
      <c r="G87" s="148">
        <f t="shared" ref="G87" si="34">ROUND(+I86*H87/1200,0)</f>
        <v>4336</v>
      </c>
      <c r="H87" s="148">
        <v>9.25</v>
      </c>
      <c r="I87" s="148">
        <f t="shared" ref="I87" si="35">+I86+G87-E87</f>
        <v>486467</v>
      </c>
    </row>
    <row r="88" spans="2:9" x14ac:dyDescent="0.25">
      <c r="B88" s="141" t="s">
        <v>119</v>
      </c>
      <c r="E88" s="149">
        <f>SUM(E76:E87)</f>
        <v>964524</v>
      </c>
      <c r="F88" s="149">
        <f>SUM(F76:F87)</f>
        <v>875064</v>
      </c>
      <c r="G88" s="149">
        <f>SUM(G76:G87)</f>
        <v>89460</v>
      </c>
    </row>
    <row r="89" spans="2:9" x14ac:dyDescent="0.25">
      <c r="B89" s="151">
        <v>25</v>
      </c>
      <c r="C89" s="147">
        <f>EDATE(C87,1)</f>
        <v>46129</v>
      </c>
      <c r="E89" s="148">
        <v>80377</v>
      </c>
      <c r="F89" s="148">
        <f t="shared" si="24"/>
        <v>76627</v>
      </c>
      <c r="G89" s="148">
        <f>ROUND(+I87*H89/1200,0)</f>
        <v>3750</v>
      </c>
      <c r="H89" s="148">
        <v>9.25</v>
      </c>
      <c r="I89" s="148">
        <f>+I87+G89-E89</f>
        <v>409840</v>
      </c>
    </row>
    <row r="90" spans="2:9" x14ac:dyDescent="0.25">
      <c r="B90" s="151">
        <v>26</v>
      </c>
      <c r="C90" s="147">
        <f>EDATE(C89,1)</f>
        <v>46159</v>
      </c>
      <c r="E90" s="148">
        <v>80377</v>
      </c>
      <c r="F90" s="148">
        <f t="shared" si="24"/>
        <v>77218</v>
      </c>
      <c r="G90" s="148">
        <f t="shared" ref="G90:G94" si="36">ROUND(+I89*H90/1200,0)</f>
        <v>3159</v>
      </c>
      <c r="H90" s="148">
        <v>9.25</v>
      </c>
      <c r="I90" s="148">
        <f t="shared" ref="I90:I95" si="37">+I89+G90-E90</f>
        <v>332622</v>
      </c>
    </row>
    <row r="91" spans="2:9" x14ac:dyDescent="0.25">
      <c r="B91" s="151">
        <v>27</v>
      </c>
      <c r="C91" s="147">
        <f t="shared" ref="C91:C95" si="38">EDATE(C90,1)</f>
        <v>46190</v>
      </c>
      <c r="E91" s="148">
        <v>80377</v>
      </c>
      <c r="F91" s="148">
        <f t="shared" si="24"/>
        <v>77813</v>
      </c>
      <c r="G91" s="148">
        <f t="shared" si="36"/>
        <v>2564</v>
      </c>
      <c r="H91" s="148">
        <v>9.25</v>
      </c>
      <c r="I91" s="148">
        <f t="shared" si="37"/>
        <v>254809</v>
      </c>
    </row>
    <row r="92" spans="2:9" x14ac:dyDescent="0.25">
      <c r="B92" s="151">
        <v>28</v>
      </c>
      <c r="C92" s="147">
        <f t="shared" si="38"/>
        <v>46220</v>
      </c>
      <c r="E92" s="148">
        <v>80377</v>
      </c>
      <c r="F92" s="148">
        <f t="shared" si="24"/>
        <v>78413</v>
      </c>
      <c r="G92" s="148">
        <f t="shared" si="36"/>
        <v>1964</v>
      </c>
      <c r="H92" s="148">
        <v>9.25</v>
      </c>
      <c r="I92" s="148">
        <f t="shared" si="37"/>
        <v>176396</v>
      </c>
    </row>
    <row r="93" spans="2:9" x14ac:dyDescent="0.25">
      <c r="B93" s="151">
        <v>29</v>
      </c>
      <c r="C93" s="147">
        <f t="shared" si="38"/>
        <v>46251</v>
      </c>
      <c r="E93" s="148">
        <v>80377</v>
      </c>
      <c r="F93" s="148">
        <f t="shared" si="24"/>
        <v>79017</v>
      </c>
      <c r="G93" s="148">
        <f t="shared" si="36"/>
        <v>1360</v>
      </c>
      <c r="H93" s="148">
        <v>9.25</v>
      </c>
      <c r="I93" s="148">
        <f t="shared" si="37"/>
        <v>97379</v>
      </c>
    </row>
    <row r="94" spans="2:9" x14ac:dyDescent="0.25">
      <c r="B94" s="151">
        <v>30</v>
      </c>
      <c r="C94" s="147">
        <f t="shared" si="38"/>
        <v>46282</v>
      </c>
      <c r="E94" s="148">
        <v>80377</v>
      </c>
      <c r="F94" s="148">
        <f t="shared" si="24"/>
        <v>79626</v>
      </c>
      <c r="G94" s="148">
        <f t="shared" si="36"/>
        <v>751</v>
      </c>
      <c r="H94" s="148">
        <v>9.25</v>
      </c>
      <c r="I94" s="148">
        <f t="shared" si="37"/>
        <v>17753</v>
      </c>
    </row>
    <row r="95" spans="2:9" x14ac:dyDescent="0.25">
      <c r="B95" s="151">
        <v>31</v>
      </c>
      <c r="C95" s="147">
        <f t="shared" si="38"/>
        <v>46312</v>
      </c>
      <c r="E95" s="148">
        <f>F95+G95</f>
        <v>17890</v>
      </c>
      <c r="F95" s="148">
        <f>I94</f>
        <v>17753</v>
      </c>
      <c r="G95" s="148">
        <f t="shared" ref="G95" si="39">ROUND(+I94*H95/1200,0)</f>
        <v>137</v>
      </c>
      <c r="H95" s="148">
        <v>9.25</v>
      </c>
      <c r="I95" s="148">
        <f t="shared" si="37"/>
        <v>0</v>
      </c>
    </row>
    <row r="96" spans="2:9" x14ac:dyDescent="0.25">
      <c r="E96" s="149">
        <f>SUM(E89:E95)</f>
        <v>500152</v>
      </c>
      <c r="F96" s="149">
        <f t="shared" ref="F96:G96" si="40">SUM(F89:F95)</f>
        <v>486467</v>
      </c>
      <c r="G96" s="149">
        <f t="shared" si="40"/>
        <v>13685</v>
      </c>
      <c r="H96" s="148"/>
      <c r="I96" s="148"/>
    </row>
    <row r="97" spans="2:11" x14ac:dyDescent="0.25">
      <c r="E97" s="148"/>
      <c r="F97" s="148"/>
      <c r="G97" s="148"/>
      <c r="H97" s="148"/>
      <c r="I97" s="148"/>
    </row>
    <row r="98" spans="2:11" x14ac:dyDescent="0.25">
      <c r="E98" s="148"/>
      <c r="F98" s="148"/>
      <c r="G98" s="148"/>
      <c r="H98" s="148"/>
      <c r="I98" s="148"/>
    </row>
    <row r="100" spans="2:11" x14ac:dyDescent="0.25">
      <c r="B100" s="141" t="s">
        <v>342</v>
      </c>
    </row>
    <row r="102" spans="2:11" x14ac:dyDescent="0.25">
      <c r="B102" s="142" t="s">
        <v>98</v>
      </c>
      <c r="C102" s="142" t="s">
        <v>120</v>
      </c>
      <c r="D102" s="143" t="s">
        <v>112</v>
      </c>
      <c r="E102" s="142" t="s">
        <v>113</v>
      </c>
      <c r="F102" s="142" t="s">
        <v>114</v>
      </c>
      <c r="G102" s="142" t="s">
        <v>100</v>
      </c>
      <c r="H102" s="142" t="s">
        <v>115</v>
      </c>
      <c r="I102" s="142" t="s">
        <v>116</v>
      </c>
    </row>
    <row r="103" spans="2:11" x14ac:dyDescent="0.25">
      <c r="B103" s="141" t="s">
        <v>117</v>
      </c>
      <c r="D103" s="144"/>
      <c r="E103" s="144"/>
      <c r="F103" s="144"/>
      <c r="G103" s="144"/>
      <c r="I103" s="145">
        <v>313801468</v>
      </c>
    </row>
    <row r="104" spans="2:11" x14ac:dyDescent="0.25">
      <c r="B104" s="146">
        <v>1</v>
      </c>
      <c r="C104" s="147">
        <v>45389</v>
      </c>
      <c r="E104" s="148">
        <f t="shared" ref="E104:E106" si="41">+F104+G104</f>
        <v>2615012</v>
      </c>
      <c r="F104" s="148"/>
      <c r="G104" s="148">
        <f t="shared" ref="G104:G106" si="42">ROUND(+I103*H104/1200,0)</f>
        <v>2615012</v>
      </c>
      <c r="H104" s="148">
        <v>10</v>
      </c>
      <c r="I104" s="148">
        <f>+I103+G104-E104</f>
        <v>313801468</v>
      </c>
    </row>
    <row r="105" spans="2:11" x14ac:dyDescent="0.25">
      <c r="B105" s="146">
        <f>+B104+1</f>
        <v>2</v>
      </c>
      <c r="C105" s="147">
        <f>EDATE(C104,1)</f>
        <v>45419</v>
      </c>
      <c r="E105" s="148">
        <f t="shared" si="41"/>
        <v>2615012</v>
      </c>
      <c r="F105" s="148"/>
      <c r="G105" s="148">
        <f t="shared" si="42"/>
        <v>2615012</v>
      </c>
      <c r="H105" s="148">
        <v>10</v>
      </c>
      <c r="I105" s="148">
        <f>+I104+G105-E105</f>
        <v>313801468</v>
      </c>
    </row>
    <row r="106" spans="2:11" x14ac:dyDescent="0.25">
      <c r="B106" s="146">
        <f t="shared" ref="B106:B115" si="43">+B105+1</f>
        <v>3</v>
      </c>
      <c r="C106" s="147">
        <f t="shared" ref="C106:C115" si="44">EDATE(C105,1)</f>
        <v>45450</v>
      </c>
      <c r="E106" s="148">
        <f t="shared" si="41"/>
        <v>2615012</v>
      </c>
      <c r="F106" s="148"/>
      <c r="G106" s="148">
        <f t="shared" si="42"/>
        <v>2615012</v>
      </c>
      <c r="H106" s="148">
        <v>10</v>
      </c>
      <c r="I106" s="148">
        <f t="shared" ref="I106:I115" si="45">+I105+G106-E106</f>
        <v>313801468</v>
      </c>
      <c r="K106" s="152">
        <f>PMT(H104/12,84,-I103,0)</f>
        <v>261501223.33333334</v>
      </c>
    </row>
    <row r="107" spans="2:11" x14ac:dyDescent="0.25">
      <c r="B107" s="146">
        <f t="shared" si="43"/>
        <v>4</v>
      </c>
      <c r="C107" s="147">
        <f t="shared" si="44"/>
        <v>45480</v>
      </c>
      <c r="E107" s="148">
        <f t="shared" ref="E107" si="46">+F107+G107</f>
        <v>6215012</v>
      </c>
      <c r="F107" s="148">
        <v>3600000</v>
      </c>
      <c r="G107" s="148">
        <f t="shared" ref="G107" si="47">ROUND(+I106*H107/1200,0)</f>
        <v>2615012</v>
      </c>
      <c r="H107" s="148">
        <v>10</v>
      </c>
      <c r="I107" s="148">
        <f t="shared" si="45"/>
        <v>310201468</v>
      </c>
    </row>
    <row r="108" spans="2:11" x14ac:dyDescent="0.25">
      <c r="B108" s="146">
        <f t="shared" si="43"/>
        <v>5</v>
      </c>
      <c r="C108" s="147">
        <f t="shared" si="44"/>
        <v>45511</v>
      </c>
      <c r="E108" s="148">
        <f t="shared" ref="E108:E115" si="48">+F108+G108</f>
        <v>6185012</v>
      </c>
      <c r="F108" s="148">
        <v>3600000</v>
      </c>
      <c r="G108" s="148">
        <f t="shared" ref="G108:G115" si="49">ROUND(+I107*H108/1200,0)</f>
        <v>2585012</v>
      </c>
      <c r="H108" s="148">
        <v>10</v>
      </c>
      <c r="I108" s="148">
        <f t="shared" si="45"/>
        <v>306601468</v>
      </c>
    </row>
    <row r="109" spans="2:11" x14ac:dyDescent="0.25">
      <c r="B109" s="146">
        <f t="shared" si="43"/>
        <v>6</v>
      </c>
      <c r="C109" s="147">
        <f t="shared" si="44"/>
        <v>45542</v>
      </c>
      <c r="E109" s="148">
        <f t="shared" si="48"/>
        <v>6155012</v>
      </c>
      <c r="F109" s="148">
        <v>3600000</v>
      </c>
      <c r="G109" s="148">
        <f t="shared" si="49"/>
        <v>2555012</v>
      </c>
      <c r="H109" s="148">
        <v>10</v>
      </c>
      <c r="I109" s="148">
        <f t="shared" si="45"/>
        <v>303001468</v>
      </c>
    </row>
    <row r="110" spans="2:11" x14ac:dyDescent="0.25">
      <c r="B110" s="146">
        <f t="shared" si="43"/>
        <v>7</v>
      </c>
      <c r="C110" s="147">
        <f t="shared" si="44"/>
        <v>45572</v>
      </c>
      <c r="E110" s="148">
        <f t="shared" si="48"/>
        <v>6125012</v>
      </c>
      <c r="F110" s="148">
        <v>3600000</v>
      </c>
      <c r="G110" s="148">
        <f t="shared" si="49"/>
        <v>2525012</v>
      </c>
      <c r="H110" s="148">
        <v>10</v>
      </c>
      <c r="I110" s="148">
        <f t="shared" si="45"/>
        <v>299401468</v>
      </c>
    </row>
    <row r="111" spans="2:11" x14ac:dyDescent="0.25">
      <c r="B111" s="146">
        <f t="shared" si="43"/>
        <v>8</v>
      </c>
      <c r="C111" s="147">
        <f t="shared" si="44"/>
        <v>45603</v>
      </c>
      <c r="E111" s="148">
        <f t="shared" si="48"/>
        <v>6095012</v>
      </c>
      <c r="F111" s="148">
        <v>3600000</v>
      </c>
      <c r="G111" s="148">
        <f t="shared" si="49"/>
        <v>2495012</v>
      </c>
      <c r="H111" s="148">
        <v>10</v>
      </c>
      <c r="I111" s="148">
        <f t="shared" si="45"/>
        <v>295801468</v>
      </c>
    </row>
    <row r="112" spans="2:11" x14ac:dyDescent="0.25">
      <c r="B112" s="146">
        <f t="shared" si="43"/>
        <v>9</v>
      </c>
      <c r="C112" s="147">
        <f t="shared" si="44"/>
        <v>45633</v>
      </c>
      <c r="E112" s="148">
        <f t="shared" si="48"/>
        <v>6065012</v>
      </c>
      <c r="F112" s="148">
        <v>3600000</v>
      </c>
      <c r="G112" s="148">
        <f t="shared" si="49"/>
        <v>2465012</v>
      </c>
      <c r="H112" s="148">
        <v>10</v>
      </c>
      <c r="I112" s="148">
        <f t="shared" si="45"/>
        <v>292201468</v>
      </c>
    </row>
    <row r="113" spans="2:9" x14ac:dyDescent="0.25">
      <c r="B113" s="146">
        <f t="shared" si="43"/>
        <v>10</v>
      </c>
      <c r="C113" s="147">
        <f t="shared" si="44"/>
        <v>45664</v>
      </c>
      <c r="E113" s="148">
        <f t="shared" si="48"/>
        <v>6035012</v>
      </c>
      <c r="F113" s="148">
        <v>3600000</v>
      </c>
      <c r="G113" s="148">
        <f t="shared" si="49"/>
        <v>2435012</v>
      </c>
      <c r="H113" s="148">
        <v>10</v>
      </c>
      <c r="I113" s="148">
        <f t="shared" si="45"/>
        <v>288601468</v>
      </c>
    </row>
    <row r="114" spans="2:9" x14ac:dyDescent="0.25">
      <c r="B114" s="146">
        <f t="shared" si="43"/>
        <v>11</v>
      </c>
      <c r="C114" s="147">
        <f t="shared" si="44"/>
        <v>45695</v>
      </c>
      <c r="E114" s="148">
        <f t="shared" si="48"/>
        <v>6005012</v>
      </c>
      <c r="F114" s="148">
        <v>3600000</v>
      </c>
      <c r="G114" s="148">
        <f t="shared" si="49"/>
        <v>2405012</v>
      </c>
      <c r="H114" s="148">
        <v>10</v>
      </c>
      <c r="I114" s="148">
        <f t="shared" si="45"/>
        <v>285001468</v>
      </c>
    </row>
    <row r="115" spans="2:9" x14ac:dyDescent="0.25">
      <c r="B115" s="146">
        <f t="shared" si="43"/>
        <v>12</v>
      </c>
      <c r="C115" s="147">
        <f t="shared" si="44"/>
        <v>45723</v>
      </c>
      <c r="E115" s="148">
        <f t="shared" si="48"/>
        <v>5975012</v>
      </c>
      <c r="F115" s="148">
        <v>3600000</v>
      </c>
      <c r="G115" s="148">
        <f t="shared" si="49"/>
        <v>2375012</v>
      </c>
      <c r="H115" s="148">
        <v>10</v>
      </c>
      <c r="I115" s="148">
        <f t="shared" si="45"/>
        <v>281401468</v>
      </c>
    </row>
    <row r="116" spans="2:9" x14ac:dyDescent="0.25">
      <c r="B116" s="141" t="s">
        <v>118</v>
      </c>
      <c r="E116" s="149">
        <f>SUM(E104:E115)</f>
        <v>62700144</v>
      </c>
      <c r="F116" s="149">
        <f>SUM(F104:F115)</f>
        <v>32400000</v>
      </c>
      <c r="G116" s="149">
        <f>SUM(G104:G115)</f>
        <v>30300144</v>
      </c>
    </row>
    <row r="117" spans="2:9" x14ac:dyDescent="0.25">
      <c r="B117" s="146">
        <f>+B115+1</f>
        <v>13</v>
      </c>
      <c r="C117" s="147">
        <f>EDATE(C115,1)</f>
        <v>45754</v>
      </c>
      <c r="E117" s="148">
        <f>+F117+G117</f>
        <v>5945012</v>
      </c>
      <c r="F117" s="148">
        <v>3600000</v>
      </c>
      <c r="G117" s="148">
        <f>ROUND(+I115*H117/1200,0)</f>
        <v>2345012</v>
      </c>
      <c r="H117" s="148">
        <v>10</v>
      </c>
      <c r="I117" s="148">
        <f>+I115+G117-E117</f>
        <v>277801468</v>
      </c>
    </row>
    <row r="118" spans="2:9" x14ac:dyDescent="0.25">
      <c r="B118" s="146">
        <f>+B117+1</f>
        <v>14</v>
      </c>
      <c r="C118" s="147">
        <f>EDATE(C117,1)</f>
        <v>45784</v>
      </c>
      <c r="E118" s="148">
        <f>+F118+G118</f>
        <v>5915012</v>
      </c>
      <c r="F118" s="148">
        <v>3600000</v>
      </c>
      <c r="G118" s="148">
        <f>ROUND(+I117*H118/1200,0)</f>
        <v>2315012</v>
      </c>
      <c r="H118" s="148">
        <v>10</v>
      </c>
      <c r="I118" s="148">
        <f>+I117+G118-E118</f>
        <v>274201468</v>
      </c>
    </row>
    <row r="119" spans="2:9" x14ac:dyDescent="0.25">
      <c r="B119" s="146">
        <f t="shared" ref="B119:B128" si="50">+B118+1</f>
        <v>15</v>
      </c>
      <c r="C119" s="147">
        <f t="shared" ref="C119:C128" si="51">EDATE(C118,1)</f>
        <v>45815</v>
      </c>
      <c r="E119" s="148">
        <f t="shared" ref="E119:E128" si="52">+F119+G119</f>
        <v>5885012</v>
      </c>
      <c r="F119" s="148">
        <v>3600000</v>
      </c>
      <c r="G119" s="148">
        <f t="shared" ref="G119:G128" si="53">ROUND(+I118*H119/1200,0)</f>
        <v>2285012</v>
      </c>
      <c r="H119" s="148">
        <v>10</v>
      </c>
      <c r="I119" s="148">
        <f t="shared" ref="I119:I128" si="54">+I118+G119-E119</f>
        <v>270601468</v>
      </c>
    </row>
    <row r="120" spans="2:9" x14ac:dyDescent="0.25">
      <c r="B120" s="146">
        <f t="shared" si="50"/>
        <v>16</v>
      </c>
      <c r="C120" s="147">
        <f t="shared" si="51"/>
        <v>45845</v>
      </c>
      <c r="E120" s="148">
        <f t="shared" si="52"/>
        <v>5855012</v>
      </c>
      <c r="F120" s="148">
        <v>3600000</v>
      </c>
      <c r="G120" s="148">
        <f t="shared" si="53"/>
        <v>2255012</v>
      </c>
      <c r="H120" s="148">
        <v>10</v>
      </c>
      <c r="I120" s="148">
        <f t="shared" si="54"/>
        <v>267001468</v>
      </c>
    </row>
    <row r="121" spans="2:9" x14ac:dyDescent="0.25">
      <c r="B121" s="146">
        <f t="shared" si="50"/>
        <v>17</v>
      </c>
      <c r="C121" s="147">
        <f t="shared" si="51"/>
        <v>45876</v>
      </c>
      <c r="E121" s="148">
        <f t="shared" si="52"/>
        <v>5825012</v>
      </c>
      <c r="F121" s="148">
        <v>3600000</v>
      </c>
      <c r="G121" s="148">
        <f t="shared" si="53"/>
        <v>2225012</v>
      </c>
      <c r="H121" s="148">
        <v>10</v>
      </c>
      <c r="I121" s="148">
        <f t="shared" si="54"/>
        <v>263401468</v>
      </c>
    </row>
    <row r="122" spans="2:9" x14ac:dyDescent="0.25">
      <c r="B122" s="146">
        <f t="shared" si="50"/>
        <v>18</v>
      </c>
      <c r="C122" s="147">
        <f t="shared" si="51"/>
        <v>45907</v>
      </c>
      <c r="E122" s="148">
        <f t="shared" si="52"/>
        <v>5795012</v>
      </c>
      <c r="F122" s="148">
        <v>3600000</v>
      </c>
      <c r="G122" s="148">
        <f t="shared" si="53"/>
        <v>2195012</v>
      </c>
      <c r="H122" s="148">
        <v>10</v>
      </c>
      <c r="I122" s="148">
        <f t="shared" si="54"/>
        <v>259801468</v>
      </c>
    </row>
    <row r="123" spans="2:9" x14ac:dyDescent="0.25">
      <c r="B123" s="146">
        <f t="shared" si="50"/>
        <v>19</v>
      </c>
      <c r="C123" s="147">
        <f t="shared" si="51"/>
        <v>45937</v>
      </c>
      <c r="E123" s="148">
        <f t="shared" si="52"/>
        <v>5765012</v>
      </c>
      <c r="F123" s="148">
        <v>3600000</v>
      </c>
      <c r="G123" s="148">
        <f t="shared" si="53"/>
        <v>2165012</v>
      </c>
      <c r="H123" s="148">
        <v>10</v>
      </c>
      <c r="I123" s="148">
        <f t="shared" si="54"/>
        <v>256201468</v>
      </c>
    </row>
    <row r="124" spans="2:9" x14ac:dyDescent="0.25">
      <c r="B124" s="146">
        <f t="shared" si="50"/>
        <v>20</v>
      </c>
      <c r="C124" s="147">
        <f t="shared" si="51"/>
        <v>45968</v>
      </c>
      <c r="E124" s="148">
        <f t="shared" si="52"/>
        <v>5735012</v>
      </c>
      <c r="F124" s="148">
        <v>3600000</v>
      </c>
      <c r="G124" s="148">
        <f t="shared" si="53"/>
        <v>2135012</v>
      </c>
      <c r="H124" s="148">
        <v>10</v>
      </c>
      <c r="I124" s="148">
        <f t="shared" si="54"/>
        <v>252601468</v>
      </c>
    </row>
    <row r="125" spans="2:9" x14ac:dyDescent="0.25">
      <c r="B125" s="146">
        <f t="shared" si="50"/>
        <v>21</v>
      </c>
      <c r="C125" s="147">
        <f t="shared" si="51"/>
        <v>45998</v>
      </c>
      <c r="E125" s="148">
        <f t="shared" si="52"/>
        <v>5705012</v>
      </c>
      <c r="F125" s="148">
        <v>3600000</v>
      </c>
      <c r="G125" s="148">
        <f t="shared" si="53"/>
        <v>2105012</v>
      </c>
      <c r="H125" s="148">
        <v>10</v>
      </c>
      <c r="I125" s="148">
        <f t="shared" si="54"/>
        <v>249001468</v>
      </c>
    </row>
    <row r="126" spans="2:9" x14ac:dyDescent="0.25">
      <c r="B126" s="146">
        <f t="shared" si="50"/>
        <v>22</v>
      </c>
      <c r="C126" s="147">
        <f t="shared" si="51"/>
        <v>46029</v>
      </c>
      <c r="E126" s="148">
        <f t="shared" si="52"/>
        <v>5675012</v>
      </c>
      <c r="F126" s="148">
        <v>3600000</v>
      </c>
      <c r="G126" s="148">
        <f t="shared" si="53"/>
        <v>2075012</v>
      </c>
      <c r="H126" s="148">
        <v>10</v>
      </c>
      <c r="I126" s="148">
        <f t="shared" si="54"/>
        <v>245401468</v>
      </c>
    </row>
    <row r="127" spans="2:9" x14ac:dyDescent="0.25">
      <c r="B127" s="146">
        <f t="shared" si="50"/>
        <v>23</v>
      </c>
      <c r="C127" s="147">
        <f t="shared" si="51"/>
        <v>46060</v>
      </c>
      <c r="E127" s="148">
        <f t="shared" si="52"/>
        <v>5645012</v>
      </c>
      <c r="F127" s="148">
        <v>3600000</v>
      </c>
      <c r="G127" s="148">
        <f t="shared" si="53"/>
        <v>2045012</v>
      </c>
      <c r="H127" s="148">
        <v>10</v>
      </c>
      <c r="I127" s="148">
        <f t="shared" si="54"/>
        <v>241801468</v>
      </c>
    </row>
    <row r="128" spans="2:9" x14ac:dyDescent="0.25">
      <c r="B128" s="146">
        <f t="shared" si="50"/>
        <v>24</v>
      </c>
      <c r="C128" s="147">
        <f t="shared" si="51"/>
        <v>46088</v>
      </c>
      <c r="E128" s="148">
        <f t="shared" si="52"/>
        <v>5615012</v>
      </c>
      <c r="F128" s="148">
        <v>3600000</v>
      </c>
      <c r="G128" s="148">
        <f t="shared" si="53"/>
        <v>2015012</v>
      </c>
      <c r="H128" s="148">
        <v>10</v>
      </c>
      <c r="I128" s="148">
        <f t="shared" si="54"/>
        <v>238201468</v>
      </c>
    </row>
    <row r="129" spans="2:9" x14ac:dyDescent="0.25">
      <c r="B129" s="141" t="s">
        <v>119</v>
      </c>
      <c r="E129" s="149">
        <f>SUM(E117:E128)</f>
        <v>69360144</v>
      </c>
      <c r="F129" s="149">
        <f>SUM(F117:F128)</f>
        <v>43200000</v>
      </c>
      <c r="G129" s="149">
        <f>SUM(G117:G128)</f>
        <v>26160144</v>
      </c>
    </row>
    <row r="130" spans="2:9" x14ac:dyDescent="0.25">
      <c r="B130" s="146">
        <f>+B128+1</f>
        <v>25</v>
      </c>
      <c r="C130" s="147">
        <f>EDATE(C128,1)</f>
        <v>46119</v>
      </c>
      <c r="E130" s="148">
        <f>+F130+G130</f>
        <v>5985012</v>
      </c>
      <c r="F130" s="148">
        <v>4000000</v>
      </c>
      <c r="G130" s="148">
        <f>ROUND(+I128*H130/1200,0)</f>
        <v>1985012</v>
      </c>
      <c r="H130" s="148">
        <v>10</v>
      </c>
      <c r="I130" s="148">
        <f>+I128+G130-E130</f>
        <v>234201468</v>
      </c>
    </row>
    <row r="131" spans="2:9" x14ac:dyDescent="0.25">
      <c r="B131" s="146">
        <f>+B130+1</f>
        <v>26</v>
      </c>
      <c r="C131" s="147">
        <f>EDATE(C130,1)</f>
        <v>46149</v>
      </c>
      <c r="E131" s="148">
        <f>+F131+G131</f>
        <v>5951679</v>
      </c>
      <c r="F131" s="148">
        <v>4000000</v>
      </c>
      <c r="G131" s="148">
        <f>ROUND(+I130*H131/1200,0)</f>
        <v>1951679</v>
      </c>
      <c r="H131" s="148">
        <v>10</v>
      </c>
      <c r="I131" s="148">
        <f>+I130+G131-E131</f>
        <v>230201468</v>
      </c>
    </row>
    <row r="132" spans="2:9" x14ac:dyDescent="0.25">
      <c r="B132" s="146">
        <f t="shared" ref="B132:B141" si="55">+B131+1</f>
        <v>27</v>
      </c>
      <c r="C132" s="147">
        <f t="shared" ref="C132:C141" si="56">EDATE(C131,1)</f>
        <v>46180</v>
      </c>
      <c r="E132" s="148">
        <f t="shared" ref="E132:E141" si="57">+F132+G132</f>
        <v>5918346</v>
      </c>
      <c r="F132" s="148">
        <v>4000000</v>
      </c>
      <c r="G132" s="148">
        <f t="shared" ref="G132:G141" si="58">ROUND(+I131*H132/1200,0)</f>
        <v>1918346</v>
      </c>
      <c r="H132" s="148">
        <v>10</v>
      </c>
      <c r="I132" s="148">
        <f t="shared" ref="I132:I141" si="59">+I131+G132-E132</f>
        <v>226201468</v>
      </c>
    </row>
    <row r="133" spans="2:9" x14ac:dyDescent="0.25">
      <c r="B133" s="146">
        <f t="shared" si="55"/>
        <v>28</v>
      </c>
      <c r="C133" s="147">
        <f t="shared" si="56"/>
        <v>46210</v>
      </c>
      <c r="E133" s="148">
        <f t="shared" si="57"/>
        <v>5885012</v>
      </c>
      <c r="F133" s="148">
        <v>4000000</v>
      </c>
      <c r="G133" s="148">
        <f t="shared" si="58"/>
        <v>1885012</v>
      </c>
      <c r="H133" s="148">
        <v>10</v>
      </c>
      <c r="I133" s="148">
        <f t="shared" si="59"/>
        <v>222201468</v>
      </c>
    </row>
    <row r="134" spans="2:9" x14ac:dyDescent="0.25">
      <c r="B134" s="146">
        <f t="shared" si="55"/>
        <v>29</v>
      </c>
      <c r="C134" s="147">
        <f t="shared" si="56"/>
        <v>46241</v>
      </c>
      <c r="E134" s="148">
        <f t="shared" si="57"/>
        <v>5851679</v>
      </c>
      <c r="F134" s="148">
        <v>4000000</v>
      </c>
      <c r="G134" s="148">
        <f t="shared" si="58"/>
        <v>1851679</v>
      </c>
      <c r="H134" s="148">
        <v>10</v>
      </c>
      <c r="I134" s="148">
        <f t="shared" si="59"/>
        <v>218201468</v>
      </c>
    </row>
    <row r="135" spans="2:9" x14ac:dyDescent="0.25">
      <c r="B135" s="146">
        <f t="shared" si="55"/>
        <v>30</v>
      </c>
      <c r="C135" s="147">
        <f t="shared" si="56"/>
        <v>46272</v>
      </c>
      <c r="E135" s="148">
        <f t="shared" si="57"/>
        <v>5818346</v>
      </c>
      <c r="F135" s="148">
        <v>4000000</v>
      </c>
      <c r="G135" s="148">
        <f t="shared" si="58"/>
        <v>1818346</v>
      </c>
      <c r="H135" s="148">
        <v>10</v>
      </c>
      <c r="I135" s="148">
        <f t="shared" si="59"/>
        <v>214201468</v>
      </c>
    </row>
    <row r="136" spans="2:9" x14ac:dyDescent="0.25">
      <c r="B136" s="146">
        <f t="shared" si="55"/>
        <v>31</v>
      </c>
      <c r="C136" s="147">
        <f t="shared" si="56"/>
        <v>46302</v>
      </c>
      <c r="E136" s="148">
        <f t="shared" si="57"/>
        <v>5785012</v>
      </c>
      <c r="F136" s="148">
        <v>4000000</v>
      </c>
      <c r="G136" s="148">
        <f t="shared" si="58"/>
        <v>1785012</v>
      </c>
      <c r="H136" s="148">
        <v>10</v>
      </c>
      <c r="I136" s="148">
        <f t="shared" si="59"/>
        <v>210201468</v>
      </c>
    </row>
    <row r="137" spans="2:9" x14ac:dyDescent="0.25">
      <c r="B137" s="146">
        <f t="shared" si="55"/>
        <v>32</v>
      </c>
      <c r="C137" s="147">
        <f t="shared" si="56"/>
        <v>46333</v>
      </c>
      <c r="E137" s="148">
        <f t="shared" si="57"/>
        <v>5751679</v>
      </c>
      <c r="F137" s="148">
        <v>4000000</v>
      </c>
      <c r="G137" s="148">
        <f t="shared" si="58"/>
        <v>1751679</v>
      </c>
      <c r="H137" s="148">
        <v>10</v>
      </c>
      <c r="I137" s="148">
        <f t="shared" si="59"/>
        <v>206201468</v>
      </c>
    </row>
    <row r="138" spans="2:9" x14ac:dyDescent="0.25">
      <c r="B138" s="146">
        <f t="shared" si="55"/>
        <v>33</v>
      </c>
      <c r="C138" s="147">
        <f t="shared" si="56"/>
        <v>46363</v>
      </c>
      <c r="E138" s="148">
        <f t="shared" si="57"/>
        <v>5718346</v>
      </c>
      <c r="F138" s="148">
        <v>4000000</v>
      </c>
      <c r="G138" s="148">
        <f t="shared" si="58"/>
        <v>1718346</v>
      </c>
      <c r="H138" s="148">
        <v>10</v>
      </c>
      <c r="I138" s="148">
        <f t="shared" si="59"/>
        <v>202201468</v>
      </c>
    </row>
    <row r="139" spans="2:9" x14ac:dyDescent="0.25">
      <c r="B139" s="146">
        <f t="shared" si="55"/>
        <v>34</v>
      </c>
      <c r="C139" s="147">
        <f t="shared" si="56"/>
        <v>46394</v>
      </c>
      <c r="E139" s="148">
        <f t="shared" si="57"/>
        <v>5685012</v>
      </c>
      <c r="F139" s="148">
        <v>4000000</v>
      </c>
      <c r="G139" s="148">
        <f t="shared" si="58"/>
        <v>1685012</v>
      </c>
      <c r="H139" s="148">
        <v>10</v>
      </c>
      <c r="I139" s="148">
        <f t="shared" si="59"/>
        <v>198201468</v>
      </c>
    </row>
    <row r="140" spans="2:9" x14ac:dyDescent="0.25">
      <c r="B140" s="146">
        <f t="shared" si="55"/>
        <v>35</v>
      </c>
      <c r="C140" s="147">
        <f t="shared" si="56"/>
        <v>46425</v>
      </c>
      <c r="E140" s="148">
        <f t="shared" si="57"/>
        <v>5651679</v>
      </c>
      <c r="F140" s="148">
        <v>4000000</v>
      </c>
      <c r="G140" s="148">
        <f t="shared" si="58"/>
        <v>1651679</v>
      </c>
      <c r="H140" s="148">
        <v>10</v>
      </c>
      <c r="I140" s="148">
        <f t="shared" si="59"/>
        <v>194201468</v>
      </c>
    </row>
    <row r="141" spans="2:9" x14ac:dyDescent="0.25">
      <c r="B141" s="146">
        <f t="shared" si="55"/>
        <v>36</v>
      </c>
      <c r="C141" s="147">
        <f t="shared" si="56"/>
        <v>46453</v>
      </c>
      <c r="E141" s="148">
        <f t="shared" si="57"/>
        <v>5618346</v>
      </c>
      <c r="F141" s="148">
        <v>4000000</v>
      </c>
      <c r="G141" s="148">
        <f t="shared" si="58"/>
        <v>1618346</v>
      </c>
      <c r="H141" s="148">
        <v>10</v>
      </c>
      <c r="I141" s="148">
        <f t="shared" si="59"/>
        <v>190201468</v>
      </c>
    </row>
    <row r="142" spans="2:9" x14ac:dyDescent="0.25">
      <c r="B142" s="141" t="s">
        <v>121</v>
      </c>
      <c r="E142" s="149">
        <f>SUM(E130:E141)</f>
        <v>69620148</v>
      </c>
      <c r="F142" s="149">
        <f>SUM(F130:F141)</f>
        <v>48000000</v>
      </c>
      <c r="G142" s="149">
        <f>SUM(G130:G141)</f>
        <v>21620148</v>
      </c>
      <c r="H142" s="148"/>
      <c r="I142" s="148"/>
    </row>
    <row r="143" spans="2:9" x14ac:dyDescent="0.25">
      <c r="B143" s="146">
        <f>+B141+1</f>
        <v>37</v>
      </c>
      <c r="C143" s="147">
        <f>EDATE(C141,1)</f>
        <v>46484</v>
      </c>
      <c r="E143" s="148">
        <f>+F143+G143</f>
        <v>5585012</v>
      </c>
      <c r="F143" s="148">
        <v>4000000</v>
      </c>
      <c r="G143" s="148">
        <f>ROUND(+I141*H143/1200,0)</f>
        <v>1585012</v>
      </c>
      <c r="H143" s="148">
        <v>10</v>
      </c>
      <c r="I143" s="148">
        <f>+I141+G143-E143</f>
        <v>186201468</v>
      </c>
    </row>
    <row r="144" spans="2:9" x14ac:dyDescent="0.25">
      <c r="B144" s="146">
        <f>+B143+1</f>
        <v>38</v>
      </c>
      <c r="C144" s="147">
        <f>EDATE(C143,1)</f>
        <v>46514</v>
      </c>
      <c r="E144" s="148">
        <f>+F144+G144</f>
        <v>5551679</v>
      </c>
      <c r="F144" s="148">
        <v>4000000</v>
      </c>
      <c r="G144" s="148">
        <f>ROUND(+I143*H144/1200,0)</f>
        <v>1551679</v>
      </c>
      <c r="H144" s="148">
        <v>10</v>
      </c>
      <c r="I144" s="148">
        <f>+I143+G144-E144</f>
        <v>182201468</v>
      </c>
    </row>
    <row r="145" spans="2:9" x14ac:dyDescent="0.25">
      <c r="B145" s="146">
        <f t="shared" ref="B145:B154" si="60">+B144+1</f>
        <v>39</v>
      </c>
      <c r="C145" s="147">
        <f t="shared" ref="C145:C154" si="61">EDATE(C144,1)</f>
        <v>46545</v>
      </c>
      <c r="E145" s="148">
        <f t="shared" ref="E145:E154" si="62">+F145+G145</f>
        <v>5518346</v>
      </c>
      <c r="F145" s="148">
        <v>4000000</v>
      </c>
      <c r="G145" s="148">
        <f t="shared" ref="G145:G154" si="63">ROUND(+I144*H145/1200,0)</f>
        <v>1518346</v>
      </c>
      <c r="H145" s="148">
        <v>10</v>
      </c>
      <c r="I145" s="148">
        <f t="shared" ref="I145:I154" si="64">+I144+G145-E145</f>
        <v>178201468</v>
      </c>
    </row>
    <row r="146" spans="2:9" x14ac:dyDescent="0.25">
      <c r="B146" s="146">
        <f t="shared" si="60"/>
        <v>40</v>
      </c>
      <c r="C146" s="147">
        <f t="shared" si="61"/>
        <v>46575</v>
      </c>
      <c r="E146" s="148">
        <f t="shared" si="62"/>
        <v>5485012</v>
      </c>
      <c r="F146" s="148">
        <v>4000000</v>
      </c>
      <c r="G146" s="148">
        <f t="shared" si="63"/>
        <v>1485012</v>
      </c>
      <c r="H146" s="148">
        <v>10</v>
      </c>
      <c r="I146" s="148">
        <f t="shared" si="64"/>
        <v>174201468</v>
      </c>
    </row>
    <row r="147" spans="2:9" x14ac:dyDescent="0.25">
      <c r="B147" s="146">
        <f t="shared" si="60"/>
        <v>41</v>
      </c>
      <c r="C147" s="147">
        <f t="shared" si="61"/>
        <v>46606</v>
      </c>
      <c r="E147" s="148">
        <f t="shared" si="62"/>
        <v>5451679</v>
      </c>
      <c r="F147" s="148">
        <v>4000000</v>
      </c>
      <c r="G147" s="148">
        <f t="shared" si="63"/>
        <v>1451679</v>
      </c>
      <c r="H147" s="148">
        <v>10</v>
      </c>
      <c r="I147" s="148">
        <f t="shared" si="64"/>
        <v>170201468</v>
      </c>
    </row>
    <row r="148" spans="2:9" x14ac:dyDescent="0.25">
      <c r="B148" s="146">
        <f t="shared" si="60"/>
        <v>42</v>
      </c>
      <c r="C148" s="147">
        <f t="shared" si="61"/>
        <v>46637</v>
      </c>
      <c r="E148" s="148">
        <f t="shared" si="62"/>
        <v>5418346</v>
      </c>
      <c r="F148" s="148">
        <v>4000000</v>
      </c>
      <c r="G148" s="148">
        <f t="shared" si="63"/>
        <v>1418346</v>
      </c>
      <c r="H148" s="148">
        <v>10</v>
      </c>
      <c r="I148" s="148">
        <f t="shared" si="64"/>
        <v>166201468</v>
      </c>
    </row>
    <row r="149" spans="2:9" x14ac:dyDescent="0.25">
      <c r="B149" s="146">
        <f t="shared" si="60"/>
        <v>43</v>
      </c>
      <c r="C149" s="147">
        <f t="shared" si="61"/>
        <v>46667</v>
      </c>
      <c r="E149" s="148">
        <f t="shared" si="62"/>
        <v>5385012</v>
      </c>
      <c r="F149" s="148">
        <v>4000000</v>
      </c>
      <c r="G149" s="148">
        <f t="shared" si="63"/>
        <v>1385012</v>
      </c>
      <c r="H149" s="148">
        <v>10</v>
      </c>
      <c r="I149" s="148">
        <f t="shared" si="64"/>
        <v>162201468</v>
      </c>
    </row>
    <row r="150" spans="2:9" x14ac:dyDescent="0.25">
      <c r="B150" s="146">
        <f t="shared" si="60"/>
        <v>44</v>
      </c>
      <c r="C150" s="147">
        <f t="shared" si="61"/>
        <v>46698</v>
      </c>
      <c r="E150" s="148">
        <f t="shared" si="62"/>
        <v>5351679</v>
      </c>
      <c r="F150" s="148">
        <v>4000000</v>
      </c>
      <c r="G150" s="148">
        <f t="shared" si="63"/>
        <v>1351679</v>
      </c>
      <c r="H150" s="148">
        <v>10</v>
      </c>
      <c r="I150" s="148">
        <f t="shared" si="64"/>
        <v>158201468</v>
      </c>
    </row>
    <row r="151" spans="2:9" x14ac:dyDescent="0.25">
      <c r="B151" s="146">
        <f t="shared" si="60"/>
        <v>45</v>
      </c>
      <c r="C151" s="147">
        <f t="shared" si="61"/>
        <v>46728</v>
      </c>
      <c r="E151" s="148">
        <f t="shared" si="62"/>
        <v>5318346</v>
      </c>
      <c r="F151" s="148">
        <v>4000000</v>
      </c>
      <c r="G151" s="148">
        <f t="shared" si="63"/>
        <v>1318346</v>
      </c>
      <c r="H151" s="148">
        <v>10</v>
      </c>
      <c r="I151" s="148">
        <f t="shared" si="64"/>
        <v>154201468</v>
      </c>
    </row>
    <row r="152" spans="2:9" x14ac:dyDescent="0.25">
      <c r="B152" s="146">
        <f t="shared" si="60"/>
        <v>46</v>
      </c>
      <c r="C152" s="147">
        <f t="shared" si="61"/>
        <v>46759</v>
      </c>
      <c r="E152" s="148">
        <f t="shared" si="62"/>
        <v>5285012</v>
      </c>
      <c r="F152" s="148">
        <v>4000000</v>
      </c>
      <c r="G152" s="148">
        <f t="shared" si="63"/>
        <v>1285012</v>
      </c>
      <c r="H152" s="148">
        <v>10</v>
      </c>
      <c r="I152" s="148">
        <f t="shared" si="64"/>
        <v>150201468</v>
      </c>
    </row>
    <row r="153" spans="2:9" x14ac:dyDescent="0.25">
      <c r="B153" s="146">
        <f t="shared" si="60"/>
        <v>47</v>
      </c>
      <c r="C153" s="147">
        <f t="shared" si="61"/>
        <v>46790</v>
      </c>
      <c r="E153" s="148">
        <f t="shared" si="62"/>
        <v>5251679</v>
      </c>
      <c r="F153" s="148">
        <v>4000000</v>
      </c>
      <c r="G153" s="148">
        <f t="shared" si="63"/>
        <v>1251679</v>
      </c>
      <c r="H153" s="148">
        <v>10</v>
      </c>
      <c r="I153" s="148">
        <f t="shared" si="64"/>
        <v>146201468</v>
      </c>
    </row>
    <row r="154" spans="2:9" x14ac:dyDescent="0.25">
      <c r="B154" s="146">
        <f t="shared" si="60"/>
        <v>48</v>
      </c>
      <c r="C154" s="147">
        <f t="shared" si="61"/>
        <v>46819</v>
      </c>
      <c r="E154" s="148">
        <f t="shared" si="62"/>
        <v>5218346</v>
      </c>
      <c r="F154" s="148">
        <v>4000000</v>
      </c>
      <c r="G154" s="148">
        <f t="shared" si="63"/>
        <v>1218346</v>
      </c>
      <c r="H154" s="148">
        <v>10</v>
      </c>
      <c r="I154" s="148">
        <f t="shared" si="64"/>
        <v>142201468</v>
      </c>
    </row>
    <row r="155" spans="2:9" x14ac:dyDescent="0.25">
      <c r="B155" s="141" t="s">
        <v>122</v>
      </c>
      <c r="E155" s="149">
        <f>SUM(E143:E154)</f>
        <v>64820148</v>
      </c>
      <c r="F155" s="149">
        <f>SUM(F143:F154)</f>
        <v>48000000</v>
      </c>
      <c r="G155" s="149">
        <f>SUM(G143:G154)</f>
        <v>16820148</v>
      </c>
    </row>
    <row r="156" spans="2:9" x14ac:dyDescent="0.25">
      <c r="B156" s="146">
        <f>+B154+1</f>
        <v>49</v>
      </c>
      <c r="C156" s="147">
        <f>EDATE(C154,1)</f>
        <v>46850</v>
      </c>
      <c r="D156" s="145"/>
      <c r="E156" s="145">
        <f>+F156+G156</f>
        <v>5185012</v>
      </c>
      <c r="F156" s="148">
        <v>4000000</v>
      </c>
      <c r="G156" s="145">
        <f>ROUND(I154*H156/1200,0)</f>
        <v>1185012</v>
      </c>
      <c r="H156" s="145">
        <v>10</v>
      </c>
      <c r="I156" s="148">
        <f>+I154-E156+G156</f>
        <v>138201468</v>
      </c>
    </row>
    <row r="157" spans="2:9" x14ac:dyDescent="0.25">
      <c r="B157" s="146">
        <f>+B156+1</f>
        <v>50</v>
      </c>
      <c r="C157" s="147">
        <f>EDATE(C156,1)</f>
        <v>46880</v>
      </c>
      <c r="D157" s="145"/>
      <c r="E157" s="145">
        <f t="shared" ref="E157:E167" si="65">+F157+G157</f>
        <v>5151679</v>
      </c>
      <c r="F157" s="148">
        <v>4000000</v>
      </c>
      <c r="G157" s="148">
        <f>ROUND(+I156*H157/1200,0)</f>
        <v>1151679</v>
      </c>
      <c r="H157" s="145">
        <v>10</v>
      </c>
      <c r="I157" s="148">
        <f>+I156+D157-F157</f>
        <v>134201468</v>
      </c>
    </row>
    <row r="158" spans="2:9" x14ac:dyDescent="0.25">
      <c r="B158" s="146">
        <f t="shared" ref="B158:B167" si="66">+B157+1</f>
        <v>51</v>
      </c>
      <c r="C158" s="147">
        <f t="shared" ref="C158:C167" si="67">EDATE(C157,1)</f>
        <v>46911</v>
      </c>
      <c r="D158" s="145"/>
      <c r="E158" s="145">
        <f t="shared" si="65"/>
        <v>5118346</v>
      </c>
      <c r="F158" s="148">
        <v>4000000</v>
      </c>
      <c r="G158" s="148">
        <f t="shared" ref="G158:G167" si="68">ROUND(+I157*H158/1200,0)</f>
        <v>1118346</v>
      </c>
      <c r="H158" s="145">
        <v>10</v>
      </c>
      <c r="I158" s="148">
        <f t="shared" ref="I158:I167" si="69">+I157+D158-F158</f>
        <v>130201468</v>
      </c>
    </row>
    <row r="159" spans="2:9" x14ac:dyDescent="0.25">
      <c r="B159" s="146">
        <f t="shared" si="66"/>
        <v>52</v>
      </c>
      <c r="C159" s="147">
        <f t="shared" si="67"/>
        <v>46941</v>
      </c>
      <c r="D159" s="145"/>
      <c r="E159" s="145">
        <f t="shared" si="65"/>
        <v>5085012</v>
      </c>
      <c r="F159" s="148">
        <v>4000000</v>
      </c>
      <c r="G159" s="148">
        <f t="shared" si="68"/>
        <v>1085012</v>
      </c>
      <c r="H159" s="145">
        <v>10</v>
      </c>
      <c r="I159" s="148">
        <f t="shared" si="69"/>
        <v>126201468</v>
      </c>
    </row>
    <row r="160" spans="2:9" x14ac:dyDescent="0.25">
      <c r="B160" s="146">
        <f t="shared" si="66"/>
        <v>53</v>
      </c>
      <c r="C160" s="147">
        <f t="shared" si="67"/>
        <v>46972</v>
      </c>
      <c r="D160" s="145"/>
      <c r="E160" s="145">
        <f t="shared" si="65"/>
        <v>5051679</v>
      </c>
      <c r="F160" s="148">
        <v>4000000</v>
      </c>
      <c r="G160" s="148">
        <f t="shared" si="68"/>
        <v>1051679</v>
      </c>
      <c r="H160" s="145">
        <v>10</v>
      </c>
      <c r="I160" s="148">
        <f t="shared" si="69"/>
        <v>122201468</v>
      </c>
    </row>
    <row r="161" spans="2:9" x14ac:dyDescent="0.25">
      <c r="B161" s="146">
        <f t="shared" si="66"/>
        <v>54</v>
      </c>
      <c r="C161" s="147">
        <f t="shared" si="67"/>
        <v>47003</v>
      </c>
      <c r="D161" s="145"/>
      <c r="E161" s="145">
        <f t="shared" si="65"/>
        <v>5018346</v>
      </c>
      <c r="F161" s="148">
        <v>4000000</v>
      </c>
      <c r="G161" s="148">
        <f t="shared" si="68"/>
        <v>1018346</v>
      </c>
      <c r="H161" s="145">
        <v>10</v>
      </c>
      <c r="I161" s="148">
        <f t="shared" si="69"/>
        <v>118201468</v>
      </c>
    </row>
    <row r="162" spans="2:9" x14ac:dyDescent="0.25">
      <c r="B162" s="146">
        <f t="shared" si="66"/>
        <v>55</v>
      </c>
      <c r="C162" s="147">
        <f t="shared" si="67"/>
        <v>47033</v>
      </c>
      <c r="D162" s="145"/>
      <c r="E162" s="145">
        <f t="shared" si="65"/>
        <v>4985012</v>
      </c>
      <c r="F162" s="148">
        <v>4000000</v>
      </c>
      <c r="G162" s="148">
        <f t="shared" si="68"/>
        <v>985012</v>
      </c>
      <c r="H162" s="145">
        <v>10</v>
      </c>
      <c r="I162" s="148">
        <f t="shared" si="69"/>
        <v>114201468</v>
      </c>
    </row>
    <row r="163" spans="2:9" x14ac:dyDescent="0.25">
      <c r="B163" s="146">
        <f t="shared" si="66"/>
        <v>56</v>
      </c>
      <c r="C163" s="147">
        <f t="shared" si="67"/>
        <v>47064</v>
      </c>
      <c r="D163" s="145"/>
      <c r="E163" s="145">
        <f t="shared" si="65"/>
        <v>4951679</v>
      </c>
      <c r="F163" s="148">
        <v>4000000</v>
      </c>
      <c r="G163" s="148">
        <f t="shared" si="68"/>
        <v>951679</v>
      </c>
      <c r="H163" s="145">
        <v>10</v>
      </c>
      <c r="I163" s="148">
        <f t="shared" si="69"/>
        <v>110201468</v>
      </c>
    </row>
    <row r="164" spans="2:9" x14ac:dyDescent="0.25">
      <c r="B164" s="146">
        <f t="shared" si="66"/>
        <v>57</v>
      </c>
      <c r="C164" s="147">
        <f t="shared" si="67"/>
        <v>47094</v>
      </c>
      <c r="D164" s="145"/>
      <c r="E164" s="145">
        <f t="shared" si="65"/>
        <v>4918346</v>
      </c>
      <c r="F164" s="148">
        <v>4000000</v>
      </c>
      <c r="G164" s="148">
        <f t="shared" si="68"/>
        <v>918346</v>
      </c>
      <c r="H164" s="145">
        <v>10</v>
      </c>
      <c r="I164" s="148">
        <f t="shared" si="69"/>
        <v>106201468</v>
      </c>
    </row>
    <row r="165" spans="2:9" x14ac:dyDescent="0.25">
      <c r="B165" s="146">
        <f t="shared" si="66"/>
        <v>58</v>
      </c>
      <c r="C165" s="147">
        <f t="shared" si="67"/>
        <v>47125</v>
      </c>
      <c r="D165" s="145"/>
      <c r="E165" s="145">
        <f t="shared" si="65"/>
        <v>4885012</v>
      </c>
      <c r="F165" s="148">
        <v>4000000</v>
      </c>
      <c r="G165" s="148">
        <f t="shared" si="68"/>
        <v>885012</v>
      </c>
      <c r="H165" s="145">
        <v>10</v>
      </c>
      <c r="I165" s="148">
        <f t="shared" si="69"/>
        <v>102201468</v>
      </c>
    </row>
    <row r="166" spans="2:9" x14ac:dyDescent="0.25">
      <c r="B166" s="146">
        <f t="shared" si="66"/>
        <v>59</v>
      </c>
      <c r="C166" s="147">
        <f t="shared" si="67"/>
        <v>47156</v>
      </c>
      <c r="D166" s="145"/>
      <c r="E166" s="145">
        <f t="shared" si="65"/>
        <v>4851679</v>
      </c>
      <c r="F166" s="148">
        <v>4000000</v>
      </c>
      <c r="G166" s="148">
        <f t="shared" si="68"/>
        <v>851679</v>
      </c>
      <c r="H166" s="145">
        <v>10</v>
      </c>
      <c r="I166" s="148">
        <f t="shared" si="69"/>
        <v>98201468</v>
      </c>
    </row>
    <row r="167" spans="2:9" x14ac:dyDescent="0.25">
      <c r="B167" s="146">
        <f t="shared" si="66"/>
        <v>60</v>
      </c>
      <c r="C167" s="147">
        <f t="shared" si="67"/>
        <v>47184</v>
      </c>
      <c r="D167" s="145"/>
      <c r="E167" s="145">
        <f t="shared" si="65"/>
        <v>4818346</v>
      </c>
      <c r="F167" s="148">
        <v>4000000</v>
      </c>
      <c r="G167" s="148">
        <f t="shared" si="68"/>
        <v>818346</v>
      </c>
      <c r="H167" s="145">
        <v>10</v>
      </c>
      <c r="I167" s="148">
        <f t="shared" si="69"/>
        <v>94201468</v>
      </c>
    </row>
    <row r="168" spans="2:9" x14ac:dyDescent="0.25">
      <c r="B168" s="141" t="s">
        <v>123</v>
      </c>
      <c r="D168" s="145"/>
      <c r="E168" s="150">
        <f>SUM(E156:E167)</f>
        <v>60020148</v>
      </c>
      <c r="F168" s="150">
        <f>SUM(F156:F167)</f>
        <v>48000000</v>
      </c>
      <c r="G168" s="150">
        <f>SUM(G156:G167)</f>
        <v>12020148</v>
      </c>
      <c r="H168" s="145"/>
      <c r="I168" s="145"/>
    </row>
    <row r="169" spans="2:9" x14ac:dyDescent="0.25">
      <c r="B169" s="146">
        <f>+B167+1</f>
        <v>61</v>
      </c>
      <c r="C169" s="147">
        <f>EDATE(C167,1)</f>
        <v>47215</v>
      </c>
      <c r="D169" s="145"/>
      <c r="E169" s="145">
        <f>+F169+G169</f>
        <v>4785012</v>
      </c>
      <c r="F169" s="148">
        <v>4000000</v>
      </c>
      <c r="G169" s="145">
        <f>ROUND(+I167*H169/1200,0)</f>
        <v>785012</v>
      </c>
      <c r="H169" s="145">
        <v>10</v>
      </c>
      <c r="I169" s="148">
        <f>+I167+D169-F169</f>
        <v>90201468</v>
      </c>
    </row>
    <row r="170" spans="2:9" x14ac:dyDescent="0.25">
      <c r="B170" s="146">
        <f>+B169+1</f>
        <v>62</v>
      </c>
      <c r="C170" s="147">
        <f>EDATE(C169,1)</f>
        <v>47245</v>
      </c>
      <c r="D170" s="145"/>
      <c r="E170" s="145">
        <f t="shared" ref="E170:E180" si="70">+F170+G170</f>
        <v>4751679</v>
      </c>
      <c r="F170" s="148">
        <v>4000000</v>
      </c>
      <c r="G170" s="148">
        <f>ROUND(+I169*H170/1200,0)</f>
        <v>751679</v>
      </c>
      <c r="H170" s="145">
        <v>10</v>
      </c>
      <c r="I170" s="148">
        <f>+I169+D170-F170</f>
        <v>86201468</v>
      </c>
    </row>
    <row r="171" spans="2:9" x14ac:dyDescent="0.25">
      <c r="B171" s="146">
        <f t="shared" ref="B171:B180" si="71">+B170+1</f>
        <v>63</v>
      </c>
      <c r="C171" s="147">
        <f t="shared" ref="C171:C180" si="72">EDATE(C170,1)</f>
        <v>47276</v>
      </c>
      <c r="D171" s="145"/>
      <c r="E171" s="145">
        <f t="shared" si="70"/>
        <v>4718346</v>
      </c>
      <c r="F171" s="148">
        <v>4000000</v>
      </c>
      <c r="G171" s="148">
        <f t="shared" ref="G171:G180" si="73">ROUND(+I170*H171/1200,0)</f>
        <v>718346</v>
      </c>
      <c r="H171" s="145">
        <v>10</v>
      </c>
      <c r="I171" s="148">
        <f t="shared" ref="I171:I180" si="74">+I170+D171-F171</f>
        <v>82201468</v>
      </c>
    </row>
    <row r="172" spans="2:9" x14ac:dyDescent="0.25">
      <c r="B172" s="146">
        <f t="shared" si="71"/>
        <v>64</v>
      </c>
      <c r="C172" s="147">
        <f t="shared" si="72"/>
        <v>47306</v>
      </c>
      <c r="D172" s="145"/>
      <c r="E172" s="145">
        <f t="shared" si="70"/>
        <v>4685012</v>
      </c>
      <c r="F172" s="148">
        <v>4000000</v>
      </c>
      <c r="G172" s="148">
        <f t="shared" si="73"/>
        <v>685012</v>
      </c>
      <c r="H172" s="145">
        <v>10</v>
      </c>
      <c r="I172" s="148">
        <f t="shared" si="74"/>
        <v>78201468</v>
      </c>
    </row>
    <row r="173" spans="2:9" x14ac:dyDescent="0.25">
      <c r="B173" s="146">
        <f t="shared" si="71"/>
        <v>65</v>
      </c>
      <c r="C173" s="147">
        <f t="shared" si="72"/>
        <v>47337</v>
      </c>
      <c r="D173" s="145"/>
      <c r="E173" s="145">
        <f t="shared" si="70"/>
        <v>4651679</v>
      </c>
      <c r="F173" s="148">
        <v>4000000</v>
      </c>
      <c r="G173" s="148">
        <f t="shared" si="73"/>
        <v>651679</v>
      </c>
      <c r="H173" s="145">
        <v>10</v>
      </c>
      <c r="I173" s="148">
        <f t="shared" si="74"/>
        <v>74201468</v>
      </c>
    </row>
    <row r="174" spans="2:9" x14ac:dyDescent="0.25">
      <c r="B174" s="146">
        <f t="shared" si="71"/>
        <v>66</v>
      </c>
      <c r="C174" s="147">
        <f t="shared" si="72"/>
        <v>47368</v>
      </c>
      <c r="D174" s="145"/>
      <c r="E174" s="145">
        <f t="shared" si="70"/>
        <v>4618346</v>
      </c>
      <c r="F174" s="148">
        <v>4000000</v>
      </c>
      <c r="G174" s="148">
        <f t="shared" si="73"/>
        <v>618346</v>
      </c>
      <c r="H174" s="145">
        <v>10</v>
      </c>
      <c r="I174" s="148">
        <f t="shared" si="74"/>
        <v>70201468</v>
      </c>
    </row>
    <row r="175" spans="2:9" x14ac:dyDescent="0.25">
      <c r="B175" s="146">
        <f t="shared" si="71"/>
        <v>67</v>
      </c>
      <c r="C175" s="147">
        <f t="shared" si="72"/>
        <v>47398</v>
      </c>
      <c r="D175" s="145"/>
      <c r="E175" s="145">
        <f t="shared" si="70"/>
        <v>4585012</v>
      </c>
      <c r="F175" s="148">
        <v>4000000</v>
      </c>
      <c r="G175" s="148">
        <f t="shared" si="73"/>
        <v>585012</v>
      </c>
      <c r="H175" s="145">
        <v>10</v>
      </c>
      <c r="I175" s="148">
        <f t="shared" si="74"/>
        <v>66201468</v>
      </c>
    </row>
    <row r="176" spans="2:9" x14ac:dyDescent="0.25">
      <c r="B176" s="146">
        <f t="shared" si="71"/>
        <v>68</v>
      </c>
      <c r="C176" s="147">
        <f t="shared" si="72"/>
        <v>47429</v>
      </c>
      <c r="D176" s="145"/>
      <c r="E176" s="145">
        <f t="shared" si="70"/>
        <v>4551679</v>
      </c>
      <c r="F176" s="148">
        <v>4000000</v>
      </c>
      <c r="G176" s="148">
        <f t="shared" si="73"/>
        <v>551679</v>
      </c>
      <c r="H176" s="145">
        <v>10</v>
      </c>
      <c r="I176" s="148">
        <f t="shared" si="74"/>
        <v>62201468</v>
      </c>
    </row>
    <row r="177" spans="2:9" x14ac:dyDescent="0.25">
      <c r="B177" s="146">
        <f t="shared" si="71"/>
        <v>69</v>
      </c>
      <c r="C177" s="147">
        <f t="shared" si="72"/>
        <v>47459</v>
      </c>
      <c r="D177" s="145"/>
      <c r="E177" s="145">
        <f t="shared" si="70"/>
        <v>4518346</v>
      </c>
      <c r="F177" s="148">
        <v>4000000</v>
      </c>
      <c r="G177" s="148">
        <f t="shared" si="73"/>
        <v>518346</v>
      </c>
      <c r="H177" s="145">
        <v>10</v>
      </c>
      <c r="I177" s="148">
        <f t="shared" si="74"/>
        <v>58201468</v>
      </c>
    </row>
    <row r="178" spans="2:9" x14ac:dyDescent="0.25">
      <c r="B178" s="146">
        <f t="shared" si="71"/>
        <v>70</v>
      </c>
      <c r="C178" s="147">
        <f t="shared" si="72"/>
        <v>47490</v>
      </c>
      <c r="D178" s="145"/>
      <c r="E178" s="145">
        <f t="shared" si="70"/>
        <v>4485012</v>
      </c>
      <c r="F178" s="148">
        <v>4000000</v>
      </c>
      <c r="G178" s="148">
        <f t="shared" si="73"/>
        <v>485012</v>
      </c>
      <c r="H178" s="145">
        <v>10</v>
      </c>
      <c r="I178" s="148">
        <f t="shared" si="74"/>
        <v>54201468</v>
      </c>
    </row>
    <row r="179" spans="2:9" x14ac:dyDescent="0.25">
      <c r="B179" s="146">
        <f t="shared" si="71"/>
        <v>71</v>
      </c>
      <c r="C179" s="147">
        <f t="shared" si="72"/>
        <v>47521</v>
      </c>
      <c r="D179" s="145"/>
      <c r="E179" s="145">
        <f t="shared" si="70"/>
        <v>4451679</v>
      </c>
      <c r="F179" s="148">
        <v>4000000</v>
      </c>
      <c r="G179" s="148">
        <f t="shared" si="73"/>
        <v>451679</v>
      </c>
      <c r="H179" s="145">
        <v>10</v>
      </c>
      <c r="I179" s="148">
        <f t="shared" si="74"/>
        <v>50201468</v>
      </c>
    </row>
    <row r="180" spans="2:9" x14ac:dyDescent="0.25">
      <c r="B180" s="146">
        <f t="shared" si="71"/>
        <v>72</v>
      </c>
      <c r="C180" s="147">
        <f t="shared" si="72"/>
        <v>47549</v>
      </c>
      <c r="D180" s="145"/>
      <c r="E180" s="145">
        <f t="shared" si="70"/>
        <v>4418346</v>
      </c>
      <c r="F180" s="148">
        <v>4000000</v>
      </c>
      <c r="G180" s="148">
        <f t="shared" si="73"/>
        <v>418346</v>
      </c>
      <c r="H180" s="145">
        <v>10</v>
      </c>
      <c r="I180" s="148">
        <f t="shared" si="74"/>
        <v>46201468</v>
      </c>
    </row>
    <row r="181" spans="2:9" x14ac:dyDescent="0.25">
      <c r="B181" s="141" t="s">
        <v>124</v>
      </c>
      <c r="D181" s="145"/>
      <c r="E181" s="150">
        <f>SUM(E169:E180)</f>
        <v>55220148</v>
      </c>
      <c r="F181" s="150">
        <f>SUM(F169:F180)</f>
        <v>48000000</v>
      </c>
      <c r="G181" s="150">
        <f>SUM(G169:G180)</f>
        <v>7220148</v>
      </c>
      <c r="H181" s="145"/>
      <c r="I181" s="145"/>
    </row>
    <row r="182" spans="2:9" x14ac:dyDescent="0.25">
      <c r="B182" s="146">
        <f>+B180+1</f>
        <v>73</v>
      </c>
      <c r="C182" s="147">
        <f>EDATE(C180,1)</f>
        <v>47580</v>
      </c>
      <c r="D182" s="145"/>
      <c r="E182" s="145">
        <f>+F182+G182</f>
        <v>4385012</v>
      </c>
      <c r="F182" s="148">
        <v>4000000</v>
      </c>
      <c r="G182" s="145">
        <f>ROUND(+I180*H182/1200,0)</f>
        <v>385012</v>
      </c>
      <c r="H182" s="145">
        <v>10</v>
      </c>
      <c r="I182" s="148">
        <f>+I180+D182-F182</f>
        <v>42201468</v>
      </c>
    </row>
    <row r="183" spans="2:9" x14ac:dyDescent="0.25">
      <c r="B183" s="146">
        <f>+B182+1</f>
        <v>74</v>
      </c>
      <c r="C183" s="147">
        <f>EDATE(C182,1)</f>
        <v>47610</v>
      </c>
      <c r="D183" s="145"/>
      <c r="E183" s="145">
        <f t="shared" ref="E183:E193" si="75">+F183+G183</f>
        <v>4351679</v>
      </c>
      <c r="F183" s="148">
        <v>4000000</v>
      </c>
      <c r="G183" s="148">
        <f>ROUND(+I182*H183/1200,0)</f>
        <v>351679</v>
      </c>
      <c r="H183" s="145">
        <v>10</v>
      </c>
      <c r="I183" s="148">
        <f>+I182+D183-F183</f>
        <v>38201468</v>
      </c>
    </row>
    <row r="184" spans="2:9" x14ac:dyDescent="0.25">
      <c r="B184" s="146">
        <f t="shared" ref="B184:B193" si="76">+B183+1</f>
        <v>75</v>
      </c>
      <c r="C184" s="147">
        <f t="shared" ref="C184:C193" si="77">EDATE(C183,1)</f>
        <v>47641</v>
      </c>
      <c r="D184" s="145"/>
      <c r="E184" s="145">
        <f t="shared" si="75"/>
        <v>4318346</v>
      </c>
      <c r="F184" s="148">
        <v>4000000</v>
      </c>
      <c r="G184" s="148">
        <f t="shared" ref="G184:G193" si="78">ROUND(+I183*H184/1200,0)</f>
        <v>318346</v>
      </c>
      <c r="H184" s="145">
        <v>10</v>
      </c>
      <c r="I184" s="148">
        <f t="shared" ref="I184:I193" si="79">+I183+D184-F184</f>
        <v>34201468</v>
      </c>
    </row>
    <row r="185" spans="2:9" x14ac:dyDescent="0.25">
      <c r="B185" s="146">
        <f t="shared" si="76"/>
        <v>76</v>
      </c>
      <c r="C185" s="147">
        <f t="shared" si="77"/>
        <v>47671</v>
      </c>
      <c r="D185" s="145"/>
      <c r="E185" s="145">
        <f t="shared" si="75"/>
        <v>4285012</v>
      </c>
      <c r="F185" s="148">
        <v>4000000</v>
      </c>
      <c r="G185" s="148">
        <f t="shared" si="78"/>
        <v>285012</v>
      </c>
      <c r="H185" s="145">
        <v>10</v>
      </c>
      <c r="I185" s="148">
        <f t="shared" si="79"/>
        <v>30201468</v>
      </c>
    </row>
    <row r="186" spans="2:9" x14ac:dyDescent="0.25">
      <c r="B186" s="146">
        <f t="shared" si="76"/>
        <v>77</v>
      </c>
      <c r="C186" s="147">
        <f t="shared" si="77"/>
        <v>47702</v>
      </c>
      <c r="D186" s="145"/>
      <c r="E186" s="145">
        <f t="shared" si="75"/>
        <v>4251679</v>
      </c>
      <c r="F186" s="148">
        <v>4000000</v>
      </c>
      <c r="G186" s="148">
        <f t="shared" si="78"/>
        <v>251679</v>
      </c>
      <c r="H186" s="145">
        <v>10</v>
      </c>
      <c r="I186" s="148">
        <f t="shared" si="79"/>
        <v>26201468</v>
      </c>
    </row>
    <row r="187" spans="2:9" x14ac:dyDescent="0.25">
      <c r="B187" s="146">
        <f t="shared" si="76"/>
        <v>78</v>
      </c>
      <c r="C187" s="147">
        <f t="shared" si="77"/>
        <v>47733</v>
      </c>
      <c r="D187" s="145"/>
      <c r="E187" s="145">
        <f t="shared" si="75"/>
        <v>4218346</v>
      </c>
      <c r="F187" s="148">
        <v>4000000</v>
      </c>
      <c r="G187" s="148">
        <f t="shared" si="78"/>
        <v>218346</v>
      </c>
      <c r="H187" s="145">
        <v>10</v>
      </c>
      <c r="I187" s="148">
        <f t="shared" si="79"/>
        <v>22201468</v>
      </c>
    </row>
    <row r="188" spans="2:9" x14ac:dyDescent="0.25">
      <c r="B188" s="146">
        <f t="shared" si="76"/>
        <v>79</v>
      </c>
      <c r="C188" s="147">
        <f t="shared" si="77"/>
        <v>47763</v>
      </c>
      <c r="D188" s="145"/>
      <c r="E188" s="145">
        <f t="shared" si="75"/>
        <v>4185012</v>
      </c>
      <c r="F188" s="148">
        <v>4000000</v>
      </c>
      <c r="G188" s="148">
        <f t="shared" si="78"/>
        <v>185012</v>
      </c>
      <c r="H188" s="145">
        <v>10</v>
      </c>
      <c r="I188" s="148">
        <f t="shared" si="79"/>
        <v>18201468</v>
      </c>
    </row>
    <row r="189" spans="2:9" x14ac:dyDescent="0.25">
      <c r="B189" s="146">
        <f t="shared" si="76"/>
        <v>80</v>
      </c>
      <c r="C189" s="147">
        <f t="shared" si="77"/>
        <v>47794</v>
      </c>
      <c r="D189" s="145"/>
      <c r="E189" s="145">
        <f t="shared" si="75"/>
        <v>4151679</v>
      </c>
      <c r="F189" s="148">
        <v>4000000</v>
      </c>
      <c r="G189" s="148">
        <f t="shared" si="78"/>
        <v>151679</v>
      </c>
      <c r="H189" s="145">
        <v>10</v>
      </c>
      <c r="I189" s="148">
        <f t="shared" si="79"/>
        <v>14201468</v>
      </c>
    </row>
    <row r="190" spans="2:9" x14ac:dyDescent="0.25">
      <c r="B190" s="146">
        <f t="shared" si="76"/>
        <v>81</v>
      </c>
      <c r="C190" s="147">
        <f t="shared" si="77"/>
        <v>47824</v>
      </c>
      <c r="D190" s="145"/>
      <c r="E190" s="145">
        <f t="shared" si="75"/>
        <v>4118346</v>
      </c>
      <c r="F190" s="148">
        <v>4000000</v>
      </c>
      <c r="G190" s="148">
        <f t="shared" si="78"/>
        <v>118346</v>
      </c>
      <c r="H190" s="145">
        <v>10</v>
      </c>
      <c r="I190" s="148">
        <f t="shared" si="79"/>
        <v>10201468</v>
      </c>
    </row>
    <row r="191" spans="2:9" x14ac:dyDescent="0.25">
      <c r="B191" s="146">
        <f t="shared" si="76"/>
        <v>82</v>
      </c>
      <c r="C191" s="147">
        <f t="shared" si="77"/>
        <v>47855</v>
      </c>
      <c r="D191" s="145"/>
      <c r="E191" s="145">
        <f t="shared" si="75"/>
        <v>4085012</v>
      </c>
      <c r="F191" s="148">
        <v>4000000</v>
      </c>
      <c r="G191" s="148">
        <f t="shared" si="78"/>
        <v>85012</v>
      </c>
      <c r="H191" s="145">
        <v>10</v>
      </c>
      <c r="I191" s="148">
        <f t="shared" si="79"/>
        <v>6201468</v>
      </c>
    </row>
    <row r="192" spans="2:9" x14ac:dyDescent="0.25">
      <c r="B192" s="146">
        <f t="shared" si="76"/>
        <v>83</v>
      </c>
      <c r="C192" s="147">
        <f t="shared" si="77"/>
        <v>47886</v>
      </c>
      <c r="D192" s="145"/>
      <c r="E192" s="145">
        <f t="shared" si="75"/>
        <v>4051679</v>
      </c>
      <c r="F192" s="148">
        <v>4000000</v>
      </c>
      <c r="G192" s="148">
        <f t="shared" si="78"/>
        <v>51679</v>
      </c>
      <c r="H192" s="145">
        <v>10</v>
      </c>
      <c r="I192" s="148">
        <f t="shared" si="79"/>
        <v>2201468</v>
      </c>
    </row>
    <row r="193" spans="2:9" x14ac:dyDescent="0.25">
      <c r="B193" s="146">
        <f t="shared" si="76"/>
        <v>84</v>
      </c>
      <c r="C193" s="147">
        <f t="shared" si="77"/>
        <v>47914</v>
      </c>
      <c r="D193" s="145"/>
      <c r="E193" s="145">
        <f t="shared" si="75"/>
        <v>2219814</v>
      </c>
      <c r="F193" s="148">
        <f>+I192</f>
        <v>2201468</v>
      </c>
      <c r="G193" s="148">
        <f t="shared" si="78"/>
        <v>18346</v>
      </c>
      <c r="H193" s="145">
        <v>10</v>
      </c>
      <c r="I193" s="148">
        <f t="shared" si="79"/>
        <v>0</v>
      </c>
    </row>
    <row r="194" spans="2:9" x14ac:dyDescent="0.25">
      <c r="B194" s="141"/>
      <c r="D194" s="145"/>
      <c r="E194" s="150">
        <f>SUM(E182:E193)</f>
        <v>48621616</v>
      </c>
      <c r="F194" s="150">
        <f>SUM(F182:F193)</f>
        <v>46201468</v>
      </c>
      <c r="G194" s="150">
        <f>SUM(G182:G193)</f>
        <v>2420148</v>
      </c>
      <c r="H194" s="145"/>
      <c r="I194" s="145"/>
    </row>
  </sheetData>
  <mergeCells count="2">
    <mergeCell ref="B4:F4"/>
    <mergeCell ref="I4:M4"/>
  </mergeCells>
  <printOptions gridLines="1"/>
  <pageMargins left="0.19685039370078741" right="0" top="0" bottom="0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J15"/>
  <sheetViews>
    <sheetView workbookViewId="0">
      <selection activeCell="J11" sqref="J11"/>
    </sheetView>
  </sheetViews>
  <sheetFormatPr defaultRowHeight="12" x14ac:dyDescent="0.15"/>
  <cols>
    <col min="1" max="1" width="9.140625" style="11"/>
    <col min="2" max="2" width="37" style="11" bestFit="1" customWidth="1"/>
    <col min="3" max="9" width="9.140625" style="11"/>
    <col min="10" max="10" width="10.140625" style="11" bestFit="1" customWidth="1"/>
    <col min="11" max="16384" width="9.140625" style="11"/>
  </cols>
  <sheetData>
    <row r="2" spans="2:10" ht="15.75" x14ac:dyDescent="0.15">
      <c r="B2" s="82" t="str">
        <f>Historicals!B2</f>
        <v>Al-Saqib Exports Private Limited</v>
      </c>
      <c r="C2" s="82"/>
      <c r="D2" s="82"/>
      <c r="E2" s="82"/>
      <c r="F2" s="82"/>
      <c r="G2" s="82"/>
      <c r="H2" s="82"/>
      <c r="I2" s="82"/>
    </row>
    <row r="4" spans="2:10" ht="12.75" x14ac:dyDescent="0.2">
      <c r="B4" s="81" t="s">
        <v>127</v>
      </c>
      <c r="C4" s="73" t="s">
        <v>104</v>
      </c>
      <c r="D4" s="73" t="s">
        <v>105</v>
      </c>
      <c r="E4" s="73" t="s">
        <v>106</v>
      </c>
      <c r="F4" s="73" t="s">
        <v>107</v>
      </c>
      <c r="G4" s="73" t="s">
        <v>108</v>
      </c>
      <c r="H4" s="73" t="s">
        <v>109</v>
      </c>
      <c r="I4" s="73" t="s">
        <v>110</v>
      </c>
    </row>
    <row r="5" spans="2:10" ht="12.75" x14ac:dyDescent="0.2">
      <c r="B5" s="74" t="s">
        <v>150</v>
      </c>
      <c r="C5" s="78">
        <f>'Projected P&amp;L'!C29</f>
        <v>557.71578141128998</v>
      </c>
      <c r="D5" s="78">
        <f>'Projected P&amp;L'!D29</f>
        <v>586.57901378188501</v>
      </c>
      <c r="E5" s="78">
        <f>'Projected P&amp;L'!E29</f>
        <v>618.75858723951251</v>
      </c>
      <c r="F5" s="78">
        <f>'Projected P&amp;L'!F29</f>
        <v>650.19776046014613</v>
      </c>
      <c r="G5" s="78">
        <f>'Projected P&amp;L'!G29</f>
        <v>680.79818135837354</v>
      </c>
      <c r="H5" s="78">
        <f>'Projected P&amp;L'!H29</f>
        <v>711.70817894820595</v>
      </c>
      <c r="I5" s="78">
        <f>'Projected P&amp;L'!I29</f>
        <v>742.86977567733572</v>
      </c>
    </row>
    <row r="6" spans="2:10" ht="12.75" x14ac:dyDescent="0.2">
      <c r="B6" s="74" t="s">
        <v>184</v>
      </c>
      <c r="C6" s="78">
        <f>'Projected P&amp;L'!C22</f>
        <v>316.73104999999998</v>
      </c>
      <c r="D6" s="78">
        <f>'Projected P&amp;L'!D22</f>
        <v>269.22658000000001</v>
      </c>
      <c r="E6" s="78">
        <f>'Projected P&amp;L'!E22</f>
        <v>217.88569000000001</v>
      </c>
      <c r="F6" s="78">
        <f>'Projected P&amp;L'!F22</f>
        <v>168.20148</v>
      </c>
      <c r="G6" s="78">
        <f>'Projected P&amp;L'!G22</f>
        <v>120.20148</v>
      </c>
      <c r="H6" s="78">
        <f>'Projected P&amp;L'!H22</f>
        <v>72.201480000000004</v>
      </c>
      <c r="I6" s="78">
        <f>'Projected P&amp;L'!I22</f>
        <v>24.20148</v>
      </c>
    </row>
    <row r="7" spans="2:10" ht="12.75" x14ac:dyDescent="0.2">
      <c r="B7" s="76" t="s">
        <v>185</v>
      </c>
      <c r="C7" s="77">
        <f t="shared" ref="C7:I7" si="0">SUM(C5:C6)</f>
        <v>874.44683141128996</v>
      </c>
      <c r="D7" s="77">
        <f t="shared" si="0"/>
        <v>855.80559378188502</v>
      </c>
      <c r="E7" s="77">
        <f t="shared" si="0"/>
        <v>836.64427723951258</v>
      </c>
      <c r="F7" s="77">
        <f t="shared" si="0"/>
        <v>818.39924046014607</v>
      </c>
      <c r="G7" s="77">
        <f t="shared" si="0"/>
        <v>800.99966135837349</v>
      </c>
      <c r="H7" s="77">
        <f t="shared" si="0"/>
        <v>783.90965894820602</v>
      </c>
      <c r="I7" s="77">
        <f t="shared" si="0"/>
        <v>767.07125567733567</v>
      </c>
      <c r="J7" s="77">
        <f>SUM(C7:I7)</f>
        <v>5737.2765188767489</v>
      </c>
    </row>
    <row r="8" spans="2:10" ht="12.75" x14ac:dyDescent="0.2">
      <c r="B8" s="74" t="s">
        <v>186</v>
      </c>
      <c r="C8" s="78">
        <f>'Projected CFS'!C17</f>
        <v>389.64706999999999</v>
      </c>
      <c r="D8" s="78">
        <f>'Projected CFS'!D17</f>
        <v>498.41735999999997</v>
      </c>
      <c r="E8" s="78">
        <f>'Projected CFS'!E17</f>
        <v>526.39114230000007</v>
      </c>
      <c r="F8" s="78">
        <f>'Projected CFS'!F17</f>
        <v>480</v>
      </c>
      <c r="G8" s="78">
        <f>'Projected CFS'!G17</f>
        <v>480</v>
      </c>
      <c r="H8" s="78">
        <f>'Projected CFS'!H17</f>
        <v>480</v>
      </c>
      <c r="I8" s="78">
        <f>'Projected CFS'!I17</f>
        <v>462.01468</v>
      </c>
      <c r="J8" s="77"/>
    </row>
    <row r="9" spans="2:10" ht="12.75" x14ac:dyDescent="0.2">
      <c r="B9" s="74" t="s">
        <v>184</v>
      </c>
      <c r="C9" s="78">
        <f>'Projected P&amp;L'!C22</f>
        <v>316.73104999999998</v>
      </c>
      <c r="D9" s="78">
        <f>'Projected P&amp;L'!D22</f>
        <v>269.22658000000001</v>
      </c>
      <c r="E9" s="78">
        <f>'Projected P&amp;L'!E22</f>
        <v>217.88569000000001</v>
      </c>
      <c r="F9" s="78">
        <f>'Projected P&amp;L'!F22</f>
        <v>168.20148</v>
      </c>
      <c r="G9" s="78">
        <f>'Projected P&amp;L'!G22</f>
        <v>120.20148</v>
      </c>
      <c r="H9" s="78">
        <f>'Projected P&amp;L'!H22</f>
        <v>72.201480000000004</v>
      </c>
      <c r="I9" s="78">
        <f>'Projected P&amp;L'!I22</f>
        <v>24.20148</v>
      </c>
      <c r="J9" s="77"/>
    </row>
    <row r="10" spans="2:10" ht="12.75" x14ac:dyDescent="0.2">
      <c r="B10" s="76" t="s">
        <v>187</v>
      </c>
      <c r="C10" s="77">
        <f t="shared" ref="C10:I10" si="1">SUM(C8:C9)</f>
        <v>706.37811999999997</v>
      </c>
      <c r="D10" s="77">
        <f t="shared" si="1"/>
        <v>767.64393999999993</v>
      </c>
      <c r="E10" s="77">
        <f t="shared" si="1"/>
        <v>744.27683230000002</v>
      </c>
      <c r="F10" s="77">
        <f t="shared" si="1"/>
        <v>648.20147999999995</v>
      </c>
      <c r="G10" s="77">
        <f t="shared" si="1"/>
        <v>600.20147999999995</v>
      </c>
      <c r="H10" s="77">
        <f t="shared" si="1"/>
        <v>552.20147999999995</v>
      </c>
      <c r="I10" s="77">
        <f t="shared" si="1"/>
        <v>486.21616</v>
      </c>
      <c r="J10" s="77">
        <f>SUM(C10:I10)</f>
        <v>4505.1194922999994</v>
      </c>
    </row>
    <row r="11" spans="2:10" ht="15" x14ac:dyDescent="0.2">
      <c r="B11" s="76" t="s">
        <v>188</v>
      </c>
      <c r="C11" s="78">
        <f t="shared" ref="C11:I11" si="2">C7/C10</f>
        <v>1.2379302340385203</v>
      </c>
      <c r="D11" s="78">
        <f t="shared" si="2"/>
        <v>1.114847065401031</v>
      </c>
      <c r="E11" s="78">
        <f t="shared" si="2"/>
        <v>1.1241036143152197</v>
      </c>
      <c r="F11" s="78">
        <f t="shared" si="2"/>
        <v>1.2625692253281282</v>
      </c>
      <c r="G11" s="78">
        <f t="shared" si="2"/>
        <v>1.3345512932730081</v>
      </c>
      <c r="H11" s="78">
        <f t="shared" si="2"/>
        <v>1.4196080368133133</v>
      </c>
      <c r="I11" s="78">
        <f t="shared" si="2"/>
        <v>1.5776342268782997</v>
      </c>
      <c r="J11" s="114">
        <f>J7/J10</f>
        <v>1.273501519478609</v>
      </c>
    </row>
    <row r="12" spans="2:10" ht="12.75" x14ac:dyDescent="0.2">
      <c r="B12" s="74"/>
      <c r="C12" s="78"/>
      <c r="D12" s="78"/>
      <c r="E12" s="78"/>
      <c r="F12" s="78"/>
      <c r="G12" s="78"/>
      <c r="H12" s="78"/>
      <c r="I12" s="78"/>
    </row>
    <row r="13" spans="2:10" ht="12.75" x14ac:dyDescent="0.2">
      <c r="B13" s="76" t="s">
        <v>189</v>
      </c>
      <c r="D13" s="78">
        <f>AVERAGE(C11:I11)</f>
        <v>1.2958919565782172</v>
      </c>
      <c r="E13" s="78"/>
      <c r="F13" s="78"/>
      <c r="G13" s="78"/>
      <c r="H13" s="78"/>
      <c r="I13" s="78"/>
    </row>
    <row r="15" spans="2:10" ht="12.75" x14ac:dyDescent="0.15">
      <c r="B15" s="83" t="s">
        <v>190</v>
      </c>
      <c r="C15" s="77">
        <f>C7/C9</f>
        <v>2.7608497222210771</v>
      </c>
      <c r="D15" s="77">
        <f t="shared" ref="D15:I15" si="3">D7/D9</f>
        <v>3.1787559526324816</v>
      </c>
      <c r="E15" s="77">
        <f t="shared" si="3"/>
        <v>3.8398312309519387</v>
      </c>
      <c r="F15" s="77">
        <f t="shared" si="3"/>
        <v>4.8655888191955627</v>
      </c>
      <c r="G15" s="77">
        <f t="shared" si="3"/>
        <v>6.6638086432743879</v>
      </c>
      <c r="H15" s="77">
        <f t="shared" si="3"/>
        <v>10.857251942040605</v>
      </c>
      <c r="I15" s="77">
        <f t="shared" si="3"/>
        <v>31.695220940096874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I40"/>
  <sheetViews>
    <sheetView topLeftCell="A10" workbookViewId="0">
      <selection activeCell="C30" sqref="C30"/>
    </sheetView>
  </sheetViews>
  <sheetFormatPr defaultRowHeight="15" x14ac:dyDescent="0.25"/>
  <cols>
    <col min="1" max="1" width="9.140625" style="88"/>
    <col min="2" max="2" width="32" style="88" bestFit="1" customWidth="1"/>
    <col min="3" max="8" width="12.140625" style="88" customWidth="1"/>
    <col min="9" max="9" width="12.140625" style="87" customWidth="1"/>
    <col min="10" max="16384" width="9.140625" style="88"/>
  </cols>
  <sheetData>
    <row r="3" spans="2:9" x14ac:dyDescent="0.25">
      <c r="B3" s="90" t="str">
        <f>Historicals!B2</f>
        <v>Al-Saqib Exports Private Limited</v>
      </c>
      <c r="C3" s="90"/>
      <c r="D3" s="90"/>
      <c r="E3" s="90"/>
      <c r="F3" s="90"/>
      <c r="G3" s="90"/>
      <c r="H3" s="90"/>
      <c r="I3" s="160"/>
    </row>
    <row r="5" spans="2:9" x14ac:dyDescent="0.25">
      <c r="B5" s="91" t="s">
        <v>127</v>
      </c>
      <c r="C5" s="92" t="s">
        <v>104</v>
      </c>
      <c r="D5" s="92" t="s">
        <v>105</v>
      </c>
      <c r="E5" s="92" t="s">
        <v>106</v>
      </c>
      <c r="F5" s="92" t="s">
        <v>107</v>
      </c>
      <c r="G5" s="92" t="s">
        <v>108</v>
      </c>
      <c r="H5" s="92" t="s">
        <v>109</v>
      </c>
      <c r="I5" s="92" t="s">
        <v>110</v>
      </c>
    </row>
    <row r="6" spans="2:9" x14ac:dyDescent="0.25">
      <c r="B6" s="88" t="s">
        <v>219</v>
      </c>
      <c r="C6" s="175">
        <f>'Projected P&amp;L'!C21</f>
        <v>937.80096404999995</v>
      </c>
      <c r="D6" s="175">
        <f>'Projected P&amp;L'!D21</f>
        <v>951.41317882499993</v>
      </c>
      <c r="E6" s="175">
        <f>'Projected P&amp;L'!E21</f>
        <v>962.76392010149993</v>
      </c>
      <c r="F6" s="175">
        <f>'Projected P&amp;L'!F21</f>
        <v>972.16851967034995</v>
      </c>
      <c r="G6" s="175">
        <f>'Projected P&amp;L'!G21</f>
        <v>979.89361904703753</v>
      </c>
      <c r="H6" s="175">
        <f>'Projected P&amp;L'!H21</f>
        <v>986.16501779696694</v>
      </c>
      <c r="I6" s="175">
        <f>'Projected P&amp;L'!I21</f>
        <v>991.17407253829197</v>
      </c>
    </row>
    <row r="7" spans="2:9" x14ac:dyDescent="0.25">
      <c r="B7" s="88" t="s">
        <v>220</v>
      </c>
      <c r="C7" s="175">
        <f>C6*'Projected P&amp;L'!$N$26</f>
        <v>260.89622819870999</v>
      </c>
      <c r="D7" s="175">
        <f>D6*'Projected P&amp;L'!$N$26</f>
        <v>264.68314634911496</v>
      </c>
      <c r="E7" s="175">
        <f>E6*'Projected P&amp;L'!$N$26</f>
        <v>267.84092257223728</v>
      </c>
      <c r="F7" s="175">
        <f>F6*'Projected P&amp;L'!$N$26</f>
        <v>270.45728217229134</v>
      </c>
      <c r="G7" s="175">
        <f>G6*'Projected P&amp;L'!$N$26</f>
        <v>272.60640481888584</v>
      </c>
      <c r="H7" s="175">
        <f>H6*'Projected P&amp;L'!$N$26</f>
        <v>274.35110795111621</v>
      </c>
      <c r="I7" s="175">
        <f>I6*'Projected P&amp;L'!$N$26</f>
        <v>275.74462698015282</v>
      </c>
    </row>
    <row r="8" spans="2:9" x14ac:dyDescent="0.25">
      <c r="B8" s="94" t="s">
        <v>221</v>
      </c>
      <c r="C8" s="176">
        <f>C6-C7</f>
        <v>676.90473585128996</v>
      </c>
      <c r="D8" s="176">
        <f t="shared" ref="D8:I8" si="0">D6-D7</f>
        <v>686.73003247588497</v>
      </c>
      <c r="E8" s="176">
        <f t="shared" si="0"/>
        <v>694.9229975292626</v>
      </c>
      <c r="F8" s="176">
        <f t="shared" si="0"/>
        <v>701.71123749805861</v>
      </c>
      <c r="G8" s="176">
        <f t="shared" si="0"/>
        <v>707.2872142281517</v>
      </c>
      <c r="H8" s="176">
        <f t="shared" si="0"/>
        <v>711.81390984585073</v>
      </c>
      <c r="I8" s="176">
        <f t="shared" si="0"/>
        <v>715.42944555813915</v>
      </c>
    </row>
    <row r="9" spans="2:9" x14ac:dyDescent="0.25">
      <c r="B9" s="88" t="s">
        <v>355</v>
      </c>
      <c r="C9" s="175">
        <f>'Projected P&amp;L'!C14</f>
        <v>109.42751745000001</v>
      </c>
      <c r="D9" s="175">
        <f>'Projected P&amp;L'!D14</f>
        <v>94.176726750000014</v>
      </c>
      <c r="E9" s="175">
        <f>'Projected P&amp;L'!E14</f>
        <v>81.105480752250003</v>
      </c>
      <c r="F9" s="175">
        <f>'Projected P&amp;L'!F14</f>
        <v>69.894351226087522</v>
      </c>
      <c r="G9" s="175">
        <f>'Projected P&amp;L'!G14</f>
        <v>60.272395394221881</v>
      </c>
      <c r="H9" s="175">
        <f>'Projected P&amp;L'!H14</f>
        <v>52.009297366355369</v>
      </c>
      <c r="I9" s="175">
        <f>'Projected P&amp;L'!I14</f>
        <v>44.908958383196548</v>
      </c>
    </row>
    <row r="10" spans="2:9" x14ac:dyDescent="0.25">
      <c r="B10" s="88" t="s">
        <v>222</v>
      </c>
      <c r="C10" s="175">
        <f>'Projected CFS'!C11-'Projected CFS'!C18</f>
        <v>2752.0049330499996</v>
      </c>
      <c r="D10" s="175">
        <f>'Projected CFS'!D11-'Projected CFS'!D18</f>
        <v>2451.4693710499996</v>
      </c>
      <c r="E10" s="175">
        <f>'Projected CFS'!E11-'Projected CFS'!E18</f>
        <v>0</v>
      </c>
      <c r="F10" s="175">
        <f>'Projected CFS'!F11-'Projected CFS'!F18</f>
        <v>0</v>
      </c>
      <c r="G10" s="175">
        <f>'Projected CFS'!G11-'Projected CFS'!G18</f>
        <v>0</v>
      </c>
      <c r="H10" s="175">
        <f>'Projected CFS'!H11-'Projected CFS'!H18</f>
        <v>0</v>
      </c>
      <c r="I10" s="175">
        <f>'Projected CFS'!I11-'Projected CFS'!I18</f>
        <v>0</v>
      </c>
    </row>
    <row r="11" spans="2:9" x14ac:dyDescent="0.25">
      <c r="B11" s="88" t="s">
        <v>223</v>
      </c>
      <c r="C11" s="175">
        <f>'Projected CFS'!C16</f>
        <v>0</v>
      </c>
      <c r="D11" s="175">
        <f>'Projected CFS'!D16</f>
        <v>0</v>
      </c>
      <c r="E11" s="175">
        <f>'Projected CFS'!E16</f>
        <v>0</v>
      </c>
      <c r="F11" s="175">
        <f>'Projected CFS'!F16</f>
        <v>0</v>
      </c>
      <c r="G11" s="175">
        <f>'Projected CFS'!G16</f>
        <v>0</v>
      </c>
      <c r="H11" s="175">
        <f>'Projected CFS'!H16</f>
        <v>0</v>
      </c>
      <c r="I11" s="175">
        <f>'Projected CFS'!I16</f>
        <v>0</v>
      </c>
    </row>
    <row r="12" spans="2:9" x14ac:dyDescent="0.25">
      <c r="B12" s="96" t="s">
        <v>224</v>
      </c>
      <c r="C12" s="176">
        <f>SUM(C8:C11)</f>
        <v>3538.3371863512893</v>
      </c>
      <c r="D12" s="176">
        <f t="shared" ref="D12:I12" si="1">SUM(D8:D11)</f>
        <v>3232.3761302758849</v>
      </c>
      <c r="E12" s="176">
        <f t="shared" si="1"/>
        <v>776.02847828151266</v>
      </c>
      <c r="F12" s="176">
        <f t="shared" si="1"/>
        <v>771.60558872414617</v>
      </c>
      <c r="G12" s="176">
        <f t="shared" si="1"/>
        <v>767.55960962237361</v>
      </c>
      <c r="H12" s="176">
        <f t="shared" si="1"/>
        <v>763.82320721220606</v>
      </c>
      <c r="I12" s="176">
        <f t="shared" si="1"/>
        <v>760.33840394133574</v>
      </c>
    </row>
    <row r="13" spans="2:9" x14ac:dyDescent="0.25">
      <c r="B13" s="88" t="s">
        <v>225</v>
      </c>
      <c r="C13" s="180">
        <f>C40</f>
        <v>0.16159999999999999</v>
      </c>
      <c r="D13" s="175"/>
      <c r="E13" s="175"/>
      <c r="F13" s="175"/>
      <c r="G13" s="175"/>
      <c r="H13" s="175"/>
      <c r="I13" s="175"/>
    </row>
    <row r="14" spans="2:9" x14ac:dyDescent="0.25">
      <c r="B14" s="98" t="s">
        <v>226</v>
      </c>
      <c r="C14" s="180">
        <v>0.01</v>
      </c>
      <c r="D14" s="178"/>
      <c r="E14" s="175"/>
      <c r="F14" s="175"/>
      <c r="G14" s="175"/>
      <c r="H14" s="175"/>
      <c r="I14" s="175"/>
    </row>
    <row r="15" spans="2:9" x14ac:dyDescent="0.25">
      <c r="B15" s="99" t="s">
        <v>227</v>
      </c>
      <c r="C15" s="175">
        <f>11/12</f>
        <v>0.91666666666666663</v>
      </c>
      <c r="D15" s="175">
        <f>C15+1</f>
        <v>1.9166666666666665</v>
      </c>
      <c r="E15" s="175">
        <f t="shared" ref="E15:I15" si="2">D15+1</f>
        <v>2.9166666666666665</v>
      </c>
      <c r="F15" s="175">
        <f t="shared" si="2"/>
        <v>3.9166666666666665</v>
      </c>
      <c r="G15" s="175">
        <f t="shared" si="2"/>
        <v>4.9166666666666661</v>
      </c>
      <c r="H15" s="175">
        <f t="shared" si="2"/>
        <v>5.9166666666666661</v>
      </c>
      <c r="I15" s="175">
        <f t="shared" si="2"/>
        <v>6.9166666666666661</v>
      </c>
    </row>
    <row r="16" spans="2:9" x14ac:dyDescent="0.25">
      <c r="B16" s="99" t="s">
        <v>228</v>
      </c>
      <c r="C16" s="175">
        <f t="shared" ref="C16:I16" si="3">1/(1+$C$13)^C15</f>
        <v>0.87169545232411971</v>
      </c>
      <c r="D16" s="175">
        <f t="shared" si="3"/>
        <v>0.75042652576112234</v>
      </c>
      <c r="E16" s="175">
        <f t="shared" si="3"/>
        <v>0.6460283451800295</v>
      </c>
      <c r="F16" s="175">
        <f t="shared" si="3"/>
        <v>0.55615387842633401</v>
      </c>
      <c r="G16" s="175">
        <f t="shared" si="3"/>
        <v>0.47878260883809748</v>
      </c>
      <c r="H16" s="175">
        <f t="shared" si="3"/>
        <v>0.41217511091434017</v>
      </c>
      <c r="I16" s="175">
        <f t="shared" si="3"/>
        <v>0.35483394534636725</v>
      </c>
    </row>
    <row r="17" spans="2:9" x14ac:dyDescent="0.25">
      <c r="B17" s="99" t="s">
        <v>229</v>
      </c>
      <c r="C17" s="175"/>
      <c r="D17" s="175"/>
      <c r="E17" s="175"/>
      <c r="F17" s="175"/>
      <c r="G17" s="175"/>
      <c r="H17" s="175"/>
      <c r="I17" s="175">
        <f>I12*(1+$C$14)/($C$13-$C$14)</f>
        <v>5065.5790763901668</v>
      </c>
    </row>
    <row r="18" spans="2:9" x14ac:dyDescent="0.25">
      <c r="B18" s="99" t="s">
        <v>230</v>
      </c>
      <c r="C18" s="175">
        <f t="shared" ref="C18:I18" si="4">C12+C17</f>
        <v>3538.3371863512893</v>
      </c>
      <c r="D18" s="175">
        <f t="shared" si="4"/>
        <v>3232.3761302758849</v>
      </c>
      <c r="E18" s="175">
        <f t="shared" si="4"/>
        <v>776.02847828151266</v>
      </c>
      <c r="F18" s="175">
        <f t="shared" si="4"/>
        <v>771.60558872414617</v>
      </c>
      <c r="G18" s="175">
        <f t="shared" si="4"/>
        <v>767.55960962237361</v>
      </c>
      <c r="H18" s="175">
        <f t="shared" si="4"/>
        <v>763.82320721220606</v>
      </c>
      <c r="I18" s="175">
        <f t="shared" si="4"/>
        <v>5825.9174803315027</v>
      </c>
    </row>
    <row r="19" spans="2:9" x14ac:dyDescent="0.25">
      <c r="B19" s="100" t="s">
        <v>231</v>
      </c>
      <c r="C19" s="176">
        <f>C18*C16</f>
        <v>3084.3524341317402</v>
      </c>
      <c r="D19" s="176">
        <f t="shared" ref="D19:I19" si="5">D18*D16</f>
        <v>2425.6607893961132</v>
      </c>
      <c r="E19" s="176">
        <f t="shared" si="5"/>
        <v>501.33639363678208</v>
      </c>
      <c r="F19" s="176">
        <f t="shared" si="5"/>
        <v>429.13144078436869</v>
      </c>
      <c r="G19" s="176">
        <f t="shared" si="5"/>
        <v>367.4941923337517</v>
      </c>
      <c r="H19" s="176">
        <f t="shared" si="5"/>
        <v>314.82891515163806</v>
      </c>
      <c r="I19" s="176">
        <f t="shared" si="5"/>
        <v>2067.2332848083938</v>
      </c>
    </row>
    <row r="20" spans="2:9" x14ac:dyDescent="0.25">
      <c r="C20" s="175"/>
      <c r="D20" s="175"/>
      <c r="E20" s="175"/>
      <c r="F20" s="175"/>
      <c r="G20" s="175"/>
      <c r="H20" s="175"/>
      <c r="I20" s="175"/>
    </row>
    <row r="21" spans="2:9" hidden="1" x14ac:dyDescent="0.25">
      <c r="B21" s="102" t="s">
        <v>232</v>
      </c>
      <c r="C21" s="101">
        <f>SUM(C19:I19)</f>
        <v>9190.0374502427876</v>
      </c>
      <c r="D21" s="87"/>
      <c r="E21" s="87"/>
      <c r="F21" s="87"/>
      <c r="G21" s="87"/>
      <c r="H21" s="87"/>
    </row>
    <row r="22" spans="2:9" x14ac:dyDescent="0.25">
      <c r="C22" s="97"/>
      <c r="D22" s="87"/>
      <c r="E22" s="87"/>
      <c r="F22" s="87"/>
      <c r="G22" s="87"/>
      <c r="H22" s="87"/>
    </row>
    <row r="23" spans="2:9" x14ac:dyDescent="0.25">
      <c r="C23" s="97"/>
      <c r="D23" s="87"/>
      <c r="E23" s="87"/>
      <c r="F23" s="87"/>
      <c r="G23" s="87"/>
      <c r="H23" s="87"/>
    </row>
    <row r="24" spans="2:9" x14ac:dyDescent="0.25">
      <c r="C24" s="97"/>
      <c r="D24" s="87"/>
      <c r="E24" s="87"/>
      <c r="F24" s="87"/>
      <c r="G24" s="87"/>
      <c r="H24" s="87"/>
    </row>
    <row r="25" spans="2:9" x14ac:dyDescent="0.25">
      <c r="C25" s="97"/>
      <c r="D25" s="87"/>
      <c r="E25" s="87"/>
      <c r="F25" s="87"/>
      <c r="G25" s="87"/>
      <c r="H25" s="87"/>
    </row>
    <row r="26" spans="2:9" x14ac:dyDescent="0.25">
      <c r="C26" s="97"/>
      <c r="D26" s="87"/>
      <c r="E26" s="87"/>
      <c r="F26" s="87"/>
      <c r="G26" s="87"/>
      <c r="H26" s="87"/>
    </row>
    <row r="27" spans="2:9" x14ac:dyDescent="0.25">
      <c r="C27" s="97"/>
      <c r="D27" s="87"/>
      <c r="E27" s="87"/>
      <c r="F27" s="87"/>
      <c r="G27" s="87"/>
      <c r="H27" s="87"/>
    </row>
    <row r="28" spans="2:9" x14ac:dyDescent="0.25">
      <c r="C28" s="97"/>
      <c r="D28" s="87"/>
      <c r="E28" s="87"/>
      <c r="F28" s="87"/>
      <c r="G28" s="87"/>
      <c r="H28" s="87"/>
    </row>
    <row r="29" spans="2:9" x14ac:dyDescent="0.25">
      <c r="D29" s="87"/>
      <c r="E29" s="87"/>
      <c r="F29" s="87"/>
      <c r="G29" s="87"/>
      <c r="H29" s="87"/>
    </row>
    <row r="30" spans="2:9" x14ac:dyDescent="0.25">
      <c r="B30" s="94" t="s">
        <v>232</v>
      </c>
      <c r="C30" s="95">
        <f>NPV(C13,C18:I18)</f>
        <v>9076.0294739859837</v>
      </c>
      <c r="D30" s="95" t="s">
        <v>191</v>
      </c>
      <c r="E30" s="87"/>
      <c r="F30" s="87"/>
      <c r="G30" s="87"/>
      <c r="H30" s="87"/>
    </row>
    <row r="35" spans="1:4" ht="15.75" thickBot="1" x14ac:dyDescent="0.3"/>
    <row r="36" spans="1:4" ht="15.75" thickBot="1" x14ac:dyDescent="0.3">
      <c r="A36" s="184" t="s">
        <v>233</v>
      </c>
      <c r="B36" s="185"/>
      <c r="C36" s="186"/>
    </row>
    <row r="37" spans="1:4" ht="15.75" thickBot="1" x14ac:dyDescent="0.3">
      <c r="A37" s="103" t="s">
        <v>234</v>
      </c>
      <c r="B37" s="104" t="s">
        <v>235</v>
      </c>
      <c r="C37" s="104" t="s">
        <v>236</v>
      </c>
    </row>
    <row r="38" spans="1:4" ht="30.75" thickBot="1" x14ac:dyDescent="0.3">
      <c r="A38" s="105" t="s">
        <v>237</v>
      </c>
      <c r="B38" s="106" t="s">
        <v>354</v>
      </c>
      <c r="C38" s="162">
        <v>0.1416</v>
      </c>
      <c r="D38" s="88" t="s">
        <v>238</v>
      </c>
    </row>
    <row r="39" spans="1:4" ht="15.75" thickBot="1" x14ac:dyDescent="0.3">
      <c r="A39" s="105" t="s">
        <v>239</v>
      </c>
      <c r="B39" s="106" t="s">
        <v>240</v>
      </c>
      <c r="C39" s="161">
        <v>0.02</v>
      </c>
    </row>
    <row r="40" spans="1:4" ht="15.75" thickBot="1" x14ac:dyDescent="0.3">
      <c r="A40" s="105" t="s">
        <v>241</v>
      </c>
      <c r="B40" s="106" t="s">
        <v>225</v>
      </c>
      <c r="C40" s="107">
        <f>SUM(C38:C39)</f>
        <v>0.16159999999999999</v>
      </c>
    </row>
  </sheetData>
  <mergeCells count="1"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Sheet11</vt:lpstr>
      <vt:lpstr>Historicals</vt:lpstr>
      <vt:lpstr>Projected P&amp;L</vt:lpstr>
      <vt:lpstr>Projected BS</vt:lpstr>
      <vt:lpstr>Projected CFS</vt:lpstr>
      <vt:lpstr>Dep-WDV</vt:lpstr>
      <vt:lpstr>Debt Schedule</vt:lpstr>
      <vt:lpstr>DSCR</vt:lpstr>
      <vt:lpstr>NPV</vt:lpstr>
      <vt:lpstr>Ratio Analysis</vt:lpstr>
      <vt:lpstr>Breakeven</vt:lpstr>
      <vt:lpstr>Sensitivity</vt:lpstr>
      <vt:lpstr>Other 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Rachit</dc:creator>
  <cp:lastModifiedBy>Gaurav Kumar</cp:lastModifiedBy>
  <dcterms:created xsi:type="dcterms:W3CDTF">2015-06-05T18:17:20Z</dcterms:created>
  <dcterms:modified xsi:type="dcterms:W3CDTF">2024-06-14T11:31:23Z</dcterms:modified>
</cp:coreProperties>
</file>