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C:\Users\Aneesh Mallick\OneDrive - JC Bhalla &amp; Co\Desktop\Other assignments\TEV_Skylimit Research\Working\Financial model\"/>
    </mc:Choice>
  </mc:AlternateContent>
  <xr:revisionPtr revIDLastSave="0" documentId="13_ncr:1_{6A6B127C-66DE-4770-97FD-4D996FF65331}" xr6:coauthVersionLast="47" xr6:coauthVersionMax="47" xr10:uidLastSave="{00000000-0000-0000-0000-000000000000}"/>
  <bookViews>
    <workbookView xWindow="-110" yWindow="-110" windowWidth="19420" windowHeight="10300" tabRatio="951" activeTab="3" xr2:uid="{00000000-000D-0000-FFFF-FFFF00000000}"/>
  </bookViews>
  <sheets>
    <sheet name="CoP-MoF" sheetId="2" r:id="rId1"/>
    <sheet name="Assump" sheetId="4" r:id="rId2"/>
    <sheet name="P &amp; L" sheetId="5" r:id="rId3"/>
    <sheet name="BS" sheetId="6" r:id="rId4"/>
    <sheet name="Cash Flow" sheetId="7" r:id="rId5"/>
    <sheet name="BEP" sheetId="25" r:id="rId6"/>
    <sheet name="IRR" sheetId="24" r:id="rId7"/>
    <sheet name="DSCR" sheetId="8" r:id="rId8"/>
    <sheet name="Loan Assumptions" sheetId="23" r:id="rId9"/>
    <sheet name="TL Schd" sheetId="22" r:id="rId10"/>
    <sheet name="Ratio" sheetId="10" r:id="rId11"/>
    <sheet name="WC" sheetId="11" r:id="rId12"/>
    <sheet name="Depr" sheetId="19" r:id="rId13"/>
    <sheet name="sal &amp; wages" sheetId="17" r:id="rId14"/>
  </sheets>
  <definedNames>
    <definedName name="A">'P &amp; L'!$B$1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22475485_DA09_46DB_978D_BB94CE1E5597_.wvu.Cols" localSheetId="7" hidden="1">DSCR!#REF!,DSCR!$IY:$IY,DSCR!$SU:$SU,DSCR!$ACQ:$ACQ,DSCR!$AMM:$AMM,DSCR!$AWI:$AWI,DSCR!$BGE:$BGE,DSCR!$BQA:$BQA,DSCR!$BZW:$BZW,DSCR!$CJS:$CJS,DSCR!$CTO:$CTO,DSCR!$DDK:$DDK,DSCR!$DNG:$DNG,DSCR!$DXC:$DXC,DSCR!$EGY:$EGY,DSCR!$EQU:$EQU,DSCR!$FAQ:$FAQ,DSCR!$FKM:$FKM,DSCR!$FUI:$FUI,DSCR!$GEE:$GEE,DSCR!$GOA:$GOA,DSCR!$GXW:$GXW,DSCR!$HHS:$HHS,DSCR!$HRO:$HRO,DSCR!$IBK:$IBK,DSCR!$ILG:$ILG,DSCR!$IVC:$IVC,DSCR!$JEY:$JEY,DSCR!$JOU:$JOU,DSCR!$JYQ:$JYQ,DSCR!$KIM:$KIM,DSCR!$KSI:$KSI,DSCR!$LCE:$LCE,DSCR!$LMA:$LMA,DSCR!$LVW:$LVW,DSCR!$MFS:$MFS,DSCR!$MPO:$MPO,DSCR!$MZK:$MZK,DSCR!$NJG:$NJG,DSCR!$NTC:$NTC,DSCR!$OCY:$OCY,DSCR!$OMU:$OMU,DSCR!$OWQ:$OWQ,DSCR!$PGM:$PGM,DSCR!$PQI:$PQI,DSCR!$QAE:$QAE,DSCR!$QKA:$QKA,DSCR!$QTW:$QTW,DSCR!$RDS:$RDS,DSCR!$RNO:$RNO,DSCR!$RXK:$RXK,DSCR!$SHG:$SHG,DSCR!$SRC:$SRC,DSCR!$TAY:$TAY,DSCR!$TKU:$TKU,DSCR!$TUQ:$TUQ,DSCR!$UEM:$UEM,DSCR!$UOI:$UOI,DSCR!$UYE:$UYE,DSCR!$VIA:$VIA,DSCR!$VRW:$VRW,DSCR!$WBS:$WBS,DSCR!$WLO:$WLO,DSCR!$WVK:$WVK</definedName>
    <definedName name="Z_22475485_DA09_46DB_978D_BB94CE1E5597_.wvu.Rows" localSheetId="2" hidden="1">'P &amp; L'!$1:$1</definedName>
    <definedName name="Z_22475485_DA09_46DB_978D_BB94CE1E5597_.wvu.Rows" localSheetId="10" hidden="1">Ratio!$44:$49</definedName>
  </definedNames>
  <calcPr calcId="191029" iterate="1"/>
  <customWorkbookViews>
    <customWorkbookView name="DELL - Personal View" guid="{22475485-DA09-46DB-978D-BB94CE1E5597}" mergeInterval="0" personalView="1" maximized="1" xWindow="1" yWindow="1" windowWidth="1122" windowHeight="538" activeSheetId="2"/>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2" l="1"/>
  <c r="K47" i="2"/>
  <c r="D14" i="2"/>
  <c r="D5" i="2"/>
  <c r="I60" i="2"/>
  <c r="D6" i="2" s="1"/>
  <c r="P34" i="5"/>
  <c r="P35" i="5"/>
  <c r="P36" i="5"/>
  <c r="P40" i="5"/>
  <c r="E21" i="19"/>
  <c r="I7" i="8"/>
  <c r="J7" i="8"/>
  <c r="K7" i="8"/>
  <c r="L7" i="8"/>
  <c r="M7" i="8"/>
  <c r="E55" i="24"/>
  <c r="M74" i="24" l="1"/>
  <c r="N74" i="24"/>
  <c r="M76" i="24"/>
  <c r="N76" i="24"/>
  <c r="O14" i="24"/>
  <c r="I110" i="22" l="1"/>
  <c r="I97" i="22"/>
  <c r="I84" i="22"/>
  <c r="I71" i="22"/>
  <c r="I58" i="22"/>
  <c r="L10" i="19"/>
  <c r="M10" i="19"/>
  <c r="L19" i="19"/>
  <c r="M19" i="19"/>
  <c r="M5" i="11"/>
  <c r="N5" i="11" s="1"/>
  <c r="M14" i="11"/>
  <c r="N14" i="11"/>
  <c r="M19" i="11"/>
  <c r="N19" i="11"/>
  <c r="M21" i="11"/>
  <c r="N21" i="11"/>
  <c r="M27" i="11"/>
  <c r="N27" i="11"/>
  <c r="M62" i="24"/>
  <c r="N62" i="24" s="1"/>
  <c r="M4" i="24"/>
  <c r="N4" i="24" s="1"/>
  <c r="M5" i="24"/>
  <c r="N5" i="24" s="1"/>
  <c r="L4" i="25"/>
  <c r="M4" i="25" s="1"/>
  <c r="L8" i="7"/>
  <c r="M8" i="7"/>
  <c r="L13" i="7"/>
  <c r="M13" i="7"/>
  <c r="D50" i="4"/>
  <c r="D8" i="5" s="1"/>
  <c r="D47" i="4"/>
  <c r="D12" i="5"/>
  <c r="D3" i="5" l="1"/>
  <c r="E3" i="5" s="1"/>
  <c r="F3" i="5" s="1"/>
  <c r="G3" i="5" s="1"/>
  <c r="H3" i="5" s="1"/>
  <c r="I3" i="5" s="1"/>
  <c r="J3" i="5" s="1"/>
  <c r="K3" i="5" s="1"/>
  <c r="L3" i="5" s="1"/>
  <c r="M3" i="5" s="1"/>
  <c r="N3" i="5" s="1"/>
  <c r="F11" i="4"/>
  <c r="D76" i="24"/>
  <c r="E2" i="5" l="1"/>
  <c r="F2" i="5" s="1"/>
  <c r="G2" i="5" s="1"/>
  <c r="H2" i="5" s="1"/>
  <c r="I2" i="5" s="1"/>
  <c r="J2" i="5" s="1"/>
  <c r="K2" i="5" s="1"/>
  <c r="L2" i="5" s="1"/>
  <c r="M2" i="5" s="1"/>
  <c r="N2" i="5" s="1"/>
  <c r="E13" i="5"/>
  <c r="F13" i="5" s="1"/>
  <c r="G13" i="5" s="1"/>
  <c r="H13" i="5" s="1"/>
  <c r="I13" i="5" s="1"/>
  <c r="J13" i="5" s="1"/>
  <c r="K13" i="5" s="1"/>
  <c r="L13" i="5" s="1"/>
  <c r="M13" i="5" s="1"/>
  <c r="N13" i="5" s="1"/>
  <c r="E14" i="5"/>
  <c r="F14" i="5" s="1"/>
  <c r="G14" i="5" s="1"/>
  <c r="H14" i="5" s="1"/>
  <c r="I14" i="5" s="1"/>
  <c r="J14" i="5" s="1"/>
  <c r="K14" i="5" s="1"/>
  <c r="L14" i="5" s="1"/>
  <c r="M14" i="5" s="1"/>
  <c r="N14" i="5" s="1"/>
  <c r="E14" i="11"/>
  <c r="F14" i="11" s="1"/>
  <c r="G14" i="11" s="1"/>
  <c r="H14" i="11" s="1"/>
  <c r="I14" i="11" s="1"/>
  <c r="J14" i="11" s="1"/>
  <c r="K14" i="11" s="1"/>
  <c r="L14" i="11" s="1"/>
  <c r="D19" i="4"/>
  <c r="D17" i="4"/>
  <c r="D16" i="4"/>
  <c r="E5" i="5"/>
  <c r="F5" i="5" s="1"/>
  <c r="G5" i="5" s="1"/>
  <c r="H5" i="5" s="1"/>
  <c r="I5" i="5" s="1"/>
  <c r="J5" i="5" s="1"/>
  <c r="K5" i="5" s="1"/>
  <c r="L5" i="5" s="1"/>
  <c r="M5" i="5" s="1"/>
  <c r="N5" i="5" s="1"/>
  <c r="E8" i="5"/>
  <c r="E10" i="5" s="1"/>
  <c r="D7" i="5"/>
  <c r="D22" i="5"/>
  <c r="G6" i="5"/>
  <c r="H6" i="5" s="1"/>
  <c r="I6" i="5" s="1"/>
  <c r="D10" i="5"/>
  <c r="F19" i="4"/>
  <c r="E7" i="5" l="1"/>
  <c r="E9" i="5" s="1"/>
  <c r="E11" i="5" s="1"/>
  <c r="E21" i="5" s="1"/>
  <c r="F8" i="5"/>
  <c r="E22" i="5"/>
  <c r="D9" i="5"/>
  <c r="D11" i="5" s="1"/>
  <c r="D4" i="5" s="1"/>
  <c r="J6" i="5"/>
  <c r="G8" i="5" l="1"/>
  <c r="F22" i="5"/>
  <c r="F7" i="5"/>
  <c r="F9" i="5" s="1"/>
  <c r="F10" i="5"/>
  <c r="D21" i="5"/>
  <c r="D23" i="5" s="1"/>
  <c r="E4" i="5"/>
  <c r="K6" i="5"/>
  <c r="D46" i="4"/>
  <c r="D48" i="4" s="1"/>
  <c r="D38" i="4"/>
  <c r="E25" i="5"/>
  <c r="D37" i="4"/>
  <c r="D36" i="4"/>
  <c r="G39" i="4"/>
  <c r="E23" i="5"/>
  <c r="E24" i="5"/>
  <c r="I21" i="4"/>
  <c r="I12" i="4"/>
  <c r="G19" i="4"/>
  <c r="I19" i="4" s="1"/>
  <c r="G17" i="4"/>
  <c r="I17" i="4" s="1"/>
  <c r="G16" i="4"/>
  <c r="I16" i="4" s="1"/>
  <c r="G11" i="4"/>
  <c r="I11" i="4" s="1"/>
  <c r="G9" i="4"/>
  <c r="I9" i="4" s="1"/>
  <c r="G8" i="4"/>
  <c r="I8" i="4" s="1"/>
  <c r="D16" i="2"/>
  <c r="E40" i="5" l="1"/>
  <c r="E43" i="5"/>
  <c r="H8" i="5"/>
  <c r="G7" i="5"/>
  <c r="G9" i="5" s="1"/>
  <c r="G22" i="5"/>
  <c r="G10" i="5"/>
  <c r="F11" i="5"/>
  <c r="G37" i="4"/>
  <c r="D41" i="5" s="1"/>
  <c r="D7" i="2"/>
  <c r="D43" i="5"/>
  <c r="F25" i="5"/>
  <c r="F24" i="5"/>
  <c r="L6" i="5"/>
  <c r="M6" i="5" s="1"/>
  <c r="G22" i="4"/>
  <c r="G13" i="4"/>
  <c r="I25" i="4"/>
  <c r="I13" i="7"/>
  <c r="J13" i="7"/>
  <c r="K13" i="7"/>
  <c r="E31" i="22"/>
  <c r="E33" i="22" s="1"/>
  <c r="E34" i="22" s="1"/>
  <c r="E35" i="22" s="1"/>
  <c r="E36" i="22" s="1"/>
  <c r="E37" i="22" s="1"/>
  <c r="E38" i="22" s="1"/>
  <c r="E39" i="22" s="1"/>
  <c r="E40" i="22" s="1"/>
  <c r="E41" i="22" s="1"/>
  <c r="E42" i="22" s="1"/>
  <c r="E43" i="22" s="1"/>
  <c r="E44" i="22" s="1"/>
  <c r="E46" i="22" s="1"/>
  <c r="E47" i="22" s="1"/>
  <c r="E20" i="22"/>
  <c r="E21" i="22" s="1"/>
  <c r="E22" i="22" s="1"/>
  <c r="E23" i="22" s="1"/>
  <c r="E24" i="22" s="1"/>
  <c r="E25" i="22" s="1"/>
  <c r="N6" i="5" l="1"/>
  <c r="F40" i="5"/>
  <c r="F43" i="5"/>
  <c r="F4" i="5"/>
  <c r="F21" i="5"/>
  <c r="F23" i="5" s="1"/>
  <c r="G11" i="5"/>
  <c r="G4" i="5" s="1"/>
  <c r="I8" i="5"/>
  <c r="H22" i="5"/>
  <c r="H7" i="5"/>
  <c r="H9" i="5" s="1"/>
  <c r="H10" i="5"/>
  <c r="E41" i="5"/>
  <c r="D7" i="22"/>
  <c r="G14" i="4"/>
  <c r="D15" i="5"/>
  <c r="G23" i="4"/>
  <c r="D16" i="5"/>
  <c r="G25" i="5"/>
  <c r="F41" i="5"/>
  <c r="G24" i="5"/>
  <c r="E49" i="24"/>
  <c r="D43" i="24"/>
  <c r="E58" i="24"/>
  <c r="F15" i="5" l="1"/>
  <c r="F27" i="5" s="1"/>
  <c r="F16" i="5"/>
  <c r="F28" i="5" s="1"/>
  <c r="F30" i="5" s="1"/>
  <c r="F31" i="5" s="1"/>
  <c r="G40" i="5"/>
  <c r="G43" i="5"/>
  <c r="G25" i="4"/>
  <c r="H11" i="5"/>
  <c r="H4" i="5" s="1"/>
  <c r="J8" i="5"/>
  <c r="I10" i="5"/>
  <c r="I22" i="5"/>
  <c r="I7" i="5"/>
  <c r="I9" i="5" s="1"/>
  <c r="G21" i="5"/>
  <c r="G23" i="5" s="1"/>
  <c r="D28" i="5"/>
  <c r="E16" i="5"/>
  <c r="E28" i="5" s="1"/>
  <c r="D27" i="5"/>
  <c r="E15" i="5"/>
  <c r="E27" i="5" s="1"/>
  <c r="H25" i="5"/>
  <c r="G41" i="5"/>
  <c r="H24" i="5"/>
  <c r="G16" i="5"/>
  <c r="G28" i="5" s="1"/>
  <c r="G15" i="5"/>
  <c r="G27" i="5" s="1"/>
  <c r="C21" i="7"/>
  <c r="E50" i="5"/>
  <c r="D7" i="8" s="1"/>
  <c r="D50" i="5"/>
  <c r="C7" i="8" s="1"/>
  <c r="E45" i="24"/>
  <c r="E57" i="24"/>
  <c r="H40" i="5" l="1"/>
  <c r="H43" i="5"/>
  <c r="F36" i="5"/>
  <c r="F39" i="5"/>
  <c r="I11" i="5"/>
  <c r="I4" i="5" s="1"/>
  <c r="H21" i="5"/>
  <c r="H23" i="5" s="1"/>
  <c r="K8" i="5"/>
  <c r="J7" i="5"/>
  <c r="J9" i="5" s="1"/>
  <c r="J10" i="5"/>
  <c r="J22" i="5"/>
  <c r="E30" i="5"/>
  <c r="E31" i="5" s="1"/>
  <c r="D30" i="5"/>
  <c r="D31" i="5" s="1"/>
  <c r="F35" i="5"/>
  <c r="H41" i="5"/>
  <c r="I25" i="5"/>
  <c r="F34" i="5"/>
  <c r="F33" i="5"/>
  <c r="G30" i="5"/>
  <c r="G31" i="5" s="1"/>
  <c r="I24" i="5"/>
  <c r="H16" i="5"/>
  <c r="H28" i="5" s="1"/>
  <c r="H15" i="5"/>
  <c r="H27" i="5" s="1"/>
  <c r="C13" i="7"/>
  <c r="C25" i="6"/>
  <c r="D25" i="6" s="1"/>
  <c r="D13" i="7"/>
  <c r="F50" i="5"/>
  <c r="E7" i="8" s="1"/>
  <c r="E51" i="24"/>
  <c r="E53" i="24" s="1"/>
  <c r="E59" i="24" s="1"/>
  <c r="E60" i="24" s="1"/>
  <c r="D19" i="24" s="1"/>
  <c r="N64" i="24" l="1"/>
  <c r="M64" i="24"/>
  <c r="I40" i="5"/>
  <c r="I43" i="5"/>
  <c r="D35" i="5"/>
  <c r="E36" i="5"/>
  <c r="E39" i="5"/>
  <c r="G36" i="5"/>
  <c r="G39" i="5"/>
  <c r="F37" i="5"/>
  <c r="I21" i="5"/>
  <c r="I23" i="5" s="1"/>
  <c r="D36" i="5"/>
  <c r="D34" i="5"/>
  <c r="D33" i="5"/>
  <c r="J11" i="5"/>
  <c r="J4" i="5" s="1"/>
  <c r="L8" i="5"/>
  <c r="M8" i="5" s="1"/>
  <c r="K7" i="5"/>
  <c r="K9" i="5" s="1"/>
  <c r="K10" i="5"/>
  <c r="K22" i="5"/>
  <c r="E35" i="5"/>
  <c r="E33" i="5"/>
  <c r="E34" i="5"/>
  <c r="J25" i="5"/>
  <c r="I41" i="5"/>
  <c r="G35" i="5"/>
  <c r="H30" i="5"/>
  <c r="H31" i="5" s="1"/>
  <c r="G34" i="5"/>
  <c r="G33" i="5"/>
  <c r="J24" i="5"/>
  <c r="I15" i="5"/>
  <c r="I27" i="5" s="1"/>
  <c r="I16" i="5"/>
  <c r="I28" i="5" s="1"/>
  <c r="E25" i="6"/>
  <c r="G50" i="5"/>
  <c r="F7" i="8" s="1"/>
  <c r="E13" i="7"/>
  <c r="C11" i="8"/>
  <c r="E19" i="11"/>
  <c r="F19" i="11" s="1"/>
  <c r="G19" i="11" s="1"/>
  <c r="H19" i="11" s="1"/>
  <c r="I19" i="11" s="1"/>
  <c r="J19" i="11" s="1"/>
  <c r="K19" i="11" s="1"/>
  <c r="L19" i="11" s="1"/>
  <c r="D8" i="7"/>
  <c r="E8" i="7"/>
  <c r="F8" i="7"/>
  <c r="G8" i="7"/>
  <c r="H8" i="7"/>
  <c r="I8" i="7"/>
  <c r="J8" i="7"/>
  <c r="K8" i="7"/>
  <c r="M10" i="5" l="1"/>
  <c r="N8" i="5"/>
  <c r="M22" i="5"/>
  <c r="M7" i="5"/>
  <c r="M9" i="5" s="1"/>
  <c r="J40" i="5"/>
  <c r="J43" i="5"/>
  <c r="H33" i="5"/>
  <c r="H39" i="5"/>
  <c r="D37" i="5"/>
  <c r="E37" i="5"/>
  <c r="G37" i="5"/>
  <c r="J21" i="5"/>
  <c r="J23" i="5" s="1"/>
  <c r="L22" i="5"/>
  <c r="L10" i="5"/>
  <c r="L7" i="5"/>
  <c r="L9" i="5" s="1"/>
  <c r="K11" i="5"/>
  <c r="K4" i="5" s="1"/>
  <c r="H34" i="5"/>
  <c r="H36" i="5"/>
  <c r="H35" i="5"/>
  <c r="K25" i="5"/>
  <c r="J41" i="5"/>
  <c r="I30" i="5"/>
  <c r="I31" i="5" s="1"/>
  <c r="K24" i="5"/>
  <c r="J16" i="5"/>
  <c r="J28" i="5" s="1"/>
  <c r="J15" i="5"/>
  <c r="J27" i="5" s="1"/>
  <c r="F25" i="6"/>
  <c r="H50" i="5"/>
  <c r="G7" i="8" s="1"/>
  <c r="F13" i="7"/>
  <c r="M11" i="5" l="1"/>
  <c r="M4" i="5" s="1"/>
  <c r="N22" i="5"/>
  <c r="N10" i="5"/>
  <c r="N7" i="5"/>
  <c r="N9" i="5" s="1"/>
  <c r="K40" i="5"/>
  <c r="K43" i="5"/>
  <c r="I36" i="5"/>
  <c r="I39" i="5"/>
  <c r="H37" i="5"/>
  <c r="K21" i="5"/>
  <c r="K23" i="5" s="1"/>
  <c r="L11" i="5"/>
  <c r="L21" i="5" s="1"/>
  <c r="L23" i="5" s="1"/>
  <c r="I35" i="5"/>
  <c r="L25" i="5"/>
  <c r="K41" i="5"/>
  <c r="I34" i="5"/>
  <c r="I33" i="5"/>
  <c r="J30" i="5"/>
  <c r="J31" i="5" s="1"/>
  <c r="L24" i="5"/>
  <c r="M24" i="5" s="1"/>
  <c r="K15" i="5"/>
  <c r="K27" i="5" s="1"/>
  <c r="K16" i="5"/>
  <c r="K28" i="5" s="1"/>
  <c r="G13" i="7"/>
  <c r="I50" i="5"/>
  <c r="D6" i="22"/>
  <c r="O6" i="22" s="1"/>
  <c r="D15" i="22"/>
  <c r="G25" i="6"/>
  <c r="H13" i="7" l="1"/>
  <c r="H7" i="8"/>
  <c r="E144" i="22"/>
  <c r="E135" i="22"/>
  <c r="E127" i="22"/>
  <c r="E143" i="22"/>
  <c r="E134" i="22"/>
  <c r="E126" i="22"/>
  <c r="E139" i="22"/>
  <c r="E151" i="22"/>
  <c r="E142" i="22"/>
  <c r="E133" i="22"/>
  <c r="E125" i="22"/>
  <c r="E130" i="22"/>
  <c r="E150" i="22"/>
  <c r="E141" i="22"/>
  <c r="E132" i="22"/>
  <c r="E124" i="22"/>
  <c r="E147" i="22"/>
  <c r="E148" i="22"/>
  <c r="E140" i="22"/>
  <c r="E131" i="22"/>
  <c r="E146" i="22"/>
  <c r="E138" i="22"/>
  <c r="E129" i="22"/>
  <c r="E145" i="22"/>
  <c r="E137" i="22"/>
  <c r="E128" i="22"/>
  <c r="M21" i="5"/>
  <c r="M23" i="5" s="1"/>
  <c r="N11" i="5"/>
  <c r="N4" i="5" s="1"/>
  <c r="L41" i="5"/>
  <c r="M25" i="5"/>
  <c r="N24" i="5"/>
  <c r="M40" i="5"/>
  <c r="M43" i="5"/>
  <c r="M15" i="5"/>
  <c r="M27" i="5" s="1"/>
  <c r="M16" i="5"/>
  <c r="M28" i="5" s="1"/>
  <c r="L40" i="5"/>
  <c r="L43" i="5"/>
  <c r="J36" i="5"/>
  <c r="J39" i="5"/>
  <c r="I37" i="5"/>
  <c r="L4" i="5"/>
  <c r="J35" i="5"/>
  <c r="J34" i="5"/>
  <c r="J33" i="5"/>
  <c r="K30" i="5"/>
  <c r="K31" i="5" s="1"/>
  <c r="L15" i="5"/>
  <c r="L27" i="5" s="1"/>
  <c r="L16" i="5"/>
  <c r="L28" i="5" s="1"/>
  <c r="H25" i="6"/>
  <c r="I25" i="6" s="1"/>
  <c r="J25" i="6" s="1"/>
  <c r="K25" i="6" s="1"/>
  <c r="L25" i="6" s="1"/>
  <c r="M25" i="6" s="1"/>
  <c r="C8" i="7"/>
  <c r="E117" i="22"/>
  <c r="E62" i="22"/>
  <c r="E103" i="22"/>
  <c r="E75" i="22"/>
  <c r="E92" i="22"/>
  <c r="E49" i="22"/>
  <c r="E67" i="22"/>
  <c r="E54" i="22"/>
  <c r="E52" i="22"/>
  <c r="E106" i="22"/>
  <c r="E118" i="22"/>
  <c r="E107" i="22"/>
  <c r="E50" i="22"/>
  <c r="E48" i="22"/>
  <c r="E83" i="22"/>
  <c r="E99" i="22"/>
  <c r="E57" i="22"/>
  <c r="E74" i="22"/>
  <c r="E61" i="22"/>
  <c r="E91" i="22"/>
  <c r="E98" i="22"/>
  <c r="E102" i="22"/>
  <c r="E59" i="22"/>
  <c r="E116" i="22"/>
  <c r="E111" i="22"/>
  <c r="E65" i="22"/>
  <c r="E51" i="22"/>
  <c r="E85" i="22"/>
  <c r="E90" i="22"/>
  <c r="E64" i="22"/>
  <c r="E82" i="22"/>
  <c r="E69" i="22"/>
  <c r="E53" i="22"/>
  <c r="E122" i="22"/>
  <c r="E119" i="22"/>
  <c r="E56" i="22"/>
  <c r="E72" i="22"/>
  <c r="E66" i="22"/>
  <c r="E94" i="22"/>
  <c r="E105" i="22"/>
  <c r="E63" i="22"/>
  <c r="E79" i="22"/>
  <c r="E89" i="22"/>
  <c r="E76" i="22"/>
  <c r="E55" i="22"/>
  <c r="E114" i="22"/>
  <c r="E115" i="22"/>
  <c r="E112" i="22"/>
  <c r="E100" i="22"/>
  <c r="E80" i="22"/>
  <c r="E73" i="22"/>
  <c r="E78" i="22"/>
  <c r="E101" i="22"/>
  <c r="E104" i="22"/>
  <c r="D20" i="22"/>
  <c r="E96" i="22"/>
  <c r="E121" i="22"/>
  <c r="E120" i="22"/>
  <c r="E87" i="22"/>
  <c r="E81" i="22"/>
  <c r="E93" i="22"/>
  <c r="E68" i="22"/>
  <c r="E113" i="22"/>
  <c r="E86" i="22"/>
  <c r="E95" i="22"/>
  <c r="E88" i="22"/>
  <c r="E60" i="22"/>
  <c r="E70" i="22"/>
  <c r="E108" i="22"/>
  <c r="E109" i="22"/>
  <c r="E77" i="22"/>
  <c r="L7" i="22" l="1"/>
  <c r="J12" i="6" s="1"/>
  <c r="N7" i="22"/>
  <c r="M7" i="22"/>
  <c r="N21" i="5"/>
  <c r="N23" i="5" s="1"/>
  <c r="N25" i="5"/>
  <c r="N41" i="5" s="1"/>
  <c r="M41" i="5"/>
  <c r="M30" i="5"/>
  <c r="M39" i="5" s="1"/>
  <c r="N43" i="5"/>
  <c r="N40" i="5"/>
  <c r="N16" i="5"/>
  <c r="N28" i="5" s="1"/>
  <c r="N15" i="5"/>
  <c r="N27" i="5" s="1"/>
  <c r="K36" i="5"/>
  <c r="K39" i="5"/>
  <c r="J37" i="5"/>
  <c r="K35" i="5"/>
  <c r="K33" i="5"/>
  <c r="K34" i="5"/>
  <c r="L30" i="5"/>
  <c r="L31" i="5" s="1"/>
  <c r="G7" i="22"/>
  <c r="E7" i="22"/>
  <c r="K7" i="22"/>
  <c r="H7" i="22"/>
  <c r="F7" i="22"/>
  <c r="I7" i="22"/>
  <c r="J7" i="22"/>
  <c r="F20" i="22"/>
  <c r="D21" i="22" s="1"/>
  <c r="K22" i="7" l="1"/>
  <c r="L57" i="5" s="1"/>
  <c r="K11" i="8"/>
  <c r="L22" i="7"/>
  <c r="M57" i="5" s="1"/>
  <c r="L11" i="8"/>
  <c r="K12" i="6"/>
  <c r="L12" i="6"/>
  <c r="M11" i="8"/>
  <c r="M22" i="7"/>
  <c r="N57" i="5" s="1"/>
  <c r="M6" i="11"/>
  <c r="M26" i="11" s="1"/>
  <c r="L37" i="10"/>
  <c r="L17" i="10"/>
  <c r="L5" i="25"/>
  <c r="M36" i="5"/>
  <c r="M66" i="5"/>
  <c r="M35" i="5"/>
  <c r="M34" i="5"/>
  <c r="M33" i="5"/>
  <c r="M31" i="5"/>
  <c r="N30" i="5"/>
  <c r="L39" i="5"/>
  <c r="K37" i="5"/>
  <c r="L36" i="5"/>
  <c r="L35" i="5"/>
  <c r="L34" i="5"/>
  <c r="L33" i="5"/>
  <c r="G20" i="22"/>
  <c r="F21" i="22"/>
  <c r="D22" i="22" s="1"/>
  <c r="N39" i="5" l="1"/>
  <c r="O40" i="5"/>
  <c r="N6" i="11"/>
  <c r="N26" i="11" s="1"/>
  <c r="M37" i="10"/>
  <c r="M17" i="10"/>
  <c r="M5" i="25"/>
  <c r="N34" i="5"/>
  <c r="N31" i="5"/>
  <c r="N66" i="5"/>
  <c r="N77" i="5" s="1"/>
  <c r="N35" i="5"/>
  <c r="N33" i="5"/>
  <c r="N36" i="5"/>
  <c r="M37" i="5"/>
  <c r="M7" i="11"/>
  <c r="L22" i="6"/>
  <c r="L37" i="5"/>
  <c r="G21" i="22"/>
  <c r="F22" i="22"/>
  <c r="D23" i="22" s="1"/>
  <c r="D74" i="24"/>
  <c r="E76" i="24"/>
  <c r="F76" i="24" s="1"/>
  <c r="G76" i="24" s="1"/>
  <c r="H76" i="24" s="1"/>
  <c r="I76" i="24" s="1"/>
  <c r="J76" i="24" s="1"/>
  <c r="K76" i="24" s="1"/>
  <c r="L76" i="24" s="1"/>
  <c r="D62" i="24"/>
  <c r="E62" i="24" s="1"/>
  <c r="E5" i="24"/>
  <c r="F5" i="24" s="1"/>
  <c r="G5" i="24" s="1"/>
  <c r="H5" i="24" s="1"/>
  <c r="I5" i="24" s="1"/>
  <c r="J5" i="24" s="1"/>
  <c r="K5" i="24" s="1"/>
  <c r="L5" i="24" s="1"/>
  <c r="L38" i="10" l="1"/>
  <c r="L39" i="10" s="1"/>
  <c r="L6" i="25"/>
  <c r="L7" i="25" s="1"/>
  <c r="L10" i="25" s="1"/>
  <c r="N7" i="11"/>
  <c r="N37" i="5"/>
  <c r="M22" i="6"/>
  <c r="M25" i="7" s="1"/>
  <c r="M12" i="11"/>
  <c r="M18" i="11" s="1"/>
  <c r="M23" i="11" s="1"/>
  <c r="L11" i="6" s="1"/>
  <c r="M15" i="11"/>
  <c r="M13" i="11" s="1"/>
  <c r="G22" i="22"/>
  <c r="F23" i="22"/>
  <c r="D24" i="22" s="1"/>
  <c r="E64" i="24"/>
  <c r="F62" i="24"/>
  <c r="D64" i="24"/>
  <c r="M6" i="25" l="1"/>
  <c r="M7" i="25" s="1"/>
  <c r="M10" i="25" s="1"/>
  <c r="M38" i="10"/>
  <c r="M39" i="10" s="1"/>
  <c r="N12" i="11"/>
  <c r="N18" i="11" s="1"/>
  <c r="N23" i="11" s="1"/>
  <c r="M11" i="6" s="1"/>
  <c r="N15" i="11"/>
  <c r="N13" i="11" s="1"/>
  <c r="N28" i="11" s="1"/>
  <c r="M28" i="11"/>
  <c r="N11" i="11"/>
  <c r="L51" i="10"/>
  <c r="L24" i="10"/>
  <c r="G23" i="22"/>
  <c r="F24" i="22"/>
  <c r="D25" i="22" s="1"/>
  <c r="G62" i="24"/>
  <c r="F64" i="24"/>
  <c r="L23" i="6" l="1"/>
  <c r="M30" i="11"/>
  <c r="M32" i="11" s="1"/>
  <c r="M23" i="6"/>
  <c r="N30" i="11"/>
  <c r="N32" i="11" s="1"/>
  <c r="M14" i="7"/>
  <c r="M51" i="10"/>
  <c r="G24" i="22"/>
  <c r="F25" i="22"/>
  <c r="D26" i="22" s="1"/>
  <c r="H62" i="24"/>
  <c r="G64" i="24"/>
  <c r="C22" i="25"/>
  <c r="D18" i="25"/>
  <c r="D22" i="25" s="1"/>
  <c r="C17" i="25"/>
  <c r="D4" i="25"/>
  <c r="D17" i="25" s="1"/>
  <c r="M27" i="7" l="1"/>
  <c r="N10" i="24"/>
  <c r="N33" i="11"/>
  <c r="N34" i="11" s="1"/>
  <c r="M33" i="11"/>
  <c r="M34" i="11" s="1"/>
  <c r="G25" i="22"/>
  <c r="F26" i="22"/>
  <c r="D27" i="22" s="1"/>
  <c r="E18" i="25"/>
  <c r="E22" i="25" s="1"/>
  <c r="E23" i="25" s="1"/>
  <c r="I62" i="24"/>
  <c r="H64" i="24"/>
  <c r="E4" i="25"/>
  <c r="G26" i="22" l="1"/>
  <c r="F27" i="22"/>
  <c r="D28" i="22" s="1"/>
  <c r="F18" i="25"/>
  <c r="G18" i="25" s="1"/>
  <c r="J62" i="24"/>
  <c r="I64" i="24"/>
  <c r="F4" i="25"/>
  <c r="E17" i="25"/>
  <c r="G27" i="22" l="1"/>
  <c r="D10" i="22" s="1"/>
  <c r="F28" i="22"/>
  <c r="D29" i="22" s="1"/>
  <c r="F22" i="25"/>
  <c r="F23" i="25" s="1"/>
  <c r="K62" i="24"/>
  <c r="J64" i="24"/>
  <c r="G4" i="25"/>
  <c r="F17" i="25"/>
  <c r="H18" i="25"/>
  <c r="G22" i="25"/>
  <c r="D9" i="2" l="1"/>
  <c r="D5" i="19"/>
  <c r="G28" i="22"/>
  <c r="F29" i="22"/>
  <c r="D30" i="22" s="1"/>
  <c r="G23" i="25"/>
  <c r="L62" i="24"/>
  <c r="K64" i="24"/>
  <c r="H22" i="25"/>
  <c r="I18" i="25"/>
  <c r="G17" i="25"/>
  <c r="H4" i="25"/>
  <c r="G29" i="22" l="1"/>
  <c r="F30" i="22"/>
  <c r="D31" i="22" s="1"/>
  <c r="H23" i="25"/>
  <c r="L64" i="24"/>
  <c r="J18" i="25"/>
  <c r="J22" i="25" s="1"/>
  <c r="I22" i="25"/>
  <c r="I4" i="25"/>
  <c r="H17" i="25"/>
  <c r="G30" i="22" l="1"/>
  <c r="F31" i="22"/>
  <c r="D33" i="22" s="1"/>
  <c r="I23" i="25"/>
  <c r="J23" i="25" s="1"/>
  <c r="J4" i="25"/>
  <c r="I17" i="25"/>
  <c r="G31" i="22" l="1"/>
  <c r="F33" i="22"/>
  <c r="D34" i="22" s="1"/>
  <c r="K4" i="25"/>
  <c r="J17" i="25"/>
  <c r="D9" i="22" l="1"/>
  <c r="G33" i="22"/>
  <c r="F34" i="22"/>
  <c r="D35" i="22" s="1"/>
  <c r="D27" i="24"/>
  <c r="E23" i="24"/>
  <c r="F23" i="24" s="1"/>
  <c r="D22" i="24"/>
  <c r="E4" i="24"/>
  <c r="F35" i="22" l="1"/>
  <c r="D36" i="22" s="1"/>
  <c r="G34" i="22"/>
  <c r="F4" i="24"/>
  <c r="F74" i="24" s="1"/>
  <c r="E74" i="24"/>
  <c r="G23" i="24"/>
  <c r="F27" i="24"/>
  <c r="F28" i="24" s="1"/>
  <c r="E27" i="24"/>
  <c r="E22" i="24"/>
  <c r="G35" i="22" l="1"/>
  <c r="F36" i="22"/>
  <c r="D37" i="22" s="1"/>
  <c r="G4" i="24"/>
  <c r="G74" i="24" s="1"/>
  <c r="F22" i="24"/>
  <c r="G27" i="24"/>
  <c r="G28" i="24" s="1"/>
  <c r="H23" i="24"/>
  <c r="G36" i="22" l="1"/>
  <c r="F37" i="22"/>
  <c r="D38" i="22" s="1"/>
  <c r="G22" i="24"/>
  <c r="H4" i="24"/>
  <c r="H74" i="24" s="1"/>
  <c r="I23" i="24"/>
  <c r="H27" i="24"/>
  <c r="H28" i="24" s="1"/>
  <c r="G37" i="22" l="1"/>
  <c r="F38" i="22"/>
  <c r="D39" i="22" s="1"/>
  <c r="I4" i="24"/>
  <c r="I74" i="24" s="1"/>
  <c r="H22" i="24"/>
  <c r="I27" i="24"/>
  <c r="I28" i="24" s="1"/>
  <c r="J23" i="24"/>
  <c r="F39" i="22" l="1"/>
  <c r="D40" i="22" s="1"/>
  <c r="G38" i="22"/>
  <c r="I22" i="24"/>
  <c r="J4" i="24"/>
  <c r="J74" i="24" s="1"/>
  <c r="J27" i="24"/>
  <c r="J28" i="24" s="1"/>
  <c r="F40" i="22" l="1"/>
  <c r="D41" i="22" s="1"/>
  <c r="G39" i="22"/>
  <c r="K4" i="24"/>
  <c r="K74" i="24" s="1"/>
  <c r="J22" i="24"/>
  <c r="F41" i="22" l="1"/>
  <c r="D42" i="22" s="1"/>
  <c r="G40" i="22"/>
  <c r="L4" i="24"/>
  <c r="E26" i="8"/>
  <c r="E25" i="8"/>
  <c r="D27" i="8"/>
  <c r="D5" i="10"/>
  <c r="E5" i="10" s="1"/>
  <c r="F5" i="10" s="1"/>
  <c r="G5" i="10" s="1"/>
  <c r="H5" i="10" s="1"/>
  <c r="I5" i="10" s="1"/>
  <c r="J5" i="10" s="1"/>
  <c r="K5" i="10" s="1"/>
  <c r="L5" i="10" s="1"/>
  <c r="M5" i="10" s="1"/>
  <c r="D5" i="11"/>
  <c r="E5" i="11" s="1"/>
  <c r="F5" i="11" s="1"/>
  <c r="G5" i="11" s="1"/>
  <c r="H5" i="11" s="1"/>
  <c r="I5" i="11" s="1"/>
  <c r="J5" i="11" s="1"/>
  <c r="K5" i="11" s="1"/>
  <c r="L5" i="11" s="1"/>
  <c r="D19" i="19"/>
  <c r="E19" i="19" s="1"/>
  <c r="F19" i="19" s="1"/>
  <c r="G19" i="19" s="1"/>
  <c r="H19" i="19" s="1"/>
  <c r="I19" i="19" s="1"/>
  <c r="J19" i="19" s="1"/>
  <c r="K19" i="19" s="1"/>
  <c r="D10" i="19"/>
  <c r="E10" i="19" s="1"/>
  <c r="F10" i="19" s="1"/>
  <c r="G10" i="19" s="1"/>
  <c r="H10" i="19" s="1"/>
  <c r="I10" i="19" s="1"/>
  <c r="J10" i="19" s="1"/>
  <c r="K10" i="19" s="1"/>
  <c r="E20" i="5"/>
  <c r="F20" i="5" s="1"/>
  <c r="G20" i="5" s="1"/>
  <c r="H20" i="5" s="1"/>
  <c r="I20" i="5" s="1"/>
  <c r="J20" i="5" s="1"/>
  <c r="K20" i="5" s="1"/>
  <c r="L20" i="5" s="1"/>
  <c r="M20" i="5" s="1"/>
  <c r="N20" i="5" s="1"/>
  <c r="D3" i="6"/>
  <c r="E3" i="6" s="1"/>
  <c r="F3" i="6" s="1"/>
  <c r="G3" i="6" s="1"/>
  <c r="H3" i="6" s="1"/>
  <c r="I3" i="6" s="1"/>
  <c r="J3" i="6" s="1"/>
  <c r="K3" i="6" s="1"/>
  <c r="L3" i="6" s="1"/>
  <c r="M3" i="6" s="1"/>
  <c r="D3" i="7"/>
  <c r="E3" i="7" s="1"/>
  <c r="F3" i="7" s="1"/>
  <c r="G3" i="7" s="1"/>
  <c r="H3" i="7" s="1"/>
  <c r="I3" i="7" s="1"/>
  <c r="J3" i="7" s="1"/>
  <c r="K3" i="7" s="1"/>
  <c r="L3" i="7" s="1"/>
  <c r="M3" i="7" s="1"/>
  <c r="D4" i="8"/>
  <c r="E4" i="8" s="1"/>
  <c r="F4" i="8" s="1"/>
  <c r="G4" i="8" s="1"/>
  <c r="H4" i="8" s="1"/>
  <c r="I4" i="8" s="1"/>
  <c r="J4" i="8" s="1"/>
  <c r="K4" i="8" s="1"/>
  <c r="L4" i="8" s="1"/>
  <c r="M4" i="8" s="1"/>
  <c r="E4" i="22"/>
  <c r="E27" i="11"/>
  <c r="E21" i="11"/>
  <c r="F21" i="11" s="1"/>
  <c r="G21" i="11" s="1"/>
  <c r="H21" i="11" s="1"/>
  <c r="I21" i="11" s="1"/>
  <c r="J21" i="11" s="1"/>
  <c r="K21" i="11" s="1"/>
  <c r="L21" i="11" s="1"/>
  <c r="G36" i="4"/>
  <c r="D11" i="11"/>
  <c r="G42" i="4"/>
  <c r="D42" i="4" s="1"/>
  <c r="C22" i="7"/>
  <c r="D57" i="5" s="1"/>
  <c r="G41" i="22" l="1"/>
  <c r="F42" i="22"/>
  <c r="D43" i="22" s="1"/>
  <c r="D40" i="5"/>
  <c r="D39" i="5" s="1"/>
  <c r="F4" i="22"/>
  <c r="L74" i="24"/>
  <c r="F27" i="11"/>
  <c r="G43" i="4"/>
  <c r="E27" i="8"/>
  <c r="F43" i="22" l="1"/>
  <c r="D44" i="22" s="1"/>
  <c r="F44" i="22" s="1"/>
  <c r="G42" i="22"/>
  <c r="G32" i="4"/>
  <c r="L66" i="5"/>
  <c r="M77" i="5" s="1"/>
  <c r="K37" i="10"/>
  <c r="K17" i="10"/>
  <c r="J17" i="10"/>
  <c r="J37" i="10"/>
  <c r="K66" i="5"/>
  <c r="G4" i="22"/>
  <c r="G27" i="11"/>
  <c r="C17" i="10"/>
  <c r="G38" i="4"/>
  <c r="G43" i="22" l="1"/>
  <c r="M42" i="5"/>
  <c r="M44" i="5" s="1"/>
  <c r="N42" i="5"/>
  <c r="N44" i="5" s="1"/>
  <c r="G44" i="22"/>
  <c r="D46" i="22"/>
  <c r="K42" i="5"/>
  <c r="L42" i="5"/>
  <c r="E42" i="5"/>
  <c r="F42" i="5"/>
  <c r="D42" i="5"/>
  <c r="G42" i="5"/>
  <c r="H42" i="5"/>
  <c r="I42" i="5"/>
  <c r="J42" i="5"/>
  <c r="L77" i="5"/>
  <c r="E66" i="5"/>
  <c r="D37" i="10"/>
  <c r="D17" i="10"/>
  <c r="F66" i="5"/>
  <c r="E37" i="10"/>
  <c r="E17" i="10"/>
  <c r="H4" i="22"/>
  <c r="F5" i="25"/>
  <c r="H27" i="11"/>
  <c r="C5" i="25"/>
  <c r="D6" i="11"/>
  <c r="D26" i="11" s="1"/>
  <c r="C37" i="10"/>
  <c r="D66" i="5"/>
  <c r="D5" i="25"/>
  <c r="E6" i="11"/>
  <c r="E26" i="11" s="1"/>
  <c r="E5" i="25"/>
  <c r="F6" i="11"/>
  <c r="E77" i="5" l="1"/>
  <c r="M40" i="10"/>
  <c r="M52" i="10" s="1"/>
  <c r="M53" i="10" s="1"/>
  <c r="N8" i="11"/>
  <c r="N20" i="11" s="1"/>
  <c r="N45" i="5"/>
  <c r="N46" i="5" s="1"/>
  <c r="M8" i="11"/>
  <c r="M20" i="11" s="1"/>
  <c r="L40" i="10"/>
  <c r="L52" i="10" s="1"/>
  <c r="L53" i="10" s="1"/>
  <c r="M45" i="5"/>
  <c r="M46" i="5" s="1"/>
  <c r="F46" i="22"/>
  <c r="D47" i="22" s="1"/>
  <c r="F47" i="22" s="1"/>
  <c r="G47" i="22" s="1"/>
  <c r="E9" i="22"/>
  <c r="F77" i="5"/>
  <c r="G6" i="11"/>
  <c r="G26" i="11" s="1"/>
  <c r="F22" i="6" s="1"/>
  <c r="F37" i="10"/>
  <c r="F17" i="10"/>
  <c r="I4" i="22"/>
  <c r="G66" i="5"/>
  <c r="G77" i="5" s="1"/>
  <c r="F26" i="11"/>
  <c r="E22" i="6" s="1"/>
  <c r="C22" i="6"/>
  <c r="C25" i="7" s="1"/>
  <c r="I27" i="11"/>
  <c r="D22" i="6"/>
  <c r="C3" i="19"/>
  <c r="C4" i="19"/>
  <c r="D8" i="22"/>
  <c r="G46" i="22" l="1"/>
  <c r="D8" i="2" s="1"/>
  <c r="M6" i="10"/>
  <c r="N61" i="5"/>
  <c r="N67" i="5"/>
  <c r="N71" i="5" s="1"/>
  <c r="L6" i="10"/>
  <c r="M61" i="5"/>
  <c r="M67" i="5"/>
  <c r="M71" i="5" s="1"/>
  <c r="F25" i="7"/>
  <c r="D25" i="7"/>
  <c r="E25" i="7"/>
  <c r="D48" i="22"/>
  <c r="G37" i="10"/>
  <c r="G17" i="10"/>
  <c r="J4" i="22"/>
  <c r="E5" i="22"/>
  <c r="J27" i="11"/>
  <c r="H6" i="11"/>
  <c r="H26" i="11" s="1"/>
  <c r="H66" i="5"/>
  <c r="H77" i="5" s="1"/>
  <c r="G5" i="25"/>
  <c r="C5" i="19"/>
  <c r="D4" i="19" s="1"/>
  <c r="D3" i="19" l="1"/>
  <c r="F48" i="22"/>
  <c r="D49" i="22" s="1"/>
  <c r="H37" i="10"/>
  <c r="H17" i="10"/>
  <c r="E22" i="7"/>
  <c r="F57" i="5" s="1"/>
  <c r="I12" i="6"/>
  <c r="E12" i="6"/>
  <c r="H12" i="6"/>
  <c r="F12" i="6"/>
  <c r="G12" i="6"/>
  <c r="K4" i="22"/>
  <c r="K27" i="11"/>
  <c r="D11" i="22"/>
  <c r="D47" i="5" s="1"/>
  <c r="G22" i="6"/>
  <c r="G25" i="7" s="1"/>
  <c r="I66" i="5"/>
  <c r="I77" i="5" s="1"/>
  <c r="H5" i="25"/>
  <c r="I6" i="11"/>
  <c r="I26" i="11" s="1"/>
  <c r="G48" i="22" l="1"/>
  <c r="F49" i="22"/>
  <c r="D50" i="22" s="1"/>
  <c r="H11" i="8"/>
  <c r="I17" i="10"/>
  <c r="I37" i="10"/>
  <c r="D11" i="8"/>
  <c r="C12" i="6"/>
  <c r="C8" i="6" s="1"/>
  <c r="E11" i="8"/>
  <c r="D12" i="6"/>
  <c r="L4" i="22"/>
  <c r="H22" i="7"/>
  <c r="I57" i="5" s="1"/>
  <c r="F22" i="7"/>
  <c r="G57" i="5" s="1"/>
  <c r="F11" i="8"/>
  <c r="G22" i="7"/>
  <c r="H57" i="5" s="1"/>
  <c r="G11" i="8"/>
  <c r="J22" i="7"/>
  <c r="K57" i="5" s="1"/>
  <c r="J11" i="8"/>
  <c r="D22" i="7"/>
  <c r="E57" i="5" s="1"/>
  <c r="I22" i="7"/>
  <c r="J57" i="5" s="1"/>
  <c r="I11" i="8"/>
  <c r="L27" i="11"/>
  <c r="K6" i="11"/>
  <c r="K26" i="11" s="1"/>
  <c r="H22" i="6"/>
  <c r="H25" i="7" s="1"/>
  <c r="J6" i="11"/>
  <c r="J26" i="11" s="1"/>
  <c r="I5" i="25"/>
  <c r="J66" i="5"/>
  <c r="M4" i="22" l="1"/>
  <c r="G49" i="22"/>
  <c r="F50" i="22"/>
  <c r="D51" i="22" s="1"/>
  <c r="J77" i="5"/>
  <c r="K77" i="5"/>
  <c r="C20" i="10"/>
  <c r="C14" i="10"/>
  <c r="D23" i="2"/>
  <c r="J5" i="25"/>
  <c r="I22" i="6"/>
  <c r="I25" i="7" s="1"/>
  <c r="J22" i="6"/>
  <c r="D78" i="5" l="1"/>
  <c r="J25" i="7"/>
  <c r="N4" i="22"/>
  <c r="G50" i="22"/>
  <c r="F51" i="22"/>
  <c r="D52" i="22" s="1"/>
  <c r="G40" i="4"/>
  <c r="L6" i="11"/>
  <c r="L26" i="11" s="1"/>
  <c r="K5" i="25"/>
  <c r="G51" i="22" l="1"/>
  <c r="F52" i="22"/>
  <c r="D53" i="22" s="1"/>
  <c r="G44" i="5"/>
  <c r="K22" i="6"/>
  <c r="K25" i="7" l="1"/>
  <c r="L25" i="7"/>
  <c r="G52" i="22"/>
  <c r="D44" i="5"/>
  <c r="D8" i="11" s="1"/>
  <c r="D20" i="11" s="1"/>
  <c r="E44" i="5"/>
  <c r="F53" i="22"/>
  <c r="D54" i="22" s="1"/>
  <c r="K44" i="5"/>
  <c r="F40" i="10"/>
  <c r="H44" i="5"/>
  <c r="L44" i="5"/>
  <c r="L8" i="11" s="1"/>
  <c r="L20" i="11" s="1"/>
  <c r="I44" i="5"/>
  <c r="F44" i="5"/>
  <c r="J44" i="5"/>
  <c r="G44" i="4"/>
  <c r="G8" i="11"/>
  <c r="G20" i="11" s="1"/>
  <c r="C40" i="10" l="1"/>
  <c r="E8" i="11"/>
  <c r="E20" i="11" s="1"/>
  <c r="D40" i="10"/>
  <c r="G53" i="22"/>
  <c r="J40" i="10"/>
  <c r="K8" i="11"/>
  <c r="K20" i="11" s="1"/>
  <c r="F54" i="22"/>
  <c r="D55" i="22" s="1"/>
  <c r="G40" i="10"/>
  <c r="I8" i="11"/>
  <c r="I20" i="11" s="1"/>
  <c r="H40" i="10"/>
  <c r="K40" i="10"/>
  <c r="E40" i="10"/>
  <c r="H8" i="11"/>
  <c r="H20" i="11" s="1"/>
  <c r="J8" i="11"/>
  <c r="J20" i="11" s="1"/>
  <c r="I40" i="10"/>
  <c r="F8" i="11"/>
  <c r="F20" i="11" s="1"/>
  <c r="G54" i="22" l="1"/>
  <c r="F55" i="22"/>
  <c r="D56" i="22" s="1"/>
  <c r="G55" i="22" l="1"/>
  <c r="F56" i="22"/>
  <c r="D57" i="22" s="1"/>
  <c r="E8" i="22"/>
  <c r="O10" i="22"/>
  <c r="G56" i="22" l="1"/>
  <c r="F57" i="22"/>
  <c r="D59" i="22" s="1"/>
  <c r="F5" i="22"/>
  <c r="F8" i="22" s="1"/>
  <c r="G5" i="22" s="1"/>
  <c r="G57" i="22" l="1"/>
  <c r="F9" i="22" s="1"/>
  <c r="F59" i="22"/>
  <c r="D60" i="22" s="1"/>
  <c r="G8" i="22"/>
  <c r="H5" i="22" s="1"/>
  <c r="D8" i="6"/>
  <c r="E11" i="22"/>
  <c r="E47" i="5" s="1"/>
  <c r="G59" i="22" l="1"/>
  <c r="F60" i="22"/>
  <c r="D61" i="22" s="1"/>
  <c r="D8" i="8"/>
  <c r="D10" i="8" s="1"/>
  <c r="D41" i="10"/>
  <c r="D10" i="10"/>
  <c r="H8" i="22"/>
  <c r="I5" i="22" s="1"/>
  <c r="D20" i="10"/>
  <c r="D19" i="10"/>
  <c r="D14" i="10"/>
  <c r="G60" i="22" l="1"/>
  <c r="F61" i="22"/>
  <c r="D62" i="22" s="1"/>
  <c r="I8" i="22"/>
  <c r="J5" i="22" s="1"/>
  <c r="C19" i="10"/>
  <c r="F4" i="19"/>
  <c r="C10" i="10"/>
  <c r="C41" i="10"/>
  <c r="C8" i="8"/>
  <c r="C10" i="8" s="1"/>
  <c r="F3" i="19"/>
  <c r="C11" i="19" s="1"/>
  <c r="C16" i="6" l="1"/>
  <c r="D11" i="19"/>
  <c r="G61" i="22"/>
  <c r="F62" i="22"/>
  <c r="D63" i="22" s="1"/>
  <c r="J8" i="22"/>
  <c r="K5" i="22" s="1"/>
  <c r="C24" i="19"/>
  <c r="E8" i="6"/>
  <c r="C13" i="19"/>
  <c r="C20" i="19"/>
  <c r="F5" i="19"/>
  <c r="C12" i="19"/>
  <c r="C14" i="19" l="1"/>
  <c r="C15" i="19" s="1"/>
  <c r="C17" i="6"/>
  <c r="C18" i="6" s="1"/>
  <c r="C20" i="7" s="1"/>
  <c r="D13" i="19"/>
  <c r="D14" i="19" s="1"/>
  <c r="D16" i="6"/>
  <c r="E11" i="19"/>
  <c r="C26" i="19"/>
  <c r="C27" i="19" s="1"/>
  <c r="C22" i="19"/>
  <c r="C23" i="19" s="1"/>
  <c r="G62" i="22"/>
  <c r="F63" i="22"/>
  <c r="D64" i="22" s="1"/>
  <c r="E19" i="10"/>
  <c r="E20" i="10"/>
  <c r="E14" i="10"/>
  <c r="K8" i="22"/>
  <c r="L5" i="22" s="1"/>
  <c r="F8" i="6"/>
  <c r="F11" i="19" l="1"/>
  <c r="E16" i="6"/>
  <c r="E13" i="19"/>
  <c r="E14" i="19" s="1"/>
  <c r="D17" i="6"/>
  <c r="C28" i="19"/>
  <c r="D49" i="5" s="1"/>
  <c r="G63" i="22"/>
  <c r="D11" i="24"/>
  <c r="C16" i="24" s="1"/>
  <c r="F64" i="22"/>
  <c r="D65" i="22" s="1"/>
  <c r="F19" i="10"/>
  <c r="F20" i="10"/>
  <c r="F14" i="10"/>
  <c r="L8" i="22"/>
  <c r="M5" i="22" s="1"/>
  <c r="D24" i="19"/>
  <c r="D12" i="19"/>
  <c r="D15" i="19" s="1"/>
  <c r="C8" i="25" l="1"/>
  <c r="G11" i="19"/>
  <c r="F16" i="6"/>
  <c r="F13" i="19"/>
  <c r="F14" i="19" s="1"/>
  <c r="E17" i="6"/>
  <c r="D26" i="19"/>
  <c r="D27" i="19" s="1"/>
  <c r="E24" i="19" s="1"/>
  <c r="E26" i="19" s="1"/>
  <c r="G64" i="22"/>
  <c r="F65" i="22"/>
  <c r="D66" i="22" s="1"/>
  <c r="M8" i="22"/>
  <c r="N5" i="22" s="1"/>
  <c r="N8" i="22" s="1"/>
  <c r="C29" i="19"/>
  <c r="C6" i="8"/>
  <c r="C19" i="6"/>
  <c r="C20" i="6" s="1"/>
  <c r="D20" i="19"/>
  <c r="D22" i="19" s="1"/>
  <c r="D23" i="19" s="1"/>
  <c r="D8" i="24"/>
  <c r="C42" i="10"/>
  <c r="C43" i="10" s="1"/>
  <c r="D55" i="5"/>
  <c r="C12" i="7" s="1"/>
  <c r="E12" i="19"/>
  <c r="E15" i="19" s="1"/>
  <c r="D18" i="6"/>
  <c r="G13" i="19" l="1"/>
  <c r="F17" i="6"/>
  <c r="H11" i="19"/>
  <c r="G16" i="6"/>
  <c r="E11" i="24"/>
  <c r="D20" i="7"/>
  <c r="E27" i="19"/>
  <c r="F24" i="19" s="1"/>
  <c r="F26" i="19" s="1"/>
  <c r="D28" i="19"/>
  <c r="G65" i="22"/>
  <c r="F66" i="22"/>
  <c r="D67" i="22" s="1"/>
  <c r="G8" i="6"/>
  <c r="F12" i="19"/>
  <c r="F15" i="19" s="1"/>
  <c r="E18" i="6"/>
  <c r="E20" i="7" s="1"/>
  <c r="C18" i="10"/>
  <c r="C31" i="10" s="1"/>
  <c r="I11" i="19" l="1"/>
  <c r="H16" i="6"/>
  <c r="H13" i="19"/>
  <c r="H14" i="19" s="1"/>
  <c r="G17" i="6"/>
  <c r="F11" i="24"/>
  <c r="F27" i="19"/>
  <c r="E49" i="5"/>
  <c r="G66" i="22"/>
  <c r="F67" i="22"/>
  <c r="D68" i="22" s="1"/>
  <c r="G14" i="19"/>
  <c r="G19" i="10"/>
  <c r="G20" i="10"/>
  <c r="G14" i="10"/>
  <c r="E20" i="19"/>
  <c r="E22" i="19" s="1"/>
  <c r="D29" i="19"/>
  <c r="H8" i="6"/>
  <c r="F18" i="6"/>
  <c r="G11" i="24" s="1"/>
  <c r="G12" i="19"/>
  <c r="D8" i="25" l="1"/>
  <c r="I13" i="19"/>
  <c r="I14" i="19" s="1"/>
  <c r="H17" i="6"/>
  <c r="J11" i="19"/>
  <c r="I16" i="6"/>
  <c r="F20" i="7"/>
  <c r="D42" i="10"/>
  <c r="D43" i="10" s="1"/>
  <c r="D6" i="8"/>
  <c r="E8" i="24"/>
  <c r="D19" i="6"/>
  <c r="D20" i="6" s="1"/>
  <c r="D18" i="10" s="1"/>
  <c r="D31" i="10" s="1"/>
  <c r="E55" i="5"/>
  <c r="D12" i="7" s="1"/>
  <c r="G24" i="19"/>
  <c r="G26" i="19" s="1"/>
  <c r="E28" i="19"/>
  <c r="G67" i="22"/>
  <c r="F68" i="22"/>
  <c r="D69" i="22" s="1"/>
  <c r="G15" i="19"/>
  <c r="H19" i="10"/>
  <c r="H20" i="10"/>
  <c r="H14" i="10"/>
  <c r="I8" i="6"/>
  <c r="H12" i="19"/>
  <c r="H15" i="19" s="1"/>
  <c r="G18" i="6"/>
  <c r="K11" i="19" l="1"/>
  <c r="J16" i="6"/>
  <c r="J13" i="19"/>
  <c r="J14" i="19" s="1"/>
  <c r="I17" i="6"/>
  <c r="H11" i="24"/>
  <c r="G20" i="7"/>
  <c r="G27" i="19"/>
  <c r="E23" i="19"/>
  <c r="E29" i="19" s="1"/>
  <c r="F49" i="5"/>
  <c r="E42" i="10" s="1"/>
  <c r="G68" i="22"/>
  <c r="F69" i="22"/>
  <c r="D70" i="22" s="1"/>
  <c r="I20" i="10"/>
  <c r="I19" i="10"/>
  <c r="I14" i="10"/>
  <c r="H18" i="6"/>
  <c r="I11" i="24" s="1"/>
  <c r="I12" i="19"/>
  <c r="I15" i="19" s="1"/>
  <c r="K16" i="6" l="1"/>
  <c r="L11" i="19"/>
  <c r="K13" i="19"/>
  <c r="J17" i="6"/>
  <c r="H20" i="7"/>
  <c r="F20" i="19"/>
  <c r="F22" i="19" s="1"/>
  <c r="F28" i="19" s="1"/>
  <c r="E6" i="8"/>
  <c r="F55" i="5"/>
  <c r="E12" i="7" s="1"/>
  <c r="H24" i="19"/>
  <c r="H26" i="19" s="1"/>
  <c r="F8" i="24"/>
  <c r="E19" i="6"/>
  <c r="E20" i="6" s="1"/>
  <c r="E18" i="10" s="1"/>
  <c r="E31" i="10" s="1"/>
  <c r="G69" i="22"/>
  <c r="F70" i="22"/>
  <c r="D72" i="22" s="1"/>
  <c r="J8" i="6"/>
  <c r="I18" i="6"/>
  <c r="J12" i="19"/>
  <c r="J15" i="19" s="1"/>
  <c r="M11" i="19" l="1"/>
  <c r="L16" i="6"/>
  <c r="L12" i="19"/>
  <c r="K17" i="6"/>
  <c r="L13" i="19"/>
  <c r="K14" i="19"/>
  <c r="J11" i="24"/>
  <c r="I20" i="7"/>
  <c r="G70" i="22"/>
  <c r="G9" i="22" s="1"/>
  <c r="F23" i="19"/>
  <c r="F29" i="19" s="1"/>
  <c r="H27" i="19"/>
  <c r="F72" i="22"/>
  <c r="D73" i="22" s="1"/>
  <c r="K8" i="6"/>
  <c r="L8" i="6" s="1"/>
  <c r="J20" i="10"/>
  <c r="J19" i="10"/>
  <c r="J14" i="10"/>
  <c r="G49" i="5"/>
  <c r="F42" i="10" s="1"/>
  <c r="K12" i="19"/>
  <c r="J18" i="6"/>
  <c r="L14" i="19" l="1"/>
  <c r="L15" i="19" s="1"/>
  <c r="M13" i="19"/>
  <c r="L17" i="6"/>
  <c r="L18" i="6" s="1"/>
  <c r="L20" i="10"/>
  <c r="L14" i="10"/>
  <c r="L15" i="10" s="1"/>
  <c r="L19" i="10"/>
  <c r="M16" i="6"/>
  <c r="M12" i="19"/>
  <c r="K15" i="19"/>
  <c r="K11" i="24"/>
  <c r="J20" i="7"/>
  <c r="I24" i="19"/>
  <c r="I26" i="19" s="1"/>
  <c r="G72" i="22"/>
  <c r="F73" i="22"/>
  <c r="D74" i="22" s="1"/>
  <c r="K20" i="10"/>
  <c r="K19" i="10"/>
  <c r="K14" i="10"/>
  <c r="F6" i="8"/>
  <c r="F11" i="22"/>
  <c r="F47" i="5" s="1"/>
  <c r="G8" i="24"/>
  <c r="G55" i="5"/>
  <c r="F12" i="7" s="1"/>
  <c r="F19" i="6"/>
  <c r="G20" i="19"/>
  <c r="G22" i="19" s="1"/>
  <c r="K18" i="6"/>
  <c r="E8" i="25" l="1"/>
  <c r="M17" i="6"/>
  <c r="M18" i="6" s="1"/>
  <c r="M14" i="19"/>
  <c r="M15" i="19" s="1"/>
  <c r="L20" i="7"/>
  <c r="M11" i="24"/>
  <c r="L11" i="24"/>
  <c r="K20" i="7"/>
  <c r="I27" i="19"/>
  <c r="G23" i="19"/>
  <c r="G73" i="22"/>
  <c r="F74" i="22"/>
  <c r="D75" i="22" s="1"/>
  <c r="E8" i="8"/>
  <c r="E10" i="8" s="1"/>
  <c r="E41" i="10"/>
  <c r="E43" i="10" s="1"/>
  <c r="E10" i="10"/>
  <c r="F20" i="6"/>
  <c r="F18" i="10" s="1"/>
  <c r="F31" i="10" s="1"/>
  <c r="G28" i="19"/>
  <c r="N11" i="24" l="1"/>
  <c r="M20" i="7"/>
  <c r="J24" i="19"/>
  <c r="J26" i="19" s="1"/>
  <c r="G74" i="22"/>
  <c r="F75" i="22"/>
  <c r="D76" i="22" s="1"/>
  <c r="H49" i="5"/>
  <c r="G42" i="10" s="1"/>
  <c r="G29" i="19"/>
  <c r="J27" i="19" l="1"/>
  <c r="G75" i="22"/>
  <c r="F76" i="22"/>
  <c r="D77" i="22" s="1"/>
  <c r="G6" i="8"/>
  <c r="H20" i="19"/>
  <c r="H22" i="19" s="1"/>
  <c r="H8" i="24"/>
  <c r="H55" i="5"/>
  <c r="G12" i="7" s="1"/>
  <c r="G19" i="6"/>
  <c r="K24" i="19" l="1"/>
  <c r="K26" i="19" s="1"/>
  <c r="H28" i="19"/>
  <c r="G76" i="22"/>
  <c r="F77" i="22"/>
  <c r="D78" i="22" s="1"/>
  <c r="G11" i="22"/>
  <c r="G47" i="5" s="1"/>
  <c r="G20" i="6"/>
  <c r="G18" i="10" s="1"/>
  <c r="G31" i="10" s="1"/>
  <c r="F8" i="25" l="1"/>
  <c r="K27" i="19"/>
  <c r="L24" i="19" s="1"/>
  <c r="H23" i="19"/>
  <c r="H29" i="19" s="1"/>
  <c r="I49" i="5"/>
  <c r="H42" i="10" s="1"/>
  <c r="G77" i="22"/>
  <c r="F78" i="22"/>
  <c r="D79" i="22" s="1"/>
  <c r="F8" i="8"/>
  <c r="F10" i="8" s="1"/>
  <c r="F41" i="10"/>
  <c r="F43" i="10" s="1"/>
  <c r="F10" i="10"/>
  <c r="L26" i="19" l="1"/>
  <c r="L27" i="19" s="1"/>
  <c r="M24" i="19" s="1"/>
  <c r="M26" i="19" s="1"/>
  <c r="M27" i="19" s="1"/>
  <c r="I8" i="24"/>
  <c r="I20" i="19"/>
  <c r="I22" i="19" s="1"/>
  <c r="I28" i="19" s="1"/>
  <c r="H19" i="6"/>
  <c r="H20" i="6" s="1"/>
  <c r="H18" i="10" s="1"/>
  <c r="H31" i="10" s="1"/>
  <c r="I55" i="5"/>
  <c r="H12" i="7" s="1"/>
  <c r="H6" i="8"/>
  <c r="G78" i="22"/>
  <c r="F79" i="22"/>
  <c r="D80" i="22" s="1"/>
  <c r="I23" i="19" l="1"/>
  <c r="G79" i="22"/>
  <c r="F80" i="22"/>
  <c r="D81" i="22" s="1"/>
  <c r="J49" i="5"/>
  <c r="I42" i="10" s="1"/>
  <c r="G80" i="22" l="1"/>
  <c r="F81" i="22"/>
  <c r="D82" i="22" s="1"/>
  <c r="J20" i="19"/>
  <c r="J22" i="19" s="1"/>
  <c r="I29" i="19"/>
  <c r="I6" i="8"/>
  <c r="J8" i="24"/>
  <c r="J55" i="5"/>
  <c r="I12" i="7" s="1"/>
  <c r="I19" i="6"/>
  <c r="J28" i="19" l="1"/>
  <c r="G81" i="22"/>
  <c r="F82" i="22"/>
  <c r="D83" i="22" s="1"/>
  <c r="I20" i="6"/>
  <c r="I18" i="10" s="1"/>
  <c r="I31" i="10" s="1"/>
  <c r="J23" i="19" l="1"/>
  <c r="J29" i="19" s="1"/>
  <c r="K49" i="5"/>
  <c r="J6" i="8" s="1"/>
  <c r="G82" i="22"/>
  <c r="F83" i="22"/>
  <c r="D85" i="22" s="1"/>
  <c r="J19" i="6" l="1"/>
  <c r="J20" i="6" s="1"/>
  <c r="J18" i="10" s="1"/>
  <c r="J31" i="10" s="1"/>
  <c r="K20" i="19"/>
  <c r="K22" i="19" s="1"/>
  <c r="K28" i="19" s="1"/>
  <c r="K8" i="24"/>
  <c r="K55" i="5"/>
  <c r="J12" i="7" s="1"/>
  <c r="J42" i="10"/>
  <c r="G83" i="22"/>
  <c r="H9" i="22" s="1"/>
  <c r="H11" i="22" s="1"/>
  <c r="H47" i="5" s="1"/>
  <c r="F85" i="22"/>
  <c r="D86" i="22" s="1"/>
  <c r="G8" i="25" l="1"/>
  <c r="K23" i="19"/>
  <c r="L49" i="5"/>
  <c r="L8" i="24" s="1"/>
  <c r="G85" i="22"/>
  <c r="G8" i="8"/>
  <c r="G10" i="8" s="1"/>
  <c r="G10" i="10"/>
  <c r="G41" i="10"/>
  <c r="G43" i="10" s="1"/>
  <c r="F86" i="22"/>
  <c r="D87" i="22" s="1"/>
  <c r="K29" i="19" l="1"/>
  <c r="L20" i="19"/>
  <c r="K6" i="8"/>
  <c r="K42" i="10"/>
  <c r="L55" i="5"/>
  <c r="K12" i="7" s="1"/>
  <c r="K19" i="6"/>
  <c r="G86" i="22"/>
  <c r="F87" i="22"/>
  <c r="D88" i="22" s="1"/>
  <c r="L22" i="19" l="1"/>
  <c r="L28" i="19" s="1"/>
  <c r="M49" i="5" s="1"/>
  <c r="K20" i="6"/>
  <c r="K18" i="10" s="1"/>
  <c r="K31" i="10" s="1"/>
  <c r="G87" i="22"/>
  <c r="F88" i="22"/>
  <c r="D89" i="22" s="1"/>
  <c r="L19" i="6" l="1"/>
  <c r="L20" i="6" s="1"/>
  <c r="L18" i="10" s="1"/>
  <c r="L31" i="10" s="1"/>
  <c r="L23" i="19"/>
  <c r="M55" i="5"/>
  <c r="L12" i="7" s="1"/>
  <c r="M8" i="24"/>
  <c r="L6" i="8"/>
  <c r="L42" i="10"/>
  <c r="M68" i="5"/>
  <c r="M73" i="5" s="1"/>
  <c r="G88" i="22"/>
  <c r="F89" i="22"/>
  <c r="D90" i="22" s="1"/>
  <c r="M20" i="19" l="1"/>
  <c r="L29" i="19"/>
  <c r="G89" i="22"/>
  <c r="F90" i="22"/>
  <c r="D91" i="22" s="1"/>
  <c r="M22" i="19" l="1"/>
  <c r="M28" i="19" s="1"/>
  <c r="N49" i="5" s="1"/>
  <c r="G90" i="22"/>
  <c r="F91" i="22"/>
  <c r="D92" i="22" s="1"/>
  <c r="M23" i="19" l="1"/>
  <c r="M29" i="19" s="1"/>
  <c r="M42" i="10"/>
  <c r="N55" i="5"/>
  <c r="M12" i="7" s="1"/>
  <c r="N8" i="24"/>
  <c r="Q14" i="24" s="1"/>
  <c r="M6" i="8"/>
  <c r="N68" i="5"/>
  <c r="N73" i="5" s="1"/>
  <c r="M19" i="6"/>
  <c r="M20" i="6" s="1"/>
  <c r="M18" i="10" s="1"/>
  <c r="G91" i="22"/>
  <c r="F92" i="22"/>
  <c r="D93" i="22" s="1"/>
  <c r="G92" i="22" l="1"/>
  <c r="F93" i="22"/>
  <c r="D94" i="22" s="1"/>
  <c r="G93" i="22" l="1"/>
  <c r="F94" i="22"/>
  <c r="D95" i="22" s="1"/>
  <c r="G94" i="22" l="1"/>
  <c r="F95" i="22"/>
  <c r="D96" i="22" s="1"/>
  <c r="G95" i="22" l="1"/>
  <c r="F96" i="22"/>
  <c r="D98" i="22" s="1"/>
  <c r="G96" i="22" l="1"/>
  <c r="I9" i="22" s="1"/>
  <c r="I11" i="22" s="1"/>
  <c r="I47" i="5" s="1"/>
  <c r="F98" i="22"/>
  <c r="D99" i="22" s="1"/>
  <c r="H8" i="25" l="1"/>
  <c r="G98" i="22"/>
  <c r="H41" i="10"/>
  <c r="H43" i="10" s="1"/>
  <c r="H10" i="10"/>
  <c r="H8" i="8"/>
  <c r="H10" i="8" s="1"/>
  <c r="F99" i="22"/>
  <c r="D100" i="22" s="1"/>
  <c r="G99" i="22" l="1"/>
  <c r="F100" i="22"/>
  <c r="D101" i="22" s="1"/>
  <c r="G100" i="22" l="1"/>
  <c r="F101" i="22"/>
  <c r="D102" i="22" s="1"/>
  <c r="G101" i="22" l="1"/>
  <c r="F102" i="22"/>
  <c r="D103" i="22" s="1"/>
  <c r="G102" i="22" l="1"/>
  <c r="F103" i="22"/>
  <c r="D104" i="22" s="1"/>
  <c r="G103" i="22" l="1"/>
  <c r="F104" i="22"/>
  <c r="D105" i="22" s="1"/>
  <c r="G104" i="22" l="1"/>
  <c r="F105" i="22"/>
  <c r="D106" i="22" s="1"/>
  <c r="G105" i="22" l="1"/>
  <c r="F106" i="22"/>
  <c r="D107" i="22" s="1"/>
  <c r="G106" i="22" l="1"/>
  <c r="F107" i="22"/>
  <c r="D108" i="22" s="1"/>
  <c r="G107" i="22" l="1"/>
  <c r="F108" i="22"/>
  <c r="D109" i="22" s="1"/>
  <c r="G108" i="22" l="1"/>
  <c r="F109" i="22"/>
  <c r="D111" i="22" s="1"/>
  <c r="G109" i="22" l="1"/>
  <c r="J9" i="22" s="1"/>
  <c r="J11" i="22" s="1"/>
  <c r="J47" i="5" s="1"/>
  <c r="F111" i="22"/>
  <c r="D112" i="22" s="1"/>
  <c r="O7" i="22"/>
  <c r="I10" i="10" l="1"/>
  <c r="I8" i="25"/>
  <c r="M8" i="6"/>
  <c r="M24" i="10"/>
  <c r="G111" i="22"/>
  <c r="I41" i="10"/>
  <c r="I43" i="10" s="1"/>
  <c r="I8" i="8"/>
  <c r="I10" i="8" s="1"/>
  <c r="F112" i="22"/>
  <c r="D113" i="22" s="1"/>
  <c r="M14" i="10" l="1"/>
  <c r="M15" i="10" s="1"/>
  <c r="M20" i="10"/>
  <c r="M19" i="10"/>
  <c r="G112" i="22"/>
  <c r="F113" i="22"/>
  <c r="D114" i="22" s="1"/>
  <c r="G113" i="22" l="1"/>
  <c r="F114" i="22"/>
  <c r="D115" i="22" s="1"/>
  <c r="G114" i="22" l="1"/>
  <c r="F115" i="22"/>
  <c r="D116" i="22" s="1"/>
  <c r="G115" i="22" l="1"/>
  <c r="F116" i="22"/>
  <c r="D117" i="22" s="1"/>
  <c r="G116" i="22" l="1"/>
  <c r="F117" i="22"/>
  <c r="D118" i="22" s="1"/>
  <c r="G117" i="22" l="1"/>
  <c r="F118" i="22"/>
  <c r="D119" i="22" s="1"/>
  <c r="G118" i="22" l="1"/>
  <c r="F119" i="22"/>
  <c r="D120" i="22" s="1"/>
  <c r="G119" i="22" l="1"/>
  <c r="F120" i="22"/>
  <c r="D121" i="22" s="1"/>
  <c r="G120" i="22" l="1"/>
  <c r="F121" i="22"/>
  <c r="D122" i="22" s="1"/>
  <c r="G121" i="22" l="1"/>
  <c r="F122" i="22"/>
  <c r="D124" i="22" s="1"/>
  <c r="F124" i="22" l="1"/>
  <c r="D125" i="22" s="1"/>
  <c r="G122" i="22"/>
  <c r="K9" i="22" s="1"/>
  <c r="K11" i="22" s="1"/>
  <c r="G124" i="22" l="1"/>
  <c r="F125" i="22"/>
  <c r="D126" i="22" s="1"/>
  <c r="K47" i="5"/>
  <c r="G125" i="22" l="1"/>
  <c r="J8" i="25"/>
  <c r="F126" i="22"/>
  <c r="D127" i="22" s="1"/>
  <c r="J8" i="8"/>
  <c r="J10" i="8" s="1"/>
  <c r="J41" i="10"/>
  <c r="J43" i="10" s="1"/>
  <c r="J10" i="10"/>
  <c r="G126" i="22" l="1"/>
  <c r="F127" i="22"/>
  <c r="D128" i="22" s="1"/>
  <c r="G127" i="22" l="1"/>
  <c r="F128" i="22"/>
  <c r="D129" i="22" s="1"/>
  <c r="G128" i="22" l="1"/>
  <c r="F129" i="22"/>
  <c r="D130" i="22" s="1"/>
  <c r="F45" i="5"/>
  <c r="F46" i="5" s="1"/>
  <c r="F51" i="5" s="1"/>
  <c r="K45" i="5"/>
  <c r="K46" i="5" s="1"/>
  <c r="K51" i="5" s="1"/>
  <c r="G45" i="5"/>
  <c r="G46" i="5" s="1"/>
  <c r="G51" i="5" s="1"/>
  <c r="K6" i="25"/>
  <c r="K7" i="25" s="1"/>
  <c r="K10" i="25" s="1"/>
  <c r="L7" i="11"/>
  <c r="L12" i="11" s="1"/>
  <c r="L18" i="11" s="1"/>
  <c r="K7" i="11"/>
  <c r="K15" i="11" s="1"/>
  <c r="K13" i="11" s="1"/>
  <c r="J7" i="11"/>
  <c r="J15" i="11" s="1"/>
  <c r="J13" i="11" s="1"/>
  <c r="J45" i="5"/>
  <c r="J46" i="5" s="1"/>
  <c r="J51" i="5" s="1"/>
  <c r="H7" i="11"/>
  <c r="H15" i="11" s="1"/>
  <c r="H13" i="11" s="1"/>
  <c r="E7" i="11"/>
  <c r="E12" i="11" s="1"/>
  <c r="E18" i="11" s="1"/>
  <c r="G7" i="11"/>
  <c r="G15" i="11" s="1"/>
  <c r="G13" i="11" s="1"/>
  <c r="H11" i="11" s="1"/>
  <c r="H6" i="25"/>
  <c r="H7" i="25" s="1"/>
  <c r="I7" i="11"/>
  <c r="I15" i="11" s="1"/>
  <c r="I13" i="11" s="1"/>
  <c r="D7" i="11"/>
  <c r="D12" i="11" s="1"/>
  <c r="D18" i="11" s="1"/>
  <c r="F7" i="11"/>
  <c r="F12" i="11" s="1"/>
  <c r="F18" i="11" s="1"/>
  <c r="H45" i="5"/>
  <c r="H46" i="5" s="1"/>
  <c r="H51" i="5" s="1"/>
  <c r="E45" i="5"/>
  <c r="E46" i="5" s="1"/>
  <c r="E51" i="5" s="1"/>
  <c r="G7" i="10" l="1"/>
  <c r="H6" i="24"/>
  <c r="E6" i="24"/>
  <c r="D7" i="10"/>
  <c r="I7" i="10"/>
  <c r="J6" i="24"/>
  <c r="E7" i="10"/>
  <c r="F6" i="24"/>
  <c r="F7" i="10"/>
  <c r="G6" i="24"/>
  <c r="K6" i="24"/>
  <c r="J7" i="10"/>
  <c r="G129" i="22"/>
  <c r="F130" i="22"/>
  <c r="D131" i="22" s="1"/>
  <c r="E38" i="10"/>
  <c r="E39" i="10" s="1"/>
  <c r="E51" i="10" s="1"/>
  <c r="E6" i="25"/>
  <c r="E7" i="25" s="1"/>
  <c r="E10" i="25" s="1"/>
  <c r="J67" i="5"/>
  <c r="J71" i="5" s="1"/>
  <c r="F67" i="5"/>
  <c r="F68" i="5" s="1"/>
  <c r="F73" i="5" s="1"/>
  <c r="G12" i="11"/>
  <c r="G18" i="11" s="1"/>
  <c r="G23" i="11" s="1"/>
  <c r="F11" i="6" s="1"/>
  <c r="D23" i="11"/>
  <c r="C11" i="6" s="1"/>
  <c r="C15" i="10" s="1"/>
  <c r="L23" i="11"/>
  <c r="K11" i="6" s="1"/>
  <c r="K15" i="10" s="1"/>
  <c r="E23" i="11"/>
  <c r="D11" i="6" s="1"/>
  <c r="F23" i="11"/>
  <c r="E11" i="6" s="1"/>
  <c r="E15" i="10" s="1"/>
  <c r="F15" i="11"/>
  <c r="F13" i="11" s="1"/>
  <c r="F28" i="11" s="1"/>
  <c r="F38" i="10"/>
  <c r="F39" i="10" s="1"/>
  <c r="F50" i="10" s="1"/>
  <c r="I12" i="11"/>
  <c r="I18" i="11" s="1"/>
  <c r="E15" i="11"/>
  <c r="E13" i="11" s="1"/>
  <c r="E28" i="11" s="1"/>
  <c r="E30" i="11" s="1"/>
  <c r="D38" i="10"/>
  <c r="D39" i="10" s="1"/>
  <c r="D51" i="10" s="1"/>
  <c r="H38" i="10"/>
  <c r="H39" i="10" s="1"/>
  <c r="H51" i="10" s="1"/>
  <c r="I11" i="11"/>
  <c r="H28" i="11"/>
  <c r="I6" i="10"/>
  <c r="I32" i="10" s="1"/>
  <c r="J12" i="11"/>
  <c r="J18" i="11" s="1"/>
  <c r="H12" i="11"/>
  <c r="H18" i="11" s="1"/>
  <c r="I38" i="10"/>
  <c r="I39" i="10" s="1"/>
  <c r="I52" i="10" s="1"/>
  <c r="I53" i="10" s="1"/>
  <c r="G38" i="10"/>
  <c r="G39" i="10" s="1"/>
  <c r="G51" i="10" s="1"/>
  <c r="I28" i="11"/>
  <c r="J11" i="11"/>
  <c r="F6" i="10"/>
  <c r="F32" i="10" s="1"/>
  <c r="G67" i="5"/>
  <c r="G61" i="5"/>
  <c r="K11" i="11"/>
  <c r="J28" i="11"/>
  <c r="L11" i="11"/>
  <c r="K28" i="11"/>
  <c r="K61" i="5"/>
  <c r="J6" i="10"/>
  <c r="J32" i="10" s="1"/>
  <c r="K67" i="5"/>
  <c r="G6" i="10"/>
  <c r="G32" i="10" s="1"/>
  <c r="H61" i="5"/>
  <c r="H67" i="5"/>
  <c r="I6" i="25"/>
  <c r="I7" i="25" s="1"/>
  <c r="K12" i="11"/>
  <c r="K18" i="11" s="1"/>
  <c r="I45" i="5"/>
  <c r="I46" i="5" s="1"/>
  <c r="I51" i="5" s="1"/>
  <c r="I52" i="5" s="1"/>
  <c r="G28" i="11"/>
  <c r="D6" i="10"/>
  <c r="D32" i="10" s="1"/>
  <c r="D15" i="11"/>
  <c r="D13" i="11" s="1"/>
  <c r="K38" i="10"/>
  <c r="K39" i="10" s="1"/>
  <c r="L45" i="5"/>
  <c r="L46" i="5" s="1"/>
  <c r="L15" i="11"/>
  <c r="L13" i="11" s="1"/>
  <c r="J61" i="5"/>
  <c r="G6" i="25"/>
  <c r="G7" i="25" s="1"/>
  <c r="J6" i="25"/>
  <c r="J7" i="25" s="1"/>
  <c r="J38" i="10"/>
  <c r="J39" i="10" s="1"/>
  <c r="E61" i="5"/>
  <c r="E67" i="5"/>
  <c r="F6" i="25"/>
  <c r="F7" i="25" s="1"/>
  <c r="C6" i="25"/>
  <c r="C7" i="25" s="1"/>
  <c r="C38" i="10"/>
  <c r="C39" i="10" s="1"/>
  <c r="D45" i="5"/>
  <c r="D46" i="5" s="1"/>
  <c r="D51" i="5" s="1"/>
  <c r="H52" i="5" s="1"/>
  <c r="D6" i="25"/>
  <c r="D7" i="25" s="1"/>
  <c r="H10" i="25"/>
  <c r="E6" i="10"/>
  <c r="E32" i="10" s="1"/>
  <c r="F61" i="5"/>
  <c r="D24" i="10" l="1"/>
  <c r="D15" i="10"/>
  <c r="F24" i="10"/>
  <c r="F15" i="10"/>
  <c r="H7" i="10"/>
  <c r="I6" i="24"/>
  <c r="C7" i="10"/>
  <c r="D6" i="24"/>
  <c r="G130" i="22"/>
  <c r="F131" i="22"/>
  <c r="D132" i="22" s="1"/>
  <c r="K24" i="10"/>
  <c r="L14" i="7"/>
  <c r="L28" i="11"/>
  <c r="L30" i="11" s="1"/>
  <c r="L32" i="11" s="1"/>
  <c r="M10" i="24" s="1"/>
  <c r="M11" i="11"/>
  <c r="E52" i="10"/>
  <c r="E53" i="10" s="1"/>
  <c r="E50" i="10"/>
  <c r="J68" i="5"/>
  <c r="J73" i="5" s="1"/>
  <c r="F71" i="5"/>
  <c r="F11" i="11"/>
  <c r="D23" i="6"/>
  <c r="G11" i="11"/>
  <c r="I50" i="10"/>
  <c r="F51" i="10"/>
  <c r="E24" i="10"/>
  <c r="F14" i="7"/>
  <c r="E14" i="7"/>
  <c r="C14" i="7"/>
  <c r="C24" i="10"/>
  <c r="D14" i="7"/>
  <c r="H23" i="11"/>
  <c r="G11" i="6" s="1"/>
  <c r="G15" i="10" s="1"/>
  <c r="E32" i="11"/>
  <c r="E33" i="11" s="1"/>
  <c r="E34" i="11" s="1"/>
  <c r="K23" i="11"/>
  <c r="J11" i="6" s="1"/>
  <c r="J15" i="10" s="1"/>
  <c r="F52" i="10"/>
  <c r="F53" i="10" s="1"/>
  <c r="H52" i="10"/>
  <c r="H53" i="10" s="1"/>
  <c r="J23" i="11"/>
  <c r="I11" i="6" s="1"/>
  <c r="I15" i="10" s="1"/>
  <c r="I23" i="11"/>
  <c r="H11" i="6" s="1"/>
  <c r="D50" i="10"/>
  <c r="D52" i="10"/>
  <c r="D53" i="10" s="1"/>
  <c r="I51" i="10"/>
  <c r="H50" i="10"/>
  <c r="G52" i="10"/>
  <c r="G53" i="10" s="1"/>
  <c r="G50" i="10"/>
  <c r="G23" i="6"/>
  <c r="H30" i="11"/>
  <c r="G10" i="25"/>
  <c r="C6" i="10"/>
  <c r="C32" i="10" s="1"/>
  <c r="D67" i="5"/>
  <c r="D61" i="5"/>
  <c r="F30" i="11"/>
  <c r="F32" i="11" s="1"/>
  <c r="E23" i="6"/>
  <c r="F10" i="25"/>
  <c r="E68" i="5"/>
  <c r="E73" i="5" s="1"/>
  <c r="E71" i="5"/>
  <c r="K6" i="10"/>
  <c r="L67" i="5"/>
  <c r="L61" i="5"/>
  <c r="H23" i="6"/>
  <c r="I30" i="11"/>
  <c r="G71" i="5"/>
  <c r="G68" i="5"/>
  <c r="G73" i="5" s="1"/>
  <c r="G30" i="11"/>
  <c r="G32" i="11" s="1"/>
  <c r="F23" i="6"/>
  <c r="K52" i="10"/>
  <c r="K53" i="10" s="1"/>
  <c r="K51" i="10"/>
  <c r="I67" i="5"/>
  <c r="I61" i="5"/>
  <c r="H6" i="10"/>
  <c r="H32" i="10" s="1"/>
  <c r="J23" i="6"/>
  <c r="K30" i="11"/>
  <c r="I23" i="6"/>
  <c r="J30" i="11"/>
  <c r="H68" i="5"/>
  <c r="H73" i="5" s="1"/>
  <c r="H71" i="5"/>
  <c r="C52" i="10"/>
  <c r="C53" i="10" s="1"/>
  <c r="C50" i="10"/>
  <c r="C51" i="10"/>
  <c r="J52" i="10"/>
  <c r="J53" i="10" s="1"/>
  <c r="J51" i="10"/>
  <c r="J50" i="10"/>
  <c r="K68" i="5"/>
  <c r="K73" i="5" s="1"/>
  <c r="K71" i="5"/>
  <c r="D10" i="25"/>
  <c r="C10" i="25"/>
  <c r="J10" i="25"/>
  <c r="D28" i="11"/>
  <c r="E11" i="11"/>
  <c r="I10" i="25"/>
  <c r="K23" i="6" l="1"/>
  <c r="L27" i="7" s="1"/>
  <c r="H24" i="10"/>
  <c r="H15" i="10"/>
  <c r="G131" i="22"/>
  <c r="F132" i="22"/>
  <c r="D133" i="22" s="1"/>
  <c r="K32" i="11"/>
  <c r="L10" i="24" s="1"/>
  <c r="I32" i="11"/>
  <c r="I33" i="11" s="1"/>
  <c r="I34" i="11" s="1"/>
  <c r="J32" i="11"/>
  <c r="J33" i="11" s="1"/>
  <c r="J34" i="11" s="1"/>
  <c r="I24" i="10"/>
  <c r="I14" i="7"/>
  <c r="G14" i="7"/>
  <c r="G24" i="10"/>
  <c r="K14" i="7"/>
  <c r="J14" i="7"/>
  <c r="J24" i="10"/>
  <c r="H14" i="7"/>
  <c r="H32" i="11"/>
  <c r="H33" i="11" s="1"/>
  <c r="H34" i="11" s="1"/>
  <c r="I27" i="7"/>
  <c r="I68" i="5"/>
  <c r="I73" i="5" s="1"/>
  <c r="I71" i="5"/>
  <c r="D71" i="5"/>
  <c r="D68" i="5"/>
  <c r="D73" i="5" s="1"/>
  <c r="K27" i="7"/>
  <c r="H27" i="7"/>
  <c r="L68" i="5"/>
  <c r="L73" i="5" s="1"/>
  <c r="L71" i="5"/>
  <c r="L33" i="11"/>
  <c r="L34" i="11" s="1"/>
  <c r="C23" i="6"/>
  <c r="D30" i="11"/>
  <c r="D32" i="11" s="1"/>
  <c r="J27" i="7"/>
  <c r="F27" i="7"/>
  <c r="G27" i="7"/>
  <c r="E27" i="7"/>
  <c r="G10" i="24"/>
  <c r="G33" i="11"/>
  <c r="G34" i="11" s="1"/>
  <c r="F10" i="24"/>
  <c r="F33" i="11"/>
  <c r="F34" i="11" s="1"/>
  <c r="O72" i="5" l="1"/>
  <c r="O74" i="5"/>
  <c r="G132" i="22"/>
  <c r="F133" i="22"/>
  <c r="D134" i="22" s="1"/>
  <c r="D72" i="5"/>
  <c r="D74" i="5"/>
  <c r="J10" i="24"/>
  <c r="I10" i="24"/>
  <c r="K33" i="11"/>
  <c r="K34" i="11" s="1"/>
  <c r="K10" i="24"/>
  <c r="H10" i="24"/>
  <c r="C27" i="7"/>
  <c r="C29" i="7" s="1"/>
  <c r="D27" i="7"/>
  <c r="D29" i="7" s="1"/>
  <c r="D10" i="24"/>
  <c r="D33" i="11"/>
  <c r="D34" i="11" s="1"/>
  <c r="E10" i="24"/>
  <c r="G133" i="22" l="1"/>
  <c r="F134" i="22"/>
  <c r="D135" i="22" s="1"/>
  <c r="F135" i="22" s="1"/>
  <c r="J52" i="5"/>
  <c r="K52" i="5"/>
  <c r="E12" i="8"/>
  <c r="F12" i="8"/>
  <c r="G134" i="22" l="1"/>
  <c r="G135" i="22"/>
  <c r="D137" i="22"/>
  <c r="H7" i="24"/>
  <c r="G7" i="24"/>
  <c r="G11" i="25"/>
  <c r="G12" i="25" s="1"/>
  <c r="J11" i="25"/>
  <c r="J12" i="25" s="1"/>
  <c r="J12" i="8"/>
  <c r="G12" i="8"/>
  <c r="I12" i="8"/>
  <c r="H12" i="8"/>
  <c r="I11" i="25"/>
  <c r="I12" i="25" s="1"/>
  <c r="J8" i="10"/>
  <c r="G8" i="10"/>
  <c r="E11" i="25"/>
  <c r="E12" i="25" s="1"/>
  <c r="E9" i="25"/>
  <c r="I8" i="10"/>
  <c r="F8" i="10"/>
  <c r="F7" i="24"/>
  <c r="E8" i="10"/>
  <c r="D12" i="8"/>
  <c r="F11" i="25"/>
  <c r="F12" i="25" s="1"/>
  <c r="F9" i="25"/>
  <c r="C12" i="8"/>
  <c r="L9" i="22" l="1"/>
  <c r="F137" i="22"/>
  <c r="D138" i="22" s="1"/>
  <c r="J7" i="24"/>
  <c r="J9" i="24" s="1"/>
  <c r="J12" i="24" s="1"/>
  <c r="I7" i="24"/>
  <c r="G9" i="25"/>
  <c r="K7" i="24"/>
  <c r="K9" i="24" s="1"/>
  <c r="K12" i="24" s="1"/>
  <c r="J9" i="25"/>
  <c r="I9" i="25"/>
  <c r="H11" i="25"/>
  <c r="H12" i="25" s="1"/>
  <c r="H9" i="25"/>
  <c r="H8" i="10"/>
  <c r="H9" i="24"/>
  <c r="H12" i="24" s="1"/>
  <c r="G9" i="24"/>
  <c r="G12" i="24" s="1"/>
  <c r="H53" i="5"/>
  <c r="H69" i="5" s="1"/>
  <c r="H75" i="5" s="1"/>
  <c r="F9" i="24"/>
  <c r="F12" i="24" s="1"/>
  <c r="G53" i="5"/>
  <c r="C8" i="10"/>
  <c r="D7" i="24"/>
  <c r="J53" i="5"/>
  <c r="D8" i="10"/>
  <c r="E7" i="24"/>
  <c r="F53" i="5"/>
  <c r="D11" i="25"/>
  <c r="D12" i="25" s="1"/>
  <c r="D9" i="25"/>
  <c r="C11" i="25"/>
  <c r="C12" i="25" s="1"/>
  <c r="C9" i="25"/>
  <c r="L11" i="22" l="1"/>
  <c r="G137" i="22"/>
  <c r="F138" i="22"/>
  <c r="D139" i="22" s="1"/>
  <c r="I53" i="5"/>
  <c r="I56" i="5" s="1"/>
  <c r="I58" i="5" s="1"/>
  <c r="I9" i="24"/>
  <c r="I12" i="24" s="1"/>
  <c r="I66" i="24" s="1"/>
  <c r="I69" i="24" s="1"/>
  <c r="K53" i="5"/>
  <c r="K62" i="5" s="1"/>
  <c r="J66" i="24"/>
  <c r="J69" i="24" s="1"/>
  <c r="J14" i="24"/>
  <c r="J16" i="24" s="1"/>
  <c r="F66" i="24"/>
  <c r="F69" i="24" s="1"/>
  <c r="F14" i="24"/>
  <c r="F16" i="24" s="1"/>
  <c r="K66" i="24"/>
  <c r="K69" i="24" s="1"/>
  <c r="K14" i="24"/>
  <c r="K16" i="24" s="1"/>
  <c r="G66" i="24"/>
  <c r="G69" i="24" s="1"/>
  <c r="G14" i="24"/>
  <c r="G16" i="24" s="1"/>
  <c r="H66" i="24"/>
  <c r="H69" i="24" s="1"/>
  <c r="H14" i="24"/>
  <c r="H16" i="24" s="1"/>
  <c r="G9" i="10"/>
  <c r="H62" i="5"/>
  <c r="G6" i="7"/>
  <c r="G5" i="8"/>
  <c r="G9" i="8" s="1"/>
  <c r="H56" i="5"/>
  <c r="H58" i="5" s="1"/>
  <c r="D53" i="5"/>
  <c r="D56" i="5" s="1"/>
  <c r="E53" i="5"/>
  <c r="E69" i="5" s="1"/>
  <c r="E75" i="5" s="1"/>
  <c r="F6" i="7"/>
  <c r="F5" i="8"/>
  <c r="G62" i="5"/>
  <c r="F9" i="10"/>
  <c r="G56" i="5"/>
  <c r="G58" i="5" s="1"/>
  <c r="G69" i="5"/>
  <c r="G75" i="5" s="1"/>
  <c r="I9" i="10"/>
  <c r="J69" i="5"/>
  <c r="J75" i="5" s="1"/>
  <c r="I6" i="7"/>
  <c r="I5" i="8"/>
  <c r="J56" i="5"/>
  <c r="J58" i="5" s="1"/>
  <c r="J62" i="5"/>
  <c r="F62" i="5"/>
  <c r="E6" i="7"/>
  <c r="E9" i="10"/>
  <c r="F69" i="5"/>
  <c r="F75" i="5" s="1"/>
  <c r="F56" i="5"/>
  <c r="F58" i="5" s="1"/>
  <c r="E5" i="8"/>
  <c r="E9" i="24"/>
  <c r="E12" i="24" s="1"/>
  <c r="D9" i="24"/>
  <c r="L47" i="5" l="1"/>
  <c r="G13" i="8"/>
  <c r="F139" i="22"/>
  <c r="D140" i="22" s="1"/>
  <c r="G138" i="22"/>
  <c r="I14" i="24"/>
  <c r="I16" i="24" s="1"/>
  <c r="H9" i="10"/>
  <c r="H26" i="10" s="1"/>
  <c r="I69" i="5"/>
  <c r="I75" i="5" s="1"/>
  <c r="H5" i="8"/>
  <c r="I77" i="24" s="1"/>
  <c r="I62" i="5"/>
  <c r="K69" i="5"/>
  <c r="K75" i="5" s="1"/>
  <c r="H6" i="7"/>
  <c r="J5" i="8"/>
  <c r="J9" i="8" s="1"/>
  <c r="J13" i="8" s="1"/>
  <c r="J30" i="10" s="1"/>
  <c r="J6" i="7"/>
  <c r="K56" i="5"/>
  <c r="K58" i="5" s="1"/>
  <c r="J9" i="10"/>
  <c r="J26" i="10" s="1"/>
  <c r="D12" i="24"/>
  <c r="D14" i="24" s="1"/>
  <c r="D16" i="24"/>
  <c r="D58" i="5"/>
  <c r="D59" i="5" s="1"/>
  <c r="D11" i="2"/>
  <c r="E66" i="24"/>
  <c r="E69" i="24" s="1"/>
  <c r="E14" i="24"/>
  <c r="E16" i="24" s="1"/>
  <c r="E62" i="5"/>
  <c r="G26" i="10"/>
  <c r="H77" i="24"/>
  <c r="E56" i="5"/>
  <c r="E58" i="5" s="1"/>
  <c r="C6" i="7"/>
  <c r="D62" i="5"/>
  <c r="D6" i="7"/>
  <c r="D9" i="10"/>
  <c r="D26" i="10" s="1"/>
  <c r="D5" i="8"/>
  <c r="E77" i="24" s="1"/>
  <c r="C5" i="8"/>
  <c r="C9" i="8" s="1"/>
  <c r="D69" i="5"/>
  <c r="D75" i="5" s="1"/>
  <c r="C9" i="10"/>
  <c r="C26" i="10" s="1"/>
  <c r="C7" i="6"/>
  <c r="J77" i="24"/>
  <c r="I9" i="8"/>
  <c r="E9" i="8"/>
  <c r="E13" i="8" s="1"/>
  <c r="E30" i="10" s="1"/>
  <c r="F77" i="24"/>
  <c r="I26" i="10"/>
  <c r="F26" i="10"/>
  <c r="E26" i="10"/>
  <c r="G77" i="24"/>
  <c r="F9" i="8"/>
  <c r="F13" i="8" s="1"/>
  <c r="F30" i="10" s="1"/>
  <c r="K8" i="25" l="1"/>
  <c r="K10" i="10"/>
  <c r="K32" i="10" s="1"/>
  <c r="L51" i="5"/>
  <c r="K41" i="10"/>
  <c r="K43" i="10" s="1"/>
  <c r="K50" i="10" s="1"/>
  <c r="K8" i="8"/>
  <c r="K10" i="8" s="1"/>
  <c r="K12" i="8" s="1"/>
  <c r="G30" i="10"/>
  <c r="G139" i="22"/>
  <c r="F140" i="22"/>
  <c r="D141" i="22" s="1"/>
  <c r="H9" i="8"/>
  <c r="E59" i="5"/>
  <c r="F59" i="5" s="1"/>
  <c r="G59" i="5" s="1"/>
  <c r="H59" i="5" s="1"/>
  <c r="I59" i="5" s="1"/>
  <c r="J59" i="5" s="1"/>
  <c r="K59" i="5" s="1"/>
  <c r="K77" i="24"/>
  <c r="I13" i="8"/>
  <c r="D66" i="24"/>
  <c r="D69" i="24" s="1"/>
  <c r="D20" i="2"/>
  <c r="D15" i="2" s="1"/>
  <c r="C9" i="6" s="1"/>
  <c r="D79" i="24"/>
  <c r="D77" i="24"/>
  <c r="D78" i="24" s="1"/>
  <c r="E78" i="24" s="1"/>
  <c r="F78" i="24" s="1"/>
  <c r="G78" i="24" s="1"/>
  <c r="D9" i="8"/>
  <c r="C13" i="8"/>
  <c r="C30" i="10" s="1"/>
  <c r="D7" i="6"/>
  <c r="D9" i="6" l="1"/>
  <c r="C9" i="7"/>
  <c r="K7" i="10"/>
  <c r="L6" i="24"/>
  <c r="K8" i="10"/>
  <c r="L52" i="5"/>
  <c r="L7" i="24" s="1"/>
  <c r="K11" i="25"/>
  <c r="K12" i="25" s="1"/>
  <c r="K9" i="25"/>
  <c r="H13" i="8"/>
  <c r="G140" i="22"/>
  <c r="F141" i="22"/>
  <c r="D142" i="22" s="1"/>
  <c r="E20" i="2"/>
  <c r="D25" i="2"/>
  <c r="I30" i="10"/>
  <c r="E7" i="6"/>
  <c r="D13" i="8"/>
  <c r="H78" i="24"/>
  <c r="I78" i="24" s="1"/>
  <c r="E9" i="6" l="1"/>
  <c r="E23" i="7" s="1"/>
  <c r="E29" i="7" s="1"/>
  <c r="D9" i="7"/>
  <c r="L9" i="24"/>
  <c r="L12" i="24" s="1"/>
  <c r="L53" i="5"/>
  <c r="H30" i="10"/>
  <c r="G141" i="22"/>
  <c r="F142" i="22"/>
  <c r="D143" i="22" s="1"/>
  <c r="D30" i="10"/>
  <c r="J78" i="24"/>
  <c r="D80" i="24" s="1"/>
  <c r="F7" i="6"/>
  <c r="F9" i="6" l="1"/>
  <c r="F23" i="7" s="1"/>
  <c r="F29" i="7" s="1"/>
  <c r="K6" i="7"/>
  <c r="L62" i="5"/>
  <c r="L69" i="5"/>
  <c r="L75" i="5" s="1"/>
  <c r="K5" i="8"/>
  <c r="K9" i="10"/>
  <c r="K26" i="10" s="1"/>
  <c r="L56" i="5"/>
  <c r="L58" i="5" s="1"/>
  <c r="L59" i="5" s="1"/>
  <c r="L66" i="24"/>
  <c r="L69" i="24" s="1"/>
  <c r="L14" i="24"/>
  <c r="G142" i="22"/>
  <c r="F143" i="22"/>
  <c r="D144" i="22" s="1"/>
  <c r="K78" i="24"/>
  <c r="G7" i="6"/>
  <c r="G9" i="6" l="1"/>
  <c r="G23" i="7" s="1"/>
  <c r="G29" i="7" s="1"/>
  <c r="L16" i="24"/>
  <c r="K9" i="8"/>
  <c r="L77" i="24"/>
  <c r="L78" i="24" s="1"/>
  <c r="G143" i="22"/>
  <c r="F144" i="22"/>
  <c r="D145" i="22" s="1"/>
  <c r="H7" i="6"/>
  <c r="H9" i="6" l="1"/>
  <c r="H23" i="7" s="1"/>
  <c r="H29" i="7" s="1"/>
  <c r="K13" i="8"/>
  <c r="G144" i="22"/>
  <c r="F145" i="22"/>
  <c r="D146" i="22" s="1"/>
  <c r="I7" i="6"/>
  <c r="I9" i="6" l="1"/>
  <c r="I23" i="7" s="1"/>
  <c r="I29" i="7" s="1"/>
  <c r="K30" i="10"/>
  <c r="F146" i="22"/>
  <c r="D147" i="22" s="1"/>
  <c r="G145" i="22"/>
  <c r="J7" i="6"/>
  <c r="I13" i="6" l="1"/>
  <c r="J9" i="6"/>
  <c r="J23" i="7"/>
  <c r="J29" i="7" s="1"/>
  <c r="G146" i="22"/>
  <c r="F147" i="22"/>
  <c r="D148" i="22" s="1"/>
  <c r="F148" i="22" s="1"/>
  <c r="K7" i="6"/>
  <c r="C6" i="6"/>
  <c r="K9" i="6" l="1"/>
  <c r="L9" i="6" s="1"/>
  <c r="G147" i="22"/>
  <c r="G148" i="22"/>
  <c r="D150" i="22"/>
  <c r="C12" i="10"/>
  <c r="C28" i="10" s="1"/>
  <c r="C13" i="6"/>
  <c r="D6" i="6"/>
  <c r="C11" i="10"/>
  <c r="C27" i="10" s="1"/>
  <c r="C13" i="10"/>
  <c r="D63" i="5"/>
  <c r="C7" i="7"/>
  <c r="C17" i="7" s="1"/>
  <c r="C31" i="7" s="1"/>
  <c r="C32" i="7" s="1"/>
  <c r="C21" i="10"/>
  <c r="C35" i="10" s="1"/>
  <c r="K23" i="7" l="1"/>
  <c r="K29" i="7" s="1"/>
  <c r="L23" i="7"/>
  <c r="L29" i="7" s="1"/>
  <c r="M9" i="6"/>
  <c r="M23" i="7" s="1"/>
  <c r="M29" i="7" s="1"/>
  <c r="M9" i="22"/>
  <c r="M11" i="22" s="1"/>
  <c r="F150" i="22"/>
  <c r="D151" i="22" s="1"/>
  <c r="D30" i="7"/>
  <c r="C24" i="6"/>
  <c r="C29" i="10"/>
  <c r="C16" i="10"/>
  <c r="C34" i="10" s="1"/>
  <c r="D11" i="10"/>
  <c r="D27" i="10" s="1"/>
  <c r="E6" i="6"/>
  <c r="D7" i="7"/>
  <c r="D17" i="7" s="1"/>
  <c r="D31" i="7" s="1"/>
  <c r="D12" i="10"/>
  <c r="D28" i="10" s="1"/>
  <c r="D21" i="10"/>
  <c r="D35" i="10" s="1"/>
  <c r="E63" i="5"/>
  <c r="D13" i="6"/>
  <c r="D13" i="10"/>
  <c r="G150" i="22" l="1"/>
  <c r="M47" i="5"/>
  <c r="F151" i="22"/>
  <c r="E7" i="7"/>
  <c r="E17" i="7" s="1"/>
  <c r="E31" i="7" s="1"/>
  <c r="E11" i="10"/>
  <c r="E27" i="10" s="1"/>
  <c r="E13" i="6"/>
  <c r="F6" i="6"/>
  <c r="F63" i="5"/>
  <c r="E13" i="10"/>
  <c r="E12" i="10"/>
  <c r="E28" i="10" s="1"/>
  <c r="E21" i="10"/>
  <c r="E35" i="10" s="1"/>
  <c r="D32" i="7"/>
  <c r="D29" i="10"/>
  <c r="D16" i="10"/>
  <c r="D34" i="10" s="1"/>
  <c r="C21" i="6"/>
  <c r="C26" i="6" s="1"/>
  <c r="C28" i="6" s="1"/>
  <c r="C23" i="10"/>
  <c r="C33" i="10" s="1"/>
  <c r="L41" i="10" l="1"/>
  <c r="L43" i="10" s="1"/>
  <c r="L50" i="10" s="1"/>
  <c r="L10" i="10"/>
  <c r="L32" i="10" s="1"/>
  <c r="L8" i="8"/>
  <c r="L10" i="8" s="1"/>
  <c r="L12" i="8" s="1"/>
  <c r="L8" i="25"/>
  <c r="M51" i="5"/>
  <c r="G151" i="22"/>
  <c r="N9" i="22" s="1"/>
  <c r="E29" i="10"/>
  <c r="E16" i="10"/>
  <c r="E34" i="10" s="1"/>
  <c r="G6" i="6"/>
  <c r="F12" i="10"/>
  <c r="F28" i="10" s="1"/>
  <c r="F13" i="6"/>
  <c r="F11" i="10"/>
  <c r="F27" i="10" s="1"/>
  <c r="F13" i="10"/>
  <c r="F7" i="7"/>
  <c r="F17" i="7" s="1"/>
  <c r="F31" i="7" s="1"/>
  <c r="F21" i="10"/>
  <c r="F35" i="10" s="1"/>
  <c r="G63" i="5"/>
  <c r="D24" i="6"/>
  <c r="E30" i="7"/>
  <c r="E32" i="7" s="1"/>
  <c r="N11" i="22" l="1"/>
  <c r="O9" i="22"/>
  <c r="M6" i="24"/>
  <c r="L7" i="10"/>
  <c r="L8" i="10"/>
  <c r="M52" i="5"/>
  <c r="M7" i="24" s="1"/>
  <c r="L9" i="25"/>
  <c r="L11" i="25"/>
  <c r="L12" i="25" s="1"/>
  <c r="F29" i="10"/>
  <c r="F16" i="10"/>
  <c r="F34" i="10" s="1"/>
  <c r="F30" i="7"/>
  <c r="F32" i="7" s="1"/>
  <c r="E24" i="6"/>
  <c r="D21" i="6"/>
  <c r="D26" i="6" s="1"/>
  <c r="D28" i="6" s="1"/>
  <c r="D23" i="10"/>
  <c r="D33" i="10" s="1"/>
  <c r="H63" i="5"/>
  <c r="G11" i="10"/>
  <c r="G27" i="10" s="1"/>
  <c r="G13" i="10"/>
  <c r="G21" i="10"/>
  <c r="G35" i="10" s="1"/>
  <c r="G7" i="7"/>
  <c r="G17" i="7" s="1"/>
  <c r="G31" i="7" s="1"/>
  <c r="H6" i="6"/>
  <c r="G12" i="10"/>
  <c r="G28" i="10" s="1"/>
  <c r="G13" i="6"/>
  <c r="M9" i="24" l="1"/>
  <c r="M12" i="24" s="1"/>
  <c r="M66" i="24" s="1"/>
  <c r="M69" i="24" s="1"/>
  <c r="M53" i="5"/>
  <c r="L7" i="6" s="1"/>
  <c r="N47" i="5"/>
  <c r="O11" i="22"/>
  <c r="H21" i="10"/>
  <c r="H35" i="10" s="1"/>
  <c r="H11" i="10"/>
  <c r="H27" i="10" s="1"/>
  <c r="H13" i="10"/>
  <c r="I6" i="6"/>
  <c r="H13" i="6"/>
  <c r="H7" i="7"/>
  <c r="H17" i="7" s="1"/>
  <c r="H31" i="7" s="1"/>
  <c r="I63" i="5"/>
  <c r="H12" i="10"/>
  <c r="H28" i="10" s="1"/>
  <c r="E21" i="6"/>
  <c r="E26" i="6" s="1"/>
  <c r="E28" i="6" s="1"/>
  <c r="E23" i="10"/>
  <c r="E33" i="10" s="1"/>
  <c r="F24" i="6"/>
  <c r="G30" i="7"/>
  <c r="G32" i="7" s="1"/>
  <c r="G29" i="10"/>
  <c r="G16" i="10"/>
  <c r="G34" i="10" s="1"/>
  <c r="M14" i="24" l="1"/>
  <c r="M16" i="24" s="1"/>
  <c r="L5" i="8"/>
  <c r="L9" i="8" s="1"/>
  <c r="M56" i="5"/>
  <c r="M58" i="5" s="1"/>
  <c r="M59" i="5" s="1"/>
  <c r="L6" i="7"/>
  <c r="M69" i="5"/>
  <c r="M75" i="5" s="1"/>
  <c r="L9" i="10"/>
  <c r="L26" i="10" s="1"/>
  <c r="M62" i="5"/>
  <c r="M41" i="10"/>
  <c r="M43" i="10" s="1"/>
  <c r="M50" i="10" s="1"/>
  <c r="M10" i="10"/>
  <c r="M32" i="10" s="1"/>
  <c r="M8" i="8"/>
  <c r="N51" i="5"/>
  <c r="M8" i="25"/>
  <c r="F23" i="10"/>
  <c r="F33" i="10" s="1"/>
  <c r="F21" i="6"/>
  <c r="F26" i="6" s="1"/>
  <c r="F28" i="6" s="1"/>
  <c r="G24" i="6"/>
  <c r="H30" i="7"/>
  <c r="H32" i="7" s="1"/>
  <c r="I11" i="10"/>
  <c r="I27" i="10" s="1"/>
  <c r="I12" i="10"/>
  <c r="I28" i="10" s="1"/>
  <c r="I13" i="10"/>
  <c r="J6" i="6"/>
  <c r="I21" i="10"/>
  <c r="I35" i="10" s="1"/>
  <c r="I7" i="7"/>
  <c r="I17" i="7" s="1"/>
  <c r="I31" i="7" s="1"/>
  <c r="J63" i="5"/>
  <c r="H29" i="10"/>
  <c r="H16" i="10"/>
  <c r="H34" i="10" s="1"/>
  <c r="M77" i="24" l="1"/>
  <c r="M78" i="24" s="1"/>
  <c r="N6" i="24"/>
  <c r="M7" i="10"/>
  <c r="M8" i="10"/>
  <c r="N52" i="5"/>
  <c r="N7" i="24" s="1"/>
  <c r="M10" i="8"/>
  <c r="M12" i="8" s="1"/>
  <c r="M9" i="25"/>
  <c r="M11" i="25"/>
  <c r="M12" i="25" s="1"/>
  <c r="L13" i="8"/>
  <c r="C14" i="8"/>
  <c r="I16" i="10"/>
  <c r="I34" i="10" s="1"/>
  <c r="I29" i="10"/>
  <c r="G23" i="10"/>
  <c r="G33" i="10" s="1"/>
  <c r="G21" i="6"/>
  <c r="G26" i="6" s="1"/>
  <c r="G28" i="6" s="1"/>
  <c r="H24" i="6"/>
  <c r="I30" i="7"/>
  <c r="I32" i="7" s="1"/>
  <c r="J12" i="10"/>
  <c r="J28" i="10" s="1"/>
  <c r="K63" i="5"/>
  <c r="J11" i="10"/>
  <c r="J27" i="10" s="1"/>
  <c r="K6" i="6"/>
  <c r="L6" i="6" s="1"/>
  <c r="J13" i="10"/>
  <c r="J13" i="6"/>
  <c r="J21" i="10"/>
  <c r="J35" i="10" s="1"/>
  <c r="J7" i="7"/>
  <c r="J17" i="7" s="1"/>
  <c r="J31" i="7" s="1"/>
  <c r="N53" i="5" l="1"/>
  <c r="L30" i="10"/>
  <c r="C15" i="8"/>
  <c r="N9" i="24"/>
  <c r="L21" i="10"/>
  <c r="L35" i="10" s="1"/>
  <c r="L11" i="10"/>
  <c r="L27" i="10" s="1"/>
  <c r="L12" i="10"/>
  <c r="L28" i="10" s="1"/>
  <c r="L13" i="10"/>
  <c r="L7" i="7"/>
  <c r="L17" i="7" s="1"/>
  <c r="L31" i="7" s="1"/>
  <c r="M6" i="6"/>
  <c r="L13" i="6"/>
  <c r="M63" i="5"/>
  <c r="I24" i="6"/>
  <c r="J30" i="7"/>
  <c r="J32" i="7" s="1"/>
  <c r="H21" i="6"/>
  <c r="H26" i="6" s="1"/>
  <c r="H28" i="6" s="1"/>
  <c r="H23" i="10"/>
  <c r="H33" i="10" s="1"/>
  <c r="J16" i="10"/>
  <c r="J34" i="10" s="1"/>
  <c r="J29" i="10"/>
  <c r="K7" i="7"/>
  <c r="K17" i="7" s="1"/>
  <c r="K31" i="7" s="1"/>
  <c r="K11" i="10"/>
  <c r="K27" i="10" s="1"/>
  <c r="K12" i="10"/>
  <c r="K28" i="10" s="1"/>
  <c r="K13" i="6"/>
  <c r="K21" i="10"/>
  <c r="K35" i="10" s="1"/>
  <c r="L63" i="5"/>
  <c r="K13" i="10"/>
  <c r="N12" i="24" l="1"/>
  <c r="P14" i="24"/>
  <c r="N13" i="24"/>
  <c r="M6" i="7"/>
  <c r="N56" i="5"/>
  <c r="N58" i="5" s="1"/>
  <c r="N59" i="5" s="1"/>
  <c r="N69" i="5"/>
  <c r="N75" i="5" s="1"/>
  <c r="M5" i="8"/>
  <c r="N62" i="5"/>
  <c r="M9" i="10"/>
  <c r="M26" i="10" s="1"/>
  <c r="M7" i="6"/>
  <c r="M13" i="6" s="1"/>
  <c r="M21" i="10"/>
  <c r="M35" i="10" s="1"/>
  <c r="M12" i="10"/>
  <c r="L16" i="10"/>
  <c r="L34" i="10" s="1"/>
  <c r="L29" i="10"/>
  <c r="M7" i="7"/>
  <c r="K29" i="10"/>
  <c r="K16" i="10"/>
  <c r="K34" i="10" s="1"/>
  <c r="J24" i="6"/>
  <c r="K30" i="7"/>
  <c r="K32" i="7" s="1"/>
  <c r="I23" i="10"/>
  <c r="I33" i="10" s="1"/>
  <c r="I21" i="6"/>
  <c r="I26" i="6" s="1"/>
  <c r="I28" i="6" s="1"/>
  <c r="N63" i="5" l="1"/>
  <c r="M13" i="10"/>
  <c r="M29" i="10" s="1"/>
  <c r="M11" i="10"/>
  <c r="M27" i="10" s="1"/>
  <c r="M28" i="10"/>
  <c r="D76" i="5"/>
  <c r="O76" i="5"/>
  <c r="M9" i="8"/>
  <c r="M13" i="8" s="1"/>
  <c r="M30" i="10" s="1"/>
  <c r="N77" i="24"/>
  <c r="N78" i="24" s="1"/>
  <c r="M17" i="7"/>
  <c r="M31" i="7" s="1"/>
  <c r="N67" i="24"/>
  <c r="N68" i="24" s="1"/>
  <c r="N66" i="24"/>
  <c r="N14" i="24"/>
  <c r="K24" i="6"/>
  <c r="K23" i="10" s="1"/>
  <c r="K33" i="10" s="1"/>
  <c r="L30" i="7"/>
  <c r="L32" i="7" s="1"/>
  <c r="J21" i="6"/>
  <c r="J26" i="6" s="1"/>
  <c r="J28" i="6" s="1"/>
  <c r="J23" i="10"/>
  <c r="J33" i="10" s="1"/>
  <c r="N69" i="24" l="1"/>
  <c r="D71" i="24" s="1"/>
  <c r="M16" i="10"/>
  <c r="M34" i="10" s="1"/>
  <c r="N16" i="24"/>
  <c r="C17" i="24" s="1"/>
  <c r="D15" i="24"/>
  <c r="K21" i="6"/>
  <c r="K26" i="6" s="1"/>
  <c r="K28" i="6" s="1"/>
  <c r="L24" i="6"/>
  <c r="M30" i="7"/>
  <c r="M32" i="7" s="1"/>
  <c r="M24" i="6" s="1"/>
  <c r="M21" i="6" l="1"/>
  <c r="M26" i="6" s="1"/>
  <c r="M28" i="6" s="1"/>
  <c r="M23" i="10"/>
  <c r="M33" i="10" s="1"/>
  <c r="L21" i="6"/>
  <c r="L26" i="6" s="1"/>
  <c r="L28" i="6" s="1"/>
  <c r="L23" i="10"/>
  <c r="L3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tc={FDACC0F6-1A78-446A-A147-2A6CDC7D8602}</author>
    <author>tc={8A3766D1-6550-44F2-8494-DFC25AC281F8}</author>
  </authors>
  <commentList>
    <comment ref="F11" authorId="0" shapeId="0" xr:uid="{FDACC0F6-1A78-446A-A147-2A6CDC7D8602}">
      <text>
        <t>[Threaded comment]
Your version of Excel allows you to read this threaded comment; however, any edits to it will get removed if the file is opened in a newer version of Excel. Learn more: https://go.microsoft.com/fwlink/?linkid=870924
Comment:
    50 samples per subject</t>
      </text>
    </comment>
    <comment ref="F19" authorId="1" shapeId="0" xr:uid="{8A3766D1-6550-44F2-8494-DFC25AC281F8}">
      <text>
        <t>[Threaded comment]
Your version of Excel allows you to read this threaded comment; however, any edits to it will get removed if the file is opened in a newer version of Excel. Learn more: https://go.microsoft.com/fwlink/?linkid=870924
Comment:
    50 samples per subject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tc={AE6C548B-EB68-4535-89D7-224FF6A597DF}</author>
    <author>tc={C75F3CB1-32A1-41F8-ABCA-97C5BD3E33D3}</author>
    <author>tc={E9806EA0-B03C-406A-A6C8-93D9ADE89BA3}</author>
    <author>tc={B7BE25A6-D054-484C-9710-B9304CCF9625}</author>
  </authors>
  <commentList>
    <comment ref="P33" authorId="0" shapeId="0" xr:uid="{AE6C548B-EB68-4535-89D7-224FF6A597DF}">
      <text>
        <t>[Threaded comment]
Your version of Excel allows you to read this threaded comment; however, any edits to it will get removed if the file is opened in a newer version of Excel. Learn more: https://go.microsoft.com/fwlink/?linkid=870924
Comment:
    Page 199 - Veeda DHRP</t>
      </text>
    </comment>
    <comment ref="P34" authorId="1" shapeId="0" xr:uid="{C75F3CB1-32A1-41F8-ABCA-97C5BD3E33D3}">
      <text>
        <t>[Threaded comment]
Your version of Excel allows you to read this threaded comment; however, any edits to it will get removed if the file is opened in a newer version of Excel. Learn more: https://go.microsoft.com/fwlink/?linkid=870924
Comment:
    33% considered to keep EBITDA margins at ~25% levels, plus other expenses not projected by the management, taken on conservative side</t>
      </text>
    </comment>
    <comment ref="P35" authorId="2" shapeId="0" xr:uid="{E9806EA0-B03C-406A-A6C8-93D9ADE89BA3}">
      <text>
        <t>[Threaded comment]
Your version of Excel allows you to read this threaded comment; however, any edits to it will get removed if the file is opened in a newer version of Excel. Learn more: https://go.microsoft.com/fwlink/?linkid=870924
Comment:
    Page 243 - Veeda DHRP</t>
      </text>
    </comment>
    <comment ref="P36" authorId="3" shapeId="0" xr:uid="{B7BE25A6-D054-484C-9710-B9304CCF9625}">
      <text>
        <t>[Threaded comment]
Your version of Excel allows you to read this threaded comment; however, any edits to it will get removed if the file is opened in a newer version of Excel. Learn more: https://go.microsoft.com/fwlink/?linkid=870924
Comment:
    Page 243 - Veeda DHRP</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tc={CB64E5C4-388F-485C-987B-1524D0300E63}</author>
    <author>tc={508F90EE-C031-4B1A-91E9-9CEB733DDC71}</author>
  </authors>
  <commentList>
    <comment ref="E21" authorId="0" shapeId="0" xr:uid="{CB64E5C4-388F-485C-987B-1524D0300E63}">
      <text>
        <t>[Threaded comment]
Your version of Excel allows you to read this threaded comment; however, any edits to it will get removed if the file is opened in a newer version of Excel. Learn more: https://go.microsoft.com/fwlink/?linkid=870924
Comment:
    On account of addition of 60 beds @ INR 10000 per bed</t>
      </text>
    </comment>
    <comment ref="C26" authorId="1" shapeId="0" xr:uid="{508F90EE-C031-4B1A-91E9-9CEB733DDC71}">
      <text>
        <t>[Threaded comment]
Your version of Excel allows you to read this threaded comment; however, any edits to it will get removed if the file is opened in a newer version of Excel. Learn more: https://go.microsoft.com/fwlink/?linkid=870924
Comment:
    Half year dep in IT</t>
      </text>
    </comment>
  </commentList>
</comments>
</file>

<file path=xl/sharedStrings.xml><?xml version="1.0" encoding="utf-8"?>
<sst xmlns="http://schemas.openxmlformats.org/spreadsheetml/2006/main" count="774" uniqueCount="522">
  <si>
    <t xml:space="preserve">CAPITAL COST HEAD </t>
  </si>
  <si>
    <t>UNIT RATE (INR)</t>
  </si>
  <si>
    <t>INR (LAKH)</t>
  </si>
  <si>
    <t xml:space="preserve">PROJECT COST AND MEANS OF FINANCE </t>
  </si>
  <si>
    <t xml:space="preserve">PROJECTIONS </t>
  </si>
  <si>
    <t xml:space="preserve">UNIT </t>
  </si>
  <si>
    <t>ANNUAL QUANTITY</t>
  </si>
  <si>
    <t xml:space="preserve">YEAR </t>
  </si>
  <si>
    <t>SCHEDULE OF SALARIES AND WAGES</t>
  </si>
  <si>
    <t xml:space="preserve">FINANCIAL RATIOS </t>
  </si>
  <si>
    <t>TOTAL SALES</t>
  </si>
  <si>
    <t>LESS ; VARIABLE COST</t>
  </si>
  <si>
    <t xml:space="preserve">CONTRIBUTION </t>
  </si>
  <si>
    <t>FIXED COST</t>
  </si>
  <si>
    <t xml:space="preserve">INTEREST </t>
  </si>
  <si>
    <t xml:space="preserve">DEPRECIATION </t>
  </si>
  <si>
    <t>TOTAL FIXED COST</t>
  </si>
  <si>
    <t>OPERATION BREAK EVEN (%)</t>
  </si>
  <si>
    <t>CASH BREAKEVEN (%)</t>
  </si>
  <si>
    <t>AVERAGE OPERATION BREAKEVEN (%)</t>
  </si>
  <si>
    <t>AVERAGE CASH BREAKEVEN (%)</t>
  </si>
  <si>
    <t>PROJECTED LIST PRICE @ 15 PE RATIO</t>
  </si>
  <si>
    <t xml:space="preserve">ANNUALIZED GROWTH RATE </t>
  </si>
  <si>
    <t xml:space="preserve">LIABILITIES </t>
  </si>
  <si>
    <t xml:space="preserve">TOTAL </t>
  </si>
  <si>
    <t xml:space="preserve">A. SOURCE OF FUND </t>
  </si>
  <si>
    <t>TOTAL</t>
  </si>
  <si>
    <t xml:space="preserve">B. APPLICATION OF FUNDS </t>
  </si>
  <si>
    <t>Net Surplus/ Deficit</t>
  </si>
  <si>
    <t xml:space="preserve">Cumulative Balance </t>
  </si>
  <si>
    <t xml:space="preserve">PBT </t>
  </si>
  <si>
    <t xml:space="preserve">VARIALBLE EXPENSES </t>
  </si>
  <si>
    <t>Total Variable Cost</t>
  </si>
  <si>
    <t xml:space="preserve">FIXED EXPENSES </t>
  </si>
  <si>
    <t>Total Fixed Cost</t>
  </si>
  <si>
    <t>EBIDTA</t>
  </si>
  <si>
    <t>Interest on Term Loan</t>
  </si>
  <si>
    <t xml:space="preserve">Depreciation </t>
  </si>
  <si>
    <t>PBT</t>
  </si>
  <si>
    <t>PAT</t>
  </si>
  <si>
    <t xml:space="preserve">Add : Depreciation </t>
  </si>
  <si>
    <t xml:space="preserve">Repayment Obligations </t>
  </si>
  <si>
    <t xml:space="preserve">Cumulative Internal Accruals  </t>
  </si>
  <si>
    <t xml:space="preserve">Plant &amp; Machinery </t>
  </si>
  <si>
    <t xml:space="preserve">INCOME </t>
  </si>
  <si>
    <t xml:space="preserve">EXPENSES </t>
  </si>
  <si>
    <t>VARIABLE OPERATING EXPENSES</t>
  </si>
  <si>
    <t xml:space="preserve">TOTAL VARIABLE EXPENSES </t>
  </si>
  <si>
    <t xml:space="preserve">FIXED OPERATING EXPENSES </t>
  </si>
  <si>
    <t>contd.</t>
  </si>
  <si>
    <t xml:space="preserve">TOTAL FIXED EXPENSES </t>
  </si>
  <si>
    <t xml:space="preserve">FINANCIAL CHARGES </t>
  </si>
  <si>
    <t xml:space="preserve">TOTAL FINANCIAL CHARGES </t>
  </si>
  <si>
    <t>A</t>
  </si>
  <si>
    <t>B</t>
  </si>
  <si>
    <t>C</t>
  </si>
  <si>
    <t>D</t>
  </si>
  <si>
    <t xml:space="preserve">PROJECT COST </t>
  </si>
  <si>
    <t xml:space="preserve">MEANS OF FINACE </t>
  </si>
  <si>
    <t>Loan from Banks</t>
  </si>
  <si>
    <t xml:space="preserve">PLANT &amp; MACHINERY </t>
  </si>
  <si>
    <t>Days</t>
  </si>
  <si>
    <t>AMOUNT  (INR)</t>
  </si>
  <si>
    <t>INR/YEAR</t>
  </si>
  <si>
    <t xml:space="preserve">WDV of Plant &amp; Machinery </t>
  </si>
  <si>
    <t xml:space="preserve">NET PROFITS BEFORE DEPRECIATON </t>
  </si>
  <si>
    <t xml:space="preserve">R &amp; M of Plant &amp; Machinery </t>
  </si>
  <si>
    <t>ESCALATION FACTOR (5%)</t>
  </si>
  <si>
    <t>PROFITIBLITY PROJECTIONS  (INR Lakh)</t>
  </si>
  <si>
    <t>Depreciation</t>
  </si>
  <si>
    <t>Average DSCR</t>
  </si>
  <si>
    <t>Year</t>
  </si>
  <si>
    <t>Interest</t>
  </si>
  <si>
    <t>NPV</t>
  </si>
  <si>
    <t>Month</t>
  </si>
  <si>
    <t>Term Loan servicing for 7 Years based on EMI (capital repayment + interest @ 8.8% P.A.</t>
  </si>
  <si>
    <t>Particulars</t>
  </si>
  <si>
    <t>Subtotal</t>
  </si>
  <si>
    <t>DSCR</t>
  </si>
  <si>
    <t>DSCR Calculation</t>
  </si>
  <si>
    <t>PAT (Proft After Tax)</t>
  </si>
  <si>
    <t>Opening Stock</t>
  </si>
  <si>
    <t>Add - Purchase During the year</t>
  </si>
  <si>
    <t>Less - Closing Stock</t>
  </si>
  <si>
    <t>COGS</t>
  </si>
  <si>
    <t>(days)</t>
  </si>
  <si>
    <t>Trade Receivables</t>
  </si>
  <si>
    <t>Inventories</t>
  </si>
  <si>
    <t>Overheads</t>
  </si>
  <si>
    <t>Current Assets</t>
  </si>
  <si>
    <t>Current Liabilities</t>
  </si>
  <si>
    <t xml:space="preserve">Amt </t>
  </si>
  <si>
    <t>Total CoP</t>
  </si>
  <si>
    <t>WDV rate</t>
  </si>
  <si>
    <t>Plant &amp; Machinery</t>
  </si>
  <si>
    <t xml:space="preserve">Total SLM Depreciation </t>
  </si>
  <si>
    <t xml:space="preserve">Total WDV Depreciation </t>
  </si>
  <si>
    <t xml:space="preserve">Less : Depreciation </t>
  </si>
  <si>
    <t>Gross Assets</t>
  </si>
  <si>
    <t>Preliminary Expense</t>
  </si>
  <si>
    <t>Total Gross Block</t>
  </si>
  <si>
    <t>CURRENT ASSETS</t>
  </si>
  <si>
    <t>Total Trade Paybles</t>
  </si>
  <si>
    <t>Secured Loan</t>
  </si>
  <si>
    <t>Reserve &amp; Surplus</t>
  </si>
  <si>
    <t>Trade Receivable</t>
  </si>
  <si>
    <t xml:space="preserve">Inventory </t>
  </si>
  <si>
    <t>PRELIMINARY EXPENSES W/off</t>
  </si>
  <si>
    <t xml:space="preserve">Capital Expenses </t>
  </si>
  <si>
    <t xml:space="preserve">Net Profit </t>
  </si>
  <si>
    <t xml:space="preserve">Decrease in Term Loan </t>
  </si>
  <si>
    <t>Opening Balance</t>
  </si>
  <si>
    <t>Diff</t>
  </si>
  <si>
    <t>CASH FLOW STATEMENT (INR Lakh)</t>
  </si>
  <si>
    <t>NET BLOCK</t>
  </si>
  <si>
    <t>CASH &amp; BANK</t>
  </si>
  <si>
    <t>Cash accrual</t>
  </si>
  <si>
    <t>Net cash accrual</t>
  </si>
  <si>
    <t>Subsidy Inflow</t>
  </si>
  <si>
    <t>Net WC</t>
  </si>
  <si>
    <t>Working Cap Margin</t>
  </si>
  <si>
    <t>NET PROFIT BEFORE INT. &amp; DEP.</t>
  </si>
  <si>
    <t>PROFIT BEFORE INT &amp; TAX</t>
  </si>
  <si>
    <t xml:space="preserve">TERM LOAN INTEREST </t>
  </si>
  <si>
    <t xml:space="preserve">CAPITAL EMPLOYED </t>
  </si>
  <si>
    <t xml:space="preserve">CAPITAL INVESTMENT </t>
  </si>
  <si>
    <t xml:space="preserve">NET WORTH </t>
  </si>
  <si>
    <t>SALES REVENUE</t>
  </si>
  <si>
    <t>RETURN ON SALE (%)</t>
  </si>
  <si>
    <t>RETURN ON CAPITAL (%)</t>
  </si>
  <si>
    <t>RETURN ON INVESTMENT</t>
  </si>
  <si>
    <t xml:space="preserve">RETURN ON NET WORTH </t>
  </si>
  <si>
    <t xml:space="preserve">AVERAGE DSCR </t>
  </si>
  <si>
    <t xml:space="preserve">FIXED ASSETS COVERAGE </t>
  </si>
  <si>
    <t>TERM LOAN</t>
  </si>
  <si>
    <t xml:space="preserve">BREAK EVEN POINT </t>
  </si>
  <si>
    <t>Profit / PBT</t>
  </si>
  <si>
    <t xml:space="preserve">PV RATIO </t>
  </si>
  <si>
    <t xml:space="preserve">BEP  Sales </t>
  </si>
  <si>
    <t xml:space="preserve">BEP% </t>
  </si>
  <si>
    <t xml:space="preserve">WORKING CAPITAL </t>
  </si>
  <si>
    <t>SLM Depreciation - Build</t>
  </si>
  <si>
    <t>SLM Depreciation - P&amp;M</t>
  </si>
  <si>
    <t xml:space="preserve">Sales </t>
  </si>
  <si>
    <t>CC Loan</t>
  </si>
  <si>
    <t>Total Loan</t>
  </si>
  <si>
    <t>INTEREST COVERAGE RATIO</t>
  </si>
  <si>
    <t>CURRENT LIABILITIES</t>
  </si>
  <si>
    <t>CURRENT RATIO</t>
  </si>
  <si>
    <t>Total</t>
  </si>
  <si>
    <t>Repayment</t>
  </si>
  <si>
    <t>Closing Principal o/s</t>
  </si>
  <si>
    <t>IDC</t>
  </si>
  <si>
    <t>TL Interest</t>
  </si>
  <si>
    <t>SECURED LOAN</t>
  </si>
  <si>
    <t>DEBT - EQUITY RATIO</t>
  </si>
  <si>
    <t>Increase in TL</t>
  </si>
  <si>
    <t>Disbursement</t>
  </si>
  <si>
    <t>Opening Bal</t>
  </si>
  <si>
    <t>Interest During Construction (IDC)</t>
  </si>
  <si>
    <t>WCM, IDC &amp; Cont</t>
  </si>
  <si>
    <t>12 M</t>
  </si>
  <si>
    <t>Particulars / YEAR</t>
  </si>
  <si>
    <t>Assumptions</t>
  </si>
  <si>
    <t>1st Disbursement</t>
  </si>
  <si>
    <t>IDC Start &amp; End Month</t>
  </si>
  <si>
    <t>Commencement /Operation Start</t>
  </si>
  <si>
    <t>Repayment of Loan</t>
  </si>
  <si>
    <t>Repayment Start</t>
  </si>
  <si>
    <t>Repayment End</t>
  </si>
  <si>
    <t>Repayment Period</t>
  </si>
  <si>
    <t>Rate of Interest</t>
  </si>
  <si>
    <t>Subsidy  (To be Adjusted in Loan Account after Project is Commissioned)</t>
  </si>
  <si>
    <t xml:space="preserve">Term liabilities payable within one year </t>
  </si>
  <si>
    <t>Equity</t>
  </si>
  <si>
    <t>Increase in Equity / Share Capital</t>
  </si>
  <si>
    <t>ToL / TNW</t>
  </si>
  <si>
    <t>ToL</t>
  </si>
  <si>
    <t>TNW</t>
  </si>
  <si>
    <t>IDC Period (construction period)</t>
  </si>
  <si>
    <t>Moratorium Period after COD</t>
  </si>
  <si>
    <t>EBIT</t>
  </si>
  <si>
    <t>Less: Taxes</t>
  </si>
  <si>
    <t>Add: Depreciation &amp; Amortisation</t>
  </si>
  <si>
    <t>Gross Cash Flow</t>
  </si>
  <si>
    <t>Increase/(Decrease) in working capital</t>
  </si>
  <si>
    <t>Free Cash Flow to Firm (FCFF)</t>
  </si>
  <si>
    <t>Project IRR (Post-tax)</t>
  </si>
  <si>
    <t>INR in lacs</t>
  </si>
  <si>
    <t>WACC Calculation</t>
  </si>
  <si>
    <t>Incremental Cost of Debt</t>
  </si>
  <si>
    <t>Cost of Equity</t>
  </si>
  <si>
    <t>Proportion of Debt</t>
  </si>
  <si>
    <t>Tax</t>
  </si>
  <si>
    <t>WACC</t>
  </si>
  <si>
    <t>Discounting factor</t>
  </si>
  <si>
    <t xml:space="preserve">Project IRR </t>
  </si>
  <si>
    <t>Break Even</t>
  </si>
  <si>
    <t>Sales</t>
  </si>
  <si>
    <t>Variable Expenses</t>
  </si>
  <si>
    <t>Contribution</t>
  </si>
  <si>
    <t>PV RATIO (Contr / Sales)</t>
  </si>
  <si>
    <t>BEP  Sales (Fix Exps / Contr * Sales)</t>
  </si>
  <si>
    <t>BEP% (BEP Sales / sales)</t>
  </si>
  <si>
    <t xml:space="preserve"> </t>
  </si>
  <si>
    <t>DEBT</t>
  </si>
  <si>
    <t>EQUITY</t>
  </si>
  <si>
    <t>S. No.</t>
  </si>
  <si>
    <t>Particulars (Rs in lacs)</t>
  </si>
  <si>
    <t>DEBT REPAYMENT SCHEDULE</t>
  </si>
  <si>
    <t>FY  Rs in Lakhs</t>
  </si>
  <si>
    <t>Ratio Analysis</t>
  </si>
  <si>
    <t>Particulars (Rs in Lakh)</t>
  </si>
  <si>
    <t xml:space="preserve">YEAR/ASSET  HEAD </t>
  </si>
  <si>
    <t>DEPRECIATION DSCHEDULE AS PER COMPANY LAW (Lakh INR)</t>
  </si>
  <si>
    <t xml:space="preserve">YEAR/ASSET HEAD </t>
  </si>
  <si>
    <t>Interest on term loan</t>
  </si>
  <si>
    <t>Discount rate</t>
  </si>
  <si>
    <t>Expected growth rate(Terminal)</t>
  </si>
  <si>
    <t>Period (Months)</t>
  </si>
  <si>
    <t>Discount period</t>
  </si>
  <si>
    <t>Discount Factor</t>
  </si>
  <si>
    <t>PV of FCF</t>
  </si>
  <si>
    <t>Terminal Value</t>
  </si>
  <si>
    <t>PV of Terminal Value</t>
  </si>
  <si>
    <t>PV of FCF+ PV of Terminal Value</t>
  </si>
  <si>
    <t>No. Of Years</t>
  </si>
  <si>
    <t>Cash Accrual</t>
  </si>
  <si>
    <t>Accumulated Cash Accrual</t>
  </si>
  <si>
    <t>TPC</t>
  </si>
  <si>
    <t>Payback Period</t>
  </si>
  <si>
    <t>Years</t>
  </si>
  <si>
    <t>EBITDA</t>
  </si>
  <si>
    <t xml:space="preserve">Revenue </t>
  </si>
  <si>
    <t>EBITDA Margin %</t>
  </si>
  <si>
    <t>EBIT Margin %</t>
  </si>
  <si>
    <t>PAT Margin %</t>
  </si>
  <si>
    <t>Revenue Growth Rate %</t>
  </si>
  <si>
    <t xml:space="preserve">Average </t>
  </si>
  <si>
    <t>Capacity</t>
  </si>
  <si>
    <t>Maximum DSCR</t>
  </si>
  <si>
    <t xml:space="preserve">Fixed Overheads </t>
  </si>
  <si>
    <t>Trade Payables</t>
  </si>
  <si>
    <t>Salvage value</t>
  </si>
  <si>
    <t>Capex/ (salvage value)</t>
  </si>
  <si>
    <t>Median</t>
  </si>
  <si>
    <t>Unlevered Beta - Industry</t>
  </si>
  <si>
    <t>Tax Rate</t>
  </si>
  <si>
    <t>Relevered Beta</t>
  </si>
  <si>
    <t>Cost of Equity (Ke)</t>
  </si>
  <si>
    <t>Risk Free Rate (Rfr)</t>
  </si>
  <si>
    <t>Market Return (Rm)</t>
  </si>
  <si>
    <t>Market Risk Premium</t>
  </si>
  <si>
    <t>Levered Beta</t>
  </si>
  <si>
    <t>Additional Risk Premium</t>
  </si>
  <si>
    <t>Higher CSRP on account of new business</t>
  </si>
  <si>
    <t>Cost of Debt (Kd)</t>
  </si>
  <si>
    <t>Pre Tax - Cost of Debt (Kd)</t>
  </si>
  <si>
    <t>Cost of Debt - Pre Tax</t>
  </si>
  <si>
    <t>Marginal tax rate</t>
  </si>
  <si>
    <t>To be considered from Tax Workings Sheet</t>
  </si>
  <si>
    <t>Post Tax - Cost of Debt (Kd)</t>
  </si>
  <si>
    <t>Debt / Equity</t>
  </si>
  <si>
    <t>Industry</t>
  </si>
  <si>
    <t xml:space="preserve">  </t>
  </si>
  <si>
    <t>Rounded off WACC</t>
  </si>
  <si>
    <t>Damodaran ERP India Jan 2024</t>
  </si>
  <si>
    <t>Promoters' Equity</t>
  </si>
  <si>
    <t>Preliminary Expenses</t>
  </si>
  <si>
    <t xml:space="preserve">Total WDV </t>
  </si>
  <si>
    <t>Decrease in WC loan</t>
  </si>
  <si>
    <t>Loan Repayment</t>
  </si>
  <si>
    <t>Less : Taxation @ 25.168%</t>
  </si>
  <si>
    <t>Trade receivables</t>
  </si>
  <si>
    <t>Inventory</t>
  </si>
  <si>
    <t>Trade payables</t>
  </si>
  <si>
    <t>Total Fixed Cost (incl Int and
Dep)</t>
  </si>
  <si>
    <t xml:space="preserve">Loan Schedule </t>
  </si>
  <si>
    <t>Loan Amount</t>
  </si>
  <si>
    <t>Rs in Lakhs</t>
  </si>
  <si>
    <t>Rep Year</t>
  </si>
  <si>
    <t>Interest Rate</t>
  </si>
  <si>
    <t>%age p.a</t>
  </si>
  <si>
    <t>Repay (%)</t>
  </si>
  <si>
    <t>Op Bal</t>
  </si>
  <si>
    <t>Repay</t>
  </si>
  <si>
    <t>Cl Bal</t>
  </si>
  <si>
    <t>Disb</t>
  </si>
  <si>
    <t>Mar</t>
  </si>
  <si>
    <t>July</t>
  </si>
  <si>
    <t>Aug</t>
  </si>
  <si>
    <t>Sept</t>
  </si>
  <si>
    <t>Oct</t>
  </si>
  <si>
    <t>Nov</t>
  </si>
  <si>
    <t>Dec</t>
  </si>
  <si>
    <t>Jan</t>
  </si>
  <si>
    <t>Feb</t>
  </si>
  <si>
    <t>2024-25</t>
  </si>
  <si>
    <t>Apr</t>
  </si>
  <si>
    <t>May</t>
  </si>
  <si>
    <t>June</t>
  </si>
  <si>
    <t>CoD</t>
  </si>
  <si>
    <t>2025-26</t>
  </si>
  <si>
    <t>Moratorium</t>
  </si>
  <si>
    <t>2026-27</t>
  </si>
  <si>
    <t>2027-28</t>
  </si>
  <si>
    <t>2028-29</t>
  </si>
  <si>
    <t>2029-30</t>
  </si>
  <si>
    <t>2030-31</t>
  </si>
  <si>
    <t>2031-32</t>
  </si>
  <si>
    <t>Prelm Exps w/off</t>
  </si>
  <si>
    <t>Monthly Pay</t>
  </si>
  <si>
    <t xml:space="preserve">Moratorium Start &amp; End Month </t>
  </si>
  <si>
    <t>PROFORMA BALANCE SHEET (INR Lakh)</t>
  </si>
  <si>
    <t>PRFOTIBILITY ESTIMATES  (365 days)</t>
  </si>
  <si>
    <t xml:space="preserve">- Clinical cost per subject </t>
  </si>
  <si>
    <t xml:space="preserve">- Clinical test per subject </t>
  </si>
  <si>
    <t>INR/subject</t>
  </si>
  <si>
    <t>-</t>
  </si>
  <si>
    <t>- Average cost for a single bioanalytical sample</t>
  </si>
  <si>
    <t>INR/test/subject</t>
  </si>
  <si>
    <t>BA/ BE Studies</t>
  </si>
  <si>
    <t>- Clinical Phase</t>
  </si>
  <si>
    <t>Pilot studies</t>
  </si>
  <si>
    <t>- Bio-analytical Phase</t>
  </si>
  <si>
    <t>Pivotal studies</t>
  </si>
  <si>
    <t>- Other Misc revenue</t>
  </si>
  <si>
    <t>Revenue per pilot study</t>
  </si>
  <si>
    <t>Revenue per pivotal study</t>
  </si>
  <si>
    <t>Revenue from BA/ BE Studies</t>
  </si>
  <si>
    <t>ESCALATION FACTOR (6%)</t>
  </si>
  <si>
    <t>Revenue from pilot studies</t>
  </si>
  <si>
    <t>Revenue from pivotal studies</t>
  </si>
  <si>
    <t>No of studies</t>
  </si>
  <si>
    <t>Gross annual revenue from pilot studies</t>
  </si>
  <si>
    <t># studies</t>
  </si>
  <si>
    <t>Gross Annual Revenue</t>
  </si>
  <si>
    <t>Gross annual revenue from pivotal studies</t>
  </si>
  <si>
    <t>Consumables</t>
  </si>
  <si>
    <t>Lease Rental</t>
  </si>
  <si>
    <t>Employee benefit expenses</t>
  </si>
  <si>
    <t>1. Employee benefit expenses</t>
  </si>
  <si>
    <t>Other Expenses</t>
  </si>
  <si>
    <t>4 M</t>
  </si>
  <si>
    <t>S.No.</t>
  </si>
  <si>
    <t xml:space="preserve">Designation of staff </t>
  </si>
  <si>
    <t>No. of staff</t>
  </si>
  <si>
    <t>Total annual salary</t>
  </si>
  <si>
    <t>Head Clinical</t>
  </si>
  <si>
    <t>Principal Investigators</t>
  </si>
  <si>
    <t>Research Associates for clinical department</t>
  </si>
  <si>
    <t>Phlebotomists</t>
  </si>
  <si>
    <t>Pharmacists</t>
  </si>
  <si>
    <t xml:space="preserve">Trainee </t>
  </si>
  <si>
    <t>Custodian and Recruiter</t>
  </si>
  <si>
    <t>Head Bioanalytical</t>
  </si>
  <si>
    <t>Team Leader</t>
  </si>
  <si>
    <t>Research Associate</t>
  </si>
  <si>
    <t>Trainee</t>
  </si>
  <si>
    <t>Custodian</t>
  </si>
  <si>
    <t>Clinical QA Associate</t>
  </si>
  <si>
    <t>Bioanalytical QA</t>
  </si>
  <si>
    <t>Bioanalytical QA Associate</t>
  </si>
  <si>
    <t>Statistician</t>
  </si>
  <si>
    <t>Report Writing team leader</t>
  </si>
  <si>
    <t>Report Writing Research Associate</t>
  </si>
  <si>
    <t>HR Manager</t>
  </si>
  <si>
    <t>Head Quality Assurance</t>
  </si>
  <si>
    <t>Clinical QA</t>
  </si>
  <si>
    <t>% Capacity Utilization</t>
  </si>
  <si>
    <t>Unsecured Loan</t>
  </si>
  <si>
    <t>Increase in Unsecured Loan</t>
  </si>
  <si>
    <t>Decrease in Unsecured Loan</t>
  </si>
  <si>
    <t>Furniture &amp; Fittings</t>
  </si>
  <si>
    <t>FURNITURE &amp; FITTINGS</t>
  </si>
  <si>
    <t>Add: Additions</t>
  </si>
  <si>
    <t>WDV of Furniture &amp; Fittings</t>
  </si>
  <si>
    <t>Interest on Unsecured Loan</t>
  </si>
  <si>
    <t xml:space="preserve">TOTAL COST </t>
  </si>
  <si>
    <t>Bed days</t>
  </si>
  <si>
    <t>Clinical phase days</t>
  </si>
  <si>
    <t>No of studies in a year</t>
  </si>
  <si>
    <t>100 beds and 365 days</t>
  </si>
  <si>
    <t>$1200 average per subject for small molecule drug as per US research for studies conduected in India</t>
  </si>
  <si>
    <t>Other Income</t>
  </si>
  <si>
    <t>Beds</t>
  </si>
  <si>
    <t>No of subjects - Pilot</t>
  </si>
  <si>
    <t>No of subjects - Pivotal</t>
  </si>
  <si>
    <t>Capacity utilisation</t>
  </si>
  <si>
    <t>Sample processing capacity</t>
  </si>
  <si>
    <t>Samples per subject</t>
  </si>
  <si>
    <t>Volunteer fee, test, x ray, dietician, etc</t>
  </si>
  <si>
    <t>27% of revenue</t>
  </si>
  <si>
    <t>2% of revenue</t>
  </si>
  <si>
    <t xml:space="preserve">Debtor </t>
  </si>
  <si>
    <t>Creditor</t>
  </si>
  <si>
    <t>Sample preparation, data generation, inspection &amp; testing expenditure</t>
  </si>
  <si>
    <t>Subject screening, sample processing, subject remunerations, laboratory and analytical tests, professional services of of phlebotomists, nurses and doctors</t>
  </si>
  <si>
    <t>8% of revenue</t>
  </si>
  <si>
    <t>Samples processed</t>
  </si>
  <si>
    <t>Study to bed ratio</t>
  </si>
  <si>
    <t>No of Pilot studies</t>
  </si>
  <si>
    <t>No of Pivotal studies</t>
  </si>
  <si>
    <t>1. Cost of material consumed</t>
  </si>
  <si>
    <t>2. Testing expenditure</t>
  </si>
  <si>
    <t>Cost of materials consumed comprises working reference standard (used for sample analysis), columns, cartridges, kits, vials, chemicals (such as acetonitrile and methanol), disposable items (such as aprons, gloves, PPE kits, sanitizers, face masks, ALC urine kits) and other miscellaneous items.</t>
  </si>
  <si>
    <t>Legal, professional and other misc expenses</t>
  </si>
  <si>
    <t>2. Lease Rental</t>
  </si>
  <si>
    <t xml:space="preserve">3. R &amp; M of Plant &amp; Machinery </t>
  </si>
  <si>
    <t>4. Misc expenses</t>
  </si>
  <si>
    <t>House Keeping and premises maintenance, security charges, recruitment and training expenses, etc</t>
  </si>
  <si>
    <t>4 General and other operating expenses</t>
  </si>
  <si>
    <t>3. Selling/marketing expenses</t>
  </si>
  <si>
    <t>Cost of material consumed</t>
  </si>
  <si>
    <t>Testing expenditure</t>
  </si>
  <si>
    <t>Selling/marketing expenses</t>
  </si>
  <si>
    <t>General and other operating expenses</t>
  </si>
  <si>
    <t>2% of P&amp;M</t>
  </si>
  <si>
    <t>As per agreement</t>
  </si>
  <si>
    <t>ROCE</t>
  </si>
  <si>
    <t>EBITDA %</t>
  </si>
  <si>
    <t>PAT %</t>
  </si>
  <si>
    <t>2032-33</t>
  </si>
  <si>
    <t>Sum of Risk Free Rate and Market Risk Premium</t>
  </si>
  <si>
    <t>Damodaran - Drugs (Biotechnology) - Jan 2024</t>
  </si>
  <si>
    <t>D/E - Industry</t>
  </si>
  <si>
    <t>RBI - 10-Year G-Sec Par Yield (FBIL) - 19 April 2024</t>
  </si>
  <si>
    <t>Average Beta: 2019-23</t>
  </si>
  <si>
    <t>Terminal value</t>
  </si>
  <si>
    <t>Total cash flows</t>
  </si>
  <si>
    <t>1M</t>
  </si>
  <si>
    <t>BA/BE studies capacity</t>
  </si>
  <si>
    <t xml:space="preserve">Marketing and business promotion expenses </t>
  </si>
  <si>
    <t>Cost Estimation of Major Equipment, Plant &amp; Machinery</t>
  </si>
  <si>
    <t>Equipment</t>
  </si>
  <si>
    <t>Qty.</t>
  </si>
  <si>
    <t xml:space="preserve">Amount </t>
  </si>
  <si>
    <t>Expected Supplier</t>
  </si>
  <si>
    <t>Haier make Freezer, 230V/50 Hz. Model : DW-86L828J Type Upright - 86°C ULT Freezer</t>
  </si>
  <si>
    <t>Care Biosystems India Pvt. Ltd Mumbai</t>
  </si>
  <si>
    <t>Capacity : 828 Litres</t>
  </si>
  <si>
    <t>SCIEX India Pvt. Limited</t>
  </si>
  <si>
    <t>Registered office: 3rd floor, Unit # 9215, B-Wing, Art Guild House, Phoenix Market city, LBS Road, Vimersia Media technologies Pvt Limited Kurla West, Mumbai,</t>
  </si>
  <si>
    <t>Enhanced high performance triple quadrupole LC-MS/MS mass</t>
  </si>
  <si>
    <t>Maharashtra 400070. Phone: 022 3026 7000.</t>
  </si>
  <si>
    <t xml:space="preserve">Plus </t>
  </si>
  <si>
    <t>Plus</t>
  </si>
  <si>
    <t>Logan Water Jacketed Automated Transdermal Diffusion Cell System(24CellSystem)</t>
  </si>
  <si>
    <t>SANGUINE BIO INSTUMENTS Flat No. 103, Sai Vinayaka Residency, Road No. 2, NBR Colony, Meerpet, Saroor Nagar (M), R.R. Dist., Hyderabad</t>
  </si>
  <si>
    <t>Supply &amp; Installation of Walk in Freezer Room with Ante Room as</t>
  </si>
  <si>
    <t>BLUE COOL SOLUTIONS</t>
  </si>
  <si>
    <t>per the Annexure I A - Basis of Design ( Including 15 Rft Copper</t>
  </si>
  <si>
    <t>G-62, Ground Floor, Shagun Arcade, Near Dindoshi Bus Depot, Dr. A K Vaidya Marg,</t>
  </si>
  <si>
    <t>Piping for the distance between IDU &amp; ODU) 20’ W x 15’L x 8’ Ht. (300 Sqft.)</t>
  </si>
  <si>
    <t>MALAD – EAST, MUMBAI – 400 097, INDIA, Mobile: +91 84549 45070</t>
  </si>
  <si>
    <t xml:space="preserve">Bio-eVap DP Nitrogen Evaporator(Dual Press 144 Position) one set plus speX Series 144 Position Solid Phase Extraction  one set plus Multitube Vortexer Main Unit two sets </t>
  </si>
  <si>
    <t>Takahe Analytical Instruments, Navi Mumbai</t>
  </si>
  <si>
    <t>Price for 5702 R with  A-4-38 rotor incl. adaptor for 13/16 mm blood collection tubes, 2 set of 2 adaptors  </t>
  </si>
  <si>
    <t>Eppendorf India Private Limited Jasola Vihar, New Delhi</t>
  </si>
  <si>
    <t>Micropipettes ( Volume range 10-100 ul, 20-200 ul , 100-1000 ul  and 500-5000 ul  ) each Volume range</t>
  </si>
  <si>
    <t>Multipette M4 Starter kit , 1- channel, incl. Combitips advance rack, Combitips advance assortment pack </t>
  </si>
  <si>
    <t>Kirloskar 125 KVA water cooled Genset three phase</t>
  </si>
  <si>
    <t>Kirloskar</t>
  </si>
  <si>
    <t xml:space="preserve">Entris II Analytical balance and Cubis II Micro Analytical balance </t>
  </si>
  <si>
    <t xml:space="preserve">SB Bio Chem </t>
  </si>
  <si>
    <r>
      <t xml:space="preserve">Agilent ICPMS – 7850 </t>
    </r>
    <r>
      <rPr>
        <sz val="11"/>
        <color theme="1"/>
        <rFont val="Symbol"/>
        <family val="1"/>
        <charset val="2"/>
      </rPr>
      <t>·</t>
    </r>
    <r>
      <rPr>
        <sz val="11"/>
        <color theme="1"/>
        <rFont val="Calibri"/>
        <family val="2"/>
      </rPr>
      <t xml:space="preserve"> PC and Printer are included </t>
    </r>
    <r>
      <rPr>
        <sz val="11"/>
        <color theme="1"/>
        <rFont val="Symbol"/>
        <family val="1"/>
        <charset val="2"/>
      </rPr>
      <t>·</t>
    </r>
    <r>
      <rPr>
        <sz val="11"/>
        <color theme="1"/>
        <rFont val="Calibri"/>
        <family val="2"/>
      </rPr>
      <t xml:space="preserve"> Microwave Digestion Included </t>
    </r>
    <r>
      <rPr>
        <sz val="11"/>
        <color theme="1"/>
        <rFont val="Symbol"/>
        <family val="1"/>
        <charset val="2"/>
      </rPr>
      <t>·</t>
    </r>
    <r>
      <rPr>
        <sz val="11"/>
        <color theme="1"/>
        <rFont val="Calibri"/>
        <family val="2"/>
      </rPr>
      <t xml:space="preserve"> IQ/OQ included </t>
    </r>
    <r>
      <rPr>
        <sz val="11"/>
        <color theme="1"/>
        <rFont val="Symbol"/>
        <family val="1"/>
        <charset val="2"/>
      </rPr>
      <t>·</t>
    </r>
    <r>
      <rPr>
        <sz val="11"/>
        <color theme="1"/>
        <rFont val="Calibri"/>
        <family val="2"/>
      </rPr>
      <t xml:space="preserve"> Autosampler Included </t>
    </r>
    <r>
      <rPr>
        <sz val="11"/>
        <color theme="1"/>
        <rFont val="Symbol"/>
        <family val="1"/>
        <charset val="2"/>
      </rPr>
      <t>·</t>
    </r>
    <r>
      <rPr>
        <sz val="11"/>
        <color theme="1"/>
        <rFont val="Calibri"/>
        <family val="2"/>
      </rPr>
      <t xml:space="preserve"> Gases supplies are not Included</t>
    </r>
  </si>
  <si>
    <t xml:space="preserve">Agilent Technologies, Agilent Technologies India Pvt. Ltd. Block C, RMZ Centennial, Plot Nos. 8A, 8B, 8C &amp; 8D, Doddanakundi Industrial Area, ITPL Road, Mahadevapura Post, Bangalore- 560048 </t>
  </si>
  <si>
    <t>Agilent ECM – XT Server to connect HPLC/LCMS and ICPMS</t>
  </si>
  <si>
    <t>IQ/OQ included</t>
  </si>
  <si>
    <t>Supply of DAIKIN Make Ductable /Cassette Type/ Split Type</t>
  </si>
  <si>
    <t>Uniaer Engineering Company, Noida</t>
  </si>
  <si>
    <t>Air conditioners and Installation Work</t>
  </si>
  <si>
    <t xml:space="preserve">Mahindra Scorpio Classic S 75 TR </t>
  </si>
  <si>
    <t>Shiva Auto Cat (India) Pvt Ltd, Patparganj Indstrial Area, Delhi-92</t>
  </si>
  <si>
    <t xml:space="preserve">Mahindra Bolero Power Plus 86 </t>
  </si>
  <si>
    <t>ADHARSHILA POWER CORPORATION  G- 200, Sector-63, Noida (U.P)-201307</t>
  </si>
  <si>
    <t>Interior Designs &amp; Drawings</t>
  </si>
  <si>
    <t>ARCHITECTS ATELIER H-123, Delta-2,
Greater Noida.
+91-9811399639</t>
  </si>
  <si>
    <t xml:space="preserve">external civil work, lab set up and beds not included but client is negotiating for scoping in at the same cost, INR 2000/sqft inclusive of GST, hence considered as 6 Cr </t>
  </si>
  <si>
    <t>NA</t>
  </si>
  <si>
    <t>60 subjects and 6 days in house</t>
  </si>
  <si>
    <t>Increase of 50% in 2nd year, 75% in 3rd year and 20% in 4th year has been considered on account of increase in capacity utilisation and bed capacity</t>
  </si>
  <si>
    <t>Revenue per bed</t>
  </si>
  <si>
    <t>BE in FY27</t>
  </si>
  <si>
    <t>Average last 5 years</t>
  </si>
  <si>
    <t>2033-34</t>
  </si>
  <si>
    <t>2034-35</t>
  </si>
  <si>
    <t>DEPRECIATION SCHEDULE AS PER INCOME TAX ACT  (Lakh INR)</t>
  </si>
  <si>
    <t>FY26-FY34</t>
  </si>
  <si>
    <t>Jun-24 to Nov-24</t>
  </si>
  <si>
    <t>Jun-24 to May-26</t>
  </si>
  <si>
    <t>6 Months</t>
  </si>
  <si>
    <t>18 Months</t>
  </si>
  <si>
    <t>8 years</t>
  </si>
  <si>
    <t>FY26-FY35</t>
  </si>
  <si>
    <t xml:space="preserve">Target DSCR </t>
  </si>
  <si>
    <t>1.1x</t>
  </si>
  <si>
    <t xml:space="preserve">Interest on term loan </t>
  </si>
  <si>
    <t>Repayment not to be shown</t>
  </si>
  <si>
    <t>Interest During Moratorium (IDM) after COD</t>
  </si>
  <si>
    <t xml:space="preserve">Capex = depreciation in TY </t>
  </si>
  <si>
    <r>
      <t xml:space="preserve">Salary for 8 months, other misc exp (regulatory approvals etc ~1 Cr , </t>
    </r>
    <r>
      <rPr>
        <sz val="11"/>
        <rFont val="Calibri"/>
        <family val="2"/>
      </rPr>
      <t>lease expenses for 8 months.</t>
    </r>
  </si>
  <si>
    <t>(page 14 - cost-of-generic-drugs-erg)</t>
  </si>
  <si>
    <t>~50 lakhs per bed - Veeda - FY22 (202304060537_Veeda_Clinical_Research_Limited)</t>
  </si>
  <si>
    <t>PBILDT margin of Veeda at consolidated level to sustained at around 22-25% in the medium term (202304060537_Veeda_Clinical_Research_Limited)</t>
  </si>
  <si>
    <t>~7%-8% (page 199 - Veeda DHRP)</t>
  </si>
  <si>
    <t>(page 243 - Veeda DHRP)</t>
  </si>
  <si>
    <t>Schindler 3000 15 passenger capacity lift</t>
  </si>
  <si>
    <t>Scindler India Pvt Ltd, Mumbai</t>
  </si>
  <si>
    <t>Lab items/fixures</t>
  </si>
  <si>
    <t>Art Lab india Pvt Ltd,  407, 4th Floor, Vensai Towers, Hyderabad</t>
  </si>
  <si>
    <t>SCIEX Triple Quad 5500 + and 4500 System</t>
  </si>
  <si>
    <t xml:space="preserve">Upgradeable to QTRAP functionality with PN 5072277 &amp; PN 5049829 respectively </t>
  </si>
  <si>
    <t xml:space="preserve">spectrometer.- Four  Numbers each </t>
  </si>
  <si>
    <t>TQ/QT Software Starter Kit - with SCIEX OS-MQ 3.3- Sixteen  Numbers</t>
  </si>
  <si>
    <t>Other items as per the invoice attached: Rs. 3,54,00,000.00*4*1.18 = Rs. 16,70,88,000.00</t>
  </si>
  <si>
    <t>Entire electrical system &amp; fittings work</t>
  </si>
  <si>
    <t>Supreme Industrial Corporation LLP 1715, Gali Piao, Dariba Delhi-110006</t>
  </si>
  <si>
    <t>Effluent Treatment Plant</t>
  </si>
  <si>
    <t>HYDROFLUX ENGINEETRING PVT LTD, GHITORNI, NEW DELHI</t>
  </si>
  <si>
    <t>Techno-Commercial Offer for MEP &amp; Interior work with GST</t>
  </si>
  <si>
    <t>USD 2,63,740.00 Plus  18% GST = USD 3,11,213.20 converted to INR @ 84.50 = Rs. 2,62,97,515.40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</si>
</sst>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 #,##0.00;[Red]&quot;₹&quot;\ \-#,##0.00"/>
    <numFmt numFmtId="43" formatCode="_ * #,##0.00_ ;_ * \-#,##0.00_ ;_ * &quot;-&quot;??_ ;_ @_ "/>
    <numFmt numFmtId="164" formatCode="_(* #,##0.00_);_(* \(#,##0.00\);_(* &quot;-&quot;??_);_(@_)"/>
    <numFmt numFmtId="165" formatCode="0.0"/>
    <numFmt numFmtId="166" formatCode="&quot;₹&quot;\ #,##0.00"/>
    <numFmt numFmtId="167" formatCode="&quot;₹&quot;\ #,##0"/>
    <numFmt numFmtId="168" formatCode="_(* #,##0_);_(* \(#,##0\);_(* &quot;-&quot;??_);_(@_)"/>
    <numFmt numFmtId="169" formatCode="0.0%"/>
    <numFmt numFmtId="170" formatCode="0.00_);\(0.00\)"/>
    <numFmt numFmtId="171" formatCode="_ * #,##0_ ;_ * \-#,##0_ ;_ * &quot;-&quot;??_ ;_ @_ "/>
    <numFmt numFmtId="172" formatCode="0.000%"/>
    <numFmt numFmtId="173" formatCode="0.0_);\(0.0\)"/>
    <numFmt numFmtId="174" formatCode="#,##0.0"/>
    <numFmt numFmtId="175" formatCode="0;[Red]0"/>
    <numFmt numFmtId="176" formatCode="_ * #,##0.0_ ;_ * \-#,##0.0_ ;_ * &quot;-&quot;??_ ;_ @_ "/>
  </numFmts>
  <fonts count="30"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color theme="1"/>
      <name val="Calibri"/>
      <family val="2"/>
    </font>
    <font>
      <b/>
      <sz val="11"/>
      <color theme="1"/>
      <name val="Calibri"/>
      <family val="2"/>
    </font>
    <font>
      <b/>
      <sz val="11"/>
      <color theme="0"/>
      <name val="Calibri"/>
      <family val="2"/>
    </font>
    <font>
      <b/>
      <sz val="11"/>
      <name val="Calibri"/>
      <family val="2"/>
    </font>
    <font>
      <b/>
      <sz val="11"/>
      <color rgb="FFC00000"/>
      <name val="Calibri"/>
      <family val="2"/>
    </font>
    <font>
      <sz val="11"/>
      <color theme="0"/>
      <name val="Calibri"/>
      <family val="2"/>
    </font>
    <font>
      <sz val="11"/>
      <name val="Calibri"/>
      <family val="2"/>
    </font>
    <font>
      <sz val="11"/>
      <color rgb="FFC00000"/>
      <name val="Calibri"/>
      <family val="2"/>
    </font>
    <font>
      <sz val="11"/>
      <color rgb="FFFF0000"/>
      <name val="Calibri"/>
      <family val="2"/>
    </font>
    <font>
      <b/>
      <sz val="11"/>
      <color indexed="12"/>
      <name val="Calibri"/>
      <family val="2"/>
    </font>
    <font>
      <b/>
      <i/>
      <sz val="11"/>
      <color theme="1"/>
      <name val="Calibri"/>
      <family val="2"/>
    </font>
    <font>
      <sz val="11"/>
      <name val="Calibri"/>
      <family val="2"/>
      <scheme val="minor"/>
    </font>
    <font>
      <i/>
      <sz val="11"/>
      <color theme="1"/>
      <name val="Calibri"/>
      <family val="2"/>
    </font>
    <font>
      <b/>
      <sz val="10"/>
      <color theme="0"/>
      <name val="Calibri"/>
      <family val="2"/>
    </font>
    <font>
      <sz val="10"/>
      <name val="Calibri"/>
      <family val="2"/>
    </font>
    <font>
      <sz val="11"/>
      <color theme="1"/>
      <name val="Times New Roman"/>
      <family val="2"/>
    </font>
    <font>
      <b/>
      <u/>
      <sz val="10"/>
      <name val="Calibri"/>
      <family val="2"/>
    </font>
    <font>
      <i/>
      <sz val="10"/>
      <color rgb="FFFF0000"/>
      <name val="Calibri"/>
      <family val="2"/>
    </font>
    <font>
      <i/>
      <sz val="10"/>
      <name val="Calibri"/>
      <family val="2"/>
    </font>
    <font>
      <b/>
      <sz val="10"/>
      <name val="Calibri"/>
      <family val="2"/>
    </font>
    <font>
      <b/>
      <sz val="11"/>
      <color rgb="FFFFFFFF"/>
      <name val="Calibri"/>
      <family val="2"/>
    </font>
    <font>
      <b/>
      <sz val="11"/>
      <color rgb="FF000000"/>
      <name val="Calibri"/>
      <family val="2"/>
    </font>
    <font>
      <sz val="11"/>
      <color rgb="FF000000"/>
      <name val="Calibri"/>
      <family val="2"/>
    </font>
    <font>
      <sz val="11"/>
      <color theme="1"/>
      <name val="Symbol"/>
      <family val="1"/>
      <charset val="2"/>
    </font>
    <font>
      <b/>
      <sz val="11"/>
      <name val="Calibri"/>
      <family val="2"/>
      <scheme val="minor"/>
    </font>
  </fonts>
  <fills count="19">
    <fill>
      <patternFill patternType="none"/>
    </fill>
    <fill>
      <patternFill patternType="gray125"/>
    </fill>
    <fill>
      <patternFill patternType="solid">
        <fgColor indexed="9"/>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22"/>
        <bgColor indexed="64"/>
      </patternFill>
    </fill>
    <fill>
      <patternFill patternType="solid">
        <fgColor theme="3" tint="0.79998168889431442"/>
        <bgColor indexed="64"/>
      </patternFill>
    </fill>
    <fill>
      <patternFill patternType="solid">
        <fgColor rgb="FF002060"/>
        <bgColor indexed="64"/>
      </patternFill>
    </fill>
    <fill>
      <patternFill patternType="solid">
        <fgColor theme="3"/>
        <bgColor indexed="64"/>
      </patternFill>
    </fill>
    <fill>
      <patternFill patternType="solid">
        <fgColor theme="0"/>
        <bgColor indexed="64"/>
      </patternFill>
    </fill>
    <fill>
      <patternFill patternType="solid">
        <fgColor rgb="FF01274E"/>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8DB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s>
  <cellStyleXfs count="9">
    <xf numFmtId="0" fontId="0"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4" fillId="0" borderId="0"/>
    <xf numFmtId="0" fontId="4" fillId="0" borderId="0"/>
    <xf numFmtId="0" fontId="20" fillId="0" borderId="0"/>
  </cellStyleXfs>
  <cellXfs count="361">
    <xf numFmtId="0" fontId="0" fillId="0" borderId="0" xfId="0"/>
    <xf numFmtId="0" fontId="5"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3" fontId="5" fillId="0" borderId="0" xfId="0" applyNumberFormat="1" applyFont="1" applyAlignment="1">
      <alignment horizontal="center" vertical="center"/>
    </xf>
    <xf numFmtId="0" fontId="5" fillId="0" borderId="0" xfId="0" applyFont="1" applyAlignment="1">
      <alignment horizontal="left" vertical="center"/>
    </xf>
    <xf numFmtId="3" fontId="6" fillId="0" borderId="0" xfId="0" applyNumberFormat="1" applyFont="1" applyAlignment="1">
      <alignment horizontal="center" vertical="center"/>
    </xf>
    <xf numFmtId="0" fontId="5" fillId="0" borderId="0" xfId="0" applyFont="1" applyAlignment="1">
      <alignment vertical="center" wrapText="1"/>
    </xf>
    <xf numFmtId="1" fontId="5" fillId="0" borderId="0" xfId="0" applyNumberFormat="1" applyFont="1" applyAlignment="1">
      <alignment horizontal="center" vertical="center"/>
    </xf>
    <xf numFmtId="0" fontId="5" fillId="0" borderId="0" xfId="0" applyFont="1" applyAlignment="1">
      <alignment horizontal="center" vertical="center" wrapText="1"/>
    </xf>
    <xf numFmtId="9" fontId="5" fillId="0" borderId="0" xfId="0" applyNumberFormat="1" applyFont="1" applyAlignment="1">
      <alignment horizontal="center" vertical="center"/>
    </xf>
    <xf numFmtId="166" fontId="5" fillId="0" borderId="0" xfId="0" applyNumberFormat="1" applyFont="1" applyAlignment="1">
      <alignment horizontal="center" vertical="center"/>
    </xf>
    <xf numFmtId="0" fontId="6" fillId="0" borderId="0" xfId="0" applyFont="1" applyAlignment="1">
      <alignment vertical="center"/>
    </xf>
    <xf numFmtId="167" fontId="5" fillId="0" borderId="0" xfId="0" applyNumberFormat="1" applyFont="1" applyAlignment="1">
      <alignment horizontal="center" vertical="center"/>
    </xf>
    <xf numFmtId="0" fontId="7" fillId="10" borderId="0" xfId="0" applyFont="1" applyFill="1" applyAlignment="1">
      <alignment horizontal="center" wrapText="1"/>
    </xf>
    <xf numFmtId="0" fontId="6" fillId="9" borderId="0" xfId="0" applyFont="1" applyFill="1" applyAlignment="1">
      <alignment horizontal="center" vertical="center"/>
    </xf>
    <xf numFmtId="0" fontId="6" fillId="9" borderId="0" xfId="0" applyFont="1" applyFill="1" applyAlignment="1">
      <alignment horizontal="center" vertical="center" wrapText="1"/>
    </xf>
    <xf numFmtId="0" fontId="5" fillId="9" borderId="0" xfId="0" applyFont="1" applyFill="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3" fontId="6"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167" fontId="6" fillId="9" borderId="2" xfId="0" applyNumberFormat="1" applyFont="1" applyFill="1" applyBorder="1" applyAlignment="1">
      <alignment horizontal="center" vertical="center"/>
    </xf>
    <xf numFmtId="0" fontId="6" fillId="9" borderId="2" xfId="0" applyFont="1" applyFill="1" applyBorder="1" applyAlignment="1">
      <alignment vertical="center"/>
    </xf>
    <xf numFmtId="0" fontId="7" fillId="10" borderId="0" xfId="0" applyFont="1" applyFill="1" applyAlignment="1">
      <alignment horizontal="center" vertical="center"/>
    </xf>
    <xf numFmtId="0" fontId="7" fillId="10" borderId="0" xfId="0" applyFont="1" applyFill="1" applyAlignment="1">
      <alignment horizontal="center" vertical="center" wrapText="1"/>
    </xf>
    <xf numFmtId="0" fontId="5" fillId="0" borderId="0" xfId="0" applyFont="1"/>
    <xf numFmtId="0" fontId="5" fillId="0" borderId="0" xfId="0" applyFont="1" applyAlignment="1">
      <alignment vertical="center"/>
    </xf>
    <xf numFmtId="2" fontId="5" fillId="0" borderId="0" xfId="0" applyNumberFormat="1" applyFont="1" applyAlignment="1">
      <alignment vertical="center"/>
    </xf>
    <xf numFmtId="9" fontId="5" fillId="0" borderId="0" xfId="1" applyFont="1" applyBorder="1" applyAlignment="1">
      <alignment vertical="center"/>
    </xf>
    <xf numFmtId="2" fontId="5" fillId="0" borderId="0" xfId="0" applyNumberFormat="1" applyFont="1" applyAlignment="1">
      <alignment horizontal="center" vertical="center"/>
    </xf>
    <xf numFmtId="0" fontId="5" fillId="0" borderId="0" xfId="0" applyFont="1" applyAlignment="1">
      <alignment wrapText="1"/>
    </xf>
    <xf numFmtId="0" fontId="5" fillId="0" borderId="0" xfId="0" applyFont="1" applyAlignment="1">
      <alignment horizontal="center" wrapText="1"/>
    </xf>
    <xf numFmtId="0" fontId="6" fillId="9" borderId="0" xfId="0" applyFont="1" applyFill="1" applyAlignment="1">
      <alignment vertical="center"/>
    </xf>
    <xf numFmtId="167" fontId="6" fillId="9" borderId="0" xfId="0" applyNumberFormat="1" applyFont="1" applyFill="1" applyAlignment="1">
      <alignment horizontal="center" vertical="center"/>
    </xf>
    <xf numFmtId="166" fontId="5" fillId="9" borderId="0" xfId="0" applyNumberFormat="1" applyFont="1" applyFill="1" applyAlignment="1">
      <alignment horizontal="center" vertical="center"/>
    </xf>
    <xf numFmtId="0" fontId="5" fillId="9" borderId="2" xfId="0" applyFont="1" applyFill="1" applyBorder="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3" fontId="5" fillId="0" borderId="0" xfId="0" applyNumberFormat="1" applyFont="1" applyAlignment="1">
      <alignment horizontal="right" vertical="center"/>
    </xf>
    <xf numFmtId="0" fontId="5" fillId="0" borderId="0" xfId="0" applyFont="1" applyAlignment="1">
      <alignment horizontal="center"/>
    </xf>
    <xf numFmtId="0" fontId="6" fillId="9" borderId="0" xfId="0" applyFont="1" applyFill="1" applyAlignment="1">
      <alignment vertical="center" wrapText="1"/>
    </xf>
    <xf numFmtId="0" fontId="6" fillId="9" borderId="0" xfId="0" applyFont="1" applyFill="1" applyAlignment="1">
      <alignment horizontal="left" vertical="center" wrapText="1"/>
    </xf>
    <xf numFmtId="4" fontId="5" fillId="0" borderId="0" xfId="0" applyNumberFormat="1" applyFont="1" applyAlignment="1">
      <alignment horizontal="center" vertical="center" wrapText="1"/>
    </xf>
    <xf numFmtId="0" fontId="7" fillId="10" borderId="0" xfId="0" applyFont="1" applyFill="1"/>
    <xf numFmtId="0" fontId="10" fillId="10" borderId="0" xfId="0" applyFont="1" applyFill="1" applyAlignment="1">
      <alignment horizontal="center" vertical="center"/>
    </xf>
    <xf numFmtId="0" fontId="6" fillId="0" borderId="2" xfId="0" applyFont="1" applyBorder="1" applyAlignment="1">
      <alignment vertical="center" wrapText="1"/>
    </xf>
    <xf numFmtId="2" fontId="6" fillId="0" borderId="0" xfId="0" applyNumberFormat="1" applyFont="1" applyAlignment="1">
      <alignment horizontal="center" vertical="center"/>
    </xf>
    <xf numFmtId="9" fontId="5" fillId="0" borderId="0" xfId="1" applyFont="1" applyBorder="1"/>
    <xf numFmtId="2" fontId="5" fillId="0" borderId="0" xfId="0" applyNumberFormat="1" applyFont="1"/>
    <xf numFmtId="0" fontId="5" fillId="0" borderId="0" xfId="0" applyFont="1" applyAlignment="1">
      <alignment horizontal="left"/>
    </xf>
    <xf numFmtId="0" fontId="7" fillId="10" borderId="0" xfId="0" applyFont="1" applyFill="1" applyAlignment="1">
      <alignment horizontal="left" vertical="center"/>
    </xf>
    <xf numFmtId="0" fontId="7" fillId="10" borderId="0" xfId="0" applyFont="1" applyFill="1" applyAlignment="1">
      <alignment horizontal="left" vertical="center" wrapText="1"/>
    </xf>
    <xf numFmtId="0" fontId="8" fillId="9" borderId="0" xfId="0" applyFont="1" applyFill="1" applyAlignment="1">
      <alignment horizontal="left" vertical="center" wrapText="1"/>
    </xf>
    <xf numFmtId="0" fontId="8" fillId="9" borderId="0" xfId="0" applyFont="1" applyFill="1" applyAlignment="1">
      <alignment horizontal="center" vertical="center" wrapText="1"/>
    </xf>
    <xf numFmtId="0" fontId="6" fillId="0" borderId="2" xfId="0" applyFont="1" applyBorder="1" applyAlignment="1">
      <alignment horizontal="left" vertical="center"/>
    </xf>
    <xf numFmtId="2" fontId="6" fillId="0" borderId="2" xfId="0" applyNumberFormat="1" applyFont="1" applyBorder="1" applyAlignment="1">
      <alignment vertical="center"/>
    </xf>
    <xf numFmtId="2" fontId="5" fillId="0" borderId="2" xfId="0" applyNumberFormat="1" applyFont="1" applyBorder="1" applyAlignment="1">
      <alignment vertical="center"/>
    </xf>
    <xf numFmtId="0" fontId="7" fillId="10" borderId="2" xfId="0" applyFont="1" applyFill="1" applyBorder="1" applyAlignment="1">
      <alignment horizontal="left" vertical="center"/>
    </xf>
    <xf numFmtId="2" fontId="7" fillId="10" borderId="2" xfId="0" applyNumberFormat="1" applyFont="1" applyFill="1" applyBorder="1" applyAlignment="1">
      <alignment vertical="center"/>
    </xf>
    <xf numFmtId="2" fontId="6" fillId="9" borderId="0" xfId="0" applyNumberFormat="1" applyFont="1" applyFill="1" applyAlignment="1">
      <alignment vertical="center"/>
    </xf>
    <xf numFmtId="0" fontId="6" fillId="9" borderId="0" xfId="0" applyFont="1" applyFill="1" applyAlignment="1">
      <alignment horizontal="left" vertical="center"/>
    </xf>
    <xf numFmtId="2" fontId="13" fillId="0" borderId="0" xfId="0" applyNumberFormat="1" applyFont="1" applyAlignment="1">
      <alignment horizontal="center"/>
    </xf>
    <xf numFmtId="0" fontId="13" fillId="0" borderId="0" xfId="0" applyFont="1" applyAlignment="1">
      <alignment horizontal="left" vertical="center"/>
    </xf>
    <xf numFmtId="2" fontId="13" fillId="0" borderId="0" xfId="0" applyNumberFormat="1" applyFont="1" applyAlignment="1">
      <alignment horizontal="center" vertical="center"/>
    </xf>
    <xf numFmtId="0" fontId="12" fillId="4" borderId="0" xfId="0" applyFont="1" applyFill="1" applyAlignment="1">
      <alignment horizontal="center" vertical="center"/>
    </xf>
    <xf numFmtId="0" fontId="7" fillId="10" borderId="0" xfId="0" applyFont="1" applyFill="1" applyAlignment="1">
      <alignment vertical="center" wrapText="1"/>
    </xf>
    <xf numFmtId="2" fontId="7" fillId="10" borderId="0" xfId="0" applyNumberFormat="1" applyFont="1" applyFill="1" applyAlignment="1">
      <alignment horizontal="center" vertical="center"/>
    </xf>
    <xf numFmtId="0" fontId="6" fillId="0" borderId="2" xfId="0" applyFont="1" applyBorder="1" applyAlignment="1">
      <alignment vertical="center"/>
    </xf>
    <xf numFmtId="2" fontId="6" fillId="9" borderId="2" xfId="0" applyNumberFormat="1" applyFont="1" applyFill="1" applyBorder="1" applyAlignment="1">
      <alignment horizontal="center" vertical="center"/>
    </xf>
    <xf numFmtId="0" fontId="7" fillId="10" borderId="0" xfId="0" applyFont="1" applyFill="1" applyAlignment="1">
      <alignment vertical="center"/>
    </xf>
    <xf numFmtId="9" fontId="8" fillId="2" borderId="0" xfId="1" applyFont="1" applyFill="1" applyBorder="1" applyAlignment="1">
      <alignment horizontal="center" vertical="center"/>
    </xf>
    <xf numFmtId="0" fontId="5" fillId="2" borderId="0" xfId="0" applyFont="1" applyFill="1" applyAlignment="1">
      <alignment vertical="center"/>
    </xf>
    <xf numFmtId="0" fontId="9" fillId="4" borderId="0" xfId="0" applyFont="1" applyFill="1" applyAlignment="1">
      <alignment vertical="center"/>
    </xf>
    <xf numFmtId="0" fontId="6" fillId="5" borderId="0" xfId="0" applyFont="1" applyFill="1" applyAlignment="1">
      <alignment horizontal="center" vertical="center"/>
    </xf>
    <xf numFmtId="0" fontId="8" fillId="8" borderId="0" xfId="0" applyFont="1" applyFill="1" applyAlignment="1">
      <alignment horizontal="left" vertical="center"/>
    </xf>
    <xf numFmtId="0" fontId="8" fillId="2" borderId="0" xfId="0" applyFont="1" applyFill="1" applyAlignment="1">
      <alignment horizontal="center" vertical="center"/>
    </xf>
    <xf numFmtId="9" fontId="5" fillId="2" borderId="0" xfId="0" applyNumberFormat="1" applyFont="1" applyFill="1" applyAlignment="1">
      <alignment horizontal="center" vertical="center"/>
    </xf>
    <xf numFmtId="0" fontId="5" fillId="2" borderId="0" xfId="0" applyFont="1" applyFill="1" applyAlignment="1">
      <alignment horizontal="center" vertical="center"/>
    </xf>
    <xf numFmtId="2" fontId="5" fillId="2" borderId="0" xfId="0" applyNumberFormat="1" applyFont="1" applyFill="1" applyAlignment="1">
      <alignment horizontal="center" vertical="center"/>
    </xf>
    <xf numFmtId="0" fontId="9" fillId="4" borderId="0" xfId="0" applyFont="1" applyFill="1" applyAlignment="1">
      <alignment horizontal="left"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8" fillId="2" borderId="0" xfId="0" applyFont="1" applyFill="1" applyAlignment="1">
      <alignment horizontal="left" vertical="center"/>
    </xf>
    <xf numFmtId="0" fontId="14" fillId="2" borderId="0" xfId="0" applyFont="1" applyFill="1" applyAlignment="1">
      <alignment horizontal="left" vertical="center"/>
    </xf>
    <xf numFmtId="0" fontId="11" fillId="2" borderId="0" xfId="6" applyFont="1" applyFill="1" applyAlignment="1">
      <alignment horizontal="left" vertical="center"/>
    </xf>
    <xf numFmtId="0" fontId="8" fillId="2" borderId="0" xfId="6" applyFont="1" applyFill="1" applyAlignment="1">
      <alignment horizontal="left" vertical="center"/>
    </xf>
    <xf numFmtId="0" fontId="5" fillId="2" borderId="0" xfId="0" applyFont="1" applyFill="1" applyAlignment="1">
      <alignment horizontal="left" vertical="center"/>
    </xf>
    <xf numFmtId="9" fontId="5" fillId="2" borderId="0" xfId="0" applyNumberFormat="1" applyFont="1" applyFill="1" applyAlignment="1">
      <alignment horizontal="left" vertical="center"/>
    </xf>
    <xf numFmtId="0" fontId="14" fillId="2" borderId="0" xfId="0" applyFont="1" applyFill="1" applyAlignment="1">
      <alignment horizontal="center" vertical="center"/>
    </xf>
    <xf numFmtId="9" fontId="8" fillId="2" borderId="0" xfId="0" applyNumberFormat="1" applyFont="1" applyFill="1" applyAlignment="1">
      <alignment horizontal="center" vertical="center"/>
    </xf>
    <xf numFmtId="169" fontId="8" fillId="2" borderId="0" xfId="1" applyNumberFormat="1" applyFont="1" applyFill="1" applyBorder="1" applyAlignment="1">
      <alignment horizontal="center" vertical="center"/>
    </xf>
    <xf numFmtId="168" fontId="8" fillId="2" borderId="0" xfId="5" applyNumberFormat="1" applyFont="1" applyFill="1" applyBorder="1" applyAlignment="1">
      <alignment horizontal="center" vertical="center"/>
    </xf>
    <xf numFmtId="1" fontId="8" fillId="2" borderId="0" xfId="0" applyNumberFormat="1" applyFont="1" applyFill="1" applyAlignment="1">
      <alignment horizontal="center" vertical="center"/>
    </xf>
    <xf numFmtId="2" fontId="8" fillId="2" borderId="0" xfId="0" applyNumberFormat="1" applyFont="1" applyFill="1" applyAlignment="1">
      <alignment horizontal="center" vertical="center"/>
    </xf>
    <xf numFmtId="168" fontId="5" fillId="2" borderId="0" xfId="0" applyNumberFormat="1" applyFont="1" applyFill="1" applyAlignment="1">
      <alignment horizontal="center" vertical="center"/>
    </xf>
    <xf numFmtId="9" fontId="11" fillId="2" borderId="0" xfId="1" applyFont="1" applyFill="1" applyBorder="1" applyAlignment="1">
      <alignment horizontal="center" vertical="center"/>
    </xf>
    <xf numFmtId="10" fontId="5" fillId="2" borderId="0" xfId="0" applyNumberFormat="1" applyFont="1" applyFill="1" applyAlignment="1">
      <alignment horizontal="center" vertical="center"/>
    </xf>
    <xf numFmtId="43" fontId="11" fillId="2" borderId="0" xfId="5" applyFont="1" applyFill="1" applyBorder="1" applyAlignment="1">
      <alignment horizontal="center" vertical="center"/>
    </xf>
    <xf numFmtId="164" fontId="5" fillId="2" borderId="0" xfId="0" applyNumberFormat="1" applyFont="1" applyFill="1" applyAlignment="1">
      <alignment horizontal="center" vertical="center"/>
    </xf>
    <xf numFmtId="0" fontId="8" fillId="9" borderId="2" xfId="0" applyFont="1" applyFill="1" applyBorder="1" applyAlignment="1">
      <alignment horizontal="left" vertical="center"/>
    </xf>
    <xf numFmtId="0" fontId="6" fillId="2" borderId="0" xfId="0" applyFont="1" applyFill="1" applyAlignment="1">
      <alignment vertical="center"/>
    </xf>
    <xf numFmtId="0" fontId="11" fillId="2" borderId="0" xfId="0" applyFont="1" applyFill="1" applyAlignment="1">
      <alignment horizontal="left" vertical="center" wrapText="1"/>
    </xf>
    <xf numFmtId="0" fontId="8" fillId="9" borderId="2" xfId="0" applyFont="1" applyFill="1" applyBorder="1" applyAlignment="1">
      <alignment horizontal="left" vertical="center" wrapText="1"/>
    </xf>
    <xf numFmtId="0" fontId="10" fillId="10" borderId="0" xfId="0" applyFont="1" applyFill="1" applyAlignment="1">
      <alignment horizontal="left" vertical="center"/>
    </xf>
    <xf numFmtId="1" fontId="8" fillId="0" borderId="0" xfId="2" applyNumberFormat="1" applyFont="1" applyAlignment="1">
      <alignment horizontal="left" vertical="center"/>
    </xf>
    <xf numFmtId="1" fontId="11" fillId="0" borderId="0" xfId="2" applyNumberFormat="1" applyFont="1" applyAlignment="1">
      <alignment horizontal="left" vertical="center"/>
    </xf>
    <xf numFmtId="0" fontId="11" fillId="0" borderId="0" xfId="0" applyFont="1" applyAlignment="1">
      <alignment horizontal="center" vertical="center"/>
    </xf>
    <xf numFmtId="1" fontId="8" fillId="0" borderId="0" xfId="2" applyNumberFormat="1" applyFont="1" applyAlignment="1">
      <alignment horizontal="center" vertical="center"/>
    </xf>
    <xf numFmtId="1" fontId="9" fillId="4" borderId="0" xfId="2" applyNumberFormat="1" applyFont="1" applyFill="1" applyAlignment="1">
      <alignment horizontal="left" vertical="center"/>
    </xf>
    <xf numFmtId="1" fontId="8" fillId="9" borderId="2" xfId="2" applyNumberFormat="1" applyFont="1" applyFill="1" applyBorder="1" applyAlignment="1">
      <alignment horizontal="left" vertical="center"/>
    </xf>
    <xf numFmtId="1" fontId="7" fillId="10" borderId="0" xfId="2" applyNumberFormat="1" applyFont="1" applyFill="1" applyAlignment="1">
      <alignment horizontal="left" vertical="center"/>
    </xf>
    <xf numFmtId="17" fontId="6" fillId="0" borderId="0" xfId="0" applyNumberFormat="1" applyFont="1" applyAlignment="1">
      <alignment horizontal="center" vertical="center"/>
    </xf>
    <xf numFmtId="10" fontId="6" fillId="0" borderId="0" xfId="0" applyNumberFormat="1" applyFont="1" applyAlignment="1">
      <alignment horizontal="center" vertical="center"/>
    </xf>
    <xf numFmtId="0" fontId="7" fillId="3" borderId="0" xfId="0" applyFont="1" applyFill="1" applyAlignment="1">
      <alignment vertical="center"/>
    </xf>
    <xf numFmtId="1" fontId="7" fillId="10" borderId="0" xfId="0" applyNumberFormat="1" applyFont="1" applyFill="1" applyAlignment="1">
      <alignment horizontal="center" vertical="center"/>
    </xf>
    <xf numFmtId="9" fontId="5" fillId="0" borderId="0" xfId="0" applyNumberFormat="1" applyFont="1" applyAlignment="1">
      <alignment vertical="center"/>
    </xf>
    <xf numFmtId="2" fontId="5" fillId="7" borderId="0" xfId="0" applyNumberFormat="1" applyFont="1" applyFill="1" applyAlignment="1">
      <alignment horizontal="center" vertical="center"/>
    </xf>
    <xf numFmtId="10" fontId="7" fillId="10" borderId="0" xfId="3" applyNumberFormat="1" applyFont="1" applyFill="1" applyBorder="1" applyAlignment="1">
      <alignment horizontal="center" vertical="center"/>
    </xf>
    <xf numFmtId="9" fontId="5" fillId="0" borderId="0" xfId="1" applyFont="1" applyBorder="1" applyAlignment="1">
      <alignment horizontal="center" vertical="center"/>
    </xf>
    <xf numFmtId="165" fontId="5" fillId="0" borderId="0" xfId="0" applyNumberFormat="1" applyFont="1" applyAlignment="1">
      <alignment horizontal="center" vertical="center"/>
    </xf>
    <xf numFmtId="0" fontId="9" fillId="4" borderId="0" xfId="0" applyFont="1" applyFill="1" applyAlignment="1">
      <alignment horizontal="center" vertical="center"/>
    </xf>
    <xf numFmtId="0" fontId="15" fillId="0" borderId="0" xfId="0" applyFont="1" applyAlignment="1">
      <alignment horizontal="left" vertical="center"/>
    </xf>
    <xf numFmtId="9" fontId="15" fillId="0" borderId="0" xfId="1" applyFont="1" applyBorder="1" applyAlignment="1">
      <alignment horizontal="center" vertical="center"/>
    </xf>
    <xf numFmtId="2" fontId="15" fillId="0" borderId="0" xfId="0" applyNumberFormat="1" applyFont="1" applyAlignment="1">
      <alignment horizontal="center" vertical="center"/>
    </xf>
    <xf numFmtId="165" fontId="15" fillId="0" borderId="0" xfId="0" applyNumberFormat="1" applyFont="1" applyAlignment="1">
      <alignment horizontal="center" vertical="center"/>
    </xf>
    <xf numFmtId="2" fontId="5" fillId="9" borderId="0" xfId="0" applyNumberFormat="1" applyFont="1" applyFill="1" applyAlignment="1">
      <alignment horizontal="center" vertical="center"/>
    </xf>
    <xf numFmtId="0" fontId="8" fillId="0" borderId="4" xfId="0" applyFont="1" applyBorder="1" applyAlignment="1">
      <alignment horizontal="left" vertical="center" wrapText="1"/>
    </xf>
    <xf numFmtId="2" fontId="6" fillId="0" borderId="4" xfId="0" applyNumberFormat="1" applyFont="1" applyBorder="1" applyAlignment="1">
      <alignment horizontal="center" vertical="center"/>
    </xf>
    <xf numFmtId="0" fontId="8" fillId="0" borderId="3" xfId="0" applyFont="1" applyBorder="1" applyAlignment="1">
      <alignment horizontal="left" vertical="center"/>
    </xf>
    <xf numFmtId="9" fontId="6" fillId="0" borderId="3" xfId="1" applyFont="1" applyBorder="1" applyAlignment="1">
      <alignment horizontal="center" vertical="center"/>
    </xf>
    <xf numFmtId="10" fontId="5" fillId="0" borderId="0" xfId="1" applyNumberFormat="1" applyFont="1" applyFill="1" applyBorder="1" applyAlignment="1">
      <alignment horizontal="center" vertical="center"/>
    </xf>
    <xf numFmtId="10" fontId="5" fillId="0" borderId="0" xfId="3" applyNumberFormat="1" applyFont="1" applyFill="1" applyBorder="1" applyAlignment="1">
      <alignment horizontal="center" vertical="center"/>
    </xf>
    <xf numFmtId="1" fontId="6" fillId="9" borderId="2" xfId="0" applyNumberFormat="1" applyFont="1" applyFill="1" applyBorder="1" applyAlignment="1">
      <alignment horizontal="center" vertical="center"/>
    </xf>
    <xf numFmtId="0" fontId="5" fillId="9" borderId="2" xfId="0" applyFont="1" applyFill="1" applyBorder="1" applyAlignment="1">
      <alignment horizontal="center" vertical="center"/>
    </xf>
    <xf numFmtId="0" fontId="6" fillId="0" borderId="0" xfId="0" applyFont="1"/>
    <xf numFmtId="1" fontId="11" fillId="0" borderId="0" xfId="2" applyNumberFormat="1" applyFont="1" applyAlignment="1">
      <alignment horizontal="left" vertical="center" wrapText="1"/>
    </xf>
    <xf numFmtId="0" fontId="8" fillId="2" borderId="0" xfId="0" applyFont="1" applyFill="1" applyAlignment="1">
      <alignment vertical="center"/>
    </xf>
    <xf numFmtId="0" fontId="16" fillId="0" borderId="0" xfId="0" applyFont="1"/>
    <xf numFmtId="0" fontId="11" fillId="0" borderId="0" xfId="0" applyFont="1" applyAlignment="1">
      <alignment vertical="center"/>
    </xf>
    <xf numFmtId="43" fontId="5" fillId="0" borderId="0" xfId="5" applyFont="1" applyFill="1" applyBorder="1" applyAlignment="1">
      <alignment horizontal="center"/>
    </xf>
    <xf numFmtId="10" fontId="5" fillId="2" borderId="0" xfId="1" applyNumberFormat="1" applyFont="1" applyFill="1" applyBorder="1" applyAlignment="1">
      <alignment vertical="center"/>
    </xf>
    <xf numFmtId="10" fontId="11" fillId="0" borderId="0" xfId="0" applyNumberFormat="1" applyFont="1"/>
    <xf numFmtId="170" fontId="11" fillId="2" borderId="0" xfId="0" applyNumberFormat="1" applyFont="1" applyFill="1" applyAlignment="1">
      <alignment horizontal="center" vertical="center"/>
    </xf>
    <xf numFmtId="0" fontId="11" fillId="0" borderId="0" xfId="0" applyFont="1"/>
    <xf numFmtId="2" fontId="11" fillId="0" borderId="0" xfId="0" applyNumberFormat="1" applyFont="1" applyAlignment="1">
      <alignment vertical="center"/>
    </xf>
    <xf numFmtId="0" fontId="6" fillId="0" borderId="2" xfId="0" applyFont="1" applyBorder="1" applyAlignment="1">
      <alignment horizontal="left"/>
    </xf>
    <xf numFmtId="43" fontId="6" fillId="0" borderId="2" xfId="5" applyFont="1" applyFill="1" applyBorder="1" applyAlignment="1"/>
    <xf numFmtId="43" fontId="6" fillId="0" borderId="2" xfId="5" applyFont="1" applyFill="1" applyBorder="1" applyAlignment="1">
      <alignment horizontal="center"/>
    </xf>
    <xf numFmtId="0" fontId="6" fillId="0" borderId="0" xfId="0" applyFont="1" applyAlignment="1">
      <alignment horizontal="left"/>
    </xf>
    <xf numFmtId="0" fontId="17" fillId="0" borderId="0" xfId="0" applyFont="1"/>
    <xf numFmtId="3" fontId="5" fillId="0" borderId="0" xfId="0" applyNumberFormat="1" applyFont="1" applyAlignment="1">
      <alignment vertical="center"/>
    </xf>
    <xf numFmtId="9" fontId="7" fillId="11" borderId="0" xfId="0" applyNumberFormat="1" applyFont="1" applyFill="1" applyAlignment="1">
      <alignment vertical="center"/>
    </xf>
    <xf numFmtId="10" fontId="5" fillId="0" borderId="0" xfId="1" applyNumberFormat="1" applyFont="1" applyBorder="1" applyAlignment="1">
      <alignment horizontal="center" vertical="center"/>
    </xf>
    <xf numFmtId="170" fontId="5" fillId="2" borderId="0" xfId="0" applyNumberFormat="1" applyFont="1" applyFill="1" applyAlignment="1">
      <alignment horizontal="center" vertical="center"/>
    </xf>
    <xf numFmtId="165" fontId="5" fillId="7" borderId="0" xfId="0" applyNumberFormat="1" applyFont="1" applyFill="1" applyAlignment="1">
      <alignment horizontal="center" vertical="center"/>
    </xf>
    <xf numFmtId="8" fontId="5" fillId="2" borderId="0" xfId="0" applyNumberFormat="1" applyFont="1" applyFill="1" applyAlignment="1">
      <alignment horizontal="center" vertical="center"/>
    </xf>
    <xf numFmtId="43" fontId="5" fillId="2" borderId="0" xfId="5" applyFont="1" applyFill="1" applyAlignment="1">
      <alignment horizontal="center" vertical="center"/>
    </xf>
    <xf numFmtId="10" fontId="5" fillId="2" borderId="0" xfId="1" applyNumberFormat="1" applyFont="1" applyFill="1" applyAlignment="1">
      <alignment horizontal="center" vertical="center"/>
    </xf>
    <xf numFmtId="43" fontId="18" fillId="13" borderId="0" xfId="7" applyNumberFormat="1" applyFont="1" applyFill="1" applyAlignment="1">
      <alignment horizontal="center" vertical="center"/>
    </xf>
    <xf numFmtId="43" fontId="18" fillId="14" borderId="0" xfId="7" applyNumberFormat="1" applyFont="1" applyFill="1" applyAlignment="1">
      <alignment horizontal="center" vertical="center"/>
    </xf>
    <xf numFmtId="43" fontId="18" fillId="13" borderId="0" xfId="5" applyFont="1" applyFill="1" applyAlignment="1">
      <alignment horizontal="center" vertical="center"/>
    </xf>
    <xf numFmtId="0" fontId="19" fillId="0" borderId="0" xfId="7" applyFont="1" applyAlignment="1">
      <alignment horizontal="left" vertical="center"/>
    </xf>
    <xf numFmtId="0" fontId="19" fillId="0" borderId="0" xfId="7" applyFont="1" applyAlignment="1">
      <alignment vertical="center"/>
    </xf>
    <xf numFmtId="0" fontId="19" fillId="0" borderId="0" xfId="7" applyFont="1" applyAlignment="1">
      <alignment horizontal="center" vertical="center"/>
    </xf>
    <xf numFmtId="43" fontId="19" fillId="0" borderId="0" xfId="5" applyFont="1" applyAlignment="1">
      <alignment horizontal="right" vertical="center"/>
    </xf>
    <xf numFmtId="2" fontId="19" fillId="0" borderId="0" xfId="7" applyNumberFormat="1" applyFont="1" applyAlignment="1">
      <alignment horizontal="right" vertical="center"/>
    </xf>
    <xf numFmtId="10" fontId="19" fillId="12" borderId="0" xfId="3" applyNumberFormat="1" applyFont="1" applyFill="1" applyAlignment="1">
      <alignment horizontal="right" vertical="center"/>
    </xf>
    <xf numFmtId="10" fontId="19" fillId="0" borderId="0" xfId="7" applyNumberFormat="1" applyFont="1" applyAlignment="1">
      <alignment horizontal="right" vertical="center"/>
    </xf>
    <xf numFmtId="0" fontId="21" fillId="0" borderId="0" xfId="7" applyFont="1" applyAlignment="1">
      <alignment vertical="center"/>
    </xf>
    <xf numFmtId="172" fontId="22" fillId="0" borderId="0" xfId="7" applyNumberFormat="1" applyFont="1" applyAlignment="1">
      <alignment horizontal="left" vertical="center"/>
    </xf>
    <xf numFmtId="10" fontId="19" fillId="6" borderId="0" xfId="7" applyNumberFormat="1" applyFont="1" applyFill="1" applyAlignment="1">
      <alignment horizontal="right" vertical="center"/>
    </xf>
    <xf numFmtId="10" fontId="22" fillId="0" borderId="0" xfId="7" applyNumberFormat="1" applyFont="1" applyAlignment="1">
      <alignment horizontal="left" vertical="center"/>
    </xf>
    <xf numFmtId="43" fontId="19" fillId="0" borderId="0" xfId="7" applyNumberFormat="1" applyFont="1" applyAlignment="1">
      <alignment horizontal="right" vertical="center"/>
    </xf>
    <xf numFmtId="43" fontId="23" fillId="0" borderId="0" xfId="5" applyFont="1" applyAlignment="1">
      <alignment horizontal="right" vertical="center"/>
    </xf>
    <xf numFmtId="3" fontId="19" fillId="0" borderId="0" xfId="7" applyNumberFormat="1" applyFont="1" applyAlignment="1">
      <alignment horizontal="right" vertical="center"/>
    </xf>
    <xf numFmtId="10" fontId="19" fillId="15" borderId="0" xfId="7" applyNumberFormat="1" applyFont="1" applyFill="1" applyAlignment="1">
      <alignment horizontal="right" vertical="center"/>
    </xf>
    <xf numFmtId="39" fontId="24" fillId="16" borderId="0" xfId="7" applyNumberFormat="1" applyFont="1" applyFill="1"/>
    <xf numFmtId="10" fontId="24" fillId="16" borderId="0" xfId="7" applyNumberFormat="1" applyFont="1" applyFill="1"/>
    <xf numFmtId="9" fontId="23" fillId="0" borderId="0" xfId="3" applyFont="1" applyAlignment="1">
      <alignment horizontal="right" vertical="center"/>
    </xf>
    <xf numFmtId="0" fontId="24" fillId="0" borderId="0" xfId="7" applyFont="1" applyAlignment="1">
      <alignment horizontal="center" vertical="center"/>
    </xf>
    <xf numFmtId="10" fontId="24" fillId="0" borderId="0" xfId="7" applyNumberFormat="1" applyFont="1" applyAlignment="1">
      <alignment horizontal="right" vertical="center"/>
    </xf>
    <xf numFmtId="3" fontId="23" fillId="0" borderId="0" xfId="7" applyNumberFormat="1" applyFont="1" applyAlignment="1">
      <alignment horizontal="right" vertical="center"/>
    </xf>
    <xf numFmtId="10" fontId="19" fillId="17" borderId="0" xfId="7" applyNumberFormat="1" applyFont="1" applyFill="1" applyAlignment="1">
      <alignment horizontal="right" vertical="center"/>
    </xf>
    <xf numFmtId="9" fontId="22" fillId="0" borderId="0" xfId="3" applyFont="1" applyAlignment="1">
      <alignment horizontal="left" vertical="center"/>
    </xf>
    <xf numFmtId="4" fontId="19" fillId="0" borderId="0" xfId="7" applyNumberFormat="1" applyFont="1" applyAlignment="1">
      <alignment horizontal="right" vertical="center"/>
    </xf>
    <xf numFmtId="10" fontId="23" fillId="0" borderId="0" xfId="3" applyNumberFormat="1" applyFont="1" applyAlignment="1">
      <alignment horizontal="right" vertical="center"/>
    </xf>
    <xf numFmtId="0" fontId="19" fillId="0" borderId="0" xfId="8" applyFont="1" applyAlignment="1">
      <alignment horizontal="left" vertical="center"/>
    </xf>
    <xf numFmtId="165" fontId="6" fillId="0" borderId="2" xfId="0" applyNumberFormat="1" applyFont="1" applyBorder="1" applyAlignment="1">
      <alignment horizontal="center" vertical="center"/>
    </xf>
    <xf numFmtId="165" fontId="5" fillId="0" borderId="0" xfId="0" applyNumberFormat="1" applyFont="1" applyAlignment="1">
      <alignment vertical="center"/>
    </xf>
    <xf numFmtId="165" fontId="5" fillId="0" borderId="2" xfId="0" applyNumberFormat="1" applyFont="1" applyBorder="1" applyAlignment="1">
      <alignment horizontal="center" vertical="center"/>
    </xf>
    <xf numFmtId="165" fontId="5" fillId="12" borderId="0" xfId="0" applyNumberFormat="1" applyFont="1" applyFill="1" applyAlignment="1">
      <alignment horizontal="center" vertical="center"/>
    </xf>
    <xf numFmtId="165" fontId="7" fillId="10" borderId="2" xfId="0" applyNumberFormat="1" applyFont="1" applyFill="1" applyBorder="1" applyAlignment="1">
      <alignment horizontal="center" vertical="center"/>
    </xf>
    <xf numFmtId="165" fontId="6" fillId="9" borderId="0" xfId="0" applyNumberFormat="1" applyFont="1" applyFill="1" applyAlignment="1">
      <alignment horizontal="center" vertical="center"/>
    </xf>
    <xf numFmtId="169" fontId="17" fillId="0" borderId="0" xfId="1" applyNumberFormat="1" applyFont="1" applyBorder="1"/>
    <xf numFmtId="165" fontId="7" fillId="10" borderId="0" xfId="0" applyNumberFormat="1" applyFont="1" applyFill="1" applyAlignment="1">
      <alignment horizontal="center" vertical="center"/>
    </xf>
    <xf numFmtId="165" fontId="6" fillId="0" borderId="0" xfId="0" applyNumberFormat="1" applyFont="1" applyAlignment="1">
      <alignment horizontal="center" vertical="center"/>
    </xf>
    <xf numFmtId="165" fontId="6" fillId="9" borderId="2" xfId="0" applyNumberFormat="1" applyFont="1" applyFill="1" applyBorder="1" applyAlignment="1">
      <alignment horizontal="center" vertical="center"/>
    </xf>
    <xf numFmtId="165" fontId="5" fillId="0" borderId="0" xfId="0" applyNumberFormat="1" applyFont="1" applyAlignment="1">
      <alignment horizontal="center" vertical="center" wrapText="1"/>
    </xf>
    <xf numFmtId="165" fontId="6" fillId="9" borderId="2" xfId="0" applyNumberFormat="1" applyFont="1" applyFill="1" applyBorder="1" applyAlignment="1">
      <alignment horizontal="center" vertical="center" wrapText="1"/>
    </xf>
    <xf numFmtId="165" fontId="8" fillId="0" borderId="0" xfId="2" applyNumberFormat="1" applyFont="1" applyAlignment="1">
      <alignment horizontal="center" vertical="center" wrapText="1"/>
    </xf>
    <xf numFmtId="173" fontId="11" fillId="2" borderId="0" xfId="0" applyNumberFormat="1" applyFont="1" applyFill="1" applyAlignment="1">
      <alignment horizontal="center" vertical="center"/>
    </xf>
    <xf numFmtId="165" fontId="8" fillId="9" borderId="2" xfId="0" applyNumberFormat="1" applyFont="1" applyFill="1" applyBorder="1" applyAlignment="1">
      <alignment horizontal="center" vertical="center"/>
    </xf>
    <xf numFmtId="165" fontId="11" fillId="2" borderId="0" xfId="0" applyNumberFormat="1" applyFont="1" applyFill="1" applyAlignment="1">
      <alignment horizontal="center" vertical="center"/>
    </xf>
    <xf numFmtId="165" fontId="8" fillId="9" borderId="2" xfId="0" applyNumberFormat="1" applyFont="1" applyFill="1" applyBorder="1" applyAlignment="1">
      <alignment horizontal="left" vertical="center"/>
    </xf>
    <xf numFmtId="169" fontId="8" fillId="9" borderId="2" xfId="1" applyNumberFormat="1" applyFont="1" applyFill="1" applyBorder="1" applyAlignment="1">
      <alignment horizontal="center" vertical="center"/>
    </xf>
    <xf numFmtId="169" fontId="14" fillId="9" borderId="2" xfId="0" applyNumberFormat="1" applyFont="1" applyFill="1" applyBorder="1" applyAlignment="1">
      <alignment horizontal="center" vertical="center"/>
    </xf>
    <xf numFmtId="174" fontId="5" fillId="0" borderId="0" xfId="0" applyNumberFormat="1" applyFont="1" applyAlignment="1">
      <alignment horizontal="center" vertical="center"/>
    </xf>
    <xf numFmtId="174" fontId="7" fillId="10" borderId="0" xfId="0" applyNumberFormat="1" applyFont="1" applyFill="1" applyAlignment="1">
      <alignment horizontal="center" vertical="center"/>
    </xf>
    <xf numFmtId="0" fontId="8" fillId="6" borderId="0" xfId="0" applyFont="1" applyFill="1" applyAlignment="1">
      <alignment horizontal="left" vertical="center"/>
    </xf>
    <xf numFmtId="10" fontId="8" fillId="6" borderId="0" xfId="3" applyNumberFormat="1" applyFont="1" applyFill="1" applyBorder="1" applyAlignment="1">
      <alignment horizontal="center" vertical="center"/>
    </xf>
    <xf numFmtId="0" fontId="8" fillId="6" borderId="0" xfId="0" applyFont="1" applyFill="1" applyAlignment="1">
      <alignment horizontal="center" vertical="center"/>
    </xf>
    <xf numFmtId="175" fontId="6" fillId="6" borderId="0" xfId="0" applyNumberFormat="1" applyFont="1" applyFill="1" applyAlignment="1">
      <alignment horizontal="left" vertical="center"/>
    </xf>
    <xf numFmtId="2" fontId="5" fillId="6" borderId="0" xfId="0" applyNumberFormat="1" applyFont="1" applyFill="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9" fontId="13" fillId="0" borderId="0" xfId="0" applyNumberFormat="1" applyFont="1" applyAlignment="1">
      <alignment horizontal="center" vertical="center"/>
    </xf>
    <xf numFmtId="175" fontId="5" fillId="6" borderId="0" xfId="0" applyNumberFormat="1" applyFont="1" applyFill="1" applyAlignment="1">
      <alignment horizontal="left" vertical="center"/>
    </xf>
    <xf numFmtId="175" fontId="5" fillId="7" borderId="0" xfId="0" applyNumberFormat="1" applyFont="1" applyFill="1" applyAlignment="1">
      <alignment horizontal="left" vertical="center"/>
    </xf>
    <xf numFmtId="0" fontId="13" fillId="7" borderId="0" xfId="0" applyFont="1" applyFill="1" applyAlignment="1">
      <alignment vertical="center"/>
    </xf>
    <xf numFmtId="2" fontId="5" fillId="6" borderId="0" xfId="0" applyNumberFormat="1" applyFont="1" applyFill="1" applyAlignment="1">
      <alignment vertical="center"/>
    </xf>
    <xf numFmtId="0" fontId="13" fillId="12" borderId="0" xfId="0" applyFont="1" applyFill="1" applyAlignment="1">
      <alignment vertical="center"/>
    </xf>
    <xf numFmtId="9" fontId="13" fillId="12" borderId="0" xfId="0" applyNumberFormat="1" applyFont="1" applyFill="1" applyAlignment="1">
      <alignment horizontal="center" vertical="center"/>
    </xf>
    <xf numFmtId="0" fontId="5" fillId="12" borderId="0" xfId="0" applyFont="1" applyFill="1" applyAlignment="1">
      <alignment vertical="center"/>
    </xf>
    <xf numFmtId="10" fontId="13" fillId="0" borderId="0" xfId="0" applyNumberFormat="1" applyFont="1" applyAlignment="1">
      <alignment horizontal="center" vertical="center"/>
    </xf>
    <xf numFmtId="0" fontId="5" fillId="0" borderId="0" xfId="0" quotePrefix="1" applyFont="1" applyAlignment="1">
      <alignment vertical="center" wrapText="1"/>
    </xf>
    <xf numFmtId="0" fontId="5" fillId="0" borderId="0" xfId="0" quotePrefix="1" applyFont="1" applyAlignment="1">
      <alignment vertical="center"/>
    </xf>
    <xf numFmtId="0" fontId="5" fillId="0" borderId="0" xfId="0" quotePrefix="1" applyFont="1" applyAlignment="1">
      <alignment horizontal="left" vertical="center" wrapText="1" indent="2"/>
    </xf>
    <xf numFmtId="0" fontId="5" fillId="0" borderId="3" xfId="0" quotePrefix="1" applyFont="1" applyBorder="1" applyAlignment="1">
      <alignment horizontal="left" vertical="center" wrapText="1" indent="2"/>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3" fontId="5" fillId="0" borderId="3" xfId="0" applyNumberFormat="1" applyFont="1" applyBorder="1" applyAlignment="1">
      <alignment horizontal="center" vertical="center"/>
    </xf>
    <xf numFmtId="0" fontId="6" fillId="0" borderId="2" xfId="0" quotePrefix="1" applyFont="1" applyBorder="1" applyAlignment="1">
      <alignment vertical="center" wrapText="1"/>
    </xf>
    <xf numFmtId="4" fontId="5" fillId="0" borderId="2" xfId="0" applyNumberFormat="1" applyFont="1" applyBorder="1" applyAlignment="1">
      <alignment horizontal="center" vertical="center" wrapText="1"/>
    </xf>
    <xf numFmtId="0" fontId="5" fillId="7" borderId="0" xfId="0" applyFont="1" applyFill="1" applyAlignment="1">
      <alignment horizontal="center" vertical="center"/>
    </xf>
    <xf numFmtId="0" fontId="6" fillId="0" borderId="3" xfId="0" quotePrefix="1" applyFont="1" applyBorder="1" applyAlignment="1">
      <alignment vertical="center" wrapText="1"/>
    </xf>
    <xf numFmtId="3" fontId="6" fillId="0" borderId="3" xfId="0" applyNumberFormat="1" applyFont="1" applyBorder="1" applyAlignment="1">
      <alignment horizontal="center" vertical="center"/>
    </xf>
    <xf numFmtId="0" fontId="5" fillId="0" borderId="3" xfId="0" quotePrefix="1" applyFont="1" applyBorder="1" applyAlignment="1">
      <alignment vertical="center" wrapText="1"/>
    </xf>
    <xf numFmtId="9" fontId="5" fillId="0" borderId="0" xfId="1" applyFont="1"/>
    <xf numFmtId="0" fontId="9" fillId="12" borderId="0" xfId="0" applyFont="1" applyFill="1" applyAlignment="1">
      <alignment vertical="center"/>
    </xf>
    <xf numFmtId="165" fontId="11" fillId="7" borderId="0" xfId="0" applyNumberFormat="1" applyFont="1" applyFill="1" applyAlignment="1">
      <alignment horizontal="center" vertical="center"/>
    </xf>
    <xf numFmtId="174" fontId="5" fillId="7" borderId="0" xfId="0" applyNumberFormat="1" applyFont="1" applyFill="1" applyAlignment="1">
      <alignment horizontal="center" vertical="center"/>
    </xf>
    <xf numFmtId="0" fontId="5" fillId="7" borderId="0" xfId="0" applyFont="1" applyFill="1" applyAlignment="1">
      <alignment vertical="center"/>
    </xf>
    <xf numFmtId="0" fontId="5" fillId="7" borderId="0" xfId="0" applyFont="1" applyFill="1" applyAlignment="1">
      <alignment horizontal="left" vertical="center"/>
    </xf>
    <xf numFmtId="2" fontId="5" fillId="7" borderId="0" xfId="0" applyNumberFormat="1" applyFont="1" applyFill="1" applyAlignment="1">
      <alignment vertical="center"/>
    </xf>
    <xf numFmtId="174" fontId="5" fillId="12" borderId="0" xfId="0" applyNumberFormat="1" applyFont="1" applyFill="1" applyAlignment="1">
      <alignment horizontal="center" vertical="center"/>
    </xf>
    <xf numFmtId="165" fontId="8" fillId="7" borderId="0" xfId="2" applyNumberFormat="1" applyFont="1" applyFill="1" applyAlignment="1">
      <alignment horizontal="center" vertical="center"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1" fillId="0" borderId="8" xfId="0" applyFont="1" applyBorder="1" applyAlignment="1">
      <alignment horizontal="justify" vertical="center" wrapText="1"/>
    </xf>
    <xf numFmtId="4" fontId="1" fillId="0" borderId="8" xfId="0" applyNumberFormat="1" applyFont="1" applyBorder="1" applyAlignment="1">
      <alignment horizontal="justify" vertical="center" wrapText="1"/>
    </xf>
    <xf numFmtId="4" fontId="2" fillId="0" borderId="8" xfId="0" applyNumberFormat="1" applyFont="1" applyBorder="1" applyAlignment="1">
      <alignment horizontal="justify" vertical="center" wrapText="1"/>
    </xf>
    <xf numFmtId="0" fontId="5" fillId="7" borderId="0" xfId="0" applyFont="1" applyFill="1"/>
    <xf numFmtId="9" fontId="5" fillId="7" borderId="0" xfId="0" applyNumberFormat="1" applyFont="1" applyFill="1" applyAlignment="1">
      <alignment vertical="center"/>
    </xf>
    <xf numFmtId="176" fontId="5" fillId="0" borderId="0" xfId="5" applyNumberFormat="1" applyFont="1"/>
    <xf numFmtId="176" fontId="5" fillId="7" borderId="0" xfId="5" applyNumberFormat="1" applyFont="1" applyFill="1"/>
    <xf numFmtId="171" fontId="5" fillId="0" borderId="0" xfId="5" applyNumberFormat="1" applyFont="1"/>
    <xf numFmtId="171" fontId="5" fillId="12" borderId="0" xfId="5" applyNumberFormat="1" applyFont="1" applyFill="1"/>
    <xf numFmtId="171" fontId="5" fillId="7" borderId="0" xfId="5" applyNumberFormat="1" applyFont="1" applyFill="1"/>
    <xf numFmtId="9" fontId="5" fillId="0" borderId="0" xfId="0" applyNumberFormat="1" applyFont="1" applyAlignment="1">
      <alignment horizontal="left" vertical="center"/>
    </xf>
    <xf numFmtId="0" fontId="5" fillId="12" borderId="0" xfId="0" applyFont="1" applyFill="1" applyAlignment="1">
      <alignment horizontal="center" vertical="center" wrapText="1"/>
    </xf>
    <xf numFmtId="9" fontId="5" fillId="12" borderId="0" xfId="1" applyFont="1" applyFill="1" applyAlignment="1">
      <alignment horizontal="center" vertical="center" wrapText="1"/>
    </xf>
    <xf numFmtId="3" fontId="5" fillId="12" borderId="0" xfId="0" applyNumberFormat="1" applyFont="1" applyFill="1" applyAlignment="1">
      <alignment horizontal="center" vertical="center"/>
    </xf>
    <xf numFmtId="0" fontId="5" fillId="12" borderId="0" xfId="0" applyFont="1" applyFill="1" applyAlignment="1">
      <alignment horizontal="left" vertical="center"/>
    </xf>
    <xf numFmtId="2" fontId="5" fillId="12" borderId="0" xfId="0" applyNumberFormat="1" applyFont="1" applyFill="1" applyAlignment="1">
      <alignment vertical="center"/>
    </xf>
    <xf numFmtId="0" fontId="5" fillId="12" borderId="0" xfId="0" applyFont="1" applyFill="1" applyAlignment="1">
      <alignment horizontal="left" vertical="center" wrapText="1"/>
    </xf>
    <xf numFmtId="171" fontId="5" fillId="0" borderId="0" xfId="0" applyNumberFormat="1" applyFont="1"/>
    <xf numFmtId="173" fontId="11" fillId="7" borderId="0" xfId="0" applyNumberFormat="1" applyFont="1" applyFill="1" applyAlignment="1">
      <alignment horizontal="center" vertical="center"/>
    </xf>
    <xf numFmtId="167" fontId="5" fillId="12" borderId="0" xfId="0" applyNumberFormat="1" applyFont="1" applyFill="1" applyAlignment="1">
      <alignment horizontal="center" vertical="center"/>
    </xf>
    <xf numFmtId="0" fontId="5" fillId="12" borderId="0" xfId="0" applyFont="1" applyFill="1" applyAlignment="1">
      <alignment horizontal="center" vertical="center"/>
    </xf>
    <xf numFmtId="171" fontId="5" fillId="12" borderId="0" xfId="5" applyNumberFormat="1" applyFont="1" applyFill="1" applyAlignment="1">
      <alignment horizontal="center" vertical="center" wrapText="1"/>
    </xf>
    <xf numFmtId="169" fontId="5" fillId="0" borderId="0" xfId="0" applyNumberFormat="1" applyFont="1"/>
    <xf numFmtId="0" fontId="19" fillId="12" borderId="0" xfId="7" applyFont="1" applyFill="1" applyAlignment="1">
      <alignment vertical="center"/>
    </xf>
    <xf numFmtId="0" fontId="19" fillId="12" borderId="0" xfId="7" applyFont="1" applyFill="1" applyAlignment="1">
      <alignment vertical="center" wrapText="1"/>
    </xf>
    <xf numFmtId="0" fontId="21" fillId="12" borderId="0" xfId="7" applyFont="1" applyFill="1" applyAlignment="1">
      <alignment vertical="center"/>
    </xf>
    <xf numFmtId="165" fontId="8" fillId="9" borderId="4" xfId="0" applyNumberFormat="1" applyFont="1" applyFill="1" applyBorder="1" applyAlignment="1">
      <alignment horizontal="left" vertical="center"/>
    </xf>
    <xf numFmtId="165" fontId="5" fillId="2" borderId="0" xfId="0" applyNumberFormat="1" applyFont="1" applyFill="1" applyAlignment="1">
      <alignment horizontal="center" vertical="center"/>
    </xf>
    <xf numFmtId="14" fontId="14" fillId="2" borderId="0" xfId="0" applyNumberFormat="1" applyFont="1" applyFill="1" applyAlignment="1">
      <alignment horizontal="center" vertical="center"/>
    </xf>
    <xf numFmtId="0" fontId="11" fillId="12" borderId="0" xfId="0" applyFont="1" applyFill="1" applyAlignment="1">
      <alignment vertical="center"/>
    </xf>
    <xf numFmtId="0" fontId="11" fillId="12" borderId="0" xfId="0" applyFont="1" applyFill="1" applyAlignment="1">
      <alignment horizontal="left" vertical="center"/>
    </xf>
    <xf numFmtId="165" fontId="11" fillId="12" borderId="0" xfId="0" applyNumberFormat="1" applyFont="1" applyFill="1" applyAlignment="1">
      <alignment horizontal="left" vertical="center"/>
    </xf>
    <xf numFmtId="0" fontId="11" fillId="7" borderId="0" xfId="0" applyFont="1" applyFill="1" applyAlignment="1">
      <alignment horizontal="left" vertical="center"/>
    </xf>
    <xf numFmtId="10" fontId="8" fillId="7" borderId="0" xfId="1" applyNumberFormat="1" applyFont="1" applyFill="1" applyAlignment="1">
      <alignment horizontal="left" vertical="center"/>
    </xf>
    <xf numFmtId="171" fontId="11" fillId="12" borderId="0" xfId="5" applyNumberFormat="1" applyFont="1" applyFill="1"/>
    <xf numFmtId="0" fontId="26" fillId="18" borderId="12" xfId="0" applyFont="1" applyFill="1" applyBorder="1" applyAlignment="1">
      <alignment horizontal="center" vertical="center"/>
    </xf>
    <xf numFmtId="0" fontId="26" fillId="18" borderId="13" xfId="0" applyFont="1" applyFill="1" applyBorder="1" applyAlignment="1">
      <alignment horizontal="center" vertical="center" wrapText="1"/>
    </xf>
    <xf numFmtId="0" fontId="26" fillId="18" borderId="13" xfId="0" applyFont="1" applyFill="1" applyBorder="1" applyAlignment="1">
      <alignment horizontal="center" vertical="center"/>
    </xf>
    <xf numFmtId="0" fontId="5" fillId="0" borderId="15" xfId="0" applyFont="1" applyBorder="1" applyAlignment="1">
      <alignment vertical="center" wrapText="1"/>
    </xf>
    <xf numFmtId="0" fontId="5" fillId="0" borderId="13" xfId="0" applyFont="1" applyBorder="1" applyAlignment="1">
      <alignment horizontal="justify" vertical="center" wrapText="1"/>
    </xf>
    <xf numFmtId="0" fontId="26" fillId="0" borderId="12" xfId="0" applyFont="1" applyBorder="1" applyAlignment="1">
      <alignment horizontal="center" vertical="center"/>
    </xf>
    <xf numFmtId="0" fontId="5" fillId="0" borderId="13" xfId="0" applyFont="1" applyBorder="1" applyAlignment="1">
      <alignment horizontal="left" vertical="center" wrapText="1" indent="1"/>
    </xf>
    <xf numFmtId="0" fontId="5" fillId="0" borderId="15" xfId="0" applyFont="1" applyBorder="1" applyAlignment="1">
      <alignment horizontal="left" vertical="center" wrapText="1" indent="1"/>
    </xf>
    <xf numFmtId="0" fontId="0" fillId="0" borderId="15" xfId="0" applyBorder="1" applyAlignment="1">
      <alignment vertical="top" wrapText="1"/>
    </xf>
    <xf numFmtId="0" fontId="0" fillId="0" borderId="13" xfId="0" applyBorder="1" applyAlignment="1">
      <alignment vertical="top" wrapText="1"/>
    </xf>
    <xf numFmtId="0" fontId="27" fillId="0" borderId="13" xfId="0" applyFont="1" applyBorder="1" applyAlignment="1">
      <alignment horizontal="center" vertical="center"/>
    </xf>
    <xf numFmtId="0" fontId="25" fillId="10" borderId="13" xfId="0" applyFont="1" applyFill="1" applyBorder="1" applyAlignment="1">
      <alignment horizontal="center" vertical="center"/>
    </xf>
    <xf numFmtId="3" fontId="25" fillId="10" borderId="13" xfId="0" applyNumberFormat="1" applyFont="1" applyFill="1" applyBorder="1" applyAlignment="1">
      <alignment horizontal="center" vertical="center" wrapText="1"/>
    </xf>
    <xf numFmtId="0" fontId="25" fillId="10" borderId="13" xfId="0" applyFont="1" applyFill="1" applyBorder="1" applyAlignment="1">
      <alignment horizontal="center" vertical="center" wrapText="1"/>
    </xf>
    <xf numFmtId="3" fontId="5" fillId="0" borderId="0" xfId="0" applyNumberFormat="1" applyFont="1"/>
    <xf numFmtId="9" fontId="5" fillId="7" borderId="0" xfId="1" applyFont="1" applyFill="1"/>
    <xf numFmtId="174" fontId="6" fillId="0" borderId="2" xfId="0" applyNumberFormat="1" applyFont="1" applyBorder="1" applyAlignment="1">
      <alignment horizontal="center" vertical="center"/>
    </xf>
    <xf numFmtId="165" fontId="17" fillId="0" borderId="0" xfId="0" applyNumberFormat="1" applyFont="1" applyAlignment="1">
      <alignment horizontal="center" vertical="center"/>
    </xf>
    <xf numFmtId="2" fontId="6" fillId="0" borderId="0" xfId="0" applyNumberFormat="1" applyFont="1" applyAlignment="1">
      <alignment vertical="center"/>
    </xf>
    <xf numFmtId="0" fontId="17" fillId="0" borderId="0" xfId="0" applyFont="1" applyAlignment="1">
      <alignment horizontal="left" vertical="center"/>
    </xf>
    <xf numFmtId="169" fontId="17" fillId="0" borderId="0" xfId="1" applyNumberFormat="1" applyFont="1" applyBorder="1" applyAlignment="1">
      <alignment horizontal="center" vertical="center"/>
    </xf>
    <xf numFmtId="173" fontId="11" fillId="12" borderId="0" xfId="0" applyNumberFormat="1" applyFont="1" applyFill="1" applyAlignment="1">
      <alignment horizontal="center" vertical="center"/>
    </xf>
    <xf numFmtId="9" fontId="5" fillId="7" borderId="0" xfId="0" applyNumberFormat="1" applyFont="1" applyFill="1" applyAlignment="1">
      <alignment horizontal="left" vertical="center"/>
    </xf>
    <xf numFmtId="43" fontId="5" fillId="0" borderId="0" xfId="5" applyFont="1" applyAlignment="1">
      <alignment vertical="center"/>
    </xf>
    <xf numFmtId="0" fontId="8" fillId="0" borderId="1" xfId="0" applyFont="1" applyBorder="1" applyAlignment="1">
      <alignment horizontal="center" wrapText="1"/>
    </xf>
    <xf numFmtId="0" fontId="8" fillId="0" borderId="1" xfId="0" applyFont="1" applyBorder="1" applyAlignment="1">
      <alignment horizontal="center" vertical="center" wrapText="1"/>
    </xf>
    <xf numFmtId="0" fontId="11" fillId="0" borderId="0" xfId="0" applyFont="1" applyAlignment="1">
      <alignment horizontal="center" vertical="center" wrapText="1"/>
    </xf>
    <xf numFmtId="171" fontId="8" fillId="0" borderId="1" xfId="5" applyNumberFormat="1" applyFont="1" applyBorder="1" applyAlignment="1">
      <alignment horizontal="center" vertical="center" wrapText="1"/>
    </xf>
    <xf numFmtId="0" fontId="11" fillId="0" borderId="0" xfId="0" applyFont="1" applyAlignment="1">
      <alignment wrapText="1"/>
    </xf>
    <xf numFmtId="0" fontId="11" fillId="0" borderId="0" xfId="0" applyFont="1" applyAlignment="1">
      <alignment horizontal="center" wrapText="1"/>
    </xf>
    <xf numFmtId="0" fontId="6" fillId="7" borderId="0" xfId="0" applyFont="1" applyFill="1" applyAlignment="1">
      <alignment wrapText="1"/>
    </xf>
    <xf numFmtId="1" fontId="6" fillId="7" borderId="0" xfId="0" applyNumberFormat="1" applyFont="1" applyFill="1" applyAlignment="1">
      <alignment horizontal="center" wrapText="1"/>
    </xf>
    <xf numFmtId="43" fontId="6" fillId="7" borderId="2" xfId="5" applyFont="1" applyFill="1" applyBorder="1" applyAlignment="1">
      <alignment horizontal="center"/>
    </xf>
    <xf numFmtId="43" fontId="5" fillId="2" borderId="0" xfId="5" applyFont="1" applyFill="1" applyAlignment="1">
      <alignment vertical="center"/>
    </xf>
    <xf numFmtId="9" fontId="5" fillId="2" borderId="0" xfId="1" applyFont="1" applyFill="1" applyAlignment="1">
      <alignment vertical="center"/>
    </xf>
    <xf numFmtId="165" fontId="8" fillId="12" borderId="0" xfId="2" applyNumberFormat="1" applyFont="1" applyFill="1" applyAlignment="1">
      <alignment horizontal="center" vertical="center" wrapText="1"/>
    </xf>
    <xf numFmtId="165" fontId="5" fillId="12" borderId="0" xfId="0" applyNumberFormat="1" applyFont="1" applyFill="1" applyAlignment="1">
      <alignment horizontal="center" vertical="center" wrapText="1"/>
    </xf>
    <xf numFmtId="0" fontId="29" fillId="0" borderId="0" xfId="0" applyFont="1"/>
    <xf numFmtId="173" fontId="8" fillId="2" borderId="0" xfId="0" applyNumberFormat="1" applyFont="1" applyFill="1" applyAlignment="1">
      <alignment horizontal="center" vertical="center"/>
    </xf>
    <xf numFmtId="0" fontId="15" fillId="0" borderId="0" xfId="0" applyFont="1" applyAlignment="1">
      <alignment vertical="center"/>
    </xf>
    <xf numFmtId="0" fontId="15" fillId="0" borderId="0" xfId="0" applyFont="1"/>
    <xf numFmtId="0" fontId="9" fillId="4" borderId="0" xfId="0" applyFont="1" applyFill="1" applyAlignment="1">
      <alignment horizontal="center" vertical="center"/>
    </xf>
    <xf numFmtId="0" fontId="25" fillId="10" borderId="9" xfId="0" applyFont="1" applyFill="1" applyBorder="1" applyAlignment="1">
      <alignment horizontal="center" vertical="center"/>
    </xf>
    <xf numFmtId="0" fontId="25" fillId="10" borderId="10" xfId="0" applyFont="1" applyFill="1" applyBorder="1" applyAlignment="1">
      <alignment horizontal="center" vertical="center"/>
    </xf>
    <xf numFmtId="0" fontId="25" fillId="10" borderId="11" xfId="0" applyFont="1" applyFill="1" applyBorder="1" applyAlignment="1">
      <alignment horizontal="center" vertical="center"/>
    </xf>
    <xf numFmtId="0" fontId="26" fillId="0" borderId="14" xfId="0" applyFont="1" applyBorder="1" applyAlignment="1">
      <alignment horizontal="center" vertical="center"/>
    </xf>
    <xf numFmtId="0" fontId="26" fillId="0" borderId="16"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xf>
    <xf numFmtId="0" fontId="5" fillId="0" borderId="14" xfId="0" applyFont="1" applyBorder="1" applyAlignment="1">
      <alignment horizontal="left" vertical="center" wrapText="1" indent="1"/>
    </xf>
    <xf numFmtId="0" fontId="5" fillId="0" borderId="12" xfId="0" applyFont="1" applyBorder="1" applyAlignment="1">
      <alignment horizontal="left" vertical="center" wrapText="1" indent="1"/>
    </xf>
    <xf numFmtId="0" fontId="26" fillId="0" borderId="12" xfId="0" applyFont="1" applyBorder="1" applyAlignment="1">
      <alignment horizontal="center" vertical="center"/>
    </xf>
    <xf numFmtId="0" fontId="27" fillId="0" borderId="16" xfId="0" applyFont="1" applyBorder="1" applyAlignment="1">
      <alignment horizontal="center" vertical="center"/>
    </xf>
    <xf numFmtId="0" fontId="6" fillId="0" borderId="0" xfId="0" applyFont="1" applyAlignment="1">
      <alignment vertical="center" wrapText="1"/>
    </xf>
    <xf numFmtId="0" fontId="7" fillId="10" borderId="0" xfId="0" applyFont="1" applyFill="1" applyAlignment="1">
      <alignment horizontal="center" vertical="center"/>
    </xf>
    <xf numFmtId="0" fontId="7" fillId="10" borderId="0" xfId="0" applyFont="1" applyFill="1"/>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right" vertical="center" wrapText="1"/>
    </xf>
    <xf numFmtId="10" fontId="15" fillId="9" borderId="0" xfId="1" applyNumberFormat="1" applyFont="1" applyFill="1" applyBorder="1" applyAlignment="1">
      <alignment horizontal="center"/>
    </xf>
    <xf numFmtId="0" fontId="14" fillId="2" borderId="0" xfId="0" applyFont="1" applyFill="1" applyAlignment="1">
      <alignment horizontal="right" vertical="center"/>
    </xf>
    <xf numFmtId="0" fontId="8" fillId="2" borderId="0" xfId="0" applyFont="1" applyFill="1" applyAlignment="1">
      <alignment horizontal="center" vertical="center"/>
    </xf>
    <xf numFmtId="10" fontId="7" fillId="10" borderId="0" xfId="0" applyNumberFormat="1" applyFont="1" applyFill="1" applyAlignment="1">
      <alignment horizontal="center" vertical="center"/>
    </xf>
    <xf numFmtId="170" fontId="7" fillId="10" borderId="0" xfId="0" applyNumberFormat="1" applyFont="1" applyFill="1" applyAlignment="1">
      <alignment horizontal="center" vertical="center"/>
    </xf>
    <xf numFmtId="2" fontId="7" fillId="10" borderId="0" xfId="2" applyNumberFormat="1" applyFont="1" applyFill="1" applyAlignment="1">
      <alignment horizontal="center" vertical="center" wrapText="1"/>
    </xf>
    <xf numFmtId="10" fontId="7" fillId="10" borderId="0" xfId="3" applyNumberFormat="1" applyFont="1" applyFill="1" applyBorder="1" applyAlignment="1">
      <alignment horizontal="center" vertical="center" wrapText="1"/>
    </xf>
    <xf numFmtId="0" fontId="5" fillId="12" borderId="0" xfId="0" applyFont="1" applyFill="1"/>
    <xf numFmtId="3" fontId="5" fillId="0" borderId="14"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6" xfId="0" applyNumberFormat="1" applyFont="1" applyBorder="1" applyAlignment="1">
      <alignment horizontal="center" vertical="center" wrapText="1"/>
    </xf>
    <xf numFmtId="3" fontId="5" fillId="0" borderId="13" xfId="0" applyNumberFormat="1" applyFont="1" applyBorder="1" applyAlignment="1">
      <alignment horizontal="center" vertical="center" wrapText="1"/>
    </xf>
  </cellXfs>
  <cellStyles count="9">
    <cellStyle name="Comma" xfId="5" builtinId="3"/>
    <cellStyle name="Comma 5" xfId="4" xr:uid="{00000000-0005-0000-0000-000001000000}"/>
    <cellStyle name="Normal" xfId="0" builtinId="0"/>
    <cellStyle name="Normal 10" xfId="7" xr:uid="{3E5A5A53-1C02-4514-9D9C-E3C00E0CA9CC}"/>
    <cellStyle name="Normal 2 2 9 9" xfId="8" xr:uid="{CE096C29-780D-4255-AC44-94DC4F7EC81D}"/>
    <cellStyle name="Normal_QC sheet and key workings - 19oct4" xfId="6" xr:uid="{00000000-0005-0000-0000-000005000000}"/>
    <cellStyle name="Normal_temp" xfId="2" xr:uid="{00000000-0005-0000-0000-000006000000}"/>
    <cellStyle name="Percent" xfId="1" builtinId="5"/>
    <cellStyle name="Percent 4" xfId="3" xr:uid="{00000000-0005-0000-0000-000008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solidFill>
          <a:srgbClr val="002060"/>
        </a:solidFill>
        <a:ln>
          <a:noFill/>
        </a:ln>
        <a:effectLst/>
      </c:spPr>
      <c:txPr>
        <a:bodyPr rot="0" spcFirstLastPara="1" vertOverflow="ellipsis" vert="horz" wrap="square" anchor="ctr" anchorCtr="1"/>
        <a:lstStyle/>
        <a:p>
          <a:pPr>
            <a:defRPr sz="11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'P &amp; L'!$B$71</c:f>
              <c:strCache>
                <c:ptCount val="1"/>
                <c:pt idx="0">
                  <c:v>EBITDA Margin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numRef>
              <c:f>'P &amp; L'!$D$20:$N$20</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'P &amp; L'!$D$71:$N$71</c:f>
              <c:numCache>
                <c:formatCode>0.0%</c:formatCode>
                <c:ptCount val="11"/>
                <c:pt idx="0">
                  <c:v>-0.14961314438605181</c:v>
                </c:pt>
                <c:pt idx="1">
                  <c:v>0.10053137501944395</c:v>
                </c:pt>
                <c:pt idx="2">
                  <c:v>0.25586888374255967</c:v>
                </c:pt>
                <c:pt idx="3">
                  <c:v>0.26344054156405095</c:v>
                </c:pt>
                <c:pt idx="4">
                  <c:v>0.26363450829788665</c:v>
                </c:pt>
                <c:pt idx="5">
                  <c:v>0.26382664515687471</c:v>
                </c:pt>
                <c:pt idx="6">
                  <c:v>0.26401696940398572</c:v>
                </c:pt>
                <c:pt idx="7">
                  <c:v>0.26420549813933131</c:v>
                </c:pt>
                <c:pt idx="8">
                  <c:v>0.26439224830170205</c:v>
                </c:pt>
                <c:pt idx="9">
                  <c:v>0.26457723667008826</c:v>
                </c:pt>
                <c:pt idx="10">
                  <c:v>0.26476047986518764</c:v>
                </c:pt>
              </c:numCache>
            </c:numRef>
          </c:val>
          <c:extLst>
            <c:ext xmlns:c16="http://schemas.microsoft.com/office/drawing/2014/chart" uri="{C3380CC4-5D6E-409C-BE32-E72D297353CC}">
              <c16:uniqueId val="{00000001-8777-4B76-87F4-033BC0CE2C98}"/>
            </c:ext>
          </c:extLst>
        </c:ser>
        <c:dLbls>
          <c:dLblPos val="outEnd"/>
          <c:showLegendKey val="0"/>
          <c:showVal val="1"/>
          <c:showCatName val="0"/>
          <c:showSerName val="0"/>
          <c:showPercent val="0"/>
          <c:showBubbleSize val="0"/>
        </c:dLbls>
        <c:gapWidth val="219"/>
        <c:overlap val="-27"/>
        <c:axId val="338632664"/>
        <c:axId val="338628832"/>
      </c:barChart>
      <c:catAx>
        <c:axId val="338632664"/>
        <c:scaling>
          <c:orientation val="minMax"/>
        </c:scaling>
        <c:delete val="0"/>
        <c:axPos val="b"/>
        <c:title>
          <c:tx>
            <c:rich>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Financial Year</a:t>
                </a:r>
              </a:p>
            </c:rich>
          </c:tx>
          <c:overlay val="0"/>
          <c:spPr>
            <a:noFill/>
            <a:ln>
              <a:noFill/>
            </a:ln>
            <a:effectLst/>
          </c:spPr>
          <c:txPr>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628832"/>
        <c:crosses val="autoZero"/>
        <c:auto val="1"/>
        <c:lblAlgn val="ctr"/>
        <c:lblOffset val="100"/>
        <c:noMultiLvlLbl val="0"/>
      </c:catAx>
      <c:valAx>
        <c:axId val="338628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Margin</a:t>
                </a:r>
                <a:r>
                  <a:rPr lang="en-IN" b="1" i="1" baseline="0"/>
                  <a:t> %</a:t>
                </a:r>
                <a:endParaRPr lang="en-IN" b="1" i="1"/>
              </a:p>
            </c:rich>
          </c:tx>
          <c:layout>
            <c:manualLayout>
              <c:xMode val="edge"/>
              <c:yMode val="edge"/>
              <c:x val="1.2705974984736572E-2"/>
              <c:y val="0.37652012248468941"/>
            </c:manualLayout>
          </c:layout>
          <c:overlay val="0"/>
          <c:spPr>
            <a:noFill/>
            <a:ln>
              <a:noFill/>
            </a:ln>
            <a:effectLst/>
          </c:spPr>
          <c:txPr>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632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solidFill>
          <a:srgbClr val="002060"/>
        </a:solidFill>
        <a:ln>
          <a:noFill/>
        </a:ln>
        <a:effectLst/>
      </c:spPr>
      <c:txPr>
        <a:bodyPr rot="0" spcFirstLastPara="1" vertOverflow="ellipsis" vert="horz" wrap="square" anchor="ctr" anchorCtr="1"/>
        <a:lstStyle/>
        <a:p>
          <a:pPr>
            <a:defRPr sz="11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'P &amp; L'!$B$73</c:f>
              <c:strCache>
                <c:ptCount val="1"/>
                <c:pt idx="0">
                  <c:v>EBIT Margin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numRef>
              <c:f>'P &amp; L'!$D$20:$N$20</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'P &amp; L'!$D$73:$N$73</c:f>
              <c:numCache>
                <c:formatCode>0.0%</c:formatCode>
                <c:ptCount val="11"/>
                <c:pt idx="0">
                  <c:v>-1.2674551043526574</c:v>
                </c:pt>
                <c:pt idx="1">
                  <c:v>-0.21300285830126406</c:v>
                </c:pt>
                <c:pt idx="2">
                  <c:v>0.1499022266313586</c:v>
                </c:pt>
                <c:pt idx="3">
                  <c:v>0.18148539694291249</c:v>
                </c:pt>
                <c:pt idx="4">
                  <c:v>0.19728974323907322</c:v>
                </c:pt>
                <c:pt idx="5">
                  <c:v>0.21009413042838776</c:v>
                </c:pt>
                <c:pt idx="6">
                  <c:v>0.22047828165803426</c:v>
                </c:pt>
                <c:pt idx="7">
                  <c:v>0.22890922544313388</c:v>
                </c:pt>
                <c:pt idx="8">
                  <c:v>0.2253945583837654</c:v>
                </c:pt>
                <c:pt idx="9">
                  <c:v>0.23302927513397784</c:v>
                </c:pt>
                <c:pt idx="10">
                  <c:v>0.2392280520774844</c:v>
                </c:pt>
              </c:numCache>
            </c:numRef>
          </c:val>
          <c:extLst>
            <c:ext xmlns:c16="http://schemas.microsoft.com/office/drawing/2014/chart" uri="{C3380CC4-5D6E-409C-BE32-E72D297353CC}">
              <c16:uniqueId val="{00000001-A5DD-4640-8CF8-CAA88EBE970F}"/>
            </c:ext>
          </c:extLst>
        </c:ser>
        <c:dLbls>
          <c:dLblPos val="outEnd"/>
          <c:showLegendKey val="0"/>
          <c:showVal val="1"/>
          <c:showCatName val="0"/>
          <c:showSerName val="0"/>
          <c:showPercent val="0"/>
          <c:showBubbleSize val="0"/>
        </c:dLbls>
        <c:gapWidth val="219"/>
        <c:overlap val="-27"/>
        <c:axId val="338778552"/>
        <c:axId val="338778936"/>
      </c:barChart>
      <c:catAx>
        <c:axId val="338778552"/>
        <c:scaling>
          <c:orientation val="minMax"/>
        </c:scaling>
        <c:delete val="0"/>
        <c:axPos val="b"/>
        <c:title>
          <c:tx>
            <c:rich>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Financial Year</a:t>
                </a:r>
              </a:p>
            </c:rich>
          </c:tx>
          <c:layout>
            <c:manualLayout>
              <c:xMode val="edge"/>
              <c:yMode val="edge"/>
              <c:x val="0.49032275346305454"/>
              <c:y val="0.89206225475996104"/>
            </c:manualLayout>
          </c:layout>
          <c:overlay val="0"/>
          <c:spPr>
            <a:noFill/>
            <a:ln>
              <a:noFill/>
            </a:ln>
            <a:effectLst/>
          </c:spPr>
          <c:txPr>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778936"/>
        <c:crosses val="autoZero"/>
        <c:auto val="1"/>
        <c:lblAlgn val="ctr"/>
        <c:lblOffset val="100"/>
        <c:noMultiLvlLbl val="0"/>
      </c:catAx>
      <c:valAx>
        <c:axId val="338778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Margin %</a:t>
                </a:r>
              </a:p>
            </c:rich>
          </c:tx>
          <c:layout>
            <c:manualLayout>
              <c:xMode val="edge"/>
              <c:yMode val="edge"/>
              <c:x val="1.2541641397193166E-2"/>
              <c:y val="0.36788568095654711"/>
            </c:manualLayout>
          </c:layout>
          <c:overlay val="0"/>
          <c:spPr>
            <a:noFill/>
            <a:ln>
              <a:noFill/>
            </a:ln>
            <a:effectLst/>
          </c:spPr>
          <c:txPr>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778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solidFill>
          <a:srgbClr val="002060"/>
        </a:solidFill>
        <a:ln>
          <a:noFill/>
        </a:ln>
        <a:effectLst/>
      </c:spPr>
      <c:txPr>
        <a:bodyPr rot="0" spcFirstLastPara="1" vertOverflow="ellipsis" vert="horz" wrap="square" anchor="ctr" anchorCtr="1"/>
        <a:lstStyle/>
        <a:p>
          <a:pPr>
            <a:defRPr sz="11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'P &amp; L'!$B$75</c:f>
              <c:strCache>
                <c:ptCount val="1"/>
                <c:pt idx="0">
                  <c:v>PAT Margin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numRef>
              <c:f>'P &amp; L'!$D$20:$N$20</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'P &amp; L'!$D$75:$N$75</c:f>
              <c:numCache>
                <c:formatCode>0.0%</c:formatCode>
                <c:ptCount val="11"/>
                <c:pt idx="0">
                  <c:v>-1.8766767206144324</c:v>
                </c:pt>
                <c:pt idx="1">
                  <c:v>-0.48887679774055842</c:v>
                </c:pt>
                <c:pt idx="2">
                  <c:v>4.5291487138989117E-2</c:v>
                </c:pt>
                <c:pt idx="3">
                  <c:v>0.10779612014419805</c:v>
                </c:pt>
                <c:pt idx="4">
                  <c:v>0.12434286298706275</c:v>
                </c:pt>
                <c:pt idx="5">
                  <c:v>0.12321598845055469</c:v>
                </c:pt>
                <c:pt idx="6">
                  <c:v>0.14500918310961636</c:v>
                </c:pt>
                <c:pt idx="7">
                  <c:v>0.15758954738413847</c:v>
                </c:pt>
                <c:pt idx="8">
                  <c:v>0.16058482420835521</c:v>
                </c:pt>
                <c:pt idx="9">
                  <c:v>0.17133049293377373</c:v>
                </c:pt>
                <c:pt idx="10">
                  <c:v>0.17895919146846739</c:v>
                </c:pt>
              </c:numCache>
            </c:numRef>
          </c:val>
          <c:extLst>
            <c:ext xmlns:c16="http://schemas.microsoft.com/office/drawing/2014/chart" uri="{C3380CC4-5D6E-409C-BE32-E72D297353CC}">
              <c16:uniqueId val="{00000001-2AF1-4B22-8EAE-3D14FA2DB6F3}"/>
            </c:ext>
          </c:extLst>
        </c:ser>
        <c:dLbls>
          <c:dLblPos val="outEnd"/>
          <c:showLegendKey val="0"/>
          <c:showVal val="1"/>
          <c:showCatName val="0"/>
          <c:showSerName val="0"/>
          <c:showPercent val="0"/>
          <c:showBubbleSize val="0"/>
        </c:dLbls>
        <c:gapWidth val="219"/>
        <c:overlap val="-27"/>
        <c:axId val="338830032"/>
        <c:axId val="338834520"/>
      </c:barChart>
      <c:catAx>
        <c:axId val="338830032"/>
        <c:scaling>
          <c:orientation val="minMax"/>
        </c:scaling>
        <c:delete val="0"/>
        <c:axPos val="b"/>
        <c:title>
          <c:tx>
            <c:rich>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Financial Year</a:t>
                </a:r>
              </a:p>
            </c:rich>
          </c:tx>
          <c:overlay val="0"/>
          <c:spPr>
            <a:noFill/>
            <a:ln>
              <a:noFill/>
            </a:ln>
            <a:effectLst/>
          </c:spPr>
          <c:txPr>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834520"/>
        <c:crosses val="autoZero"/>
        <c:auto val="1"/>
        <c:lblAlgn val="ctr"/>
        <c:lblOffset val="100"/>
        <c:noMultiLvlLbl val="0"/>
      </c:catAx>
      <c:valAx>
        <c:axId val="338834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Margin %</a:t>
                </a:r>
              </a:p>
            </c:rich>
          </c:tx>
          <c:layout>
            <c:manualLayout>
              <c:xMode val="edge"/>
              <c:yMode val="edge"/>
              <c:x val="1.2497558301847523E-2"/>
              <c:y val="0.3723037620297463"/>
            </c:manualLayout>
          </c:layout>
          <c:overlay val="0"/>
          <c:spPr>
            <a:noFill/>
            <a:ln>
              <a:noFill/>
            </a:ln>
            <a:effectLst/>
          </c:spPr>
          <c:txPr>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830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solidFill>
          <a:srgbClr val="002060"/>
        </a:solidFill>
        <a:ln>
          <a:noFill/>
        </a:ln>
        <a:effectLst/>
      </c:spPr>
      <c:txPr>
        <a:bodyPr rot="0" spcFirstLastPara="1" vertOverflow="ellipsis" vert="horz" wrap="square" anchor="ctr" anchorCtr="1"/>
        <a:lstStyle/>
        <a:p>
          <a:pPr>
            <a:defRPr sz="11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'P &amp; L'!$B$77</c:f>
              <c:strCache>
                <c:ptCount val="1"/>
                <c:pt idx="0">
                  <c:v>Revenue Growth Rate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numRef>
              <c:f>'P &amp; L'!$D$20:$N$20</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'P &amp; L'!$D$77:$N$77</c:f>
              <c:numCache>
                <c:formatCode>0.0%</c:formatCode>
                <c:ptCount val="11"/>
                <c:pt idx="1">
                  <c:v>1.208333333333333</c:v>
                </c:pt>
                <c:pt idx="2">
                  <c:v>1.5440000000000009</c:v>
                </c:pt>
                <c:pt idx="3">
                  <c:v>0.2719999999999998</c:v>
                </c:pt>
                <c:pt idx="4">
                  <c:v>6.0000000000000275E-2</c:v>
                </c:pt>
                <c:pt idx="5">
                  <c:v>6.0000000000000053E-2</c:v>
                </c:pt>
                <c:pt idx="6">
                  <c:v>6.0000000000000275E-2</c:v>
                </c:pt>
                <c:pt idx="7">
                  <c:v>5.9999999999999831E-2</c:v>
                </c:pt>
                <c:pt idx="8">
                  <c:v>6.0000000000000053E-2</c:v>
                </c:pt>
                <c:pt idx="9">
                  <c:v>6.0000000000000053E-2</c:v>
                </c:pt>
                <c:pt idx="10">
                  <c:v>6.0000000000000053E-2</c:v>
                </c:pt>
              </c:numCache>
            </c:numRef>
          </c:val>
          <c:extLst>
            <c:ext xmlns:c16="http://schemas.microsoft.com/office/drawing/2014/chart" uri="{C3380CC4-5D6E-409C-BE32-E72D297353CC}">
              <c16:uniqueId val="{00000001-428E-4086-90B4-B802920288EF}"/>
            </c:ext>
          </c:extLst>
        </c:ser>
        <c:dLbls>
          <c:dLblPos val="outEnd"/>
          <c:showLegendKey val="0"/>
          <c:showVal val="1"/>
          <c:showCatName val="0"/>
          <c:showSerName val="0"/>
          <c:showPercent val="0"/>
          <c:showBubbleSize val="0"/>
        </c:dLbls>
        <c:gapWidth val="219"/>
        <c:overlap val="-27"/>
        <c:axId val="336979240"/>
        <c:axId val="336979632"/>
      </c:barChart>
      <c:catAx>
        <c:axId val="336979240"/>
        <c:scaling>
          <c:orientation val="minMax"/>
        </c:scaling>
        <c:delete val="0"/>
        <c:axPos val="b"/>
        <c:title>
          <c:tx>
            <c:rich>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Financial Year</a:t>
                </a:r>
              </a:p>
            </c:rich>
          </c:tx>
          <c:layout>
            <c:manualLayout>
              <c:xMode val="edge"/>
              <c:yMode val="edge"/>
              <c:x val="0.49597525815554316"/>
              <c:y val="0.91239268157736431"/>
            </c:manualLayout>
          </c:layout>
          <c:overlay val="0"/>
          <c:spPr>
            <a:noFill/>
            <a:ln>
              <a:noFill/>
            </a:ln>
            <a:effectLst/>
          </c:spPr>
          <c:txPr>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979632"/>
        <c:crosses val="autoZero"/>
        <c:auto val="1"/>
        <c:lblAlgn val="ctr"/>
        <c:lblOffset val="100"/>
        <c:noMultiLvlLbl val="0"/>
      </c:catAx>
      <c:valAx>
        <c:axId val="336979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Growth Rate</a:t>
                </a:r>
                <a:r>
                  <a:rPr lang="en-IN" b="1" i="1" baseline="0"/>
                  <a:t> %</a:t>
                </a:r>
                <a:endParaRPr lang="en-IN" b="1" i="1"/>
              </a:p>
            </c:rich>
          </c:tx>
          <c:overlay val="0"/>
          <c:spPr>
            <a:noFill/>
            <a:ln>
              <a:noFill/>
            </a:ln>
            <a:effectLst/>
          </c:spPr>
          <c:txPr>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979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280987</xdr:colOff>
      <xdr:row>80</xdr:row>
      <xdr:rowOff>117474</xdr:rowOff>
    </xdr:from>
    <xdr:to>
      <xdr:col>12</xdr:col>
      <xdr:colOff>0</xdr:colOff>
      <xdr:row>95</xdr:row>
      <xdr:rowOff>107949</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319086</xdr:colOff>
      <xdr:row>97</xdr:row>
      <xdr:rowOff>38099</xdr:rowOff>
    </xdr:from>
    <xdr:to>
      <xdr:col>12</xdr:col>
      <xdr:colOff>0</xdr:colOff>
      <xdr:row>112</xdr:row>
      <xdr:rowOff>28574</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230187</xdr:colOff>
      <xdr:row>112</xdr:row>
      <xdr:rowOff>146050</xdr:rowOff>
    </xdr:from>
    <xdr:to>
      <xdr:col>11</xdr:col>
      <xdr:colOff>730250</xdr:colOff>
      <xdr:row>127</xdr:row>
      <xdr:rowOff>146050</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306386</xdr:colOff>
      <xdr:row>130</xdr:row>
      <xdr:rowOff>79374</xdr:rowOff>
    </xdr:from>
    <xdr:to>
      <xdr:col>11</xdr:col>
      <xdr:colOff>806450</xdr:colOff>
      <xdr:row>146</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eesh mallick" id="{0F2F1D8E-7748-4DF7-8E91-C919804472B8}" userId="S::aneesh.mallick@jcbhalla.com::33b55255-9667-4324-975c-e60f4b50525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1" dT="2024-05-03T10:15:22.55" personId="{0F2F1D8E-7748-4DF7-8E91-C919804472B8}" id="{FDACC0F6-1A78-446A-A147-2A6CDC7D8602}">
    <text>50 samples per subject</text>
  </threadedComment>
  <threadedComment ref="F19" dT="2024-05-03T10:15:32.92" personId="{0F2F1D8E-7748-4DF7-8E91-C919804472B8}" id="{8A3766D1-6550-44F2-8494-DFC25AC281F8}">
    <text>50 samples per subject</text>
  </threadedComment>
</ThreadedComments>
</file>

<file path=xl/threadedComments/threadedComment2.xml><?xml version="1.0" encoding="utf-8"?>
<ThreadedComments xmlns="http://schemas.microsoft.com/office/spreadsheetml/2018/threadedcomments" xmlns:x="http://schemas.openxmlformats.org/spreadsheetml/2006/main">
  <threadedComment ref="P33" dT="2024-05-21T05:27:48.33" personId="{0F2F1D8E-7748-4DF7-8E91-C919804472B8}" id="{AE6C548B-EB68-4535-89D7-224FF6A597DF}">
    <text>Page 199 - Veeda DHRP</text>
  </threadedComment>
  <threadedComment ref="P34" dT="2024-05-21T09:24:45.28" personId="{0F2F1D8E-7748-4DF7-8E91-C919804472B8}" id="{C75F3CB1-32A1-41F8-ABCA-97C5BD3E33D3}">
    <text>33% considered to keep EBITDA margins at ~25% levels, plus other expenses not projected by the management, taken on conservative side</text>
  </threadedComment>
  <threadedComment ref="P35" dT="2024-05-21T05:27:19.25" personId="{0F2F1D8E-7748-4DF7-8E91-C919804472B8}" id="{E9806EA0-B03C-406A-A6C8-93D9ADE89BA3}">
    <text>Page 243 - Veeda DHRP</text>
  </threadedComment>
  <threadedComment ref="P36" dT="2024-05-21T05:27:30.09" personId="{0F2F1D8E-7748-4DF7-8E91-C919804472B8}" id="{B7BE25A6-D054-484C-9710-B9304CCF9625}">
    <text>Page 243 - Veeda DHRP</text>
  </threadedComment>
</ThreadedComments>
</file>

<file path=xl/threadedComments/threadedComment3.xml><?xml version="1.0" encoding="utf-8"?>
<ThreadedComments xmlns="http://schemas.microsoft.com/office/spreadsheetml/2018/threadedcomments" xmlns:x="http://schemas.openxmlformats.org/spreadsheetml/2006/main">
  <threadedComment ref="E21" dT="2024-05-04T05:31:50.68" personId="{0F2F1D8E-7748-4DF7-8E91-C919804472B8}" id="{CB64E5C4-388F-485C-987B-1524D0300E63}">
    <text>On account of addition of 60 beds @ INR 10000 per bed</text>
  </threadedComment>
  <threadedComment ref="C26" dT="2024-04-23T05:18:21.60" personId="{0F2F1D8E-7748-4DF7-8E91-C919804472B8}" id="{508F90EE-C031-4B1A-91E9-9CEB733DDC71}">
    <text>Half year dep in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249977111117893"/>
  </sheetPr>
  <dimension ref="B2:K84"/>
  <sheetViews>
    <sheetView showGridLines="0" topLeftCell="C1" workbookViewId="0">
      <selection activeCell="D6" sqref="D6"/>
    </sheetView>
  </sheetViews>
  <sheetFormatPr defaultColWidth="13" defaultRowHeight="14.5" x14ac:dyDescent="0.35"/>
  <cols>
    <col min="1" max="1" width="4.54296875" style="28" customWidth="1"/>
    <col min="2" max="2" width="10.7265625" style="29" customWidth="1"/>
    <col min="3" max="3" width="52.453125" style="29" customWidth="1"/>
    <col min="4" max="4" width="27.7265625" style="1" customWidth="1"/>
    <col min="5" max="5" width="13" style="28"/>
    <col min="6" max="6" width="4.54296875" style="28" customWidth="1"/>
    <col min="7" max="7" width="53.90625" style="28" customWidth="1"/>
    <col min="8" max="8" width="7" style="28" customWidth="1"/>
    <col min="9" max="9" width="13.81640625" style="28" bestFit="1" customWidth="1"/>
    <col min="10" max="10" width="37.26953125" style="28" customWidth="1"/>
    <col min="11" max="16384" width="13" style="28"/>
  </cols>
  <sheetData>
    <row r="2" spans="2:11" s="29" customFormat="1" x14ac:dyDescent="0.35">
      <c r="B2" s="330" t="s">
        <v>3</v>
      </c>
      <c r="C2" s="330"/>
      <c r="D2" s="330"/>
    </row>
    <row r="3" spans="2:11" s="33" customFormat="1" x14ac:dyDescent="0.35">
      <c r="B3" s="15" t="s">
        <v>207</v>
      </c>
      <c r="C3" s="15" t="s">
        <v>0</v>
      </c>
      <c r="D3" s="15" t="s">
        <v>2</v>
      </c>
    </row>
    <row r="4" spans="2:11" s="29" customFormat="1" x14ac:dyDescent="0.35">
      <c r="B4" s="16" t="s">
        <v>53</v>
      </c>
      <c r="C4" s="35" t="s">
        <v>57</v>
      </c>
      <c r="D4" s="18"/>
    </row>
    <row r="5" spans="2:11" s="29" customFormat="1" x14ac:dyDescent="0.35">
      <c r="B5" s="1">
        <v>1</v>
      </c>
      <c r="C5" s="226" t="s">
        <v>373</v>
      </c>
      <c r="D5" s="273">
        <f>I56+I57+I59</f>
        <v>71320733.439999998</v>
      </c>
      <c r="E5" s="245" t="s">
        <v>478</v>
      </c>
      <c r="F5" s="245"/>
      <c r="G5" s="245"/>
      <c r="H5" s="245"/>
      <c r="I5" s="245"/>
      <c r="J5" s="245"/>
      <c r="K5" s="245"/>
    </row>
    <row r="6" spans="2:11" s="29" customFormat="1" x14ac:dyDescent="0.35">
      <c r="B6" s="1">
        <v>2</v>
      </c>
      <c r="C6" s="226" t="s">
        <v>43</v>
      </c>
      <c r="D6" s="273">
        <f>I60-D5</f>
        <v>242679568.34000003</v>
      </c>
    </row>
    <row r="7" spans="2:11" s="29" customFormat="1" x14ac:dyDescent="0.35">
      <c r="B7" s="1">
        <v>3</v>
      </c>
      <c r="C7" s="226" t="s">
        <v>99</v>
      </c>
      <c r="D7" s="273">
        <f>'sal &amp; wages'!E27*8/12+Assump!D37*8/12+10000000</f>
        <v>34320000</v>
      </c>
      <c r="E7" s="29" t="s">
        <v>501</v>
      </c>
    </row>
    <row r="8" spans="2:11" s="29" customFormat="1" x14ac:dyDescent="0.35">
      <c r="B8" s="1">
        <v>4</v>
      </c>
      <c r="C8" s="29" t="s">
        <v>499</v>
      </c>
      <c r="D8" s="273">
        <f>SUM('TL Schd'!G28:G47)</f>
        <v>45000000</v>
      </c>
    </row>
    <row r="9" spans="2:11" s="29" customFormat="1" x14ac:dyDescent="0.35">
      <c r="B9" s="1">
        <v>5</v>
      </c>
      <c r="C9" s="29" t="s">
        <v>159</v>
      </c>
      <c r="D9" s="14">
        <f>'TL Schd'!D10*A</f>
        <v>11250000</v>
      </c>
    </row>
    <row r="10" spans="2:11" s="29" customFormat="1" x14ac:dyDescent="0.35">
      <c r="B10" s="6"/>
      <c r="D10" s="12"/>
    </row>
    <row r="11" spans="2:11" s="13" customFormat="1" x14ac:dyDescent="0.35">
      <c r="B11" s="35"/>
      <c r="C11" s="16" t="s">
        <v>24</v>
      </c>
      <c r="D11" s="36">
        <f>SUM(D5:D10)</f>
        <v>404570301.78000003</v>
      </c>
    </row>
    <row r="12" spans="2:11" s="29" customFormat="1" x14ac:dyDescent="0.35">
      <c r="B12" s="16" t="s">
        <v>54</v>
      </c>
      <c r="C12" s="35" t="s">
        <v>58</v>
      </c>
      <c r="D12" s="37"/>
    </row>
    <row r="13" spans="2:11" s="29" customFormat="1" x14ac:dyDescent="0.35">
      <c r="B13" s="1"/>
      <c r="D13" s="14"/>
    </row>
    <row r="14" spans="2:11" s="29" customFormat="1" x14ac:dyDescent="0.35">
      <c r="B14" s="1">
        <v>1</v>
      </c>
      <c r="C14" s="29" t="s">
        <v>267</v>
      </c>
      <c r="D14" s="14">
        <f>10*10^7</f>
        <v>100000000</v>
      </c>
    </row>
    <row r="15" spans="2:11" s="29" customFormat="1" x14ac:dyDescent="0.35">
      <c r="B15" s="1">
        <v>2</v>
      </c>
      <c r="C15" s="29" t="s">
        <v>370</v>
      </c>
      <c r="D15" s="14">
        <f>D20-D16-D14</f>
        <v>4570301.780000031</v>
      </c>
      <c r="E15" s="218" t="s">
        <v>498</v>
      </c>
    </row>
    <row r="16" spans="2:11" s="29" customFormat="1" x14ac:dyDescent="0.35">
      <c r="B16" s="1">
        <v>3</v>
      </c>
      <c r="C16" s="29" t="s">
        <v>59</v>
      </c>
      <c r="D16" s="14">
        <f>30*10^7</f>
        <v>300000000</v>
      </c>
    </row>
    <row r="17" spans="2:10" s="29" customFormat="1" x14ac:dyDescent="0.35">
      <c r="B17" s="6"/>
      <c r="C17" s="8"/>
      <c r="D17" s="14"/>
    </row>
    <row r="18" spans="2:10" s="29" customFormat="1" x14ac:dyDescent="0.35">
      <c r="B18" s="274">
        <v>4</v>
      </c>
      <c r="C18" s="226" t="s">
        <v>144</v>
      </c>
      <c r="D18" s="273">
        <v>0</v>
      </c>
    </row>
    <row r="19" spans="2:10" s="29" customFormat="1" ht="29" x14ac:dyDescent="0.35">
      <c r="B19" s="6"/>
      <c r="C19" s="8" t="s">
        <v>172</v>
      </c>
      <c r="D19" s="14"/>
    </row>
    <row r="20" spans="2:10" s="29" customFormat="1" x14ac:dyDescent="0.35">
      <c r="B20" s="35"/>
      <c r="C20" s="16" t="s">
        <v>24</v>
      </c>
      <c r="D20" s="36">
        <f>D11</f>
        <v>404570301.78000003</v>
      </c>
      <c r="E20" s="312">
        <f>(D16+D15)/D14</f>
        <v>3.0457030178000002</v>
      </c>
    </row>
    <row r="21" spans="2:10" x14ac:dyDescent="0.35">
      <c r="D21" s="12"/>
    </row>
    <row r="22" spans="2:10" x14ac:dyDescent="0.35">
      <c r="C22" s="28"/>
      <c r="D22" s="28"/>
    </row>
    <row r="23" spans="2:10" x14ac:dyDescent="0.35">
      <c r="B23" s="38"/>
      <c r="C23" s="25" t="s">
        <v>145</v>
      </c>
      <c r="D23" s="24">
        <f>D16+D18</f>
        <v>300000000</v>
      </c>
    </row>
    <row r="24" spans="2:10" ht="15" thickBot="1" x14ac:dyDescent="0.4"/>
    <row r="25" spans="2:10" ht="15" thickBot="1" x14ac:dyDescent="0.4">
      <c r="D25" s="14">
        <f>D20-D11</f>
        <v>0</v>
      </c>
      <c r="F25" s="331" t="s">
        <v>433</v>
      </c>
      <c r="G25" s="332"/>
      <c r="H25" s="332"/>
      <c r="I25" s="332"/>
      <c r="J25" s="333"/>
    </row>
    <row r="26" spans="2:10" ht="15" thickBot="1" x14ac:dyDescent="0.4">
      <c r="D26" s="14"/>
      <c r="F26" s="289" t="s">
        <v>207</v>
      </c>
      <c r="G26" s="290" t="s">
        <v>434</v>
      </c>
      <c r="H26" s="291" t="s">
        <v>435</v>
      </c>
      <c r="I26" s="290" t="s">
        <v>436</v>
      </c>
      <c r="J26" s="290" t="s">
        <v>437</v>
      </c>
    </row>
    <row r="27" spans="2:10" ht="29" x14ac:dyDescent="0.35">
      <c r="D27" s="32"/>
      <c r="F27" s="334">
        <v>1</v>
      </c>
      <c r="G27" s="292" t="s">
        <v>438</v>
      </c>
      <c r="H27" s="336">
        <v>4</v>
      </c>
      <c r="I27" s="357">
        <v>4602000</v>
      </c>
      <c r="J27" s="338" t="s">
        <v>439</v>
      </c>
    </row>
    <row r="28" spans="2:10" ht="15" thickBot="1" x14ac:dyDescent="0.4">
      <c r="D28" s="32"/>
      <c r="F28" s="340"/>
      <c r="G28" s="293" t="s">
        <v>440</v>
      </c>
      <c r="H28" s="337"/>
      <c r="I28" s="358"/>
      <c r="J28" s="339"/>
    </row>
    <row r="29" spans="2:10" ht="14.5" customHeight="1" x14ac:dyDescent="0.35">
      <c r="D29" s="32"/>
      <c r="F29" s="334">
        <v>2</v>
      </c>
      <c r="G29" s="292" t="s">
        <v>511</v>
      </c>
      <c r="H29" s="336">
        <v>4</v>
      </c>
      <c r="I29" s="357">
        <v>167088000</v>
      </c>
      <c r="J29" s="292" t="s">
        <v>441</v>
      </c>
    </row>
    <row r="30" spans="2:10" ht="72.5" x14ac:dyDescent="0.35">
      <c r="D30" s="32"/>
      <c r="F30" s="335"/>
      <c r="G30" s="292" t="s">
        <v>512</v>
      </c>
      <c r="H30" s="341"/>
      <c r="I30" s="359"/>
      <c r="J30" s="292" t="s">
        <v>442</v>
      </c>
    </row>
    <row r="31" spans="2:10" ht="29" x14ac:dyDescent="0.35">
      <c r="F31" s="335"/>
      <c r="G31" s="292" t="s">
        <v>443</v>
      </c>
      <c r="H31" s="341"/>
      <c r="I31" s="359"/>
      <c r="J31" s="296" t="s">
        <v>444</v>
      </c>
    </row>
    <row r="32" spans="2:10" x14ac:dyDescent="0.35">
      <c r="F32" s="335"/>
      <c r="G32" s="292" t="s">
        <v>513</v>
      </c>
      <c r="H32" s="341"/>
      <c r="I32" s="359"/>
      <c r="J32" s="297"/>
    </row>
    <row r="33" spans="6:11" ht="14.5" customHeight="1" x14ac:dyDescent="0.35">
      <c r="F33" s="335"/>
      <c r="G33" s="292" t="s">
        <v>445</v>
      </c>
      <c r="H33" s="341"/>
      <c r="I33" s="359"/>
      <c r="J33" s="297"/>
    </row>
    <row r="34" spans="6:11" ht="29" x14ac:dyDescent="0.35">
      <c r="F34" s="335"/>
      <c r="G34" s="292" t="s">
        <v>514</v>
      </c>
      <c r="H34" s="341"/>
      <c r="I34" s="359"/>
      <c r="J34" s="297"/>
    </row>
    <row r="35" spans="6:11" x14ac:dyDescent="0.35">
      <c r="F35" s="335"/>
      <c r="G35" s="292" t="s">
        <v>446</v>
      </c>
      <c r="H35" s="341"/>
      <c r="I35" s="359"/>
      <c r="J35" s="297"/>
    </row>
    <row r="36" spans="6:11" ht="29.5" thickBot="1" x14ac:dyDescent="0.4">
      <c r="F36" s="340"/>
      <c r="G36" s="293" t="s">
        <v>515</v>
      </c>
      <c r="H36" s="337"/>
      <c r="I36" s="358"/>
      <c r="J36" s="298"/>
    </row>
    <row r="37" spans="6:11" ht="58.5" thickBot="1" x14ac:dyDescent="0.4">
      <c r="F37" s="294">
        <v>3</v>
      </c>
      <c r="G37" s="293" t="s">
        <v>447</v>
      </c>
      <c r="H37" s="299">
        <v>1</v>
      </c>
      <c r="I37" s="360">
        <v>26297515.399999999</v>
      </c>
      <c r="J37" s="295" t="s">
        <v>448</v>
      </c>
      <c r="K37" s="28" t="s">
        <v>521</v>
      </c>
    </row>
    <row r="38" spans="6:11" ht="29" x14ac:dyDescent="0.35">
      <c r="F38" s="334">
        <v>4</v>
      </c>
      <c r="G38" s="292" t="s">
        <v>449</v>
      </c>
      <c r="H38" s="336">
        <v>1</v>
      </c>
      <c r="I38" s="357">
        <v>1257502.3999999999</v>
      </c>
      <c r="J38" s="292" t="s">
        <v>450</v>
      </c>
    </row>
    <row r="39" spans="6:11" ht="29" x14ac:dyDescent="0.35">
      <c r="F39" s="335"/>
      <c r="G39" s="292" t="s">
        <v>451</v>
      </c>
      <c r="H39" s="341"/>
      <c r="I39" s="359"/>
      <c r="J39" s="292" t="s">
        <v>452</v>
      </c>
    </row>
    <row r="40" spans="6:11" ht="29.5" thickBot="1" x14ac:dyDescent="0.4">
      <c r="F40" s="340"/>
      <c r="G40" s="293" t="s">
        <v>453</v>
      </c>
      <c r="H40" s="337"/>
      <c r="I40" s="358"/>
      <c r="J40" s="295" t="s">
        <v>454</v>
      </c>
    </row>
    <row r="41" spans="6:11" ht="44" thickBot="1" x14ac:dyDescent="0.4">
      <c r="F41" s="294">
        <v>5</v>
      </c>
      <c r="G41" s="293" t="s">
        <v>455</v>
      </c>
      <c r="H41" s="299">
        <v>1</v>
      </c>
      <c r="I41" s="360">
        <v>1823100</v>
      </c>
      <c r="J41" s="295" t="s">
        <v>456</v>
      </c>
    </row>
    <row r="42" spans="6:11" ht="29.5" thickBot="1" x14ac:dyDescent="0.4">
      <c r="F42" s="294">
        <v>6</v>
      </c>
      <c r="G42" s="293" t="s">
        <v>457</v>
      </c>
      <c r="H42" s="299">
        <v>5</v>
      </c>
      <c r="I42" s="360">
        <v>2655000</v>
      </c>
      <c r="J42" s="295" t="s">
        <v>458</v>
      </c>
    </row>
    <row r="43" spans="6:11" ht="29.5" thickBot="1" x14ac:dyDescent="0.4">
      <c r="F43" s="294">
        <v>7</v>
      </c>
      <c r="G43" s="293" t="s">
        <v>459</v>
      </c>
      <c r="H43" s="299">
        <v>5</v>
      </c>
      <c r="I43" s="360">
        <v>354000</v>
      </c>
      <c r="J43" s="295" t="s">
        <v>458</v>
      </c>
    </row>
    <row r="44" spans="6:11" ht="29.5" thickBot="1" x14ac:dyDescent="0.4">
      <c r="F44" s="294">
        <v>8</v>
      </c>
      <c r="G44" s="293" t="s">
        <v>460</v>
      </c>
      <c r="H44" s="299">
        <v>5</v>
      </c>
      <c r="I44" s="360">
        <v>185850</v>
      </c>
      <c r="J44" s="295" t="s">
        <v>458</v>
      </c>
    </row>
    <row r="45" spans="6:11" ht="15" thickBot="1" x14ac:dyDescent="0.4">
      <c r="F45" s="294">
        <v>9</v>
      </c>
      <c r="G45" s="293" t="s">
        <v>461</v>
      </c>
      <c r="H45" s="299">
        <v>1</v>
      </c>
      <c r="I45" s="360">
        <v>3351200</v>
      </c>
      <c r="J45" s="295" t="s">
        <v>462</v>
      </c>
    </row>
    <row r="46" spans="6:11" ht="29.5" thickBot="1" x14ac:dyDescent="0.4">
      <c r="F46" s="294">
        <v>10</v>
      </c>
      <c r="G46" s="293" t="s">
        <v>463</v>
      </c>
      <c r="H46" s="299">
        <v>2</v>
      </c>
      <c r="I46" s="360">
        <v>2978320</v>
      </c>
      <c r="J46" s="295" t="s">
        <v>464</v>
      </c>
    </row>
    <row r="47" spans="6:11" ht="73" thickBot="1" x14ac:dyDescent="0.4">
      <c r="F47" s="294">
        <v>11</v>
      </c>
      <c r="G47" s="293" t="s">
        <v>465</v>
      </c>
      <c r="H47" s="299">
        <v>1</v>
      </c>
      <c r="I47" s="360">
        <v>10738000</v>
      </c>
      <c r="J47" s="295" t="s">
        <v>466</v>
      </c>
      <c r="K47" s="28">
        <f>91*1.18</f>
        <v>107.38</v>
      </c>
    </row>
    <row r="48" spans="6:11" ht="14.5" customHeight="1" x14ac:dyDescent="0.35">
      <c r="F48" s="334">
        <v>12</v>
      </c>
      <c r="G48" s="292" t="s">
        <v>467</v>
      </c>
      <c r="H48" s="336">
        <v>1</v>
      </c>
      <c r="I48" s="357">
        <v>5900000</v>
      </c>
      <c r="J48" s="338" t="s">
        <v>466</v>
      </c>
      <c r="K48" s="28">
        <f>0.5*1.18</f>
        <v>0.59</v>
      </c>
    </row>
    <row r="49" spans="6:10" ht="15" thickBot="1" x14ac:dyDescent="0.4">
      <c r="F49" s="340"/>
      <c r="G49" s="293" t="s">
        <v>468</v>
      </c>
      <c r="H49" s="337"/>
      <c r="I49" s="358"/>
      <c r="J49" s="339"/>
    </row>
    <row r="50" spans="6:10" x14ac:dyDescent="0.35">
      <c r="F50" s="334">
        <v>13</v>
      </c>
      <c r="G50" s="292" t="s">
        <v>469</v>
      </c>
      <c r="H50" s="336">
        <v>1</v>
      </c>
      <c r="I50" s="357">
        <v>4930375</v>
      </c>
      <c r="J50" s="338" t="s">
        <v>470</v>
      </c>
    </row>
    <row r="51" spans="6:10" ht="15" thickBot="1" x14ac:dyDescent="0.4">
      <c r="F51" s="340"/>
      <c r="G51" s="293" t="s">
        <v>471</v>
      </c>
      <c r="H51" s="337"/>
      <c r="I51" s="358"/>
      <c r="J51" s="339"/>
    </row>
    <row r="52" spans="6:10" ht="29.5" thickBot="1" x14ac:dyDescent="0.4">
      <c r="F52" s="294">
        <v>14</v>
      </c>
      <c r="G52" s="293" t="s">
        <v>472</v>
      </c>
      <c r="H52" s="299">
        <v>1</v>
      </c>
      <c r="I52" s="360">
        <v>1583332</v>
      </c>
      <c r="J52" s="295" t="s">
        <v>473</v>
      </c>
    </row>
    <row r="53" spans="6:10" ht="29.5" thickBot="1" x14ac:dyDescent="0.4">
      <c r="F53" s="294">
        <v>15</v>
      </c>
      <c r="G53" s="293" t="s">
        <v>474</v>
      </c>
      <c r="H53" s="299">
        <v>1</v>
      </c>
      <c r="I53" s="360">
        <v>1105911</v>
      </c>
      <c r="J53" s="295" t="s">
        <v>473</v>
      </c>
    </row>
    <row r="54" spans="6:10" ht="29.5" thickBot="1" x14ac:dyDescent="0.4">
      <c r="F54" s="294">
        <v>16</v>
      </c>
      <c r="G54" s="293" t="s">
        <v>516</v>
      </c>
      <c r="H54" s="299">
        <v>1</v>
      </c>
      <c r="I54" s="360">
        <v>5378062.54</v>
      </c>
      <c r="J54" s="295" t="s">
        <v>517</v>
      </c>
    </row>
    <row r="55" spans="6:10" ht="29.5" thickBot="1" x14ac:dyDescent="0.4">
      <c r="F55" s="294">
        <v>17</v>
      </c>
      <c r="G55" s="293" t="s">
        <v>518</v>
      </c>
      <c r="H55" s="299">
        <v>1</v>
      </c>
      <c r="I55" s="360">
        <v>271400</v>
      </c>
      <c r="J55" s="295" t="s">
        <v>519</v>
      </c>
    </row>
    <row r="56" spans="6:10" ht="29.5" thickBot="1" x14ac:dyDescent="0.4">
      <c r="F56" s="294">
        <v>18</v>
      </c>
      <c r="G56" s="293" t="s">
        <v>520</v>
      </c>
      <c r="H56" s="299">
        <v>1</v>
      </c>
      <c r="I56" s="360">
        <v>60000000</v>
      </c>
      <c r="J56" s="295" t="s">
        <v>475</v>
      </c>
    </row>
    <row r="57" spans="6:10" ht="44" thickBot="1" x14ac:dyDescent="0.4">
      <c r="F57" s="294">
        <v>19</v>
      </c>
      <c r="G57" s="293" t="s">
        <v>476</v>
      </c>
      <c r="H57" s="299">
        <v>1</v>
      </c>
      <c r="I57" s="360">
        <v>5310000</v>
      </c>
      <c r="J57" s="295" t="s">
        <v>477</v>
      </c>
    </row>
    <row r="58" spans="6:10" ht="15" thickBot="1" x14ac:dyDescent="0.4">
      <c r="F58" s="294">
        <v>20</v>
      </c>
      <c r="G58" s="293" t="s">
        <v>507</v>
      </c>
      <c r="H58" s="299">
        <v>1</v>
      </c>
      <c r="I58" s="360">
        <v>2180000</v>
      </c>
      <c r="J58" s="295" t="s">
        <v>508</v>
      </c>
    </row>
    <row r="59" spans="6:10" ht="29.5" thickBot="1" x14ac:dyDescent="0.4">
      <c r="F59" s="294">
        <v>21</v>
      </c>
      <c r="G59" s="293" t="s">
        <v>509</v>
      </c>
      <c r="H59" s="299">
        <v>1</v>
      </c>
      <c r="I59" s="360">
        <v>6010733.4400000004</v>
      </c>
      <c r="J59" s="295" t="s">
        <v>510</v>
      </c>
    </row>
    <row r="60" spans="6:10" ht="15" thickBot="1" x14ac:dyDescent="0.4">
      <c r="F60" s="331" t="s">
        <v>149</v>
      </c>
      <c r="G60" s="333"/>
      <c r="H60" s="300"/>
      <c r="I60" s="301">
        <f>SUM(I27:I59)</f>
        <v>314000301.78000003</v>
      </c>
      <c r="J60" s="302"/>
    </row>
    <row r="63" spans="6:10" x14ac:dyDescent="0.35">
      <c r="I63" s="303"/>
    </row>
    <row r="68" spans="11:11" ht="14.5" customHeight="1" x14ac:dyDescent="0.35"/>
    <row r="70" spans="11:11" ht="14.5" customHeight="1" x14ac:dyDescent="0.35"/>
    <row r="74" spans="11:11" ht="14.5" customHeight="1" x14ac:dyDescent="0.35"/>
    <row r="80" spans="11:11" x14ac:dyDescent="0.35">
      <c r="K80" s="356"/>
    </row>
    <row r="81" spans="11:11" x14ac:dyDescent="0.35">
      <c r="K81" s="356"/>
    </row>
    <row r="82" spans="11:11" x14ac:dyDescent="0.35">
      <c r="K82" s="356"/>
    </row>
    <row r="83" spans="11:11" x14ac:dyDescent="0.35">
      <c r="K83" s="356"/>
    </row>
    <row r="84" spans="11:11" x14ac:dyDescent="0.35">
      <c r="K84" s="356"/>
    </row>
  </sheetData>
  <customSheetViews>
    <customSheetView guid="{22475485-DA09-46DB-978D-BB94CE1E5597}" topLeftCell="A7">
      <selection activeCell="B13" sqref="B13"/>
      <pageMargins left="0.7" right="0.7" top="0.75" bottom="0.75" header="0.3" footer="0.3"/>
      <pageSetup paperSize="9" orientation="portrait" verticalDpi="300" r:id="rId1"/>
    </customSheetView>
  </customSheetViews>
  <mergeCells count="21">
    <mergeCell ref="F60:G60"/>
    <mergeCell ref="J48:J49"/>
    <mergeCell ref="F50:F51"/>
    <mergeCell ref="H50:H51"/>
    <mergeCell ref="I50:I51"/>
    <mergeCell ref="J50:J51"/>
    <mergeCell ref="F48:F49"/>
    <mergeCell ref="H48:H49"/>
    <mergeCell ref="I48:I49"/>
    <mergeCell ref="F38:F40"/>
    <mergeCell ref="H38:H40"/>
    <mergeCell ref="I38:I40"/>
    <mergeCell ref="F29:F36"/>
    <mergeCell ref="H29:H36"/>
    <mergeCell ref="I29:I36"/>
    <mergeCell ref="B2:D2"/>
    <mergeCell ref="F25:J25"/>
    <mergeCell ref="F27:F28"/>
    <mergeCell ref="H27:H28"/>
    <mergeCell ref="I27:I28"/>
    <mergeCell ref="J27:J28"/>
  </mergeCells>
  <pageMargins left="0.7" right="0.7" top="0.75" bottom="0.75" header="0.3" footer="0.3"/>
  <pageSetup paperSize="9"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0070C0"/>
  </sheetPr>
  <dimension ref="A2:O161"/>
  <sheetViews>
    <sheetView showGridLines="0" topLeftCell="B1" workbookViewId="0">
      <pane xSplit="3" ySplit="4" topLeftCell="E5" activePane="bottomRight" state="frozen"/>
      <selection activeCell="B1" sqref="B1"/>
      <selection pane="topRight" activeCell="D1" sqref="D1"/>
      <selection pane="bottomLeft" activeCell="B8" sqref="B8"/>
      <selection pane="bottomRight" activeCell="C15" sqref="C15"/>
    </sheetView>
  </sheetViews>
  <sheetFormatPr defaultColWidth="9.1796875" defaultRowHeight="14.5" x14ac:dyDescent="0.35"/>
  <cols>
    <col min="1" max="1" width="7" style="29" customWidth="1"/>
    <col min="2" max="2" width="5.54296875" style="29" customWidth="1"/>
    <col min="3" max="3" width="21.81640625" style="6" customWidth="1"/>
    <col min="4" max="4" width="18.26953125" style="29" customWidth="1"/>
    <col min="5" max="5" width="15" style="29" customWidth="1"/>
    <col min="6" max="6" width="17.1796875" style="29" customWidth="1"/>
    <col min="7" max="7" width="17.26953125" style="29" customWidth="1"/>
    <col min="8" max="8" width="14.26953125" style="29" customWidth="1"/>
    <col min="9" max="14" width="12.7265625" style="29" customWidth="1"/>
    <col min="15" max="15" width="9.453125" style="29" bestFit="1" customWidth="1"/>
    <col min="16" max="16384" width="9.1796875" style="29"/>
  </cols>
  <sheetData>
    <row r="2" spans="1:15" ht="19.5" customHeight="1" x14ac:dyDescent="0.35">
      <c r="A2" s="117"/>
      <c r="C2" s="82" t="s">
        <v>209</v>
      </c>
      <c r="D2" s="75"/>
      <c r="E2" s="75"/>
      <c r="F2" s="75"/>
      <c r="G2" s="75"/>
      <c r="H2" s="75"/>
      <c r="I2" s="75"/>
      <c r="J2" s="75"/>
      <c r="K2" s="75"/>
      <c r="L2" s="75"/>
      <c r="M2" s="75"/>
      <c r="N2" s="75"/>
      <c r="O2" s="75"/>
    </row>
    <row r="3" spans="1:15" x14ac:dyDescent="0.35">
      <c r="C3" s="39"/>
    </row>
    <row r="4" spans="1:15" x14ac:dyDescent="0.35">
      <c r="C4" s="53" t="s">
        <v>210</v>
      </c>
      <c r="D4" s="118">
        <v>2025</v>
      </c>
      <c r="E4" s="118">
        <f t="shared" ref="E4:K4" si="0">D4+1</f>
        <v>2026</v>
      </c>
      <c r="F4" s="118">
        <f t="shared" si="0"/>
        <v>2027</v>
      </c>
      <c r="G4" s="118">
        <f t="shared" si="0"/>
        <v>2028</v>
      </c>
      <c r="H4" s="118">
        <f t="shared" si="0"/>
        <v>2029</v>
      </c>
      <c r="I4" s="118">
        <f t="shared" si="0"/>
        <v>2030</v>
      </c>
      <c r="J4" s="118">
        <f>I4+1</f>
        <v>2031</v>
      </c>
      <c r="K4" s="118">
        <f t="shared" si="0"/>
        <v>2032</v>
      </c>
      <c r="L4" s="118">
        <f>K4+1</f>
        <v>2033</v>
      </c>
      <c r="M4" s="118">
        <f t="shared" ref="M4:N4" si="1">L4+1</f>
        <v>2034</v>
      </c>
      <c r="N4" s="118">
        <f t="shared" si="1"/>
        <v>2035</v>
      </c>
      <c r="O4" s="118" t="s">
        <v>149</v>
      </c>
    </row>
    <row r="5" spans="1:15" x14ac:dyDescent="0.35">
      <c r="C5" s="6" t="s">
        <v>158</v>
      </c>
      <c r="D5" s="123">
        <v>0</v>
      </c>
      <c r="E5" s="123">
        <f>D8</f>
        <v>3000</v>
      </c>
      <c r="F5" s="123">
        <f t="shared" ref="F5:K5" si="2">E8</f>
        <v>3000</v>
      </c>
      <c r="G5" s="123">
        <f t="shared" si="2"/>
        <v>2687.5</v>
      </c>
      <c r="H5" s="123">
        <f t="shared" si="2"/>
        <v>2312.5</v>
      </c>
      <c r="I5" s="123">
        <f t="shared" si="2"/>
        <v>1937.5</v>
      </c>
      <c r="J5" s="123">
        <f t="shared" si="2"/>
        <v>1562.5</v>
      </c>
      <c r="K5" s="123">
        <f t="shared" si="2"/>
        <v>1187.5</v>
      </c>
      <c r="L5" s="123">
        <f t="shared" ref="L5" si="3">K8</f>
        <v>812.5</v>
      </c>
      <c r="M5" s="123">
        <f t="shared" ref="M5" si="4">L8</f>
        <v>437.5</v>
      </c>
      <c r="N5" s="123">
        <f t="shared" ref="N5" si="5">M8</f>
        <v>62.5</v>
      </c>
      <c r="O5" s="192"/>
    </row>
    <row r="6" spans="1:15" x14ac:dyDescent="0.35">
      <c r="C6" s="6" t="s">
        <v>157</v>
      </c>
      <c r="D6" s="123">
        <f>'CoP-MoF'!D16/A</f>
        <v>3000</v>
      </c>
      <c r="E6" s="123">
        <v>0</v>
      </c>
      <c r="F6" s="123">
        <v>0</v>
      </c>
      <c r="G6" s="123">
        <v>0</v>
      </c>
      <c r="H6" s="123">
        <v>0</v>
      </c>
      <c r="I6" s="123">
        <v>0</v>
      </c>
      <c r="J6" s="123">
        <v>0</v>
      </c>
      <c r="K6" s="123">
        <v>0</v>
      </c>
      <c r="L6" s="123">
        <v>0</v>
      </c>
      <c r="M6" s="123">
        <v>0</v>
      </c>
      <c r="N6" s="123">
        <v>0</v>
      </c>
      <c r="O6" s="199">
        <f>SUM(D6:N6)</f>
        <v>3000</v>
      </c>
    </row>
    <row r="7" spans="1:15" x14ac:dyDescent="0.35">
      <c r="C7" s="6" t="s">
        <v>150</v>
      </c>
      <c r="D7" s="123">
        <f>SUM(E20:E31)/A</f>
        <v>0</v>
      </c>
      <c r="E7" s="123">
        <f>SUM(E33:E44)/A</f>
        <v>0</v>
      </c>
      <c r="F7" s="123">
        <f>SUM(E46:E57)/A</f>
        <v>312.5</v>
      </c>
      <c r="G7" s="123">
        <f>SUM(E59:E70)/A</f>
        <v>375</v>
      </c>
      <c r="H7" s="123">
        <f>SUM(E72:E83)/A</f>
        <v>375</v>
      </c>
      <c r="I7" s="123">
        <f>SUM(E85:E96)/A</f>
        <v>375</v>
      </c>
      <c r="J7" s="123">
        <f>SUM(E98:E109)/A</f>
        <v>375</v>
      </c>
      <c r="K7" s="123">
        <f>SUM(E111:E122)/A</f>
        <v>375</v>
      </c>
      <c r="L7" s="123">
        <f>SUM(E124:E135)/A</f>
        <v>375</v>
      </c>
      <c r="M7" s="123">
        <f>SUM(E137:E148)/A</f>
        <v>375</v>
      </c>
      <c r="N7" s="123">
        <f>SUM(E150:E161)/A</f>
        <v>62.5</v>
      </c>
      <c r="O7" s="199">
        <f>SUM(D7:N7)</f>
        <v>3000</v>
      </c>
    </row>
    <row r="8" spans="1:15" x14ac:dyDescent="0.35">
      <c r="C8" s="6" t="s">
        <v>151</v>
      </c>
      <c r="D8" s="123">
        <f t="shared" ref="D8:L8" si="6">D5+D6-D7</f>
        <v>3000</v>
      </c>
      <c r="E8" s="123">
        <f t="shared" si="6"/>
        <v>3000</v>
      </c>
      <c r="F8" s="123">
        <f t="shared" si="6"/>
        <v>2687.5</v>
      </c>
      <c r="G8" s="123">
        <f t="shared" si="6"/>
        <v>2312.5</v>
      </c>
      <c r="H8" s="123">
        <f t="shared" si="6"/>
        <v>1937.5</v>
      </c>
      <c r="I8" s="123">
        <f t="shared" si="6"/>
        <v>1562.5</v>
      </c>
      <c r="J8" s="123">
        <f t="shared" si="6"/>
        <v>1187.5</v>
      </c>
      <c r="K8" s="123">
        <f t="shared" si="6"/>
        <v>812.5</v>
      </c>
      <c r="L8" s="123">
        <f t="shared" si="6"/>
        <v>437.5</v>
      </c>
      <c r="M8" s="123">
        <f t="shared" ref="M8:N8" si="7">M5+M6-M7</f>
        <v>62.5</v>
      </c>
      <c r="N8" s="123">
        <f t="shared" si="7"/>
        <v>0</v>
      </c>
      <c r="O8" s="199"/>
    </row>
    <row r="9" spans="1:15" x14ac:dyDescent="0.35">
      <c r="B9" s="119">
        <v>0.09</v>
      </c>
      <c r="C9" s="6" t="s">
        <v>72</v>
      </c>
      <c r="D9" s="123">
        <f>SUM(G20:G31)/A</f>
        <v>212.5</v>
      </c>
      <c r="E9" s="123">
        <f>SUM(G33:G44)/A</f>
        <v>300</v>
      </c>
      <c r="F9" s="123">
        <f>SUM(G46:G57)/A</f>
        <v>286.97916666666663</v>
      </c>
      <c r="G9" s="123">
        <f>SUM(G59:G70)/A</f>
        <v>250</v>
      </c>
      <c r="H9" s="123">
        <f>SUM(G72:G83)/A</f>
        <v>212.5</v>
      </c>
      <c r="I9" s="123">
        <f>SUM(G85:G96)/A</f>
        <v>175</v>
      </c>
      <c r="J9" s="123">
        <f>SUM(G98:G109)/A</f>
        <v>137.5</v>
      </c>
      <c r="K9" s="123">
        <f>SUM(G111:G122)/A</f>
        <v>100</v>
      </c>
      <c r="L9" s="123">
        <f>SUM(G124:G135)/A</f>
        <v>62.5</v>
      </c>
      <c r="M9" s="123">
        <f>SUM(G137:G148)/A</f>
        <v>25</v>
      </c>
      <c r="N9" s="123">
        <f>SUM(G150:G161)/A</f>
        <v>0.52083333333333337</v>
      </c>
      <c r="O9" s="199">
        <f>SUM(D9:N9)</f>
        <v>1762.4999999999998</v>
      </c>
    </row>
    <row r="10" spans="1:15" x14ac:dyDescent="0.35">
      <c r="C10" s="6" t="s">
        <v>152</v>
      </c>
      <c r="D10" s="123">
        <f>SUM(G20:G27)/A</f>
        <v>112.5</v>
      </c>
      <c r="E10" s="123">
        <v>0</v>
      </c>
      <c r="F10" s="123">
        <v>0</v>
      </c>
      <c r="G10" s="123">
        <v>0</v>
      </c>
      <c r="H10" s="123">
        <v>0</v>
      </c>
      <c r="I10" s="123">
        <v>0</v>
      </c>
      <c r="J10" s="123">
        <v>0</v>
      </c>
      <c r="K10" s="123">
        <v>0</v>
      </c>
      <c r="L10" s="123">
        <v>0</v>
      </c>
      <c r="M10" s="123">
        <v>0</v>
      </c>
      <c r="N10" s="123">
        <v>0</v>
      </c>
      <c r="O10" s="199">
        <f>SUM(D10:N10)</f>
        <v>112.5</v>
      </c>
    </row>
    <row r="11" spans="1:15" x14ac:dyDescent="0.35">
      <c r="C11" s="53" t="s">
        <v>153</v>
      </c>
      <c r="D11" s="198">
        <f t="shared" ref="D11:L11" si="8">D9-D10</f>
        <v>100</v>
      </c>
      <c r="E11" s="198">
        <f>E9-E10</f>
        <v>300</v>
      </c>
      <c r="F11" s="198">
        <f t="shared" si="8"/>
        <v>286.97916666666663</v>
      </c>
      <c r="G11" s="198">
        <f t="shared" si="8"/>
        <v>250</v>
      </c>
      <c r="H11" s="198">
        <f t="shared" si="8"/>
        <v>212.5</v>
      </c>
      <c r="I11" s="198">
        <f t="shared" si="8"/>
        <v>175</v>
      </c>
      <c r="J11" s="198">
        <f t="shared" si="8"/>
        <v>137.5</v>
      </c>
      <c r="K11" s="198">
        <f t="shared" si="8"/>
        <v>100</v>
      </c>
      <c r="L11" s="198">
        <f t="shared" si="8"/>
        <v>62.5</v>
      </c>
      <c r="M11" s="198">
        <f t="shared" ref="M11:N11" si="9">M9-M10</f>
        <v>25</v>
      </c>
      <c r="N11" s="198">
        <f t="shared" si="9"/>
        <v>0.52083333333333337</v>
      </c>
      <c r="O11" s="198">
        <f>SUM(D11:N11)</f>
        <v>1649.9999999999998</v>
      </c>
    </row>
    <row r="13" spans="1:15" x14ac:dyDescent="0.35">
      <c r="C13" s="39" t="s">
        <v>277</v>
      </c>
    </row>
    <row r="15" spans="1:15" x14ac:dyDescent="0.35">
      <c r="C15" s="53" t="s">
        <v>278</v>
      </c>
      <c r="D15" s="118">
        <f>'CoP-MoF'!D16</f>
        <v>300000000</v>
      </c>
      <c r="E15" s="355" t="s">
        <v>279</v>
      </c>
      <c r="F15" s="69" t="s">
        <v>280</v>
      </c>
      <c r="G15" s="69">
        <v>8</v>
      </c>
    </row>
    <row r="16" spans="1:15" x14ac:dyDescent="0.35">
      <c r="C16" s="53" t="s">
        <v>281</v>
      </c>
      <c r="D16" s="121">
        <v>0.1</v>
      </c>
      <c r="E16" s="355"/>
      <c r="F16" s="121" t="s">
        <v>311</v>
      </c>
      <c r="G16" s="69"/>
      <c r="H16" s="4" t="s">
        <v>282</v>
      </c>
      <c r="I16" s="4" t="s">
        <v>283</v>
      </c>
    </row>
    <row r="17" spans="3:10" x14ac:dyDescent="0.35">
      <c r="C17" s="212"/>
      <c r="D17" s="213"/>
      <c r="E17" s="213"/>
      <c r="F17" s="213"/>
      <c r="G17" s="213"/>
    </row>
    <row r="18" spans="3:10" x14ac:dyDescent="0.35">
      <c r="C18" s="212"/>
      <c r="D18" s="214" t="s">
        <v>284</v>
      </c>
      <c r="E18" s="214" t="s">
        <v>285</v>
      </c>
      <c r="F18" s="214" t="s">
        <v>286</v>
      </c>
      <c r="G18" s="214" t="s">
        <v>72</v>
      </c>
      <c r="H18" s="4" t="s">
        <v>287</v>
      </c>
    </row>
    <row r="19" spans="3:10" x14ac:dyDescent="0.35">
      <c r="C19" s="215" t="s">
        <v>297</v>
      </c>
      <c r="D19" s="216"/>
      <c r="E19" s="216"/>
      <c r="F19" s="216"/>
      <c r="G19" s="216"/>
      <c r="H19" s="218"/>
      <c r="I19" s="219"/>
    </row>
    <row r="20" spans="3:10" x14ac:dyDescent="0.35">
      <c r="C20" s="220" t="s">
        <v>298</v>
      </c>
      <c r="D20" s="216">
        <f>+F19+$D$15*H20</f>
        <v>0</v>
      </c>
      <c r="E20" s="216">
        <f t="shared" ref="E20:E31" si="10">E19</f>
        <v>0</v>
      </c>
      <c r="F20" s="216">
        <f t="shared" ref="F20:F31" si="11">D20-E20</f>
        <v>0</v>
      </c>
      <c r="G20" s="216">
        <f t="shared" ref="G20:G31" si="12">AVERAGE(D20,F20)*$D$16/12</f>
        <v>0</v>
      </c>
      <c r="H20" s="119"/>
      <c r="I20" s="219"/>
    </row>
    <row r="21" spans="3:10" x14ac:dyDescent="0.35">
      <c r="C21" s="220" t="s">
        <v>299</v>
      </c>
      <c r="D21" s="216">
        <f>+F20+D15*H21</f>
        <v>0</v>
      </c>
      <c r="E21" s="216">
        <f t="shared" si="10"/>
        <v>0</v>
      </c>
      <c r="F21" s="216">
        <f t="shared" si="11"/>
        <v>0</v>
      </c>
      <c r="G21" s="216">
        <f t="shared" si="12"/>
        <v>0</v>
      </c>
      <c r="H21" s="119"/>
      <c r="I21" s="219"/>
    </row>
    <row r="22" spans="3:10" x14ac:dyDescent="0.35">
      <c r="C22" s="220" t="s">
        <v>300</v>
      </c>
      <c r="D22" s="216">
        <f t="shared" ref="D22:D27" si="13">+F21+$D$15*H22</f>
        <v>75000000</v>
      </c>
      <c r="E22" s="216">
        <f t="shared" si="10"/>
        <v>0</v>
      </c>
      <c r="F22" s="216">
        <f t="shared" si="11"/>
        <v>75000000</v>
      </c>
      <c r="G22" s="216">
        <f t="shared" si="12"/>
        <v>625000</v>
      </c>
      <c r="H22" s="119">
        <v>0.25</v>
      </c>
      <c r="I22" s="219"/>
    </row>
    <row r="23" spans="3:10" x14ac:dyDescent="0.35">
      <c r="C23" s="220" t="s">
        <v>289</v>
      </c>
      <c r="D23" s="216">
        <f t="shared" si="13"/>
        <v>150000000</v>
      </c>
      <c r="E23" s="216">
        <f t="shared" si="10"/>
        <v>0</v>
      </c>
      <c r="F23" s="216">
        <f t="shared" si="11"/>
        <v>150000000</v>
      </c>
      <c r="G23" s="216">
        <f t="shared" si="12"/>
        <v>1250000</v>
      </c>
      <c r="H23" s="119">
        <v>0.25</v>
      </c>
      <c r="I23" s="219"/>
    </row>
    <row r="24" spans="3:10" x14ac:dyDescent="0.35">
      <c r="C24" s="220" t="s">
        <v>290</v>
      </c>
      <c r="D24" s="216">
        <f t="shared" si="13"/>
        <v>225000000</v>
      </c>
      <c r="E24" s="216">
        <f t="shared" si="10"/>
        <v>0</v>
      </c>
      <c r="F24" s="216">
        <f t="shared" si="11"/>
        <v>225000000</v>
      </c>
      <c r="G24" s="216">
        <f t="shared" si="12"/>
        <v>1875000</v>
      </c>
      <c r="H24" s="119">
        <v>0.25</v>
      </c>
      <c r="I24" s="219"/>
    </row>
    <row r="25" spans="3:10" x14ac:dyDescent="0.35">
      <c r="C25" s="220" t="s">
        <v>291</v>
      </c>
      <c r="D25" s="216">
        <f t="shared" si="13"/>
        <v>300000000</v>
      </c>
      <c r="E25" s="216">
        <f t="shared" si="10"/>
        <v>0</v>
      </c>
      <c r="F25" s="216">
        <f t="shared" si="11"/>
        <v>300000000</v>
      </c>
      <c r="G25" s="216">
        <f t="shared" si="12"/>
        <v>2500000</v>
      </c>
      <c r="H25" s="119">
        <v>0.25</v>
      </c>
      <c r="I25" s="219"/>
    </row>
    <row r="26" spans="3:10" x14ac:dyDescent="0.35">
      <c r="C26" s="220" t="s">
        <v>292</v>
      </c>
      <c r="D26" s="216">
        <f t="shared" si="13"/>
        <v>300000000</v>
      </c>
      <c r="E26" s="216">
        <v>0</v>
      </c>
      <c r="F26" s="216">
        <f t="shared" si="11"/>
        <v>300000000</v>
      </c>
      <c r="G26" s="216">
        <f t="shared" si="12"/>
        <v>2500000</v>
      </c>
      <c r="H26" s="119"/>
    </row>
    <row r="27" spans="3:10" x14ac:dyDescent="0.35">
      <c r="C27" s="220" t="s">
        <v>293</v>
      </c>
      <c r="D27" s="216">
        <f t="shared" si="13"/>
        <v>300000000</v>
      </c>
      <c r="E27" s="216">
        <v>0</v>
      </c>
      <c r="F27" s="216">
        <f t="shared" si="11"/>
        <v>300000000</v>
      </c>
      <c r="G27" s="216">
        <f t="shared" si="12"/>
        <v>2500000</v>
      </c>
      <c r="H27" s="119"/>
      <c r="I27" s="219"/>
    </row>
    <row r="28" spans="3:10" x14ac:dyDescent="0.35">
      <c r="C28" s="221" t="s">
        <v>294</v>
      </c>
      <c r="D28" s="120">
        <f t="shared" ref="D28:D31" si="14">F27</f>
        <v>300000000</v>
      </c>
      <c r="E28" s="120">
        <v>0</v>
      </c>
      <c r="F28" s="120">
        <f t="shared" si="11"/>
        <v>300000000</v>
      </c>
      <c r="G28" s="120">
        <f t="shared" si="12"/>
        <v>2500000</v>
      </c>
      <c r="H28" s="222"/>
      <c r="I28" s="225" t="s">
        <v>301</v>
      </c>
    </row>
    <row r="29" spans="3:10" x14ac:dyDescent="0.35">
      <c r="C29" s="220" t="s">
        <v>295</v>
      </c>
      <c r="D29" s="216">
        <f t="shared" si="14"/>
        <v>300000000</v>
      </c>
      <c r="E29" s="216">
        <v>0</v>
      </c>
      <c r="F29" s="216">
        <f t="shared" si="11"/>
        <v>300000000</v>
      </c>
      <c r="G29" s="216">
        <f t="shared" si="12"/>
        <v>2500000</v>
      </c>
      <c r="H29" s="224"/>
      <c r="J29" s="226"/>
    </row>
    <row r="30" spans="3:10" x14ac:dyDescent="0.35">
      <c r="C30" s="220" t="s">
        <v>296</v>
      </c>
      <c r="D30" s="216">
        <f t="shared" si="14"/>
        <v>300000000</v>
      </c>
      <c r="E30" s="216">
        <v>0</v>
      </c>
      <c r="F30" s="216">
        <f t="shared" si="11"/>
        <v>300000000</v>
      </c>
      <c r="G30" s="216">
        <f t="shared" si="12"/>
        <v>2500000</v>
      </c>
      <c r="H30" s="218"/>
      <c r="I30" s="219"/>
    </row>
    <row r="31" spans="3:10" x14ac:dyDescent="0.35">
      <c r="C31" s="220" t="s">
        <v>288</v>
      </c>
      <c r="D31" s="216">
        <f t="shared" si="14"/>
        <v>300000000</v>
      </c>
      <c r="E31" s="216">
        <f t="shared" si="10"/>
        <v>0</v>
      </c>
      <c r="F31" s="216">
        <f t="shared" si="11"/>
        <v>300000000</v>
      </c>
      <c r="G31" s="216">
        <f t="shared" si="12"/>
        <v>2500000</v>
      </c>
      <c r="H31" s="218"/>
      <c r="I31" s="225"/>
    </row>
    <row r="32" spans="3:10" x14ac:dyDescent="0.35">
      <c r="C32" s="215" t="s">
        <v>302</v>
      </c>
      <c r="D32" s="216"/>
      <c r="E32" s="216"/>
      <c r="F32" s="216"/>
      <c r="G32" s="216"/>
      <c r="H32" s="218"/>
    </row>
    <row r="33" spans="3:9" x14ac:dyDescent="0.35">
      <c r="C33" s="220" t="s">
        <v>298</v>
      </c>
      <c r="D33" s="216">
        <f>F31</f>
        <v>300000000</v>
      </c>
      <c r="E33" s="216">
        <f>E31</f>
        <v>0</v>
      </c>
      <c r="F33" s="216">
        <f>D33-E33</f>
        <v>300000000</v>
      </c>
      <c r="G33" s="216">
        <f t="shared" ref="G33:G34" si="15">AVERAGE(D33,F33)*$D$16/12</f>
        <v>2500000</v>
      </c>
      <c r="H33" s="224"/>
    </row>
    <row r="34" spans="3:9" x14ac:dyDescent="0.35">
      <c r="C34" s="220" t="s">
        <v>299</v>
      </c>
      <c r="D34" s="216">
        <f>F33</f>
        <v>300000000</v>
      </c>
      <c r="E34" s="216">
        <f>E33</f>
        <v>0</v>
      </c>
      <c r="F34" s="216">
        <f>D34-E34</f>
        <v>300000000</v>
      </c>
      <c r="G34" s="216">
        <f t="shared" si="15"/>
        <v>2500000</v>
      </c>
      <c r="H34" s="218"/>
    </row>
    <row r="35" spans="3:9" x14ac:dyDescent="0.35">
      <c r="C35" s="220" t="s">
        <v>299</v>
      </c>
      <c r="D35" s="216">
        <f t="shared" ref="D35:D44" si="16">F34</f>
        <v>300000000</v>
      </c>
      <c r="E35" s="216">
        <f t="shared" ref="E35:E44" si="17">E34</f>
        <v>0</v>
      </c>
      <c r="F35" s="216">
        <f t="shared" ref="F35:F44" si="18">D35-E35</f>
        <v>300000000</v>
      </c>
      <c r="G35" s="216">
        <f t="shared" ref="G35:G44" si="19">AVERAGE(D35,F35)*$D$16/12</f>
        <v>2500000</v>
      </c>
      <c r="H35" s="218"/>
    </row>
    <row r="36" spans="3:9" x14ac:dyDescent="0.35">
      <c r="C36" s="220" t="s">
        <v>299</v>
      </c>
      <c r="D36" s="216">
        <f t="shared" si="16"/>
        <v>300000000</v>
      </c>
      <c r="E36" s="216">
        <f t="shared" si="17"/>
        <v>0</v>
      </c>
      <c r="F36" s="216">
        <f t="shared" si="18"/>
        <v>300000000</v>
      </c>
      <c r="G36" s="216">
        <f t="shared" si="19"/>
        <v>2500000</v>
      </c>
      <c r="H36" s="218"/>
      <c r="I36" s="217"/>
    </row>
    <row r="37" spans="3:9" x14ac:dyDescent="0.35">
      <c r="C37" s="220" t="s">
        <v>299</v>
      </c>
      <c r="D37" s="216">
        <f t="shared" si="16"/>
        <v>300000000</v>
      </c>
      <c r="E37" s="216">
        <f t="shared" si="17"/>
        <v>0</v>
      </c>
      <c r="F37" s="216">
        <f t="shared" si="18"/>
        <v>300000000</v>
      </c>
      <c r="G37" s="216">
        <f t="shared" si="19"/>
        <v>2500000</v>
      </c>
      <c r="H37" s="218"/>
      <c r="I37" s="217"/>
    </row>
    <row r="38" spans="3:9" x14ac:dyDescent="0.35">
      <c r="C38" s="220" t="s">
        <v>299</v>
      </c>
      <c r="D38" s="216">
        <f t="shared" si="16"/>
        <v>300000000</v>
      </c>
      <c r="E38" s="216">
        <f t="shared" si="17"/>
        <v>0</v>
      </c>
      <c r="F38" s="216">
        <f t="shared" si="18"/>
        <v>300000000</v>
      </c>
      <c r="G38" s="216">
        <f t="shared" si="19"/>
        <v>2500000</v>
      </c>
      <c r="H38" s="218"/>
      <c r="I38" s="217"/>
    </row>
    <row r="39" spans="3:9" x14ac:dyDescent="0.35">
      <c r="C39" s="220" t="s">
        <v>299</v>
      </c>
      <c r="D39" s="216">
        <f t="shared" si="16"/>
        <v>300000000</v>
      </c>
      <c r="E39" s="216">
        <f t="shared" si="17"/>
        <v>0</v>
      </c>
      <c r="F39" s="216">
        <f t="shared" si="18"/>
        <v>300000000</v>
      </c>
      <c r="G39" s="216">
        <f t="shared" si="19"/>
        <v>2500000</v>
      </c>
      <c r="H39" s="218"/>
      <c r="I39" s="217"/>
    </row>
    <row r="40" spans="3:9" x14ac:dyDescent="0.35">
      <c r="C40" s="220" t="s">
        <v>299</v>
      </c>
      <c r="D40" s="216">
        <f t="shared" si="16"/>
        <v>300000000</v>
      </c>
      <c r="E40" s="216">
        <f t="shared" si="17"/>
        <v>0</v>
      </c>
      <c r="F40" s="216">
        <f t="shared" si="18"/>
        <v>300000000</v>
      </c>
      <c r="G40" s="216">
        <f t="shared" si="19"/>
        <v>2500000</v>
      </c>
      <c r="H40" s="218"/>
      <c r="I40" s="217"/>
    </row>
    <row r="41" spans="3:9" x14ac:dyDescent="0.35">
      <c r="C41" s="220" t="s">
        <v>299</v>
      </c>
      <c r="D41" s="216">
        <f t="shared" si="16"/>
        <v>300000000</v>
      </c>
      <c r="E41" s="216">
        <f t="shared" si="17"/>
        <v>0</v>
      </c>
      <c r="F41" s="216">
        <f t="shared" si="18"/>
        <v>300000000</v>
      </c>
      <c r="G41" s="216">
        <f t="shared" si="19"/>
        <v>2500000</v>
      </c>
      <c r="H41" s="218"/>
      <c r="I41" s="217"/>
    </row>
    <row r="42" spans="3:9" x14ac:dyDescent="0.35">
      <c r="C42" s="220" t="s">
        <v>299</v>
      </c>
      <c r="D42" s="216">
        <f t="shared" si="16"/>
        <v>300000000</v>
      </c>
      <c r="E42" s="216">
        <f t="shared" si="17"/>
        <v>0</v>
      </c>
      <c r="F42" s="216">
        <f t="shared" si="18"/>
        <v>300000000</v>
      </c>
      <c r="G42" s="216">
        <f t="shared" si="19"/>
        <v>2500000</v>
      </c>
      <c r="H42" s="218"/>
      <c r="I42" s="217"/>
    </row>
    <row r="43" spans="3:9" x14ac:dyDescent="0.35">
      <c r="C43" s="220" t="s">
        <v>299</v>
      </c>
      <c r="D43" s="216">
        <f t="shared" si="16"/>
        <v>300000000</v>
      </c>
      <c r="E43" s="216">
        <f t="shared" si="17"/>
        <v>0</v>
      </c>
      <c r="F43" s="216">
        <f t="shared" si="18"/>
        <v>300000000</v>
      </c>
      <c r="G43" s="216">
        <f t="shared" si="19"/>
        <v>2500000</v>
      </c>
      <c r="H43" s="218"/>
      <c r="I43" s="217"/>
    </row>
    <row r="44" spans="3:9" x14ac:dyDescent="0.35">
      <c r="C44" s="220" t="s">
        <v>299</v>
      </c>
      <c r="D44" s="216">
        <f t="shared" si="16"/>
        <v>300000000</v>
      </c>
      <c r="E44" s="216">
        <f t="shared" si="17"/>
        <v>0</v>
      </c>
      <c r="F44" s="216">
        <f t="shared" si="18"/>
        <v>300000000</v>
      </c>
      <c r="G44" s="216">
        <f t="shared" si="19"/>
        <v>2500000</v>
      </c>
      <c r="H44" s="218"/>
      <c r="I44" s="217"/>
    </row>
    <row r="45" spans="3:9" x14ac:dyDescent="0.35">
      <c r="C45" s="215" t="s">
        <v>304</v>
      </c>
      <c r="D45" s="216"/>
      <c r="E45" s="223"/>
      <c r="F45" s="223"/>
      <c r="G45" s="223"/>
      <c r="H45" s="218"/>
      <c r="I45" s="227"/>
    </row>
    <row r="46" spans="3:9" x14ac:dyDescent="0.35">
      <c r="C46" s="220" t="s">
        <v>298</v>
      </c>
      <c r="D46" s="216">
        <f>F44</f>
        <v>300000000</v>
      </c>
      <c r="E46" s="216">
        <f>E44</f>
        <v>0</v>
      </c>
      <c r="F46" s="216">
        <f>D46-E46</f>
        <v>300000000</v>
      </c>
      <c r="G46" s="216">
        <f t="shared" ref="G46:G47" si="20">AVERAGE(D46,F46)*$D$16/12</f>
        <v>2500000</v>
      </c>
      <c r="H46" s="218"/>
      <c r="I46" s="217"/>
    </row>
    <row r="47" spans="3:9" x14ac:dyDescent="0.35">
      <c r="C47" s="221" t="s">
        <v>299</v>
      </c>
      <c r="D47" s="120">
        <f t="shared" ref="D47" si="21">F46</f>
        <v>300000000</v>
      </c>
      <c r="E47" s="120">
        <f t="shared" ref="E47" si="22">E46</f>
        <v>0</v>
      </c>
      <c r="F47" s="120">
        <f t="shared" ref="F47" si="23">D47-E47</f>
        <v>300000000</v>
      </c>
      <c r="G47" s="120">
        <f t="shared" si="20"/>
        <v>2500000</v>
      </c>
      <c r="H47" s="218"/>
      <c r="I47" s="225" t="s">
        <v>303</v>
      </c>
    </row>
    <row r="48" spans="3:9" x14ac:dyDescent="0.35">
      <c r="C48" s="220" t="s">
        <v>300</v>
      </c>
      <c r="D48" s="216">
        <f>F47</f>
        <v>300000000</v>
      </c>
      <c r="E48" s="216">
        <f t="shared" ref="E48:E57" si="24">$D$15*$I$48/12</f>
        <v>3125000</v>
      </c>
      <c r="F48" s="216">
        <f>D48-E48</f>
        <v>296875000</v>
      </c>
      <c r="G48" s="216">
        <f t="shared" ref="G48:G57" si="25">AVERAGE(D48,F48)*$D$16/12</f>
        <v>2486979.1666666665</v>
      </c>
      <c r="H48" s="218"/>
      <c r="I48" s="227">
        <v>0.125</v>
      </c>
    </row>
    <row r="49" spans="3:9" x14ac:dyDescent="0.35">
      <c r="C49" s="220" t="s">
        <v>289</v>
      </c>
      <c r="D49" s="216">
        <f>F48</f>
        <v>296875000</v>
      </c>
      <c r="E49" s="216">
        <f t="shared" si="24"/>
        <v>3125000</v>
      </c>
      <c r="F49" s="216">
        <f>D49-E49</f>
        <v>293750000</v>
      </c>
      <c r="G49" s="216">
        <f t="shared" si="25"/>
        <v>2460937.5</v>
      </c>
      <c r="H49" s="218"/>
      <c r="I49" s="217"/>
    </row>
    <row r="50" spans="3:9" x14ac:dyDescent="0.35">
      <c r="C50" s="220" t="s">
        <v>290</v>
      </c>
      <c r="D50" s="216">
        <f>F49</f>
        <v>293750000</v>
      </c>
      <c r="E50" s="216">
        <f t="shared" si="24"/>
        <v>3125000</v>
      </c>
      <c r="F50" s="216">
        <f t="shared" ref="F50:F57" si="26">D50-E50</f>
        <v>290625000</v>
      </c>
      <c r="G50" s="216">
        <f t="shared" si="25"/>
        <v>2434895.8333333335</v>
      </c>
      <c r="H50" s="218"/>
      <c r="I50" s="217"/>
    </row>
    <row r="51" spans="3:9" x14ac:dyDescent="0.35">
      <c r="C51" s="220" t="s">
        <v>291</v>
      </c>
      <c r="D51" s="216">
        <f t="shared" ref="D51:D57" si="27">F50</f>
        <v>290625000</v>
      </c>
      <c r="E51" s="216">
        <f t="shared" si="24"/>
        <v>3125000</v>
      </c>
      <c r="F51" s="216">
        <f t="shared" si="26"/>
        <v>287500000</v>
      </c>
      <c r="G51" s="216">
        <f t="shared" si="25"/>
        <v>2408854.1666666665</v>
      </c>
      <c r="H51" s="218"/>
      <c r="I51" s="217"/>
    </row>
    <row r="52" spans="3:9" x14ac:dyDescent="0.35">
      <c r="C52" s="220" t="s">
        <v>292</v>
      </c>
      <c r="D52" s="216">
        <f t="shared" si="27"/>
        <v>287500000</v>
      </c>
      <c r="E52" s="216">
        <f t="shared" si="24"/>
        <v>3125000</v>
      </c>
      <c r="F52" s="216">
        <f t="shared" si="26"/>
        <v>284375000</v>
      </c>
      <c r="G52" s="216">
        <f t="shared" si="25"/>
        <v>2382812.5</v>
      </c>
      <c r="H52" s="218"/>
      <c r="I52" s="217"/>
    </row>
    <row r="53" spans="3:9" x14ac:dyDescent="0.35">
      <c r="C53" s="220" t="s">
        <v>293</v>
      </c>
      <c r="D53" s="216">
        <f t="shared" si="27"/>
        <v>284375000</v>
      </c>
      <c r="E53" s="216">
        <f t="shared" si="24"/>
        <v>3125000</v>
      </c>
      <c r="F53" s="216">
        <f t="shared" si="26"/>
        <v>281250000</v>
      </c>
      <c r="G53" s="216">
        <f t="shared" si="25"/>
        <v>2356770.8333333335</v>
      </c>
      <c r="H53" s="218"/>
      <c r="I53" s="217"/>
    </row>
    <row r="54" spans="3:9" x14ac:dyDescent="0.35">
      <c r="C54" s="220" t="s">
        <v>294</v>
      </c>
      <c r="D54" s="216">
        <f t="shared" si="27"/>
        <v>281250000</v>
      </c>
      <c r="E54" s="216">
        <f t="shared" si="24"/>
        <v>3125000</v>
      </c>
      <c r="F54" s="216">
        <f t="shared" si="26"/>
        <v>278125000</v>
      </c>
      <c r="G54" s="216">
        <f t="shared" si="25"/>
        <v>2330729.1666666665</v>
      </c>
      <c r="H54" s="218"/>
      <c r="I54" s="217"/>
    </row>
    <row r="55" spans="3:9" x14ac:dyDescent="0.35">
      <c r="C55" s="220" t="s">
        <v>295</v>
      </c>
      <c r="D55" s="216">
        <f t="shared" si="27"/>
        <v>278125000</v>
      </c>
      <c r="E55" s="216">
        <f t="shared" si="24"/>
        <v>3125000</v>
      </c>
      <c r="F55" s="216">
        <f t="shared" si="26"/>
        <v>275000000</v>
      </c>
      <c r="G55" s="216">
        <f t="shared" si="25"/>
        <v>2304687.5</v>
      </c>
      <c r="H55" s="218"/>
      <c r="I55" s="217"/>
    </row>
    <row r="56" spans="3:9" x14ac:dyDescent="0.35">
      <c r="C56" s="220" t="s">
        <v>296</v>
      </c>
      <c r="D56" s="216">
        <f t="shared" si="27"/>
        <v>275000000</v>
      </c>
      <c r="E56" s="216">
        <f t="shared" si="24"/>
        <v>3125000</v>
      </c>
      <c r="F56" s="216">
        <f t="shared" si="26"/>
        <v>271875000</v>
      </c>
      <c r="G56" s="216">
        <f t="shared" si="25"/>
        <v>2278645.8333333335</v>
      </c>
      <c r="H56" s="218"/>
      <c r="I56" s="217"/>
    </row>
    <row r="57" spans="3:9" x14ac:dyDescent="0.35">
      <c r="C57" s="220" t="s">
        <v>288</v>
      </c>
      <c r="D57" s="216">
        <f t="shared" si="27"/>
        <v>271875000</v>
      </c>
      <c r="E57" s="216">
        <f t="shared" si="24"/>
        <v>3125000</v>
      </c>
      <c r="F57" s="216">
        <f t="shared" si="26"/>
        <v>268750000</v>
      </c>
      <c r="G57" s="216">
        <f t="shared" si="25"/>
        <v>2252604.1666666665</v>
      </c>
      <c r="H57" s="218"/>
      <c r="I57" s="217"/>
    </row>
    <row r="58" spans="3:9" x14ac:dyDescent="0.35">
      <c r="C58" s="215" t="s">
        <v>305</v>
      </c>
      <c r="D58" s="216"/>
      <c r="E58" s="223"/>
      <c r="F58" s="223"/>
      <c r="G58" s="223"/>
      <c r="H58" s="218"/>
      <c r="I58" s="227">
        <f>I48</f>
        <v>0.125</v>
      </c>
    </row>
    <row r="59" spans="3:9" x14ac:dyDescent="0.35">
      <c r="C59" s="220" t="s">
        <v>298</v>
      </c>
      <c r="D59" s="216">
        <f>F57</f>
        <v>268750000</v>
      </c>
      <c r="E59" s="216">
        <f t="shared" ref="E59:E70" si="28">$D$15*$I$48/12</f>
        <v>3125000</v>
      </c>
      <c r="F59" s="216">
        <f>D59-E59</f>
        <v>265625000</v>
      </c>
      <c r="G59" s="216">
        <f t="shared" ref="G59:G70" si="29">AVERAGE(D59,F59)*$D$16/12</f>
        <v>2226562.5</v>
      </c>
      <c r="H59" s="218"/>
      <c r="I59" s="217"/>
    </row>
    <row r="60" spans="3:9" x14ac:dyDescent="0.35">
      <c r="C60" s="220" t="s">
        <v>299</v>
      </c>
      <c r="D60" s="216">
        <f>F59</f>
        <v>265625000</v>
      </c>
      <c r="E60" s="216">
        <f t="shared" si="28"/>
        <v>3125000</v>
      </c>
      <c r="F60" s="216">
        <f>D60-E60</f>
        <v>262500000</v>
      </c>
      <c r="G60" s="216">
        <f t="shared" si="29"/>
        <v>2200520.8333333335</v>
      </c>
      <c r="H60" s="218"/>
      <c r="I60" s="217"/>
    </row>
    <row r="61" spans="3:9" x14ac:dyDescent="0.35">
      <c r="C61" s="220" t="s">
        <v>300</v>
      </c>
      <c r="D61" s="216">
        <f>F60</f>
        <v>262500000</v>
      </c>
      <c r="E61" s="216">
        <f t="shared" si="28"/>
        <v>3125000</v>
      </c>
      <c r="F61" s="216">
        <f>D61-E61</f>
        <v>259375000</v>
      </c>
      <c r="G61" s="216">
        <f t="shared" si="29"/>
        <v>2174479.1666666665</v>
      </c>
      <c r="H61" s="218"/>
    </row>
    <row r="62" spans="3:9" x14ac:dyDescent="0.35">
      <c r="C62" s="220" t="s">
        <v>289</v>
      </c>
      <c r="D62" s="216">
        <f>F61</f>
        <v>259375000</v>
      </c>
      <c r="E62" s="216">
        <f t="shared" si="28"/>
        <v>3125000</v>
      </c>
      <c r="F62" s="216">
        <f>D62-E62</f>
        <v>256250000</v>
      </c>
      <c r="G62" s="216">
        <f t="shared" si="29"/>
        <v>2148437.5</v>
      </c>
      <c r="H62" s="218"/>
      <c r="I62" s="217"/>
    </row>
    <row r="63" spans="3:9" x14ac:dyDescent="0.35">
      <c r="C63" s="220" t="s">
        <v>290</v>
      </c>
      <c r="D63" s="216">
        <f>F62</f>
        <v>256250000</v>
      </c>
      <c r="E63" s="216">
        <f t="shared" si="28"/>
        <v>3125000</v>
      </c>
      <c r="F63" s="216">
        <f t="shared" ref="F63:F70" si="30">D63-E63</f>
        <v>253125000</v>
      </c>
      <c r="G63" s="216">
        <f t="shared" si="29"/>
        <v>2122395.8333333335</v>
      </c>
      <c r="H63" s="218"/>
      <c r="I63" s="217"/>
    </row>
    <row r="64" spans="3:9" x14ac:dyDescent="0.35">
      <c r="C64" s="220" t="s">
        <v>291</v>
      </c>
      <c r="D64" s="216">
        <f t="shared" ref="D64:D70" si="31">F63</f>
        <v>253125000</v>
      </c>
      <c r="E64" s="216">
        <f t="shared" si="28"/>
        <v>3125000</v>
      </c>
      <c r="F64" s="216">
        <f t="shared" si="30"/>
        <v>250000000</v>
      </c>
      <c r="G64" s="216">
        <f t="shared" si="29"/>
        <v>2096354.1666666667</v>
      </c>
      <c r="H64" s="218"/>
      <c r="I64" s="217"/>
    </row>
    <row r="65" spans="3:9" x14ac:dyDescent="0.35">
      <c r="C65" s="220" t="s">
        <v>292</v>
      </c>
      <c r="D65" s="216">
        <f t="shared" si="31"/>
        <v>250000000</v>
      </c>
      <c r="E65" s="216">
        <f t="shared" si="28"/>
        <v>3125000</v>
      </c>
      <c r="F65" s="216">
        <f t="shared" si="30"/>
        <v>246875000</v>
      </c>
      <c r="G65" s="216">
        <f t="shared" si="29"/>
        <v>2070312.5</v>
      </c>
      <c r="H65" s="218"/>
      <c r="I65" s="217"/>
    </row>
    <row r="66" spans="3:9" x14ac:dyDescent="0.35">
      <c r="C66" s="220" t="s">
        <v>293</v>
      </c>
      <c r="D66" s="216">
        <f t="shared" si="31"/>
        <v>246875000</v>
      </c>
      <c r="E66" s="216">
        <f t="shared" si="28"/>
        <v>3125000</v>
      </c>
      <c r="F66" s="216">
        <f t="shared" si="30"/>
        <v>243750000</v>
      </c>
      <c r="G66" s="216">
        <f t="shared" si="29"/>
        <v>2044270.8333333333</v>
      </c>
      <c r="H66" s="218"/>
      <c r="I66" s="217"/>
    </row>
    <row r="67" spans="3:9" x14ac:dyDescent="0.35">
      <c r="C67" s="220" t="s">
        <v>294</v>
      </c>
      <c r="D67" s="216">
        <f t="shared" si="31"/>
        <v>243750000</v>
      </c>
      <c r="E67" s="216">
        <f t="shared" si="28"/>
        <v>3125000</v>
      </c>
      <c r="F67" s="216">
        <f t="shared" si="30"/>
        <v>240625000</v>
      </c>
      <c r="G67" s="216">
        <f t="shared" si="29"/>
        <v>2018229.1666666667</v>
      </c>
      <c r="H67" s="218"/>
      <c r="I67" s="217"/>
    </row>
    <row r="68" spans="3:9" x14ac:dyDescent="0.35">
      <c r="C68" s="220" t="s">
        <v>295</v>
      </c>
      <c r="D68" s="216">
        <f t="shared" si="31"/>
        <v>240625000</v>
      </c>
      <c r="E68" s="216">
        <f t="shared" si="28"/>
        <v>3125000</v>
      </c>
      <c r="F68" s="216">
        <f t="shared" si="30"/>
        <v>237500000</v>
      </c>
      <c r="G68" s="216">
        <f t="shared" si="29"/>
        <v>1992187.5</v>
      </c>
      <c r="H68" s="218"/>
      <c r="I68" s="217"/>
    </row>
    <row r="69" spans="3:9" x14ac:dyDescent="0.35">
      <c r="C69" s="220" t="s">
        <v>296</v>
      </c>
      <c r="D69" s="216">
        <f t="shared" si="31"/>
        <v>237500000</v>
      </c>
      <c r="E69" s="216">
        <f t="shared" si="28"/>
        <v>3125000</v>
      </c>
      <c r="F69" s="216">
        <f t="shared" si="30"/>
        <v>234375000</v>
      </c>
      <c r="G69" s="216">
        <f t="shared" si="29"/>
        <v>1966145.8333333333</v>
      </c>
      <c r="H69" s="218"/>
      <c r="I69" s="217"/>
    </row>
    <row r="70" spans="3:9" x14ac:dyDescent="0.35">
      <c r="C70" s="220" t="s">
        <v>288</v>
      </c>
      <c r="D70" s="216">
        <f t="shared" si="31"/>
        <v>234375000</v>
      </c>
      <c r="E70" s="216">
        <f t="shared" si="28"/>
        <v>3125000</v>
      </c>
      <c r="F70" s="216">
        <f t="shared" si="30"/>
        <v>231250000</v>
      </c>
      <c r="G70" s="216">
        <f t="shared" si="29"/>
        <v>1940104.1666666667</v>
      </c>
      <c r="H70" s="218"/>
      <c r="I70" s="217"/>
    </row>
    <row r="71" spans="3:9" x14ac:dyDescent="0.35">
      <c r="C71" s="215" t="s">
        <v>306</v>
      </c>
      <c r="D71" s="216"/>
      <c r="E71" s="223"/>
      <c r="F71" s="223"/>
      <c r="G71" s="223"/>
      <c r="H71" s="218"/>
      <c r="I71" s="227">
        <f>I48</f>
        <v>0.125</v>
      </c>
    </row>
    <row r="72" spans="3:9" x14ac:dyDescent="0.35">
      <c r="C72" s="220" t="s">
        <v>298</v>
      </c>
      <c r="D72" s="216">
        <f>F70</f>
        <v>231250000</v>
      </c>
      <c r="E72" s="216">
        <f t="shared" ref="E72:E83" si="32">$D$15*$I$48/12</f>
        <v>3125000</v>
      </c>
      <c r="F72" s="216">
        <f>D72-E72</f>
        <v>228125000</v>
      </c>
      <c r="G72" s="216">
        <f t="shared" ref="G72:G83" si="33">AVERAGE(D72,F72)*$D$16/12</f>
        <v>1914062.5</v>
      </c>
      <c r="H72" s="218"/>
      <c r="I72" s="217"/>
    </row>
    <row r="73" spans="3:9" x14ac:dyDescent="0.35">
      <c r="C73" s="220" t="s">
        <v>299</v>
      </c>
      <c r="D73" s="216">
        <f>F72</f>
        <v>228125000</v>
      </c>
      <c r="E73" s="216">
        <f t="shared" si="32"/>
        <v>3125000</v>
      </c>
      <c r="F73" s="216">
        <f>D73-E73</f>
        <v>225000000</v>
      </c>
      <c r="G73" s="216">
        <f t="shared" si="33"/>
        <v>1888020.8333333333</v>
      </c>
      <c r="H73" s="218"/>
      <c r="I73" s="217"/>
    </row>
    <row r="74" spans="3:9" x14ac:dyDescent="0.35">
      <c r="C74" s="220" t="s">
        <v>300</v>
      </c>
      <c r="D74" s="216">
        <f>F73</f>
        <v>225000000</v>
      </c>
      <c r="E74" s="216">
        <f t="shared" si="32"/>
        <v>3125000</v>
      </c>
      <c r="F74" s="216">
        <f>D74-E74</f>
        <v>221875000</v>
      </c>
      <c r="G74" s="216">
        <f t="shared" si="33"/>
        <v>1861979.1666666667</v>
      </c>
      <c r="H74" s="218"/>
    </row>
    <row r="75" spans="3:9" x14ac:dyDescent="0.35">
      <c r="C75" s="220" t="s">
        <v>289</v>
      </c>
      <c r="D75" s="216">
        <f>F74</f>
        <v>221875000</v>
      </c>
      <c r="E75" s="216">
        <f t="shared" si="32"/>
        <v>3125000</v>
      </c>
      <c r="F75" s="216">
        <f>D75-E75</f>
        <v>218750000</v>
      </c>
      <c r="G75" s="216">
        <f t="shared" si="33"/>
        <v>1835937.5</v>
      </c>
      <c r="H75" s="218"/>
      <c r="I75" s="217"/>
    </row>
    <row r="76" spans="3:9" x14ac:dyDescent="0.35">
      <c r="C76" s="220" t="s">
        <v>290</v>
      </c>
      <c r="D76" s="216">
        <f>F75</f>
        <v>218750000</v>
      </c>
      <c r="E76" s="216">
        <f t="shared" si="32"/>
        <v>3125000</v>
      </c>
      <c r="F76" s="216">
        <f t="shared" ref="F76:F83" si="34">D76-E76</f>
        <v>215625000</v>
      </c>
      <c r="G76" s="216">
        <f t="shared" si="33"/>
        <v>1809895.8333333333</v>
      </c>
      <c r="H76" s="218"/>
      <c r="I76" s="217"/>
    </row>
    <row r="77" spans="3:9" x14ac:dyDescent="0.35">
      <c r="C77" s="220" t="s">
        <v>291</v>
      </c>
      <c r="D77" s="216">
        <f t="shared" ref="D77:D83" si="35">F76</f>
        <v>215625000</v>
      </c>
      <c r="E77" s="216">
        <f t="shared" si="32"/>
        <v>3125000</v>
      </c>
      <c r="F77" s="216">
        <f t="shared" si="34"/>
        <v>212500000</v>
      </c>
      <c r="G77" s="216">
        <f t="shared" si="33"/>
        <v>1783854.1666666667</v>
      </c>
      <c r="H77" s="218"/>
      <c r="I77" s="217"/>
    </row>
    <row r="78" spans="3:9" x14ac:dyDescent="0.35">
      <c r="C78" s="220" t="s">
        <v>292</v>
      </c>
      <c r="D78" s="216">
        <f t="shared" si="35"/>
        <v>212500000</v>
      </c>
      <c r="E78" s="216">
        <f t="shared" si="32"/>
        <v>3125000</v>
      </c>
      <c r="F78" s="216">
        <f t="shared" si="34"/>
        <v>209375000</v>
      </c>
      <c r="G78" s="216">
        <f t="shared" si="33"/>
        <v>1757812.5</v>
      </c>
      <c r="H78" s="218"/>
      <c r="I78" s="217"/>
    </row>
    <row r="79" spans="3:9" x14ac:dyDescent="0.35">
      <c r="C79" s="220" t="s">
        <v>293</v>
      </c>
      <c r="D79" s="216">
        <f t="shared" si="35"/>
        <v>209375000</v>
      </c>
      <c r="E79" s="216">
        <f t="shared" si="32"/>
        <v>3125000</v>
      </c>
      <c r="F79" s="216">
        <f t="shared" si="34"/>
        <v>206250000</v>
      </c>
      <c r="G79" s="216">
        <f t="shared" si="33"/>
        <v>1731770.8333333333</v>
      </c>
      <c r="H79" s="218"/>
      <c r="I79" s="217"/>
    </row>
    <row r="80" spans="3:9" x14ac:dyDescent="0.35">
      <c r="C80" s="220" t="s">
        <v>294</v>
      </c>
      <c r="D80" s="216">
        <f t="shared" si="35"/>
        <v>206250000</v>
      </c>
      <c r="E80" s="216">
        <f t="shared" si="32"/>
        <v>3125000</v>
      </c>
      <c r="F80" s="216">
        <f t="shared" si="34"/>
        <v>203125000</v>
      </c>
      <c r="G80" s="216">
        <f t="shared" si="33"/>
        <v>1705729.1666666667</v>
      </c>
      <c r="H80" s="218"/>
      <c r="I80" s="217"/>
    </row>
    <row r="81" spans="3:9" x14ac:dyDescent="0.35">
      <c r="C81" s="220" t="s">
        <v>295</v>
      </c>
      <c r="D81" s="216">
        <f t="shared" si="35"/>
        <v>203125000</v>
      </c>
      <c r="E81" s="216">
        <f t="shared" si="32"/>
        <v>3125000</v>
      </c>
      <c r="F81" s="216">
        <f t="shared" si="34"/>
        <v>200000000</v>
      </c>
      <c r="G81" s="216">
        <f t="shared" si="33"/>
        <v>1679687.5</v>
      </c>
      <c r="H81" s="218"/>
      <c r="I81" s="217"/>
    </row>
    <row r="82" spans="3:9" x14ac:dyDescent="0.35">
      <c r="C82" s="220" t="s">
        <v>296</v>
      </c>
      <c r="D82" s="216">
        <f t="shared" si="35"/>
        <v>200000000</v>
      </c>
      <c r="E82" s="216">
        <f t="shared" si="32"/>
        <v>3125000</v>
      </c>
      <c r="F82" s="216">
        <f t="shared" si="34"/>
        <v>196875000</v>
      </c>
      <c r="G82" s="216">
        <f t="shared" si="33"/>
        <v>1653645.8333333333</v>
      </c>
      <c r="H82" s="218"/>
      <c r="I82" s="217"/>
    </row>
    <row r="83" spans="3:9" x14ac:dyDescent="0.35">
      <c r="C83" s="220" t="s">
        <v>288</v>
      </c>
      <c r="D83" s="216">
        <f t="shared" si="35"/>
        <v>196875000</v>
      </c>
      <c r="E83" s="216">
        <f t="shared" si="32"/>
        <v>3125000</v>
      </c>
      <c r="F83" s="216">
        <f t="shared" si="34"/>
        <v>193750000</v>
      </c>
      <c r="G83" s="216">
        <f t="shared" si="33"/>
        <v>1627604.1666666667</v>
      </c>
      <c r="H83" s="218"/>
      <c r="I83" s="217"/>
    </row>
    <row r="84" spans="3:9" x14ac:dyDescent="0.35">
      <c r="C84" s="215" t="s">
        <v>307</v>
      </c>
      <c r="D84" s="216"/>
      <c r="E84" s="223"/>
      <c r="F84" s="223"/>
      <c r="G84" s="223"/>
      <c r="H84" s="218"/>
      <c r="I84" s="227">
        <f>I48</f>
        <v>0.125</v>
      </c>
    </row>
    <row r="85" spans="3:9" x14ac:dyDescent="0.35">
      <c r="C85" s="220" t="s">
        <v>298</v>
      </c>
      <c r="D85" s="216">
        <f>F83</f>
        <v>193750000</v>
      </c>
      <c r="E85" s="216">
        <f t="shared" ref="E85:E96" si="36">$D$15*$I$48/12</f>
        <v>3125000</v>
      </c>
      <c r="F85" s="216">
        <f>D85-E85</f>
        <v>190625000</v>
      </c>
      <c r="G85" s="216">
        <f t="shared" ref="G85:G96" si="37">AVERAGE(D85,F85)*$D$16/12</f>
        <v>1601562.5</v>
      </c>
      <c r="H85" s="218"/>
      <c r="I85" s="217"/>
    </row>
    <row r="86" spans="3:9" x14ac:dyDescent="0.35">
      <c r="C86" s="220" t="s">
        <v>299</v>
      </c>
      <c r="D86" s="216">
        <f>F85</f>
        <v>190625000</v>
      </c>
      <c r="E86" s="216">
        <f t="shared" si="36"/>
        <v>3125000</v>
      </c>
      <c r="F86" s="216">
        <f>D86-E86</f>
        <v>187500000</v>
      </c>
      <c r="G86" s="216">
        <f t="shared" si="37"/>
        <v>1575520.8333333333</v>
      </c>
      <c r="H86" s="218"/>
      <c r="I86" s="217"/>
    </row>
    <row r="87" spans="3:9" x14ac:dyDescent="0.35">
      <c r="C87" s="220" t="s">
        <v>300</v>
      </c>
      <c r="D87" s="216">
        <f>F86</f>
        <v>187500000</v>
      </c>
      <c r="E87" s="216">
        <f t="shared" si="36"/>
        <v>3125000</v>
      </c>
      <c r="F87" s="216">
        <f>D87-E87</f>
        <v>184375000</v>
      </c>
      <c r="G87" s="216">
        <f t="shared" si="37"/>
        <v>1549479.1666666667</v>
      </c>
      <c r="H87" s="218"/>
    </row>
    <row r="88" spans="3:9" x14ac:dyDescent="0.35">
      <c r="C88" s="220" t="s">
        <v>289</v>
      </c>
      <c r="D88" s="216">
        <f>F87</f>
        <v>184375000</v>
      </c>
      <c r="E88" s="216">
        <f t="shared" si="36"/>
        <v>3125000</v>
      </c>
      <c r="F88" s="216">
        <f>D88-E88</f>
        <v>181250000</v>
      </c>
      <c r="G88" s="216">
        <f t="shared" si="37"/>
        <v>1523437.5</v>
      </c>
      <c r="H88" s="218"/>
      <c r="I88" s="217"/>
    </row>
    <row r="89" spans="3:9" x14ac:dyDescent="0.35">
      <c r="C89" s="220" t="s">
        <v>290</v>
      </c>
      <c r="D89" s="216">
        <f>F88</f>
        <v>181250000</v>
      </c>
      <c r="E89" s="216">
        <f t="shared" si="36"/>
        <v>3125000</v>
      </c>
      <c r="F89" s="216">
        <f t="shared" ref="F89:F96" si="38">D89-E89</f>
        <v>178125000</v>
      </c>
      <c r="G89" s="216">
        <f t="shared" si="37"/>
        <v>1497395.8333333333</v>
      </c>
      <c r="H89" s="218"/>
      <c r="I89" s="217"/>
    </row>
    <row r="90" spans="3:9" x14ac:dyDescent="0.35">
      <c r="C90" s="220" t="s">
        <v>291</v>
      </c>
      <c r="D90" s="216">
        <f t="shared" ref="D90:D96" si="39">F89</f>
        <v>178125000</v>
      </c>
      <c r="E90" s="216">
        <f t="shared" si="36"/>
        <v>3125000</v>
      </c>
      <c r="F90" s="216">
        <f t="shared" si="38"/>
        <v>175000000</v>
      </c>
      <c r="G90" s="216">
        <f t="shared" si="37"/>
        <v>1471354.1666666667</v>
      </c>
      <c r="H90" s="218"/>
      <c r="I90" s="217"/>
    </row>
    <row r="91" spans="3:9" x14ac:dyDescent="0.35">
      <c r="C91" s="220" t="s">
        <v>292</v>
      </c>
      <c r="D91" s="216">
        <f t="shared" si="39"/>
        <v>175000000</v>
      </c>
      <c r="E91" s="216">
        <f t="shared" si="36"/>
        <v>3125000</v>
      </c>
      <c r="F91" s="216">
        <f t="shared" si="38"/>
        <v>171875000</v>
      </c>
      <c r="G91" s="216">
        <f t="shared" si="37"/>
        <v>1445312.5</v>
      </c>
      <c r="H91" s="218"/>
      <c r="I91" s="217"/>
    </row>
    <row r="92" spans="3:9" x14ac:dyDescent="0.35">
      <c r="C92" s="220" t="s">
        <v>293</v>
      </c>
      <c r="D92" s="216">
        <f t="shared" si="39"/>
        <v>171875000</v>
      </c>
      <c r="E92" s="216">
        <f t="shared" si="36"/>
        <v>3125000</v>
      </c>
      <c r="F92" s="216">
        <f t="shared" si="38"/>
        <v>168750000</v>
      </c>
      <c r="G92" s="216">
        <f t="shared" si="37"/>
        <v>1419270.8333333333</v>
      </c>
      <c r="H92" s="218"/>
      <c r="I92" s="217"/>
    </row>
    <row r="93" spans="3:9" x14ac:dyDescent="0.35">
      <c r="C93" s="220" t="s">
        <v>294</v>
      </c>
      <c r="D93" s="216">
        <f t="shared" si="39"/>
        <v>168750000</v>
      </c>
      <c r="E93" s="216">
        <f t="shared" si="36"/>
        <v>3125000</v>
      </c>
      <c r="F93" s="216">
        <f t="shared" si="38"/>
        <v>165625000</v>
      </c>
      <c r="G93" s="216">
        <f t="shared" si="37"/>
        <v>1393229.1666666667</v>
      </c>
      <c r="H93" s="218"/>
      <c r="I93" s="217"/>
    </row>
    <row r="94" spans="3:9" x14ac:dyDescent="0.35">
      <c r="C94" s="220" t="s">
        <v>295</v>
      </c>
      <c r="D94" s="216">
        <f t="shared" si="39"/>
        <v>165625000</v>
      </c>
      <c r="E94" s="216">
        <f t="shared" si="36"/>
        <v>3125000</v>
      </c>
      <c r="F94" s="216">
        <f t="shared" si="38"/>
        <v>162500000</v>
      </c>
      <c r="G94" s="216">
        <f t="shared" si="37"/>
        <v>1367187.5</v>
      </c>
      <c r="H94" s="218"/>
      <c r="I94" s="217"/>
    </row>
    <row r="95" spans="3:9" x14ac:dyDescent="0.35">
      <c r="C95" s="220" t="s">
        <v>296</v>
      </c>
      <c r="D95" s="216">
        <f t="shared" si="39"/>
        <v>162500000</v>
      </c>
      <c r="E95" s="216">
        <f t="shared" si="36"/>
        <v>3125000</v>
      </c>
      <c r="F95" s="216">
        <f t="shared" si="38"/>
        <v>159375000</v>
      </c>
      <c r="G95" s="216">
        <f t="shared" si="37"/>
        <v>1341145.8333333333</v>
      </c>
      <c r="H95" s="218"/>
      <c r="I95" s="217"/>
    </row>
    <row r="96" spans="3:9" x14ac:dyDescent="0.35">
      <c r="C96" s="220" t="s">
        <v>288</v>
      </c>
      <c r="D96" s="216">
        <f t="shared" si="39"/>
        <v>159375000</v>
      </c>
      <c r="E96" s="216">
        <f t="shared" si="36"/>
        <v>3125000</v>
      </c>
      <c r="F96" s="216">
        <f t="shared" si="38"/>
        <v>156250000</v>
      </c>
      <c r="G96" s="216">
        <f t="shared" si="37"/>
        <v>1315104.1666666667</v>
      </c>
      <c r="H96" s="218"/>
      <c r="I96" s="217"/>
    </row>
    <row r="97" spans="3:9" x14ac:dyDescent="0.35">
      <c r="C97" s="215" t="s">
        <v>308</v>
      </c>
      <c r="D97" s="216"/>
      <c r="E97" s="223"/>
      <c r="F97" s="223"/>
      <c r="G97" s="223"/>
      <c r="H97" s="218"/>
      <c r="I97" s="227">
        <f>I48</f>
        <v>0.125</v>
      </c>
    </row>
    <row r="98" spans="3:9" x14ac:dyDescent="0.35">
      <c r="C98" s="220" t="s">
        <v>298</v>
      </c>
      <c r="D98" s="216">
        <f>F96</f>
        <v>156250000</v>
      </c>
      <c r="E98" s="216">
        <f t="shared" ref="E98:E109" si="40">$D$15*$I$48/12</f>
        <v>3125000</v>
      </c>
      <c r="F98" s="216">
        <f>D98-E98</f>
        <v>153125000</v>
      </c>
      <c r="G98" s="216">
        <f t="shared" ref="G98:G109" si="41">AVERAGE(D98,F98)*$D$16/12</f>
        <v>1289062.5</v>
      </c>
      <c r="H98" s="218"/>
      <c r="I98" s="217"/>
    </row>
    <row r="99" spans="3:9" x14ac:dyDescent="0.35">
      <c r="C99" s="220" t="s">
        <v>299</v>
      </c>
      <c r="D99" s="216">
        <f>F98</f>
        <v>153125000</v>
      </c>
      <c r="E99" s="216">
        <f t="shared" si="40"/>
        <v>3125000</v>
      </c>
      <c r="F99" s="216">
        <f>D99-E99</f>
        <v>150000000</v>
      </c>
      <c r="G99" s="216">
        <f t="shared" si="41"/>
        <v>1263020.8333333333</v>
      </c>
      <c r="H99" s="218"/>
      <c r="I99" s="217"/>
    </row>
    <row r="100" spans="3:9" x14ac:dyDescent="0.35">
      <c r="C100" s="220" t="s">
        <v>300</v>
      </c>
      <c r="D100" s="216">
        <f>F99</f>
        <v>150000000</v>
      </c>
      <c r="E100" s="216">
        <f t="shared" si="40"/>
        <v>3125000</v>
      </c>
      <c r="F100" s="216">
        <f>D100-E100</f>
        <v>146875000</v>
      </c>
      <c r="G100" s="216">
        <f t="shared" si="41"/>
        <v>1236979.1666666667</v>
      </c>
      <c r="H100" s="218"/>
    </row>
    <row r="101" spans="3:9" x14ac:dyDescent="0.35">
      <c r="C101" s="220" t="s">
        <v>289</v>
      </c>
      <c r="D101" s="216">
        <f>F100</f>
        <v>146875000</v>
      </c>
      <c r="E101" s="216">
        <f t="shared" si="40"/>
        <v>3125000</v>
      </c>
      <c r="F101" s="216">
        <f>D101-E101</f>
        <v>143750000</v>
      </c>
      <c r="G101" s="216">
        <f t="shared" si="41"/>
        <v>1210937.5</v>
      </c>
      <c r="H101" s="218"/>
      <c r="I101" s="217"/>
    </row>
    <row r="102" spans="3:9" x14ac:dyDescent="0.35">
      <c r="C102" s="220" t="s">
        <v>290</v>
      </c>
      <c r="D102" s="216">
        <f>F101</f>
        <v>143750000</v>
      </c>
      <c r="E102" s="216">
        <f t="shared" si="40"/>
        <v>3125000</v>
      </c>
      <c r="F102" s="216">
        <f t="shared" ref="F102:F109" si="42">D102-E102</f>
        <v>140625000</v>
      </c>
      <c r="G102" s="216">
        <f t="shared" si="41"/>
        <v>1184895.8333333333</v>
      </c>
      <c r="H102" s="218"/>
      <c r="I102" s="217"/>
    </row>
    <row r="103" spans="3:9" x14ac:dyDescent="0.35">
      <c r="C103" s="220" t="s">
        <v>291</v>
      </c>
      <c r="D103" s="216">
        <f t="shared" ref="D103:D109" si="43">F102</f>
        <v>140625000</v>
      </c>
      <c r="E103" s="216">
        <f t="shared" si="40"/>
        <v>3125000</v>
      </c>
      <c r="F103" s="216">
        <f t="shared" si="42"/>
        <v>137500000</v>
      </c>
      <c r="G103" s="216">
        <f t="shared" si="41"/>
        <v>1158854.1666666667</v>
      </c>
      <c r="H103" s="218"/>
      <c r="I103" s="217"/>
    </row>
    <row r="104" spans="3:9" x14ac:dyDescent="0.35">
      <c r="C104" s="220" t="s">
        <v>292</v>
      </c>
      <c r="D104" s="216">
        <f t="shared" si="43"/>
        <v>137500000</v>
      </c>
      <c r="E104" s="216">
        <f t="shared" si="40"/>
        <v>3125000</v>
      </c>
      <c r="F104" s="216">
        <f t="shared" si="42"/>
        <v>134375000</v>
      </c>
      <c r="G104" s="216">
        <f t="shared" si="41"/>
        <v>1132812.5</v>
      </c>
      <c r="H104" s="218"/>
      <c r="I104" s="217"/>
    </row>
    <row r="105" spans="3:9" x14ac:dyDescent="0.35">
      <c r="C105" s="220" t="s">
        <v>293</v>
      </c>
      <c r="D105" s="216">
        <f t="shared" si="43"/>
        <v>134375000</v>
      </c>
      <c r="E105" s="216">
        <f t="shared" si="40"/>
        <v>3125000</v>
      </c>
      <c r="F105" s="216">
        <f t="shared" si="42"/>
        <v>131250000</v>
      </c>
      <c r="G105" s="216">
        <f t="shared" si="41"/>
        <v>1106770.8333333333</v>
      </c>
      <c r="H105" s="218"/>
      <c r="I105" s="217"/>
    </row>
    <row r="106" spans="3:9" x14ac:dyDescent="0.35">
      <c r="C106" s="220" t="s">
        <v>294</v>
      </c>
      <c r="D106" s="216">
        <f t="shared" si="43"/>
        <v>131250000</v>
      </c>
      <c r="E106" s="216">
        <f t="shared" si="40"/>
        <v>3125000</v>
      </c>
      <c r="F106" s="216">
        <f t="shared" si="42"/>
        <v>128125000</v>
      </c>
      <c r="G106" s="216">
        <f t="shared" si="41"/>
        <v>1080729.1666666667</v>
      </c>
      <c r="H106" s="218"/>
      <c r="I106" s="217"/>
    </row>
    <row r="107" spans="3:9" x14ac:dyDescent="0.35">
      <c r="C107" s="220" t="s">
        <v>295</v>
      </c>
      <c r="D107" s="216">
        <f t="shared" si="43"/>
        <v>128125000</v>
      </c>
      <c r="E107" s="216">
        <f t="shared" si="40"/>
        <v>3125000</v>
      </c>
      <c r="F107" s="216">
        <f t="shared" si="42"/>
        <v>125000000</v>
      </c>
      <c r="G107" s="216">
        <f t="shared" si="41"/>
        <v>1054687.5</v>
      </c>
      <c r="H107" s="218"/>
      <c r="I107" s="217"/>
    </row>
    <row r="108" spans="3:9" x14ac:dyDescent="0.35">
      <c r="C108" s="220" t="s">
        <v>296</v>
      </c>
      <c r="D108" s="216">
        <f t="shared" si="43"/>
        <v>125000000</v>
      </c>
      <c r="E108" s="216">
        <f t="shared" si="40"/>
        <v>3125000</v>
      </c>
      <c r="F108" s="216">
        <f t="shared" si="42"/>
        <v>121875000</v>
      </c>
      <c r="G108" s="216">
        <f t="shared" si="41"/>
        <v>1028645.8333333334</v>
      </c>
      <c r="H108" s="218"/>
      <c r="I108" s="217"/>
    </row>
    <row r="109" spans="3:9" x14ac:dyDescent="0.35">
      <c r="C109" s="220" t="s">
        <v>288</v>
      </c>
      <c r="D109" s="216">
        <f t="shared" si="43"/>
        <v>121875000</v>
      </c>
      <c r="E109" s="216">
        <f t="shared" si="40"/>
        <v>3125000</v>
      </c>
      <c r="F109" s="216">
        <f t="shared" si="42"/>
        <v>118750000</v>
      </c>
      <c r="G109" s="216">
        <f t="shared" si="41"/>
        <v>1002604.1666666666</v>
      </c>
      <c r="H109" s="218"/>
      <c r="I109" s="217"/>
    </row>
    <row r="110" spans="3:9" x14ac:dyDescent="0.35">
      <c r="C110" s="215" t="s">
        <v>309</v>
      </c>
      <c r="D110" s="216"/>
      <c r="E110" s="223"/>
      <c r="F110" s="223"/>
      <c r="G110" s="223"/>
      <c r="H110" s="218"/>
      <c r="I110" s="227">
        <f>I48</f>
        <v>0.125</v>
      </c>
    </row>
    <row r="111" spans="3:9" x14ac:dyDescent="0.35">
      <c r="C111" s="220" t="s">
        <v>298</v>
      </c>
      <c r="D111" s="216">
        <f>F109</f>
        <v>118750000</v>
      </c>
      <c r="E111" s="216">
        <f t="shared" ref="E111:E122" si="44">$D$15*$I$48/12</f>
        <v>3125000</v>
      </c>
      <c r="F111" s="216">
        <f>D111-E111</f>
        <v>115625000</v>
      </c>
      <c r="G111" s="216">
        <f t="shared" ref="G111:G122" si="45">AVERAGE(D111,F111)*$D$16/12</f>
        <v>976562.5</v>
      </c>
      <c r="H111" s="218"/>
      <c r="I111" s="217"/>
    </row>
    <row r="112" spans="3:9" x14ac:dyDescent="0.35">
      <c r="C112" s="220" t="s">
        <v>299</v>
      </c>
      <c r="D112" s="216">
        <f>F111</f>
        <v>115625000</v>
      </c>
      <c r="E112" s="216">
        <f t="shared" si="44"/>
        <v>3125000</v>
      </c>
      <c r="F112" s="216">
        <f>D112-E112</f>
        <v>112500000</v>
      </c>
      <c r="G112" s="216">
        <f t="shared" si="45"/>
        <v>950520.83333333337</v>
      </c>
      <c r="H112" s="218"/>
      <c r="I112" s="217"/>
    </row>
    <row r="113" spans="3:9" x14ac:dyDescent="0.35">
      <c r="C113" s="220" t="s">
        <v>300</v>
      </c>
      <c r="D113" s="216">
        <f>F112</f>
        <v>112500000</v>
      </c>
      <c r="E113" s="216">
        <f t="shared" si="44"/>
        <v>3125000</v>
      </c>
      <c r="F113" s="216">
        <f>D113-E113</f>
        <v>109375000</v>
      </c>
      <c r="G113" s="216">
        <f t="shared" si="45"/>
        <v>924479.16666666663</v>
      </c>
      <c r="H113" s="218"/>
    </row>
    <row r="114" spans="3:9" x14ac:dyDescent="0.35">
      <c r="C114" s="220" t="s">
        <v>289</v>
      </c>
      <c r="D114" s="216">
        <f>F113</f>
        <v>109375000</v>
      </c>
      <c r="E114" s="216">
        <f t="shared" si="44"/>
        <v>3125000</v>
      </c>
      <c r="F114" s="216">
        <f>D114-E114</f>
        <v>106250000</v>
      </c>
      <c r="G114" s="216">
        <f t="shared" si="45"/>
        <v>898437.5</v>
      </c>
      <c r="H114" s="218"/>
      <c r="I114" s="217"/>
    </row>
    <row r="115" spans="3:9" x14ac:dyDescent="0.35">
      <c r="C115" s="220" t="s">
        <v>290</v>
      </c>
      <c r="D115" s="216">
        <f>F114</f>
        <v>106250000</v>
      </c>
      <c r="E115" s="216">
        <f t="shared" si="44"/>
        <v>3125000</v>
      </c>
      <c r="F115" s="216">
        <f t="shared" ref="F115:F122" si="46">D115-E115</f>
        <v>103125000</v>
      </c>
      <c r="G115" s="216">
        <f t="shared" si="45"/>
        <v>872395.83333333337</v>
      </c>
      <c r="H115" s="218"/>
      <c r="I115" s="217"/>
    </row>
    <row r="116" spans="3:9" x14ac:dyDescent="0.35">
      <c r="C116" s="220" t="s">
        <v>291</v>
      </c>
      <c r="D116" s="216">
        <f t="shared" ref="D116:D122" si="47">F115</f>
        <v>103125000</v>
      </c>
      <c r="E116" s="216">
        <f t="shared" si="44"/>
        <v>3125000</v>
      </c>
      <c r="F116" s="216">
        <f t="shared" si="46"/>
        <v>100000000</v>
      </c>
      <c r="G116" s="216">
        <f t="shared" si="45"/>
        <v>846354.16666666663</v>
      </c>
      <c r="H116" s="218"/>
      <c r="I116" s="217"/>
    </row>
    <row r="117" spans="3:9" x14ac:dyDescent="0.35">
      <c r="C117" s="220" t="s">
        <v>292</v>
      </c>
      <c r="D117" s="216">
        <f t="shared" si="47"/>
        <v>100000000</v>
      </c>
      <c r="E117" s="216">
        <f t="shared" si="44"/>
        <v>3125000</v>
      </c>
      <c r="F117" s="216">
        <f t="shared" si="46"/>
        <v>96875000</v>
      </c>
      <c r="G117" s="216">
        <f t="shared" si="45"/>
        <v>820312.5</v>
      </c>
      <c r="H117" s="218"/>
      <c r="I117" s="217"/>
    </row>
    <row r="118" spans="3:9" x14ac:dyDescent="0.35">
      <c r="C118" s="220" t="s">
        <v>293</v>
      </c>
      <c r="D118" s="216">
        <f t="shared" si="47"/>
        <v>96875000</v>
      </c>
      <c r="E118" s="216">
        <f t="shared" si="44"/>
        <v>3125000</v>
      </c>
      <c r="F118" s="216">
        <f t="shared" si="46"/>
        <v>93750000</v>
      </c>
      <c r="G118" s="216">
        <f t="shared" si="45"/>
        <v>794270.83333333337</v>
      </c>
      <c r="H118" s="218"/>
      <c r="I118" s="217"/>
    </row>
    <row r="119" spans="3:9" x14ac:dyDescent="0.35">
      <c r="C119" s="220" t="s">
        <v>294</v>
      </c>
      <c r="D119" s="216">
        <f t="shared" si="47"/>
        <v>93750000</v>
      </c>
      <c r="E119" s="216">
        <f t="shared" si="44"/>
        <v>3125000</v>
      </c>
      <c r="F119" s="216">
        <f t="shared" si="46"/>
        <v>90625000</v>
      </c>
      <c r="G119" s="216">
        <f t="shared" si="45"/>
        <v>768229.16666666663</v>
      </c>
      <c r="H119" s="218"/>
      <c r="I119" s="217"/>
    </row>
    <row r="120" spans="3:9" x14ac:dyDescent="0.35">
      <c r="C120" s="220" t="s">
        <v>295</v>
      </c>
      <c r="D120" s="216">
        <f t="shared" si="47"/>
        <v>90625000</v>
      </c>
      <c r="E120" s="216">
        <f t="shared" si="44"/>
        <v>3125000</v>
      </c>
      <c r="F120" s="216">
        <f t="shared" si="46"/>
        <v>87500000</v>
      </c>
      <c r="G120" s="216">
        <f t="shared" si="45"/>
        <v>742187.5</v>
      </c>
      <c r="H120" s="218"/>
      <c r="I120" s="217"/>
    </row>
    <row r="121" spans="3:9" x14ac:dyDescent="0.35">
      <c r="C121" s="220" t="s">
        <v>296</v>
      </c>
      <c r="D121" s="216">
        <f t="shared" si="47"/>
        <v>87500000</v>
      </c>
      <c r="E121" s="216">
        <f t="shared" si="44"/>
        <v>3125000</v>
      </c>
      <c r="F121" s="216">
        <f t="shared" si="46"/>
        <v>84375000</v>
      </c>
      <c r="G121" s="216">
        <f t="shared" si="45"/>
        <v>716145.83333333337</v>
      </c>
      <c r="H121" s="218"/>
      <c r="I121" s="217"/>
    </row>
    <row r="122" spans="3:9" x14ac:dyDescent="0.35">
      <c r="C122" s="220" t="s">
        <v>288</v>
      </c>
      <c r="D122" s="216">
        <f t="shared" si="47"/>
        <v>84375000</v>
      </c>
      <c r="E122" s="216">
        <f t="shared" si="44"/>
        <v>3125000</v>
      </c>
      <c r="F122" s="216">
        <f t="shared" si="46"/>
        <v>81250000</v>
      </c>
      <c r="G122" s="216">
        <f t="shared" si="45"/>
        <v>690104.16666666663</v>
      </c>
      <c r="H122" s="218"/>
      <c r="I122" s="217"/>
    </row>
    <row r="123" spans="3:9" customFormat="1" ht="18.75" customHeight="1" x14ac:dyDescent="0.35">
      <c r="C123" s="215" t="s">
        <v>422</v>
      </c>
      <c r="D123" s="216"/>
      <c r="E123" s="223"/>
      <c r="F123" s="223"/>
      <c r="G123" s="223"/>
    </row>
    <row r="124" spans="3:9" customFormat="1" ht="18.75" customHeight="1" x14ac:dyDescent="0.35">
      <c r="C124" s="220" t="s">
        <v>298</v>
      </c>
      <c r="D124" s="216">
        <f>F122</f>
        <v>81250000</v>
      </c>
      <c r="E124" s="216">
        <f t="shared" ref="E124:E135" si="48">$D$15*$I$48/12</f>
        <v>3125000</v>
      </c>
      <c r="F124" s="216">
        <f>D124-E124</f>
        <v>78125000</v>
      </c>
      <c r="G124" s="216">
        <f t="shared" ref="G124:G135" si="49">AVERAGE(D124,F124)*$D$16/12</f>
        <v>664062.5</v>
      </c>
    </row>
    <row r="125" spans="3:9" customFormat="1" ht="18.75" customHeight="1" x14ac:dyDescent="0.35">
      <c r="C125" s="220" t="s">
        <v>299</v>
      </c>
      <c r="D125" s="216">
        <f>F124</f>
        <v>78125000</v>
      </c>
      <c r="E125" s="216">
        <f t="shared" si="48"/>
        <v>3125000</v>
      </c>
      <c r="F125" s="216">
        <f>D125-E125</f>
        <v>75000000</v>
      </c>
      <c r="G125" s="216">
        <f t="shared" si="49"/>
        <v>638020.83333333337</v>
      </c>
    </row>
    <row r="126" spans="3:9" x14ac:dyDescent="0.35">
      <c r="C126" s="220" t="s">
        <v>300</v>
      </c>
      <c r="D126" s="216">
        <f>F125</f>
        <v>75000000</v>
      </c>
      <c r="E126" s="216">
        <f t="shared" si="48"/>
        <v>3125000</v>
      </c>
      <c r="F126" s="216">
        <f>D126-E126</f>
        <v>71875000</v>
      </c>
      <c r="G126" s="216">
        <f t="shared" si="49"/>
        <v>611979.16666666663</v>
      </c>
    </row>
    <row r="127" spans="3:9" x14ac:dyDescent="0.35">
      <c r="C127" s="220" t="s">
        <v>289</v>
      </c>
      <c r="D127" s="216">
        <f>F126</f>
        <v>71875000</v>
      </c>
      <c r="E127" s="216">
        <f t="shared" si="48"/>
        <v>3125000</v>
      </c>
      <c r="F127" s="216">
        <f>D127-E127</f>
        <v>68750000</v>
      </c>
      <c r="G127" s="216">
        <f t="shared" si="49"/>
        <v>585937.5</v>
      </c>
    </row>
    <row r="128" spans="3:9" x14ac:dyDescent="0.35">
      <c r="C128" s="220" t="s">
        <v>290</v>
      </c>
      <c r="D128" s="216">
        <f>F127</f>
        <v>68750000</v>
      </c>
      <c r="E128" s="216">
        <f t="shared" si="48"/>
        <v>3125000</v>
      </c>
      <c r="F128" s="216">
        <f t="shared" ref="F128:F135" si="50">D128-E128</f>
        <v>65625000</v>
      </c>
      <c r="G128" s="216">
        <f t="shared" si="49"/>
        <v>559895.83333333337</v>
      </c>
    </row>
    <row r="129" spans="3:7" x14ac:dyDescent="0.35">
      <c r="C129" s="220" t="s">
        <v>291</v>
      </c>
      <c r="D129" s="216">
        <f t="shared" ref="D129:D135" si="51">F128</f>
        <v>65625000</v>
      </c>
      <c r="E129" s="216">
        <f t="shared" si="48"/>
        <v>3125000</v>
      </c>
      <c r="F129" s="216">
        <f t="shared" si="50"/>
        <v>62500000</v>
      </c>
      <c r="G129" s="216">
        <f t="shared" si="49"/>
        <v>533854.16666666663</v>
      </c>
    </row>
    <row r="130" spans="3:7" x14ac:dyDescent="0.35">
      <c r="C130" s="220" t="s">
        <v>292</v>
      </c>
      <c r="D130" s="216">
        <f t="shared" si="51"/>
        <v>62500000</v>
      </c>
      <c r="E130" s="216">
        <f t="shared" si="48"/>
        <v>3125000</v>
      </c>
      <c r="F130" s="216">
        <f t="shared" si="50"/>
        <v>59375000</v>
      </c>
      <c r="G130" s="216">
        <f t="shared" si="49"/>
        <v>507812.5</v>
      </c>
    </row>
    <row r="131" spans="3:7" x14ac:dyDescent="0.35">
      <c r="C131" s="220" t="s">
        <v>293</v>
      </c>
      <c r="D131" s="216">
        <f t="shared" si="51"/>
        <v>59375000</v>
      </c>
      <c r="E131" s="216">
        <f t="shared" si="48"/>
        <v>3125000</v>
      </c>
      <c r="F131" s="216">
        <f t="shared" si="50"/>
        <v>56250000</v>
      </c>
      <c r="G131" s="216">
        <f t="shared" si="49"/>
        <v>481770.83333333331</v>
      </c>
    </row>
    <row r="132" spans="3:7" x14ac:dyDescent="0.35">
      <c r="C132" s="220" t="s">
        <v>294</v>
      </c>
      <c r="D132" s="216">
        <f t="shared" si="51"/>
        <v>56250000</v>
      </c>
      <c r="E132" s="216">
        <f t="shared" si="48"/>
        <v>3125000</v>
      </c>
      <c r="F132" s="216">
        <f t="shared" si="50"/>
        <v>53125000</v>
      </c>
      <c r="G132" s="216">
        <f t="shared" si="49"/>
        <v>455729.16666666669</v>
      </c>
    </row>
    <row r="133" spans="3:7" x14ac:dyDescent="0.35">
      <c r="C133" s="220" t="s">
        <v>295</v>
      </c>
      <c r="D133" s="216">
        <f t="shared" si="51"/>
        <v>53125000</v>
      </c>
      <c r="E133" s="216">
        <f t="shared" si="48"/>
        <v>3125000</v>
      </c>
      <c r="F133" s="216">
        <f t="shared" si="50"/>
        <v>50000000</v>
      </c>
      <c r="G133" s="216">
        <f t="shared" si="49"/>
        <v>429687.5</v>
      </c>
    </row>
    <row r="134" spans="3:7" x14ac:dyDescent="0.35">
      <c r="C134" s="220" t="s">
        <v>296</v>
      </c>
      <c r="D134" s="216">
        <f t="shared" si="51"/>
        <v>50000000</v>
      </c>
      <c r="E134" s="216">
        <f t="shared" si="48"/>
        <v>3125000</v>
      </c>
      <c r="F134" s="216">
        <f t="shared" si="50"/>
        <v>46875000</v>
      </c>
      <c r="G134" s="216">
        <f t="shared" si="49"/>
        <v>403645.83333333331</v>
      </c>
    </row>
    <row r="135" spans="3:7" x14ac:dyDescent="0.35">
      <c r="C135" s="220" t="s">
        <v>288</v>
      </c>
      <c r="D135" s="216">
        <f t="shared" si="51"/>
        <v>46875000</v>
      </c>
      <c r="E135" s="216">
        <f t="shared" si="48"/>
        <v>3125000</v>
      </c>
      <c r="F135" s="216">
        <f t="shared" si="50"/>
        <v>43750000</v>
      </c>
      <c r="G135" s="216">
        <f t="shared" si="49"/>
        <v>377604.16666666669</v>
      </c>
    </row>
    <row r="136" spans="3:7" x14ac:dyDescent="0.35">
      <c r="C136" s="215" t="s">
        <v>485</v>
      </c>
      <c r="D136" s="216"/>
      <c r="E136" s="223"/>
      <c r="F136" s="223"/>
      <c r="G136" s="223"/>
    </row>
    <row r="137" spans="3:7" x14ac:dyDescent="0.35">
      <c r="C137" s="220" t="s">
        <v>298</v>
      </c>
      <c r="D137" s="216">
        <f>F135</f>
        <v>43750000</v>
      </c>
      <c r="E137" s="216">
        <f t="shared" ref="E137:E148" si="52">$D$15*$I$48/12</f>
        <v>3125000</v>
      </c>
      <c r="F137" s="216">
        <f>D137-E137</f>
        <v>40625000</v>
      </c>
      <c r="G137" s="216">
        <f t="shared" ref="G137:G148" si="53">AVERAGE(D137,F137)*$D$16/12</f>
        <v>351562.5</v>
      </c>
    </row>
    <row r="138" spans="3:7" x14ac:dyDescent="0.35">
      <c r="C138" s="220" t="s">
        <v>299</v>
      </c>
      <c r="D138" s="216">
        <f>F137</f>
        <v>40625000</v>
      </c>
      <c r="E138" s="216">
        <f t="shared" si="52"/>
        <v>3125000</v>
      </c>
      <c r="F138" s="216">
        <f>D138-E138</f>
        <v>37500000</v>
      </c>
      <c r="G138" s="216">
        <f t="shared" si="53"/>
        <v>325520.83333333331</v>
      </c>
    </row>
    <row r="139" spans="3:7" x14ac:dyDescent="0.35">
      <c r="C139" s="220" t="s">
        <v>300</v>
      </c>
      <c r="D139" s="216">
        <f>F138</f>
        <v>37500000</v>
      </c>
      <c r="E139" s="216">
        <f t="shared" si="52"/>
        <v>3125000</v>
      </c>
      <c r="F139" s="216">
        <f>D139-E139</f>
        <v>34375000</v>
      </c>
      <c r="G139" s="216">
        <f t="shared" si="53"/>
        <v>299479.16666666669</v>
      </c>
    </row>
    <row r="140" spans="3:7" x14ac:dyDescent="0.35">
      <c r="C140" s="220" t="s">
        <v>289</v>
      </c>
      <c r="D140" s="216">
        <f>F139</f>
        <v>34375000</v>
      </c>
      <c r="E140" s="216">
        <f t="shared" si="52"/>
        <v>3125000</v>
      </c>
      <c r="F140" s="216">
        <f>D140-E140</f>
        <v>31250000</v>
      </c>
      <c r="G140" s="216">
        <f t="shared" si="53"/>
        <v>273437.5</v>
      </c>
    </row>
    <row r="141" spans="3:7" x14ac:dyDescent="0.35">
      <c r="C141" s="220" t="s">
        <v>290</v>
      </c>
      <c r="D141" s="216">
        <f>F140</f>
        <v>31250000</v>
      </c>
      <c r="E141" s="216">
        <f t="shared" si="52"/>
        <v>3125000</v>
      </c>
      <c r="F141" s="216">
        <f t="shared" ref="F141:F148" si="54">D141-E141</f>
        <v>28125000</v>
      </c>
      <c r="G141" s="216">
        <f t="shared" si="53"/>
        <v>247395.83333333334</v>
      </c>
    </row>
    <row r="142" spans="3:7" x14ac:dyDescent="0.35">
      <c r="C142" s="220" t="s">
        <v>291</v>
      </c>
      <c r="D142" s="216">
        <f t="shared" ref="D142:D148" si="55">F141</f>
        <v>28125000</v>
      </c>
      <c r="E142" s="216">
        <f t="shared" si="52"/>
        <v>3125000</v>
      </c>
      <c r="F142" s="216">
        <f t="shared" si="54"/>
        <v>25000000</v>
      </c>
      <c r="G142" s="216">
        <f t="shared" si="53"/>
        <v>221354.16666666666</v>
      </c>
    </row>
    <row r="143" spans="3:7" x14ac:dyDescent="0.35">
      <c r="C143" s="220" t="s">
        <v>292</v>
      </c>
      <c r="D143" s="216">
        <f t="shared" si="55"/>
        <v>25000000</v>
      </c>
      <c r="E143" s="216">
        <f t="shared" si="52"/>
        <v>3125000</v>
      </c>
      <c r="F143" s="216">
        <f t="shared" si="54"/>
        <v>21875000</v>
      </c>
      <c r="G143" s="216">
        <f t="shared" si="53"/>
        <v>195312.5</v>
      </c>
    </row>
    <row r="144" spans="3:7" x14ac:dyDescent="0.35">
      <c r="C144" s="220" t="s">
        <v>293</v>
      </c>
      <c r="D144" s="216">
        <f t="shared" si="55"/>
        <v>21875000</v>
      </c>
      <c r="E144" s="216">
        <f t="shared" si="52"/>
        <v>3125000</v>
      </c>
      <c r="F144" s="216">
        <f t="shared" si="54"/>
        <v>18750000</v>
      </c>
      <c r="G144" s="216">
        <f t="shared" si="53"/>
        <v>169270.83333333334</v>
      </c>
    </row>
    <row r="145" spans="3:7" x14ac:dyDescent="0.35">
      <c r="C145" s="220" t="s">
        <v>294</v>
      </c>
      <c r="D145" s="216">
        <f t="shared" si="55"/>
        <v>18750000</v>
      </c>
      <c r="E145" s="216">
        <f t="shared" si="52"/>
        <v>3125000</v>
      </c>
      <c r="F145" s="216">
        <f t="shared" si="54"/>
        <v>15625000</v>
      </c>
      <c r="G145" s="216">
        <f t="shared" si="53"/>
        <v>143229.16666666666</v>
      </c>
    </row>
    <row r="146" spans="3:7" x14ac:dyDescent="0.35">
      <c r="C146" s="220" t="s">
        <v>295</v>
      </c>
      <c r="D146" s="216">
        <f t="shared" si="55"/>
        <v>15625000</v>
      </c>
      <c r="E146" s="216">
        <f t="shared" si="52"/>
        <v>3125000</v>
      </c>
      <c r="F146" s="216">
        <f t="shared" si="54"/>
        <v>12500000</v>
      </c>
      <c r="G146" s="216">
        <f t="shared" si="53"/>
        <v>117187.5</v>
      </c>
    </row>
    <row r="147" spans="3:7" x14ac:dyDescent="0.35">
      <c r="C147" s="220" t="s">
        <v>296</v>
      </c>
      <c r="D147" s="216">
        <f t="shared" si="55"/>
        <v>12500000</v>
      </c>
      <c r="E147" s="216">
        <f t="shared" si="52"/>
        <v>3125000</v>
      </c>
      <c r="F147" s="216">
        <f t="shared" si="54"/>
        <v>9375000</v>
      </c>
      <c r="G147" s="216">
        <f t="shared" si="53"/>
        <v>91145.833333333328</v>
      </c>
    </row>
    <row r="148" spans="3:7" x14ac:dyDescent="0.35">
      <c r="C148" s="220" t="s">
        <v>288</v>
      </c>
      <c r="D148" s="216">
        <f t="shared" si="55"/>
        <v>9375000</v>
      </c>
      <c r="E148" s="216">
        <f t="shared" si="52"/>
        <v>3125000</v>
      </c>
      <c r="F148" s="216">
        <f t="shared" si="54"/>
        <v>6250000</v>
      </c>
      <c r="G148" s="216">
        <f t="shared" si="53"/>
        <v>65104.166666666664</v>
      </c>
    </row>
    <row r="149" spans="3:7" x14ac:dyDescent="0.35">
      <c r="C149" s="215" t="s">
        <v>486</v>
      </c>
      <c r="D149" s="216"/>
      <c r="E149" s="223"/>
      <c r="F149" s="223"/>
      <c r="G149" s="223"/>
    </row>
    <row r="150" spans="3:7" x14ac:dyDescent="0.35">
      <c r="C150" s="220" t="s">
        <v>298</v>
      </c>
      <c r="D150" s="216">
        <f>F148</f>
        <v>6250000</v>
      </c>
      <c r="E150" s="216">
        <f>$D$15*$I$48/12</f>
        <v>3125000</v>
      </c>
      <c r="F150" s="216">
        <f>D150-E150</f>
        <v>3125000</v>
      </c>
      <c r="G150" s="216">
        <f t="shared" ref="G150:G151" si="56">AVERAGE(D150,F150)*$D$16/12</f>
        <v>39062.5</v>
      </c>
    </row>
    <row r="151" spans="3:7" x14ac:dyDescent="0.35">
      <c r="C151" s="220" t="s">
        <v>299</v>
      </c>
      <c r="D151" s="216">
        <f>F150</f>
        <v>3125000</v>
      </c>
      <c r="E151" s="216">
        <f>$D$15*$I$48/12</f>
        <v>3125000</v>
      </c>
      <c r="F151" s="216">
        <f>D151-E151</f>
        <v>0</v>
      </c>
      <c r="G151" s="216">
        <f t="shared" si="56"/>
        <v>13020.833333333334</v>
      </c>
    </row>
    <row r="152" spans="3:7" x14ac:dyDescent="0.35">
      <c r="C152" s="220" t="s">
        <v>300</v>
      </c>
      <c r="D152" s="216"/>
      <c r="E152" s="216"/>
      <c r="F152" s="216"/>
      <c r="G152" s="216"/>
    </row>
    <row r="153" spans="3:7" x14ac:dyDescent="0.35">
      <c r="C153" s="220" t="s">
        <v>289</v>
      </c>
      <c r="D153" s="216"/>
      <c r="E153" s="216"/>
      <c r="F153" s="216"/>
      <c r="G153" s="216"/>
    </row>
    <row r="154" spans="3:7" x14ac:dyDescent="0.35">
      <c r="C154" s="220" t="s">
        <v>290</v>
      </c>
      <c r="D154" s="216"/>
      <c r="E154" s="216"/>
      <c r="F154" s="216"/>
      <c r="G154" s="216"/>
    </row>
    <row r="155" spans="3:7" x14ac:dyDescent="0.35">
      <c r="C155" s="220" t="s">
        <v>291</v>
      </c>
      <c r="D155" s="216"/>
      <c r="E155" s="216"/>
      <c r="F155" s="216"/>
      <c r="G155" s="216"/>
    </row>
    <row r="156" spans="3:7" x14ac:dyDescent="0.35">
      <c r="C156" s="220" t="s">
        <v>292</v>
      </c>
      <c r="D156" s="216"/>
      <c r="E156" s="216"/>
      <c r="F156" s="216"/>
      <c r="G156" s="216"/>
    </row>
    <row r="157" spans="3:7" x14ac:dyDescent="0.35">
      <c r="C157" s="220" t="s">
        <v>293</v>
      </c>
      <c r="D157" s="216"/>
      <c r="E157" s="216"/>
      <c r="F157" s="216"/>
      <c r="G157" s="216"/>
    </row>
    <row r="158" spans="3:7" x14ac:dyDescent="0.35">
      <c r="C158" s="220" t="s">
        <v>294</v>
      </c>
      <c r="D158" s="216"/>
      <c r="E158" s="216"/>
      <c r="F158" s="216"/>
      <c r="G158" s="216"/>
    </row>
    <row r="159" spans="3:7" x14ac:dyDescent="0.35">
      <c r="C159" s="220" t="s">
        <v>295</v>
      </c>
      <c r="D159" s="216"/>
      <c r="E159" s="216"/>
      <c r="F159" s="216"/>
      <c r="G159" s="216"/>
    </row>
    <row r="160" spans="3:7" x14ac:dyDescent="0.35">
      <c r="C160" s="220" t="s">
        <v>296</v>
      </c>
      <c r="D160" s="216"/>
      <c r="E160" s="216"/>
      <c r="F160" s="216"/>
      <c r="G160" s="216"/>
    </row>
    <row r="161" spans="3:7" x14ac:dyDescent="0.35">
      <c r="C161" s="220" t="s">
        <v>288</v>
      </c>
      <c r="D161" s="216"/>
      <c r="E161" s="216"/>
      <c r="F161" s="216"/>
      <c r="G161" s="216"/>
    </row>
  </sheetData>
  <mergeCells count="1">
    <mergeCell ref="E15:E16"/>
  </mergeCells>
  <dataValidations count="1">
    <dataValidation type="list" allowBlank="1" showInputMessage="1" showErrorMessage="1" sqref="D16" xr:uid="{4F000AB5-D62C-45D5-9058-02C94D2ABCB9}">
      <formula1>"9%,10%,11%,12%"</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C00000"/>
  </sheetPr>
  <dimension ref="B1:M53"/>
  <sheetViews>
    <sheetView showGridLines="0" topLeftCell="A2" zoomScaleNormal="100" workbookViewId="0">
      <pane xSplit="2" ySplit="4" topLeftCell="C27" activePane="bottomRight" state="frozen"/>
      <selection activeCell="A2" sqref="A2"/>
      <selection pane="topRight" activeCell="B2" sqref="B2"/>
      <selection pane="bottomLeft" activeCell="A3" sqref="A3"/>
      <selection pane="bottomRight" activeCell="C32" sqref="C32:M35"/>
    </sheetView>
  </sheetViews>
  <sheetFormatPr defaultColWidth="32.26953125" defaultRowHeight="14.5" x14ac:dyDescent="0.35"/>
  <cols>
    <col min="1" max="1" width="4.54296875" style="28" customWidth="1"/>
    <col min="2" max="2" width="42.81640625" style="6" customWidth="1"/>
    <col min="3" max="13" width="10.26953125" style="1" customWidth="1"/>
    <col min="14" max="16384" width="32.26953125" style="28"/>
  </cols>
  <sheetData>
    <row r="1" spans="2:13" s="29" customFormat="1" ht="26.25" customHeight="1" x14ac:dyDescent="0.35">
      <c r="B1" s="39" t="s">
        <v>9</v>
      </c>
      <c r="C1" s="4"/>
      <c r="D1" s="4"/>
      <c r="E1" s="4"/>
      <c r="F1" s="4"/>
      <c r="G1" s="4"/>
      <c r="H1" s="4"/>
      <c r="I1" s="4"/>
      <c r="J1" s="1"/>
      <c r="K1" s="1"/>
      <c r="L1" s="1"/>
      <c r="M1" s="1"/>
    </row>
    <row r="2" spans="2:13" s="29" customFormat="1" ht="16.5" customHeight="1" x14ac:dyDescent="0.35">
      <c r="B2" s="39"/>
      <c r="C2" s="4"/>
      <c r="D2" s="4"/>
      <c r="E2" s="4"/>
      <c r="F2" s="4"/>
      <c r="G2" s="4"/>
      <c r="H2" s="4"/>
      <c r="I2" s="4"/>
      <c r="J2" s="1"/>
      <c r="K2" s="1"/>
      <c r="L2" s="1"/>
      <c r="M2" s="1"/>
    </row>
    <row r="3" spans="2:13" s="29" customFormat="1" ht="17.25" customHeight="1" x14ac:dyDescent="0.35">
      <c r="B3" s="82" t="s">
        <v>211</v>
      </c>
      <c r="C3" s="124"/>
      <c r="D3" s="124"/>
      <c r="E3" s="124"/>
      <c r="F3" s="124"/>
      <c r="G3" s="124"/>
      <c r="H3" s="124"/>
      <c r="I3" s="124"/>
      <c r="J3" s="67"/>
      <c r="K3" s="67"/>
      <c r="L3" s="67"/>
      <c r="M3" s="67"/>
    </row>
    <row r="4" spans="2:13" s="29" customFormat="1" ht="12.75" customHeight="1" x14ac:dyDescent="0.35">
      <c r="B4" s="39"/>
      <c r="C4" s="4"/>
      <c r="D4" s="4"/>
      <c r="E4" s="4"/>
      <c r="F4" s="4"/>
      <c r="G4" s="4"/>
      <c r="H4" s="4"/>
      <c r="I4" s="4"/>
      <c r="J4" s="1"/>
      <c r="K4" s="1"/>
      <c r="L4" s="1"/>
      <c r="M4" s="1"/>
    </row>
    <row r="5" spans="2:13" s="10" customFormat="1" ht="20.25" customHeight="1" x14ac:dyDescent="0.35">
      <c r="B5" s="54" t="s">
        <v>7</v>
      </c>
      <c r="C5" s="27">
        <v>2025</v>
      </c>
      <c r="D5" s="27">
        <f>C5+1</f>
        <v>2026</v>
      </c>
      <c r="E5" s="27">
        <f t="shared" ref="E5:K5" si="0">D5+1</f>
        <v>2027</v>
      </c>
      <c r="F5" s="27">
        <f t="shared" si="0"/>
        <v>2028</v>
      </c>
      <c r="G5" s="27">
        <f t="shared" si="0"/>
        <v>2029</v>
      </c>
      <c r="H5" s="27">
        <f t="shared" si="0"/>
        <v>2030</v>
      </c>
      <c r="I5" s="27">
        <f t="shared" si="0"/>
        <v>2031</v>
      </c>
      <c r="J5" s="27">
        <f t="shared" si="0"/>
        <v>2032</v>
      </c>
      <c r="K5" s="27">
        <f t="shared" si="0"/>
        <v>2033</v>
      </c>
      <c r="L5" s="27">
        <f t="shared" ref="L5" si="1">K5+1</f>
        <v>2034</v>
      </c>
      <c r="M5" s="27">
        <f t="shared" ref="M5" si="2">L5+1</f>
        <v>2035</v>
      </c>
    </row>
    <row r="6" spans="2:13" s="29" customFormat="1" ht="21" customHeight="1" x14ac:dyDescent="0.35">
      <c r="B6" s="6" t="s">
        <v>121</v>
      </c>
      <c r="C6" s="9">
        <f>'P &amp; L'!D46</f>
        <v>-30.176971222666651</v>
      </c>
      <c r="D6" s="9">
        <f>'P &amp; L'!E46</f>
        <v>134.3363065119197</v>
      </c>
      <c r="E6" s="9">
        <f>'P &amp; L'!F46</f>
        <v>869.81393740263547</v>
      </c>
      <c r="F6" s="9">
        <f>'P &amp; L'!G46</f>
        <v>1139.1439543267934</v>
      </c>
      <c r="G6" s="9">
        <f>'P &amp; L'!H46</f>
        <v>1208.3816475864014</v>
      </c>
      <c r="H6" s="9">
        <f>'P &amp; L'!I46</f>
        <v>1281.8180552415852</v>
      </c>
      <c r="I6" s="9">
        <f>'P &amp; L'!J46</f>
        <v>1359.7073227960809</v>
      </c>
      <c r="J6" s="9">
        <f>'P &amp; L'!K46</f>
        <v>1442.318955615845</v>
      </c>
      <c r="K6" s="9">
        <f>'P &amp; L'!L46</f>
        <v>1529.938746077396</v>
      </c>
      <c r="L6" s="9">
        <f>'P &amp; L'!M46</f>
        <v>1622.8697566228702</v>
      </c>
      <c r="M6" s="9">
        <f>'P &amp; L'!N46</f>
        <v>1721.4333620901134</v>
      </c>
    </row>
    <row r="7" spans="2:13" s="29" customFormat="1" ht="21" customHeight="1" x14ac:dyDescent="0.35">
      <c r="B7" s="6" t="s">
        <v>122</v>
      </c>
      <c r="C7" s="9">
        <f>'P &amp; L'!D51+'P &amp; L'!D47</f>
        <v>-278.52569454793104</v>
      </c>
      <c r="D7" s="9">
        <f>'P &amp; L'!E51+'P &amp; L'!E47</f>
        <v>-353.26773194079283</v>
      </c>
      <c r="E7" s="9">
        <f>'P &amp; L'!F51+'P &amp; L'!F47</f>
        <v>440.94539414598006</v>
      </c>
      <c r="F7" s="9">
        <f>'P &amp; L'!G51+'P &amp; L'!G47</f>
        <v>716.12149304397155</v>
      </c>
      <c r="G7" s="9">
        <f>'P &amp; L'!H51+'P &amp; L'!H47</f>
        <v>835.64717593280443</v>
      </c>
      <c r="H7" s="9">
        <f>'P &amp; L'!I51+'P &amp; L'!I47</f>
        <v>974.99531272914919</v>
      </c>
      <c r="I7" s="9">
        <f>'P &amp; L'!J51+'P &amp; L'!J47</f>
        <v>1135.4797942143198</v>
      </c>
      <c r="J7" s="9">
        <f>'P &amp; L'!K51+'P &amp; L'!K47</f>
        <v>1249.6337786197764</v>
      </c>
      <c r="K7" s="9">
        <f>'P &amp; L'!L51+'P &amp; L'!L47</f>
        <v>1304.2737456993232</v>
      </c>
      <c r="L7" s="9">
        <f>'P &amp; L'!M51+'P &amp; L'!M47</f>
        <v>1429.3601663632355</v>
      </c>
      <c r="M7" s="9">
        <f>'P &amp; L'!N51+'P &amp; L'!N47</f>
        <v>1555.4253044249781</v>
      </c>
    </row>
    <row r="8" spans="2:13" s="29" customFormat="1" ht="21" customHeight="1" x14ac:dyDescent="0.35">
      <c r="B8" s="6" t="s">
        <v>30</v>
      </c>
      <c r="C8" s="9">
        <f>'P &amp; L'!D51</f>
        <v>-378.52569454793104</v>
      </c>
      <c r="D8" s="9">
        <f>'P &amp; L'!E51</f>
        <v>-653.26773194079283</v>
      </c>
      <c r="E8" s="9">
        <f>'P &amp; L'!F51</f>
        <v>153.96622747931343</v>
      </c>
      <c r="F8" s="9">
        <f>'P &amp; L'!G51</f>
        <v>466.12149304397155</v>
      </c>
      <c r="G8" s="9">
        <f>'P &amp; L'!H51</f>
        <v>623.14717593280443</v>
      </c>
      <c r="H8" s="9">
        <f>'P &amp; L'!I51</f>
        <v>799.99531272914919</v>
      </c>
      <c r="I8" s="9">
        <f>'P &amp; L'!J51</f>
        <v>997.97979421431978</v>
      </c>
      <c r="J8" s="9">
        <f>'P &amp; L'!K51</f>
        <v>1149.6337786197764</v>
      </c>
      <c r="K8" s="9">
        <f>'P &amp; L'!L51</f>
        <v>1241.7737456993232</v>
      </c>
      <c r="L8" s="9">
        <f>'P &amp; L'!M51</f>
        <v>1404.3601663632355</v>
      </c>
      <c r="M8" s="9">
        <f>'P &amp; L'!N51</f>
        <v>1554.9044710916448</v>
      </c>
    </row>
    <row r="9" spans="2:13" s="29" customFormat="1" ht="21" customHeight="1" x14ac:dyDescent="0.35">
      <c r="B9" s="6" t="s">
        <v>39</v>
      </c>
      <c r="C9" s="9">
        <f>'P &amp; L'!D53</f>
        <v>-378.52569454793104</v>
      </c>
      <c r="D9" s="9">
        <f>'P &amp; L'!E53</f>
        <v>-653.26773194079283</v>
      </c>
      <c r="E9" s="9">
        <f>'P &amp; L'!F53</f>
        <v>153.96622747931343</v>
      </c>
      <c r="F9" s="9">
        <f>'P &amp; L'!G53</f>
        <v>466.12149304397155</v>
      </c>
      <c r="G9" s="9">
        <f>'P &amp; L'!H53</f>
        <v>569.93158677141787</v>
      </c>
      <c r="H9" s="9">
        <f>'P &amp; L'!I53</f>
        <v>598.65249242147695</v>
      </c>
      <c r="I9" s="9">
        <f>'P &amp; L'!J53</f>
        <v>746.80823960645978</v>
      </c>
      <c r="J9" s="9">
        <f>'P &amp; L'!K53</f>
        <v>860.29394921675112</v>
      </c>
      <c r="K9" s="9">
        <f>'P &amp; L'!L53</f>
        <v>929.24412938171747</v>
      </c>
      <c r="L9" s="9">
        <f>'P &amp; L'!M53</f>
        <v>1050.9107996929365</v>
      </c>
      <c r="M9" s="9">
        <f>'P &amp; L'!N53</f>
        <v>1163.5661138072996</v>
      </c>
    </row>
    <row r="10" spans="2:13" s="29" customFormat="1" ht="21" customHeight="1" x14ac:dyDescent="0.35">
      <c r="B10" s="6" t="s">
        <v>123</v>
      </c>
      <c r="C10" s="9">
        <f>'P &amp; L'!D47</f>
        <v>100</v>
      </c>
      <c r="D10" s="9">
        <f>'P &amp; L'!E47</f>
        <v>300</v>
      </c>
      <c r="E10" s="9">
        <f>'P &amp; L'!F47</f>
        <v>286.97916666666663</v>
      </c>
      <c r="F10" s="9">
        <f>'P &amp; L'!G47</f>
        <v>250</v>
      </c>
      <c r="G10" s="9">
        <f>'P &amp; L'!H47</f>
        <v>212.5</v>
      </c>
      <c r="H10" s="9">
        <f>'P &amp; L'!I47</f>
        <v>175</v>
      </c>
      <c r="I10" s="9">
        <f>'P &amp; L'!J47</f>
        <v>137.5</v>
      </c>
      <c r="J10" s="9">
        <f>'P &amp; L'!K47</f>
        <v>100</v>
      </c>
      <c r="K10" s="9">
        <f>'P &amp; L'!L47</f>
        <v>62.5</v>
      </c>
      <c r="L10" s="9">
        <f>'P &amp; L'!M47</f>
        <v>25</v>
      </c>
      <c r="M10" s="9">
        <f>'P &amp; L'!N47</f>
        <v>0.52083333333333337</v>
      </c>
    </row>
    <row r="11" spans="2:13" s="29" customFormat="1" ht="21" customHeight="1" x14ac:dyDescent="0.35">
      <c r="B11" s="6" t="s">
        <v>124</v>
      </c>
      <c r="C11" s="9">
        <f>SUM(BS!C6:C8)</f>
        <v>3621.4743054520691</v>
      </c>
      <c r="D11" s="9">
        <f>SUM(BS!D6:D8)</f>
        <v>2655.706573511276</v>
      </c>
      <c r="E11" s="9">
        <f>SUM(BS!E6:E8)</f>
        <v>2434.6728009905892</v>
      </c>
      <c r="F11" s="9">
        <f>SUM(BS!F6:F8)</f>
        <v>2525.7942940345611</v>
      </c>
      <c r="G11" s="9">
        <f>SUM(BS!G6:G8)</f>
        <v>2720.7258808059787</v>
      </c>
      <c r="H11" s="9">
        <f>SUM(BS!H6:H8)</f>
        <v>2944.378373227456</v>
      </c>
      <c r="I11" s="9">
        <f>SUM(BS!I6:I8)</f>
        <v>3316.1866128339157</v>
      </c>
      <c r="J11" s="9">
        <f>SUM(BS!J6:J8)</f>
        <v>3801.4805620506668</v>
      </c>
      <c r="K11" s="9">
        <f>SUM(BS!K6:K8)</f>
        <v>4355.7246914323841</v>
      </c>
      <c r="L11" s="9">
        <f>SUM(BS!L6:L8)</f>
        <v>5344.1354911253202</v>
      </c>
      <c r="M11" s="9">
        <f>SUM(BS!M6:M8)</f>
        <v>6507.7016049326194</v>
      </c>
    </row>
    <row r="12" spans="2:13" s="29" customFormat="1" ht="21" customHeight="1" x14ac:dyDescent="0.35">
      <c r="B12" s="6" t="s">
        <v>125</v>
      </c>
      <c r="C12" s="9">
        <f>BS!C6</f>
        <v>1000</v>
      </c>
      <c r="D12" s="9">
        <f>BS!D6</f>
        <v>1000</v>
      </c>
      <c r="E12" s="9">
        <f>BS!E6</f>
        <v>1000</v>
      </c>
      <c r="F12" s="9">
        <f>BS!F6</f>
        <v>1000</v>
      </c>
      <c r="G12" s="9">
        <f>BS!G6</f>
        <v>1000</v>
      </c>
      <c r="H12" s="9">
        <f>BS!H6</f>
        <v>1000</v>
      </c>
      <c r="I12" s="9">
        <f>BS!I6</f>
        <v>1000</v>
      </c>
      <c r="J12" s="9">
        <f>BS!J6</f>
        <v>1000</v>
      </c>
      <c r="K12" s="9">
        <f>BS!K6</f>
        <v>1000</v>
      </c>
      <c r="L12" s="9">
        <f>BS!L6</f>
        <v>1000</v>
      </c>
      <c r="M12" s="9">
        <f>BS!M6</f>
        <v>1000</v>
      </c>
    </row>
    <row r="13" spans="2:13" s="29" customFormat="1" ht="21" customHeight="1" x14ac:dyDescent="0.35">
      <c r="B13" s="6" t="s">
        <v>126</v>
      </c>
      <c r="C13" s="9">
        <f>BS!C6+BS!C7</f>
        <v>621.47430545206896</v>
      </c>
      <c r="D13" s="9">
        <f>BS!D6+BS!D7</f>
        <v>-31.793426488723981</v>
      </c>
      <c r="E13" s="9">
        <f>BS!E6+BS!E7</f>
        <v>122.17280099058939</v>
      </c>
      <c r="F13" s="9">
        <f>BS!F6+BS!F7</f>
        <v>588.29429403456095</v>
      </c>
      <c r="G13" s="9">
        <f>BS!G6+BS!G7</f>
        <v>1158.2258808059787</v>
      </c>
      <c r="H13" s="9">
        <f>BS!H6+BS!H7</f>
        <v>1756.8783732274558</v>
      </c>
      <c r="I13" s="9">
        <f>BS!I6+BS!I7</f>
        <v>2503.6866128339157</v>
      </c>
      <c r="J13" s="9">
        <f>BS!J6+BS!J7</f>
        <v>3363.9805620506668</v>
      </c>
      <c r="K13" s="9">
        <f>BS!K6+BS!K7</f>
        <v>4293.2246914323841</v>
      </c>
      <c r="L13" s="9">
        <f>BS!L6+BS!L7</f>
        <v>5344.1354911253202</v>
      </c>
      <c r="M13" s="9">
        <f>BS!M6+BS!M7</f>
        <v>6507.7016049326194</v>
      </c>
    </row>
    <row r="14" spans="2:13" s="29" customFormat="1" ht="21" customHeight="1" x14ac:dyDescent="0.35">
      <c r="B14" s="6" t="s">
        <v>154</v>
      </c>
      <c r="C14" s="9">
        <f>BS!C8</f>
        <v>3000</v>
      </c>
      <c r="D14" s="9">
        <f>BS!D8</f>
        <v>2687.5</v>
      </c>
      <c r="E14" s="9">
        <f>BS!E8</f>
        <v>2312.5</v>
      </c>
      <c r="F14" s="9">
        <f>BS!F8</f>
        <v>1937.5</v>
      </c>
      <c r="G14" s="9">
        <f>BS!G8</f>
        <v>1562.5</v>
      </c>
      <c r="H14" s="9">
        <f>BS!H8</f>
        <v>1187.5</v>
      </c>
      <c r="I14" s="9">
        <f>BS!I8</f>
        <v>812.5</v>
      </c>
      <c r="J14" s="9">
        <f>BS!J8</f>
        <v>437.5</v>
      </c>
      <c r="K14" s="9">
        <f>BS!K8</f>
        <v>62.5</v>
      </c>
      <c r="L14" s="9">
        <f>BS!L8</f>
        <v>0</v>
      </c>
      <c r="M14" s="9">
        <f>BS!M8</f>
        <v>0</v>
      </c>
    </row>
    <row r="15" spans="2:13" s="29" customFormat="1" ht="21" customHeight="1" x14ac:dyDescent="0.35">
      <c r="B15" s="6" t="s">
        <v>177</v>
      </c>
      <c r="C15" s="9">
        <f>C14+BS!C11+BS!C12</f>
        <v>3034.0340000000001</v>
      </c>
      <c r="D15" s="9">
        <f>D14+BS!D11+BS!D12</f>
        <v>3038.786383561644</v>
      </c>
      <c r="E15" s="9">
        <f>E14+BS!E11+BS!E12</f>
        <v>2739.852559780822</v>
      </c>
      <c r="F15" s="9">
        <f>F14+BS!F11+BS!F12</f>
        <v>2370.9324560412056</v>
      </c>
      <c r="G15" s="9">
        <f>G14+BS!G11+BS!G12</f>
        <v>1997.6384034036778</v>
      </c>
      <c r="H15" s="9">
        <f>H14+BS!H11+BS!H12</f>
        <v>1624.4467076078986</v>
      </c>
      <c r="I15" s="9">
        <f>I14+BS!I11+BS!I12</f>
        <v>1251.3635100643723</v>
      </c>
      <c r="J15" s="9">
        <f>J14+BS!J11+BS!J12</f>
        <v>878.39532066823472</v>
      </c>
      <c r="K15" s="9">
        <f>K14+BS!K11+BS!K12</f>
        <v>505.54903990832884</v>
      </c>
      <c r="L15" s="9">
        <f>L14+BS!L11+BS!L12</f>
        <v>132.83198230282858</v>
      </c>
      <c r="M15" s="9">
        <f>M14+BS!M11+BS!M12</f>
        <v>72.751901240998279</v>
      </c>
    </row>
    <row r="16" spans="2:13" s="29" customFormat="1" ht="21" customHeight="1" x14ac:dyDescent="0.35">
      <c r="B16" s="6" t="s">
        <v>178</v>
      </c>
      <c r="C16" s="9">
        <f>C13</f>
        <v>621.47430545206896</v>
      </c>
      <c r="D16" s="9">
        <f t="shared" ref="D16:K16" si="3">D13</f>
        <v>-31.793426488723981</v>
      </c>
      <c r="E16" s="9">
        <f t="shared" si="3"/>
        <v>122.17280099058939</v>
      </c>
      <c r="F16" s="9">
        <f t="shared" si="3"/>
        <v>588.29429403456095</v>
      </c>
      <c r="G16" s="9">
        <f t="shared" si="3"/>
        <v>1158.2258808059787</v>
      </c>
      <c r="H16" s="9">
        <f t="shared" si="3"/>
        <v>1756.8783732274558</v>
      </c>
      <c r="I16" s="9">
        <f t="shared" si="3"/>
        <v>2503.6866128339157</v>
      </c>
      <c r="J16" s="9">
        <f t="shared" si="3"/>
        <v>3363.9805620506668</v>
      </c>
      <c r="K16" s="9">
        <f t="shared" si="3"/>
        <v>4293.2246914323841</v>
      </c>
      <c r="L16" s="9">
        <f t="shared" ref="L16:M16" si="4">L13</f>
        <v>5344.1354911253202</v>
      </c>
      <c r="M16" s="9">
        <f t="shared" si="4"/>
        <v>6507.7016049326194</v>
      </c>
    </row>
    <row r="17" spans="2:13" s="29" customFormat="1" ht="21" customHeight="1" x14ac:dyDescent="0.35">
      <c r="B17" s="6" t="s">
        <v>127</v>
      </c>
      <c r="C17" s="9">
        <f>'P &amp; L'!D30</f>
        <v>201.70000000000002</v>
      </c>
      <c r="D17" s="9">
        <f>'P &amp; L'!E30</f>
        <v>1336.2624999999998</v>
      </c>
      <c r="E17" s="9">
        <f>'P &amp; L'!F30</f>
        <v>3399.4518000000007</v>
      </c>
      <c r="F17" s="9">
        <f>'P &amp; L'!G30</f>
        <v>4324.1026896000003</v>
      </c>
      <c r="G17" s="9">
        <f>'P &amp; L'!H30</f>
        <v>4583.5488509760016</v>
      </c>
      <c r="H17" s="9">
        <f>'P &amp; L'!I30</f>
        <v>4858.5617820345615</v>
      </c>
      <c r="I17" s="9">
        <f>'P &amp; L'!J30</f>
        <v>5150.075488956636</v>
      </c>
      <c r="J17" s="9">
        <f>'P &amp; L'!K30</f>
        <v>5459.0800182940338</v>
      </c>
      <c r="K17" s="9">
        <f>'P &amp; L'!L30</f>
        <v>5786.6248193916763</v>
      </c>
      <c r="L17" s="9">
        <f>'P &amp; L'!M30</f>
        <v>6133.8223085551772</v>
      </c>
      <c r="M17" s="9">
        <f>'P &amp; L'!N30</f>
        <v>6501.8516470684881</v>
      </c>
    </row>
    <row r="18" spans="2:13" s="29" customFormat="1" ht="21" customHeight="1" x14ac:dyDescent="0.35">
      <c r="B18" s="6" t="s">
        <v>114</v>
      </c>
      <c r="C18" s="9">
        <f>BS!C20</f>
        <v>3027.0342944747358</v>
      </c>
      <c r="D18" s="9">
        <f>BS!D20</f>
        <v>2608.0702560220234</v>
      </c>
      <c r="E18" s="9">
        <f>BS!E20</f>
        <v>2253.8417127653679</v>
      </c>
      <c r="F18" s="9">
        <f>BS!F20</f>
        <v>2199.4592514825463</v>
      </c>
      <c r="G18" s="9">
        <f>BS!G20</f>
        <v>1895.3647798289489</v>
      </c>
      <c r="H18" s="9">
        <f>BS!H20</f>
        <v>1634.302037316513</v>
      </c>
      <c r="I18" s="9">
        <f>BS!I20</f>
        <v>1410.0745087347518</v>
      </c>
      <c r="J18" s="9">
        <f>BS!J20</f>
        <v>1217.3893317386833</v>
      </c>
      <c r="K18" s="9">
        <f>BS!K20</f>
        <v>1391.7243313606104</v>
      </c>
      <c r="L18" s="9">
        <f>BS!L20</f>
        <v>1198.2147411009755</v>
      </c>
      <c r="M18" s="9">
        <f>BS!M20</f>
        <v>1032.2066834358402</v>
      </c>
    </row>
    <row r="19" spans="2:13" s="29" customFormat="1" ht="21" customHeight="1" x14ac:dyDescent="0.35">
      <c r="B19" s="6" t="s">
        <v>134</v>
      </c>
      <c r="C19" s="9">
        <f>BS!C8</f>
        <v>3000</v>
      </c>
      <c r="D19" s="9">
        <f>BS!D8</f>
        <v>2687.5</v>
      </c>
      <c r="E19" s="9">
        <f>BS!E8</f>
        <v>2312.5</v>
      </c>
      <c r="F19" s="9">
        <f>BS!F8</f>
        <v>1937.5</v>
      </c>
      <c r="G19" s="9">
        <f>BS!G8</f>
        <v>1562.5</v>
      </c>
      <c r="H19" s="9">
        <f>BS!H8</f>
        <v>1187.5</v>
      </c>
      <c r="I19" s="9">
        <f>BS!I8</f>
        <v>812.5</v>
      </c>
      <c r="J19" s="9">
        <f>BS!J8</f>
        <v>437.5</v>
      </c>
      <c r="K19" s="9">
        <f>BS!K8</f>
        <v>62.5</v>
      </c>
      <c r="L19" s="9">
        <f>BS!L8</f>
        <v>0</v>
      </c>
      <c r="M19" s="9">
        <f>BS!M8</f>
        <v>0</v>
      </c>
    </row>
    <row r="20" spans="2:13" s="29" customFormat="1" ht="21" customHeight="1" x14ac:dyDescent="0.35">
      <c r="B20" s="6" t="s">
        <v>205</v>
      </c>
      <c r="C20" s="9">
        <f>BS!C8+BS!C12</f>
        <v>3000</v>
      </c>
      <c r="D20" s="9">
        <f>BS!D8+BS!D12</f>
        <v>3000</v>
      </c>
      <c r="E20" s="9">
        <f>BS!E8+BS!E12</f>
        <v>2687.5</v>
      </c>
      <c r="F20" s="9">
        <f>BS!F8+BS!F12</f>
        <v>2312.5</v>
      </c>
      <c r="G20" s="9">
        <f>BS!G8+BS!G12</f>
        <v>1937.5</v>
      </c>
      <c r="H20" s="9">
        <f>BS!H8+BS!H12</f>
        <v>1562.5</v>
      </c>
      <c r="I20" s="9">
        <f>BS!I8+BS!I12</f>
        <v>1187.5</v>
      </c>
      <c r="J20" s="9">
        <f>BS!J8+BS!J12</f>
        <v>812.5</v>
      </c>
      <c r="K20" s="9">
        <f>BS!K8+BS!K12</f>
        <v>437.5</v>
      </c>
      <c r="L20" s="9">
        <f>BS!L8+BS!L12</f>
        <v>62.5</v>
      </c>
      <c r="M20" s="9">
        <f>BS!M8+BS!M12</f>
        <v>0</v>
      </c>
    </row>
    <row r="21" spans="2:13" s="29" customFormat="1" ht="21" customHeight="1" x14ac:dyDescent="0.35">
      <c r="B21" s="6" t="s">
        <v>206</v>
      </c>
      <c r="C21" s="9">
        <f>BS!C6</f>
        <v>1000</v>
      </c>
      <c r="D21" s="9">
        <f>BS!D6</f>
        <v>1000</v>
      </c>
      <c r="E21" s="9">
        <f>BS!E6</f>
        <v>1000</v>
      </c>
      <c r="F21" s="9">
        <f>BS!F6</f>
        <v>1000</v>
      </c>
      <c r="G21" s="9">
        <f>BS!G6</f>
        <v>1000</v>
      </c>
      <c r="H21" s="9">
        <f>BS!H6</f>
        <v>1000</v>
      </c>
      <c r="I21" s="9">
        <f>BS!I6</f>
        <v>1000</v>
      </c>
      <c r="J21" s="9">
        <f>BS!J6</f>
        <v>1000</v>
      </c>
      <c r="K21" s="9">
        <f>BS!K6</f>
        <v>1000</v>
      </c>
      <c r="L21" s="9">
        <f>BS!L6</f>
        <v>1000</v>
      </c>
      <c r="M21" s="9">
        <f>BS!M6</f>
        <v>1000</v>
      </c>
    </row>
    <row r="22" spans="2:13" s="29" customFormat="1" ht="21" customHeight="1" x14ac:dyDescent="0.35">
      <c r="B22" s="6"/>
      <c r="C22" s="9"/>
      <c r="D22" s="9"/>
      <c r="E22" s="9"/>
      <c r="F22" s="9"/>
      <c r="G22" s="9"/>
      <c r="H22" s="9"/>
      <c r="I22" s="1"/>
      <c r="J22" s="1"/>
      <c r="K22" s="1"/>
      <c r="L22" s="1"/>
      <c r="M22" s="1"/>
    </row>
    <row r="23" spans="2:13" s="29" customFormat="1" ht="21" customHeight="1" x14ac:dyDescent="0.35">
      <c r="B23" s="6" t="s">
        <v>101</v>
      </c>
      <c r="C23" s="32">
        <f>BS!C22+BS!C23+BS!C24</f>
        <v>353.85702877733382</v>
      </c>
      <c r="D23" s="32">
        <f>BS!D22+BS!D23+BS!D24</f>
        <v>192.94571885089738</v>
      </c>
      <c r="E23" s="32">
        <f>BS!E22+BS!E23+BS!E24</f>
        <v>470.84666580604437</v>
      </c>
      <c r="F23" s="32">
        <f>BS!F22+BS!F23+BS!F24</f>
        <v>691.0705163932214</v>
      </c>
      <c r="G23" s="32">
        <f>BS!G22+BS!G23+BS!G24</f>
        <v>1260.4425221807087</v>
      </c>
      <c r="H23" s="32">
        <f>BS!H22+BS!H23+BS!H24</f>
        <v>1792.7260613188421</v>
      </c>
      <c r="I23" s="32">
        <f>BS!I22+BS!I23+BS!I24</f>
        <v>2390.6786319635371</v>
      </c>
      <c r="J23" s="32">
        <f>BS!J22+BS!J23+BS!J24</f>
        <v>3070.6895687802189</v>
      </c>
      <c r="K23" s="32">
        <f>BS!K22+BS!K23+BS!K24</f>
        <v>3452.7524177801029</v>
      </c>
      <c r="L23" s="32">
        <f>BS!L22+BS!L23+BS!L24</f>
        <v>4324.4557501271738</v>
      </c>
      <c r="M23" s="32">
        <f>BS!M22+BS!M23+BS!M24</f>
        <v>5593.949840537779</v>
      </c>
    </row>
    <row r="24" spans="2:13" s="29" customFormat="1" ht="21" customHeight="1" x14ac:dyDescent="0.35">
      <c r="B24" s="6" t="s">
        <v>147</v>
      </c>
      <c r="C24" s="32">
        <f>BS!C11+BS!C12</f>
        <v>34.033999999999999</v>
      </c>
      <c r="D24" s="32">
        <f>BS!D11+BS!D12</f>
        <v>351.28638356164385</v>
      </c>
      <c r="E24" s="32">
        <f>BS!E11+BS!E12</f>
        <v>427.35255978082193</v>
      </c>
      <c r="F24" s="32">
        <f>BS!F11+BS!F12</f>
        <v>433.43245604120546</v>
      </c>
      <c r="G24" s="32">
        <f>BS!G11+BS!G12</f>
        <v>435.13840340367784</v>
      </c>
      <c r="H24" s="32">
        <f>BS!H11+BS!H12</f>
        <v>436.94670760789847</v>
      </c>
      <c r="I24" s="32">
        <f>BS!I11+BS!I12</f>
        <v>438.86351006437241</v>
      </c>
      <c r="J24" s="32">
        <f>BS!J11+BS!J12</f>
        <v>440.89532066823472</v>
      </c>
      <c r="K24" s="32">
        <f>BS!K11+BS!K12</f>
        <v>443.04903990832884</v>
      </c>
      <c r="L24" s="32">
        <f>BS!L11+BS!L12</f>
        <v>132.83198230282858</v>
      </c>
      <c r="M24" s="32">
        <f>BS!M11+BS!M12</f>
        <v>72.751901240998279</v>
      </c>
    </row>
    <row r="25" spans="2:13" s="29" customFormat="1" ht="21" customHeight="1" x14ac:dyDescent="0.35">
      <c r="B25" s="6"/>
      <c r="C25" s="32"/>
      <c r="D25" s="32"/>
      <c r="E25" s="32"/>
      <c r="F25" s="32"/>
      <c r="G25" s="32"/>
      <c r="H25" s="32"/>
      <c r="I25" s="1"/>
      <c r="J25" s="1"/>
      <c r="K25" s="1"/>
      <c r="L25" s="1"/>
      <c r="M25" s="1"/>
    </row>
    <row r="26" spans="2:13" s="29" customFormat="1" ht="21" customHeight="1" x14ac:dyDescent="0.35">
      <c r="B26" s="125" t="s">
        <v>128</v>
      </c>
      <c r="C26" s="126">
        <f t="shared" ref="C26:M26" si="5">C9/C17</f>
        <v>-1.8766767206144324</v>
      </c>
      <c r="D26" s="126">
        <f t="shared" si="5"/>
        <v>-0.48887679774055842</v>
      </c>
      <c r="E26" s="126">
        <f t="shared" si="5"/>
        <v>4.5291487138989117E-2</v>
      </c>
      <c r="F26" s="126">
        <f t="shared" si="5"/>
        <v>0.10779612014419805</v>
      </c>
      <c r="G26" s="126">
        <f t="shared" si="5"/>
        <v>0.12434286298706275</v>
      </c>
      <c r="H26" s="126">
        <f t="shared" si="5"/>
        <v>0.12321598845055469</v>
      </c>
      <c r="I26" s="126">
        <f t="shared" si="5"/>
        <v>0.14500918310961636</v>
      </c>
      <c r="J26" s="126">
        <f t="shared" si="5"/>
        <v>0.15758954738413847</v>
      </c>
      <c r="K26" s="126">
        <f t="shared" si="5"/>
        <v>0.16058482420835521</v>
      </c>
      <c r="L26" s="126">
        <f t="shared" si="5"/>
        <v>0.17133049293377373</v>
      </c>
      <c r="M26" s="126">
        <f t="shared" si="5"/>
        <v>0.17895919146846739</v>
      </c>
    </row>
    <row r="27" spans="2:13" s="29" customFormat="1" ht="21" customHeight="1" x14ac:dyDescent="0.35">
      <c r="B27" s="125" t="s">
        <v>129</v>
      </c>
      <c r="C27" s="126">
        <f t="shared" ref="C27:M27" si="6">C7/C11</f>
        <v>-7.6909476930048973E-2</v>
      </c>
      <c r="D27" s="126">
        <f t="shared" si="6"/>
        <v>-0.13302212505868652</v>
      </c>
      <c r="E27" s="126">
        <f t="shared" si="6"/>
        <v>0.18111074061638743</v>
      </c>
      <c r="F27" s="126">
        <f t="shared" si="6"/>
        <v>0.28352328403596144</v>
      </c>
      <c r="G27" s="126">
        <f t="shared" si="6"/>
        <v>0.30714126028942507</v>
      </c>
      <c r="H27" s="126">
        <f t="shared" si="6"/>
        <v>0.33113791406517368</v>
      </c>
      <c r="I27" s="126">
        <f t="shared" si="6"/>
        <v>0.34240527653658553</v>
      </c>
      <c r="J27" s="126">
        <f t="shared" si="6"/>
        <v>0.32872291682735194</v>
      </c>
      <c r="K27" s="126">
        <f t="shared" si="6"/>
        <v>0.29943897700072764</v>
      </c>
      <c r="L27" s="126">
        <f t="shared" si="6"/>
        <v>0.26746330977889443</v>
      </c>
      <c r="M27" s="126">
        <f t="shared" si="6"/>
        <v>0.2390130031847216</v>
      </c>
    </row>
    <row r="28" spans="2:13" s="29" customFormat="1" ht="21" customHeight="1" x14ac:dyDescent="0.35">
      <c r="B28" s="125" t="s">
        <v>130</v>
      </c>
      <c r="C28" s="126">
        <f t="shared" ref="C28:M28" si="7">C9/C12</f>
        <v>-0.37852569454793106</v>
      </c>
      <c r="D28" s="126">
        <f t="shared" si="7"/>
        <v>-0.6532677319407928</v>
      </c>
      <c r="E28" s="126">
        <f t="shared" si="7"/>
        <v>0.15396622747931343</v>
      </c>
      <c r="F28" s="126">
        <f t="shared" si="7"/>
        <v>0.46612149304397155</v>
      </c>
      <c r="G28" s="126">
        <f t="shared" si="7"/>
        <v>0.56993158677141786</v>
      </c>
      <c r="H28" s="126">
        <f t="shared" si="7"/>
        <v>0.598652492421477</v>
      </c>
      <c r="I28" s="126">
        <f t="shared" si="7"/>
        <v>0.74680823960645981</v>
      </c>
      <c r="J28" s="126">
        <f t="shared" si="7"/>
        <v>0.86029394921675106</v>
      </c>
      <c r="K28" s="126">
        <f t="shared" si="7"/>
        <v>0.92924412938171752</v>
      </c>
      <c r="L28" s="126">
        <f t="shared" si="7"/>
        <v>1.0509107996929365</v>
      </c>
      <c r="M28" s="126">
        <f t="shared" si="7"/>
        <v>1.1635661138072997</v>
      </c>
    </row>
    <row r="29" spans="2:13" s="29" customFormat="1" ht="21" customHeight="1" x14ac:dyDescent="0.35">
      <c r="B29" s="125" t="s">
        <v>131</v>
      </c>
      <c r="C29" s="126">
        <f t="shared" ref="C29:M29" si="8">C9/C13</f>
        <v>-0.60907698230997054</v>
      </c>
      <c r="D29" s="126">
        <f t="shared" si="8"/>
        <v>20.5472578481745</v>
      </c>
      <c r="E29" s="126">
        <f t="shared" si="8"/>
        <v>1.2602332616665881</v>
      </c>
      <c r="F29" s="126">
        <f t="shared" si="8"/>
        <v>0.79232706788175644</v>
      </c>
      <c r="G29" s="126">
        <f t="shared" si="8"/>
        <v>0.4920729161869683</v>
      </c>
      <c r="H29" s="126">
        <f t="shared" si="8"/>
        <v>0.34074782952773697</v>
      </c>
      <c r="I29" s="126">
        <f t="shared" si="8"/>
        <v>0.29828343362875981</v>
      </c>
      <c r="J29" s="126">
        <f t="shared" si="8"/>
        <v>0.25573689661640614</v>
      </c>
      <c r="K29" s="126">
        <f t="shared" si="8"/>
        <v>0.21644432708964181</v>
      </c>
      <c r="L29" s="126">
        <f t="shared" si="8"/>
        <v>0.19664748422604927</v>
      </c>
      <c r="M29" s="126">
        <f t="shared" si="8"/>
        <v>0.17879831996681525</v>
      </c>
    </row>
    <row r="30" spans="2:13" s="29" customFormat="1" ht="21" customHeight="1" x14ac:dyDescent="0.35">
      <c r="B30" s="125" t="s">
        <v>132</v>
      </c>
      <c r="C30" s="127">
        <f>DSCR!C13</f>
        <v>-0.30176971222666682</v>
      </c>
      <c r="D30" s="127">
        <f>DSCR!D13</f>
        <v>0.44778768837306565</v>
      </c>
      <c r="E30" s="127">
        <f>DSCR!E13</f>
        <v>1.4509494003588708</v>
      </c>
      <c r="F30" s="127">
        <f>DSCR!F13</f>
        <v>1.8226303269228694</v>
      </c>
      <c r="G30" s="127">
        <f>DSCR!G13</f>
        <v>1.9662400994468339</v>
      </c>
      <c r="H30" s="127">
        <f>DSCR!H13</f>
        <v>1.9645004271525688</v>
      </c>
      <c r="I30" s="127">
        <f>DSCR!I13</f>
        <v>2.1629966208550653</v>
      </c>
      <c r="J30" s="127">
        <f>DSCR!J13</f>
        <v>2.4273244762375152</v>
      </c>
      <c r="K30" s="127">
        <f>DSCR!K13</f>
        <v>2.7826494394509491</v>
      </c>
      <c r="L30" s="127">
        <f>DSCR!L13</f>
        <v>3.1735509748814281</v>
      </c>
      <c r="M30" s="127">
        <f>DSCR!M13</f>
        <v>21.105639745678303</v>
      </c>
    </row>
    <row r="31" spans="2:13" s="29" customFormat="1" ht="21" customHeight="1" x14ac:dyDescent="0.35">
      <c r="B31" s="125" t="s">
        <v>133</v>
      </c>
      <c r="C31" s="128">
        <f>C18/C20</f>
        <v>1.0090114314915786</v>
      </c>
      <c r="D31" s="128">
        <f t="shared" ref="D31:L31" si="9">D18/D20</f>
        <v>0.86935675200734108</v>
      </c>
      <c r="E31" s="128">
        <f t="shared" si="9"/>
        <v>0.83863877684292765</v>
      </c>
      <c r="F31" s="128">
        <f t="shared" si="9"/>
        <v>0.95111751415461465</v>
      </c>
      <c r="G31" s="128">
        <f t="shared" si="9"/>
        <v>0.97825278958913497</v>
      </c>
      <c r="H31" s="128">
        <f t="shared" si="9"/>
        <v>1.0459533038825684</v>
      </c>
      <c r="I31" s="128">
        <f t="shared" si="9"/>
        <v>1.1874311652503173</v>
      </c>
      <c r="J31" s="128">
        <f t="shared" si="9"/>
        <v>1.498325331370687</v>
      </c>
      <c r="K31" s="128">
        <f t="shared" si="9"/>
        <v>3.1810841859671095</v>
      </c>
      <c r="L31" s="128">
        <f t="shared" si="9"/>
        <v>19.171435857615609</v>
      </c>
      <c r="M31" s="128" t="s">
        <v>479</v>
      </c>
    </row>
    <row r="32" spans="2:13" s="29" customFormat="1" ht="21" customHeight="1" x14ac:dyDescent="0.35">
      <c r="B32" s="125" t="s">
        <v>146</v>
      </c>
      <c r="C32" s="128">
        <f>C6/(C10)</f>
        <v>-0.30176971222666649</v>
      </c>
      <c r="D32" s="128">
        <f t="shared" ref="D32:M32" si="10">D6/(D10)</f>
        <v>0.44778768837306565</v>
      </c>
      <c r="E32" s="128">
        <f t="shared" si="10"/>
        <v>3.0309305985717971</v>
      </c>
      <c r="F32" s="128">
        <f t="shared" si="10"/>
        <v>4.5565758173071735</v>
      </c>
      <c r="G32" s="128">
        <f t="shared" si="10"/>
        <v>5.6865018709948298</v>
      </c>
      <c r="H32" s="128">
        <f t="shared" si="10"/>
        <v>7.3246746013804866</v>
      </c>
      <c r="I32" s="128">
        <f t="shared" si="10"/>
        <v>9.8887805294260431</v>
      </c>
      <c r="J32" s="128">
        <f t="shared" si="10"/>
        <v>14.42318955615845</v>
      </c>
      <c r="K32" s="128">
        <f t="shared" si="10"/>
        <v>24.479019937238334</v>
      </c>
      <c r="L32" s="128">
        <f t="shared" si="10"/>
        <v>64.914790264914814</v>
      </c>
      <c r="M32" s="128">
        <f t="shared" si="10"/>
        <v>3305.1520552130173</v>
      </c>
    </row>
    <row r="33" spans="2:13" s="29" customFormat="1" ht="21" customHeight="1" x14ac:dyDescent="0.35">
      <c r="B33" s="125" t="s">
        <v>148</v>
      </c>
      <c r="C33" s="128">
        <f t="shared" ref="C33" si="11">C23/C24</f>
        <v>10.397162507414169</v>
      </c>
      <c r="D33" s="128">
        <f t="shared" ref="D33:K33" si="12">D23/D24</f>
        <v>0.54925476158411701</v>
      </c>
      <c r="E33" s="128">
        <f t="shared" si="12"/>
        <v>1.1017757002497643</v>
      </c>
      <c r="F33" s="128">
        <f t="shared" si="12"/>
        <v>1.5944134011217721</v>
      </c>
      <c r="G33" s="128">
        <f t="shared" si="12"/>
        <v>2.896647393844014</v>
      </c>
      <c r="H33" s="128">
        <f t="shared" si="12"/>
        <v>4.1028483110292138</v>
      </c>
      <c r="I33" s="128">
        <f t="shared" si="12"/>
        <v>5.4474308689115505</v>
      </c>
      <c r="J33" s="128">
        <f t="shared" si="12"/>
        <v>6.9646680852184728</v>
      </c>
      <c r="K33" s="128">
        <f t="shared" si="12"/>
        <v>7.7931608169030477</v>
      </c>
      <c r="L33" s="128">
        <f t="shared" ref="L33:M33" si="13">L23/L24</f>
        <v>32.555832376786618</v>
      </c>
      <c r="M33" s="128">
        <f t="shared" si="13"/>
        <v>76.890771857731053</v>
      </c>
    </row>
    <row r="34" spans="2:13" s="29" customFormat="1" ht="21" customHeight="1" x14ac:dyDescent="0.35">
      <c r="B34" s="125" t="s">
        <v>176</v>
      </c>
      <c r="C34" s="128">
        <f t="shared" ref="C34" si="14">C15/C16</f>
        <v>4.8819942729458496</v>
      </c>
      <c r="D34" s="128">
        <f t="shared" ref="D34:K34" si="15">D15/D16</f>
        <v>-95.579077789536015</v>
      </c>
      <c r="E34" s="128">
        <f t="shared" si="15"/>
        <v>22.426043583889548</v>
      </c>
      <c r="F34" s="128">
        <f t="shared" si="15"/>
        <v>4.0301809486901448</v>
      </c>
      <c r="G34" s="128">
        <f t="shared" si="15"/>
        <v>1.7247399117118452</v>
      </c>
      <c r="H34" s="128">
        <f t="shared" si="15"/>
        <v>0.92462103943127549</v>
      </c>
      <c r="I34" s="128">
        <f t="shared" si="15"/>
        <v>0.49980836405398105</v>
      </c>
      <c r="J34" s="128">
        <f t="shared" si="15"/>
        <v>0.26111783479889344</v>
      </c>
      <c r="K34" s="128">
        <f t="shared" si="15"/>
        <v>0.11775508533648592</v>
      </c>
      <c r="L34" s="128">
        <f t="shared" ref="L34:M34" si="16">L15/L16</f>
        <v>2.4855653926330001E-2</v>
      </c>
      <c r="M34" s="128">
        <f t="shared" si="16"/>
        <v>1.1179354195627959E-2</v>
      </c>
    </row>
    <row r="35" spans="2:13" s="29" customFormat="1" ht="21" customHeight="1" x14ac:dyDescent="0.35">
      <c r="B35" s="125" t="s">
        <v>155</v>
      </c>
      <c r="C35" s="128">
        <f>C20/C21</f>
        <v>3</v>
      </c>
      <c r="D35" s="128">
        <f t="shared" ref="D35:K35" si="17">D20/D21</f>
        <v>3</v>
      </c>
      <c r="E35" s="128">
        <f t="shared" si="17"/>
        <v>2.6875</v>
      </c>
      <c r="F35" s="128">
        <f t="shared" si="17"/>
        <v>2.3125</v>
      </c>
      <c r="G35" s="128">
        <f t="shared" si="17"/>
        <v>1.9375</v>
      </c>
      <c r="H35" s="128">
        <f t="shared" si="17"/>
        <v>1.5625</v>
      </c>
      <c r="I35" s="128">
        <f t="shared" si="17"/>
        <v>1.1875</v>
      </c>
      <c r="J35" s="128">
        <f t="shared" si="17"/>
        <v>0.8125</v>
      </c>
      <c r="K35" s="128">
        <f t="shared" si="17"/>
        <v>0.4375</v>
      </c>
      <c r="L35" s="128">
        <f t="shared" ref="L35:M35" si="18">L20/L21</f>
        <v>6.25E-2</v>
      </c>
      <c r="M35" s="128">
        <f t="shared" si="18"/>
        <v>0</v>
      </c>
    </row>
    <row r="36" spans="2:13" s="29" customFormat="1" ht="21" customHeight="1" x14ac:dyDescent="0.35">
      <c r="B36" s="63" t="s">
        <v>135</v>
      </c>
      <c r="C36" s="129"/>
      <c r="D36" s="129"/>
      <c r="E36" s="129"/>
      <c r="F36" s="129"/>
      <c r="G36" s="129"/>
      <c r="H36" s="129"/>
      <c r="I36" s="18"/>
      <c r="J36" s="18"/>
      <c r="K36" s="18"/>
      <c r="L36" s="18"/>
      <c r="M36" s="18"/>
    </row>
    <row r="37" spans="2:13" s="29" customFormat="1" ht="20.25" customHeight="1" x14ac:dyDescent="0.35">
      <c r="B37" s="6" t="s">
        <v>10</v>
      </c>
      <c r="C37" s="32">
        <f>'P &amp; L'!D30</f>
        <v>201.70000000000002</v>
      </c>
      <c r="D37" s="32">
        <f>'P &amp; L'!E30</f>
        <v>1336.2624999999998</v>
      </c>
      <c r="E37" s="32">
        <f>'P &amp; L'!F30</f>
        <v>3399.4518000000007</v>
      </c>
      <c r="F37" s="32">
        <f>'P &amp; L'!G30</f>
        <v>4324.1026896000003</v>
      </c>
      <c r="G37" s="32">
        <f>'P &amp; L'!H30</f>
        <v>4583.5488509760016</v>
      </c>
      <c r="H37" s="32">
        <f>'P &amp; L'!I30</f>
        <v>4858.5617820345615</v>
      </c>
      <c r="I37" s="32">
        <f>'P &amp; L'!J30</f>
        <v>5150.075488956636</v>
      </c>
      <c r="J37" s="32">
        <f>'P &amp; L'!K30</f>
        <v>5459.0800182940338</v>
      </c>
      <c r="K37" s="32">
        <f>'P &amp; L'!L30</f>
        <v>5786.6248193916763</v>
      </c>
      <c r="L37" s="32">
        <f>'P &amp; L'!M30</f>
        <v>6133.8223085551772</v>
      </c>
      <c r="M37" s="32">
        <f>'P &amp; L'!N30</f>
        <v>6501.8516470684881</v>
      </c>
    </row>
    <row r="38" spans="2:13" s="29" customFormat="1" ht="20.25" customHeight="1" x14ac:dyDescent="0.35">
      <c r="B38" s="6" t="s">
        <v>11</v>
      </c>
      <c r="C38" s="32">
        <f>'P &amp; L'!D37</f>
        <v>90.765000000000001</v>
      </c>
      <c r="D38" s="32">
        <f>'P &amp; L'!E37</f>
        <v>601.3181249999999</v>
      </c>
      <c r="E38" s="32">
        <f>'P &amp; L'!F37</f>
        <v>1529.7533100000003</v>
      </c>
      <c r="F38" s="32">
        <f>'P &amp; L'!G37</f>
        <v>1945.8462103200002</v>
      </c>
      <c r="G38" s="32">
        <f>'P &amp; L'!H37</f>
        <v>2062.5969829392006</v>
      </c>
      <c r="H38" s="32">
        <f>'P &amp; L'!I37</f>
        <v>2186.3528019155528</v>
      </c>
      <c r="I38" s="32">
        <f>'P &amp; L'!J37</f>
        <v>2317.5339700304862</v>
      </c>
      <c r="J38" s="32">
        <f>'P &amp; L'!K37</f>
        <v>2456.5860082323152</v>
      </c>
      <c r="K38" s="32">
        <f>'P &amp; L'!L37</f>
        <v>2603.9811687262545</v>
      </c>
      <c r="L38" s="32">
        <f>'P &amp; L'!M37</f>
        <v>2760.22003884983</v>
      </c>
      <c r="M38" s="32">
        <f>'P &amp; L'!N37</f>
        <v>2925.8332411808201</v>
      </c>
    </row>
    <row r="39" spans="2:13" s="29" customFormat="1" ht="20.25" customHeight="1" x14ac:dyDescent="0.35">
      <c r="B39" s="6" t="s">
        <v>12</v>
      </c>
      <c r="C39" s="32">
        <f t="shared" ref="C39" si="19">C37-C38</f>
        <v>110.93500000000002</v>
      </c>
      <c r="D39" s="32">
        <f t="shared" ref="D39:K39" si="20">D37-D38</f>
        <v>734.94437499999992</v>
      </c>
      <c r="E39" s="32">
        <f t="shared" si="20"/>
        <v>1869.6984900000004</v>
      </c>
      <c r="F39" s="32">
        <f t="shared" si="20"/>
        <v>2378.2564792800003</v>
      </c>
      <c r="G39" s="32">
        <f t="shared" si="20"/>
        <v>2520.951868036801</v>
      </c>
      <c r="H39" s="32">
        <f t="shared" si="20"/>
        <v>2672.2089801190086</v>
      </c>
      <c r="I39" s="32">
        <f t="shared" si="20"/>
        <v>2832.5415189261498</v>
      </c>
      <c r="J39" s="32">
        <f t="shared" si="20"/>
        <v>3002.4940100617187</v>
      </c>
      <c r="K39" s="32">
        <f t="shared" si="20"/>
        <v>3182.6436506654218</v>
      </c>
      <c r="L39" s="32">
        <f t="shared" ref="L39:M39" si="21">L37-L38</f>
        <v>3373.6022697053472</v>
      </c>
      <c r="M39" s="32">
        <f t="shared" si="21"/>
        <v>3576.018405887668</v>
      </c>
    </row>
    <row r="40" spans="2:13" s="29" customFormat="1" ht="20.25" customHeight="1" x14ac:dyDescent="0.35">
      <c r="B40" s="6" t="s">
        <v>13</v>
      </c>
      <c r="C40" s="32">
        <f>'P &amp; L'!D44</f>
        <v>141.11197122266668</v>
      </c>
      <c r="D40" s="32">
        <f>'P &amp; L'!E44</f>
        <v>600.60806848808011</v>
      </c>
      <c r="E40" s="32">
        <f>'P &amp; L'!F44</f>
        <v>999.88455259736497</v>
      </c>
      <c r="F40" s="32">
        <f>'P &amp; L'!G44</f>
        <v>1239.112524953207</v>
      </c>
      <c r="G40" s="32">
        <f>'P &amp; L'!H44</f>
        <v>1312.5702204503993</v>
      </c>
      <c r="H40" s="32">
        <f>'P &amp; L'!I44</f>
        <v>1390.3909248774235</v>
      </c>
      <c r="I40" s="32">
        <f>'P &amp; L'!J44</f>
        <v>1472.8341961300689</v>
      </c>
      <c r="J40" s="32">
        <f>'P &amp; L'!K44</f>
        <v>1560.1750544458735</v>
      </c>
      <c r="K40" s="32">
        <f>'P &amp; L'!L44</f>
        <v>1652.7049045880256</v>
      </c>
      <c r="L40" s="32">
        <f>'P &amp; L'!M44</f>
        <v>1750.7325130824772</v>
      </c>
      <c r="M40" s="32">
        <f>'P &amp; L'!N44</f>
        <v>1854.5850437975546</v>
      </c>
    </row>
    <row r="41" spans="2:13" s="29" customFormat="1" ht="20.25" customHeight="1" x14ac:dyDescent="0.35">
      <c r="B41" s="6" t="s">
        <v>14</v>
      </c>
      <c r="C41" s="32">
        <f>'P &amp; L'!D47</f>
        <v>100</v>
      </c>
      <c r="D41" s="32">
        <f>'P &amp; L'!E47</f>
        <v>300</v>
      </c>
      <c r="E41" s="32">
        <f>'P &amp; L'!F47</f>
        <v>286.97916666666663</v>
      </c>
      <c r="F41" s="32">
        <f>'P &amp; L'!G47</f>
        <v>250</v>
      </c>
      <c r="G41" s="32">
        <f>'P &amp; L'!H47</f>
        <v>212.5</v>
      </c>
      <c r="H41" s="32">
        <f>'P &amp; L'!I47</f>
        <v>175</v>
      </c>
      <c r="I41" s="32">
        <f>'P &amp; L'!J47</f>
        <v>137.5</v>
      </c>
      <c r="J41" s="32">
        <f>'P &amp; L'!K47</f>
        <v>100</v>
      </c>
      <c r="K41" s="32">
        <f>'P &amp; L'!L47</f>
        <v>62.5</v>
      </c>
      <c r="L41" s="32">
        <f>'P &amp; L'!M47</f>
        <v>25</v>
      </c>
      <c r="M41" s="32">
        <f>'P &amp; L'!N47</f>
        <v>0.52083333333333337</v>
      </c>
    </row>
    <row r="42" spans="2:13" s="29" customFormat="1" ht="20.25" customHeight="1" x14ac:dyDescent="0.35">
      <c r="B42" s="6" t="s">
        <v>15</v>
      </c>
      <c r="C42" s="32">
        <f>'P &amp; L'!D49</f>
        <v>225.46872332526436</v>
      </c>
      <c r="D42" s="32">
        <f>'P &amp; L'!E49</f>
        <v>418.96403845271254</v>
      </c>
      <c r="E42" s="32">
        <f>'P &amp; L'!F49</f>
        <v>360.22854325665543</v>
      </c>
      <c r="F42" s="32">
        <f>'P &amp; L'!G49</f>
        <v>354.38246128282191</v>
      </c>
      <c r="G42" s="32">
        <f>'P &amp; L'!H49</f>
        <v>304.094471653597</v>
      </c>
      <c r="H42" s="32">
        <f>'P &amp; L'!I49</f>
        <v>261.06274251243593</v>
      </c>
      <c r="I42" s="32">
        <f>'P &amp; L'!J49</f>
        <v>224.22752858176119</v>
      </c>
      <c r="J42" s="32">
        <f>'P &amp; L'!K49</f>
        <v>192.68517699606861</v>
      </c>
      <c r="K42" s="32">
        <f>'P &amp; L'!L49</f>
        <v>225.6650003780727</v>
      </c>
      <c r="L42" s="32">
        <f>'P &amp; L'!M49</f>
        <v>193.50959025963476</v>
      </c>
      <c r="M42" s="32">
        <f>'P &amp; L'!N49</f>
        <v>166.00805766513523</v>
      </c>
    </row>
    <row r="43" spans="2:13" s="29" customFormat="1" ht="20.25" customHeight="1" x14ac:dyDescent="0.35">
      <c r="B43" s="6" t="s">
        <v>16</v>
      </c>
      <c r="C43" s="32">
        <f t="shared" ref="C43" si="22">C40+C41+C42</f>
        <v>466.58069454793105</v>
      </c>
      <c r="D43" s="32">
        <f t="shared" ref="D43:K43" si="23">D40+D41+D42</f>
        <v>1319.5721069407928</v>
      </c>
      <c r="E43" s="32">
        <f t="shared" si="23"/>
        <v>1647.0922625206872</v>
      </c>
      <c r="F43" s="32">
        <f t="shared" si="23"/>
        <v>1843.4949862360288</v>
      </c>
      <c r="G43" s="32">
        <f t="shared" si="23"/>
        <v>1829.1646921039965</v>
      </c>
      <c r="H43" s="32">
        <f t="shared" si="23"/>
        <v>1826.4536673898594</v>
      </c>
      <c r="I43" s="32">
        <f t="shared" si="23"/>
        <v>1834.56172471183</v>
      </c>
      <c r="J43" s="32">
        <f t="shared" si="23"/>
        <v>1852.860231441942</v>
      </c>
      <c r="K43" s="32">
        <f t="shared" si="23"/>
        <v>1940.8699049660981</v>
      </c>
      <c r="L43" s="32">
        <f t="shared" ref="L43:M43" si="24">L40+L41+L42</f>
        <v>1969.2421033421119</v>
      </c>
      <c r="M43" s="32">
        <f t="shared" si="24"/>
        <v>2021.1139347960232</v>
      </c>
    </row>
    <row r="44" spans="2:13" ht="20.25" hidden="1" customHeight="1" x14ac:dyDescent="0.35">
      <c r="B44" s="6" t="s">
        <v>17</v>
      </c>
    </row>
    <row r="45" spans="2:13" ht="20.25" hidden="1" customHeight="1" x14ac:dyDescent="0.35">
      <c r="B45" s="6" t="s">
        <v>18</v>
      </c>
    </row>
    <row r="46" spans="2:13" ht="20.25" hidden="1" customHeight="1" x14ac:dyDescent="0.35">
      <c r="B46" s="6" t="s">
        <v>19</v>
      </c>
    </row>
    <row r="47" spans="2:13" ht="20.25" hidden="1" customHeight="1" x14ac:dyDescent="0.35">
      <c r="B47" s="6" t="s">
        <v>20</v>
      </c>
    </row>
    <row r="48" spans="2:13" ht="20.25" hidden="1" customHeight="1" x14ac:dyDescent="0.35">
      <c r="B48" s="6" t="s">
        <v>21</v>
      </c>
    </row>
    <row r="49" spans="2:13" ht="20.25" hidden="1" customHeight="1" x14ac:dyDescent="0.35">
      <c r="B49" s="6" t="s">
        <v>22</v>
      </c>
    </row>
    <row r="50" spans="2:13" ht="20.25" customHeight="1" x14ac:dyDescent="0.35">
      <c r="B50" s="84" t="s">
        <v>136</v>
      </c>
      <c r="C50" s="32">
        <f t="shared" ref="C50" si="25">C39-C43</f>
        <v>-355.64569454793104</v>
      </c>
      <c r="D50" s="32">
        <f t="shared" ref="D50:K50" si="26">D39-D43</f>
        <v>-584.62773194079284</v>
      </c>
      <c r="E50" s="32">
        <f t="shared" si="26"/>
        <v>222.60622747931325</v>
      </c>
      <c r="F50" s="32">
        <f t="shared" si="26"/>
        <v>534.76149304397154</v>
      </c>
      <c r="G50" s="32">
        <f t="shared" si="26"/>
        <v>691.78717593280453</v>
      </c>
      <c r="H50" s="32">
        <f t="shared" si="26"/>
        <v>845.75531272914918</v>
      </c>
      <c r="I50" s="32">
        <f t="shared" si="26"/>
        <v>997.97979421431978</v>
      </c>
      <c r="J50" s="32">
        <f t="shared" si="26"/>
        <v>1149.6337786197766</v>
      </c>
      <c r="K50" s="32">
        <f t="shared" si="26"/>
        <v>1241.7737456993236</v>
      </c>
      <c r="L50" s="32">
        <f t="shared" ref="L50:M50" si="27">L39-L43</f>
        <v>1404.3601663632353</v>
      </c>
      <c r="M50" s="32">
        <f t="shared" si="27"/>
        <v>1554.9044710916448</v>
      </c>
    </row>
    <row r="51" spans="2:13" ht="20.25" customHeight="1" x14ac:dyDescent="0.35">
      <c r="B51" s="84" t="s">
        <v>137</v>
      </c>
      <c r="C51" s="122">
        <f t="shared" ref="C51" si="28">C39/C37</f>
        <v>0.55000000000000004</v>
      </c>
      <c r="D51" s="122">
        <f t="shared" ref="D51:K51" si="29">D39/D37</f>
        <v>0.55000000000000004</v>
      </c>
      <c r="E51" s="122">
        <f t="shared" si="29"/>
        <v>0.55000000000000004</v>
      </c>
      <c r="F51" s="122">
        <f t="shared" si="29"/>
        <v>0.55000000000000004</v>
      </c>
      <c r="G51" s="122">
        <f t="shared" si="29"/>
        <v>0.55000000000000004</v>
      </c>
      <c r="H51" s="122">
        <f t="shared" si="29"/>
        <v>0.54999999999999993</v>
      </c>
      <c r="I51" s="122">
        <f t="shared" si="29"/>
        <v>0.55000000000000004</v>
      </c>
      <c r="J51" s="122">
        <f t="shared" si="29"/>
        <v>0.55000000000000004</v>
      </c>
      <c r="K51" s="122">
        <f t="shared" si="29"/>
        <v>0.54999999999999993</v>
      </c>
      <c r="L51" s="122">
        <f t="shared" ref="L51:M51" si="30">L39/L37</f>
        <v>0.54999999999999993</v>
      </c>
      <c r="M51" s="122">
        <f t="shared" si="30"/>
        <v>0.54999999999999993</v>
      </c>
    </row>
    <row r="52" spans="2:13" ht="20.25" customHeight="1" x14ac:dyDescent="0.35">
      <c r="B52" s="130" t="s">
        <v>138</v>
      </c>
      <c r="C52" s="131">
        <f t="shared" ref="C52" si="31">(C40/C39)*C37</f>
        <v>256.56722040484851</v>
      </c>
      <c r="D52" s="131">
        <f t="shared" ref="D52:K52" si="32">(D40/D39)*D37</f>
        <v>1092.0146699783274</v>
      </c>
      <c r="E52" s="131">
        <f t="shared" si="32"/>
        <v>1817.9719138133908</v>
      </c>
      <c r="F52" s="131">
        <f t="shared" si="32"/>
        <v>2252.931863551285</v>
      </c>
      <c r="G52" s="131">
        <f t="shared" si="32"/>
        <v>2386.4913099098171</v>
      </c>
      <c r="H52" s="131">
        <f t="shared" si="32"/>
        <v>2527.9834997771336</v>
      </c>
      <c r="I52" s="131">
        <f t="shared" si="32"/>
        <v>2677.8803566001252</v>
      </c>
      <c r="J52" s="131">
        <f t="shared" si="32"/>
        <v>2836.6819171743155</v>
      </c>
      <c r="K52" s="131">
        <f t="shared" si="32"/>
        <v>3004.9180083418651</v>
      </c>
      <c r="L52" s="131">
        <f t="shared" ref="L52:M52" si="33">(L40/L39)*L37</f>
        <v>3183.1500237863224</v>
      </c>
      <c r="M52" s="131">
        <f t="shared" si="33"/>
        <v>3371.972806904645</v>
      </c>
    </row>
    <row r="53" spans="2:13" ht="20.25" customHeight="1" x14ac:dyDescent="0.35">
      <c r="B53" s="132" t="s">
        <v>139</v>
      </c>
      <c r="C53" s="133">
        <f t="shared" ref="C53" si="34">C52/C37</f>
        <v>1.2720238988837307</v>
      </c>
      <c r="D53" s="133">
        <f t="shared" ref="D53:K53" si="35">D52/D37</f>
        <v>0.817215681782829</v>
      </c>
      <c r="E53" s="133">
        <f t="shared" si="35"/>
        <v>0.53478384774080057</v>
      </c>
      <c r="F53" s="133">
        <f t="shared" si="35"/>
        <v>0.52101719715627104</v>
      </c>
      <c r="G53" s="133">
        <f t="shared" si="35"/>
        <v>0.52066453036747884</v>
      </c>
      <c r="H53" s="133">
        <f t="shared" si="35"/>
        <v>0.52031519062386411</v>
      </c>
      <c r="I53" s="133">
        <f t="shared" si="35"/>
        <v>0.5199691465382078</v>
      </c>
      <c r="J53" s="133">
        <f t="shared" si="35"/>
        <v>0.51962636701939757</v>
      </c>
      <c r="K53" s="133">
        <f t="shared" si="35"/>
        <v>0.51928682126963255</v>
      </c>
      <c r="L53" s="133">
        <f t="shared" ref="L53:M53" si="36">L52/L37</f>
        <v>0.51895047878165779</v>
      </c>
      <c r="M53" s="133">
        <f t="shared" si="36"/>
        <v>0.51861730933602246</v>
      </c>
    </row>
  </sheetData>
  <customSheetViews>
    <customSheetView guid="{22475485-DA09-46DB-978D-BB94CE1E5597}" hiddenRows="1" topLeftCell="A8">
      <selection activeCell="A20" sqref="A20"/>
      <pageMargins left="0.7" right="0.7" top="0.75" bottom="0.75" header="0.3" footer="0.3"/>
      <pageSetup paperSize="9" orientation="landscape" verticalDpi="300" r:id="rId1"/>
    </customSheetView>
  </customSheetViews>
  <pageMargins left="0.7" right="0.7" top="0.75" bottom="0.75" header="0.3" footer="0.3"/>
  <pageSetup paperSize="9" orientation="landscape" verticalDpi="3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2" tint="-0.749992370372631"/>
  </sheetPr>
  <dimension ref="B2:N40"/>
  <sheetViews>
    <sheetView showGridLines="0" workbookViewId="0">
      <pane xSplit="2" ySplit="5" topLeftCell="D24" activePane="bottomRight" state="frozen"/>
      <selection activeCell="B8" sqref="B8"/>
      <selection pane="topRight" activeCell="B8" sqref="B8"/>
      <selection pane="bottomLeft" activeCell="B8" sqref="B8"/>
      <selection pane="bottomRight" activeCell="D32" sqref="D32:N32"/>
    </sheetView>
  </sheetViews>
  <sheetFormatPr defaultColWidth="9.1796875" defaultRowHeight="14.5" x14ac:dyDescent="0.35"/>
  <cols>
    <col min="1" max="1" width="5.453125" style="29" customWidth="1"/>
    <col min="2" max="2" width="36.54296875" style="6" customWidth="1"/>
    <col min="3" max="14" width="10.54296875" style="1" customWidth="1"/>
    <col min="15" max="16384" width="9.1796875" style="29"/>
  </cols>
  <sheetData>
    <row r="2" spans="2:14" x14ac:dyDescent="0.35">
      <c r="B2" s="82" t="s">
        <v>140</v>
      </c>
      <c r="C2" s="67"/>
      <c r="D2" s="67"/>
      <c r="E2" s="67"/>
      <c r="F2" s="67"/>
      <c r="G2" s="67"/>
      <c r="H2" s="67"/>
      <c r="I2" s="67"/>
      <c r="J2" s="67"/>
      <c r="K2" s="67"/>
      <c r="L2" s="67"/>
      <c r="M2" s="67"/>
      <c r="N2" s="67"/>
    </row>
    <row r="3" spans="2:14" x14ac:dyDescent="0.35">
      <c r="B3" s="39"/>
    </row>
    <row r="4" spans="2:14" x14ac:dyDescent="0.35">
      <c r="B4" s="107" t="s">
        <v>74</v>
      </c>
      <c r="C4" s="47"/>
      <c r="D4" s="47">
        <v>4</v>
      </c>
      <c r="E4" s="47">
        <v>12</v>
      </c>
      <c r="F4" s="47">
        <v>12</v>
      </c>
      <c r="G4" s="47">
        <v>12</v>
      </c>
      <c r="H4" s="47">
        <v>12</v>
      </c>
      <c r="I4" s="47">
        <v>12</v>
      </c>
      <c r="J4" s="47">
        <v>12</v>
      </c>
      <c r="K4" s="47">
        <v>12</v>
      </c>
      <c r="L4" s="47">
        <v>12</v>
      </c>
      <c r="M4" s="47">
        <v>12</v>
      </c>
      <c r="N4" s="47">
        <v>12</v>
      </c>
    </row>
    <row r="5" spans="2:14" x14ac:dyDescent="0.35">
      <c r="B5" s="53" t="s">
        <v>212</v>
      </c>
      <c r="C5" s="27">
        <v>2024</v>
      </c>
      <c r="D5" s="27">
        <f>C5+1</f>
        <v>2025</v>
      </c>
      <c r="E5" s="27">
        <f t="shared" ref="E5:L5" si="0">D5+1</f>
        <v>2026</v>
      </c>
      <c r="F5" s="27">
        <f t="shared" si="0"/>
        <v>2027</v>
      </c>
      <c r="G5" s="27">
        <f t="shared" si="0"/>
        <v>2028</v>
      </c>
      <c r="H5" s="27">
        <f t="shared" si="0"/>
        <v>2029</v>
      </c>
      <c r="I5" s="27">
        <f t="shared" si="0"/>
        <v>2030</v>
      </c>
      <c r="J5" s="27">
        <f t="shared" si="0"/>
        <v>2031</v>
      </c>
      <c r="K5" s="27">
        <f t="shared" si="0"/>
        <v>2032</v>
      </c>
      <c r="L5" s="27">
        <f t="shared" si="0"/>
        <v>2033</v>
      </c>
      <c r="M5" s="27">
        <f t="shared" ref="M5" si="1">L5+1</f>
        <v>2034</v>
      </c>
      <c r="N5" s="27">
        <f t="shared" ref="N5" si="2">M5+1</f>
        <v>2035</v>
      </c>
    </row>
    <row r="6" spans="2:14" ht="16.5" customHeight="1" x14ac:dyDescent="0.35">
      <c r="B6" s="6" t="s">
        <v>143</v>
      </c>
      <c r="C6" s="5"/>
      <c r="D6" s="210">
        <f>'P &amp; L'!D30</f>
        <v>201.70000000000002</v>
      </c>
      <c r="E6" s="210">
        <f>'P &amp; L'!E30</f>
        <v>1336.2624999999998</v>
      </c>
      <c r="F6" s="210">
        <f>'P &amp; L'!F30</f>
        <v>3399.4518000000007</v>
      </c>
      <c r="G6" s="210">
        <f>'P &amp; L'!G30</f>
        <v>4324.1026896000003</v>
      </c>
      <c r="H6" s="210">
        <f>'P &amp; L'!H30</f>
        <v>4583.5488509760016</v>
      </c>
      <c r="I6" s="210">
        <f>'P &amp; L'!I30</f>
        <v>4858.5617820345615</v>
      </c>
      <c r="J6" s="210">
        <f>'P &amp; L'!J30</f>
        <v>5150.075488956636</v>
      </c>
      <c r="K6" s="210">
        <f>'P &amp; L'!K30</f>
        <v>5459.0800182940338</v>
      </c>
      <c r="L6" s="210">
        <f>'P &amp; L'!L30</f>
        <v>5786.6248193916763</v>
      </c>
      <c r="M6" s="210">
        <f>'P &amp; L'!M30</f>
        <v>6133.8223085551772</v>
      </c>
      <c r="N6" s="210">
        <f>'P &amp; L'!N30</f>
        <v>6501.8516470684881</v>
      </c>
    </row>
    <row r="7" spans="2:14" ht="16.5" customHeight="1" x14ac:dyDescent="0.35">
      <c r="B7" s="6" t="s">
        <v>338</v>
      </c>
      <c r="C7" s="5"/>
      <c r="D7" s="210">
        <f>'P &amp; L'!D33</f>
        <v>16.136000000000003</v>
      </c>
      <c r="E7" s="210">
        <f>'P &amp; L'!E33</f>
        <v>106.90099999999998</v>
      </c>
      <c r="F7" s="210">
        <f>'P &amp; L'!F33</f>
        <v>271.95614400000005</v>
      </c>
      <c r="G7" s="210">
        <f>'P &amp; L'!G33</f>
        <v>345.92821516800001</v>
      </c>
      <c r="H7" s="210">
        <f>'P &amp; L'!H33</f>
        <v>366.68390807808015</v>
      </c>
      <c r="I7" s="210">
        <f>'P &amp; L'!I33</f>
        <v>388.68494256276495</v>
      </c>
      <c r="J7" s="210">
        <f>'P &amp; L'!J33</f>
        <v>412.00603911653087</v>
      </c>
      <c r="K7" s="210">
        <f>'P &amp; L'!K33</f>
        <v>436.72640146352273</v>
      </c>
      <c r="L7" s="210">
        <f>'P &amp; L'!L33</f>
        <v>462.92998555133408</v>
      </c>
      <c r="M7" s="210">
        <f>'P &amp; L'!M33</f>
        <v>490.7057846844142</v>
      </c>
      <c r="N7" s="210">
        <f>'P &amp; L'!N33</f>
        <v>520.14813176547909</v>
      </c>
    </row>
    <row r="8" spans="2:14" ht="16.5" customHeight="1" x14ac:dyDescent="0.35">
      <c r="B8" s="6" t="s">
        <v>241</v>
      </c>
      <c r="C8" s="32"/>
      <c r="D8" s="210">
        <f>'P &amp; L'!D44</f>
        <v>141.11197122266668</v>
      </c>
      <c r="E8" s="210">
        <f>'P &amp; L'!E44</f>
        <v>600.60806848808011</v>
      </c>
      <c r="F8" s="210">
        <f>'P &amp; L'!F44</f>
        <v>999.88455259736497</v>
      </c>
      <c r="G8" s="210">
        <f>'P &amp; L'!G44</f>
        <v>1239.112524953207</v>
      </c>
      <c r="H8" s="210">
        <f>'P &amp; L'!H44</f>
        <v>1312.5702204503993</v>
      </c>
      <c r="I8" s="210">
        <f>'P &amp; L'!I44</f>
        <v>1390.3909248774235</v>
      </c>
      <c r="J8" s="210">
        <f>'P &amp; L'!J44</f>
        <v>1472.8341961300689</v>
      </c>
      <c r="K8" s="210">
        <f>'P &amp; L'!K44</f>
        <v>1560.1750544458735</v>
      </c>
      <c r="L8" s="210">
        <f>'P &amp; L'!L44</f>
        <v>1652.7049045880256</v>
      </c>
      <c r="M8" s="210">
        <f>'P &amp; L'!M44</f>
        <v>1750.7325130824772</v>
      </c>
      <c r="N8" s="210">
        <f>'P &amp; L'!N44</f>
        <v>1854.5850437975546</v>
      </c>
    </row>
    <row r="9" spans="2:14" ht="16.5" customHeight="1" x14ac:dyDescent="0.35">
      <c r="C9" s="32"/>
      <c r="D9" s="32"/>
      <c r="E9" s="32"/>
      <c r="F9" s="32"/>
      <c r="G9" s="32"/>
      <c r="H9" s="32"/>
      <c r="I9" s="32"/>
      <c r="J9" s="32"/>
      <c r="K9" s="32"/>
      <c r="L9" s="32"/>
      <c r="M9" s="32"/>
      <c r="N9" s="32"/>
    </row>
    <row r="10" spans="2:14" ht="16.5" customHeight="1" x14ac:dyDescent="0.35">
      <c r="C10" s="32"/>
      <c r="D10" s="32"/>
      <c r="E10" s="32"/>
      <c r="F10" s="32"/>
      <c r="G10" s="32"/>
      <c r="H10" s="32"/>
      <c r="I10" s="32"/>
      <c r="J10" s="32"/>
      <c r="K10" s="32"/>
      <c r="L10" s="32"/>
      <c r="M10" s="32"/>
      <c r="N10" s="32"/>
    </row>
    <row r="11" spans="2:14" ht="16.5" customHeight="1" x14ac:dyDescent="0.35">
      <c r="B11" s="6" t="s">
        <v>81</v>
      </c>
      <c r="D11" s="123">
        <f>C13</f>
        <v>0</v>
      </c>
      <c r="E11" s="123">
        <f t="shared" ref="E11:L11" si="3">D13</f>
        <v>4.0340000000000007</v>
      </c>
      <c r="F11" s="123">
        <f t="shared" si="3"/>
        <v>8.7863835616438344</v>
      </c>
      <c r="G11" s="123">
        <f t="shared" si="3"/>
        <v>22.35255978082192</v>
      </c>
      <c r="H11" s="123">
        <f t="shared" si="3"/>
        <v>28.43245604120548</v>
      </c>
      <c r="I11" s="123">
        <f t="shared" si="3"/>
        <v>30.13840340367782</v>
      </c>
      <c r="J11" s="123">
        <f t="shared" si="3"/>
        <v>31.946707607898489</v>
      </c>
      <c r="K11" s="123">
        <f t="shared" si="3"/>
        <v>33.863510064372399</v>
      </c>
      <c r="L11" s="123">
        <f t="shared" si="3"/>
        <v>35.895320668234746</v>
      </c>
      <c r="M11" s="123">
        <f t="shared" ref="M11" si="4">L13</f>
        <v>38.04903990832883</v>
      </c>
      <c r="N11" s="123">
        <f t="shared" ref="N11" si="5">M13</f>
        <v>40.331982302828564</v>
      </c>
    </row>
    <row r="12" spans="2:14" ht="16.5" customHeight="1" x14ac:dyDescent="0.35">
      <c r="B12" s="2" t="s">
        <v>82</v>
      </c>
      <c r="C12" s="9"/>
      <c r="D12" s="123">
        <f t="shared" ref="D12:L12" si="6">D7</f>
        <v>16.136000000000003</v>
      </c>
      <c r="E12" s="123">
        <f t="shared" si="6"/>
        <v>106.90099999999998</v>
      </c>
      <c r="F12" s="123">
        <f t="shared" si="6"/>
        <v>271.95614400000005</v>
      </c>
      <c r="G12" s="123">
        <f t="shared" si="6"/>
        <v>345.92821516800001</v>
      </c>
      <c r="H12" s="123">
        <f t="shared" si="6"/>
        <v>366.68390807808015</v>
      </c>
      <c r="I12" s="123">
        <f t="shared" si="6"/>
        <v>388.68494256276495</v>
      </c>
      <c r="J12" s="123">
        <f t="shared" si="6"/>
        <v>412.00603911653087</v>
      </c>
      <c r="K12" s="123">
        <f t="shared" si="6"/>
        <v>436.72640146352273</v>
      </c>
      <c r="L12" s="123">
        <f t="shared" si="6"/>
        <v>462.92998555133408</v>
      </c>
      <c r="M12" s="123">
        <f t="shared" ref="M12:N12" si="7">M7</f>
        <v>490.7057846844142</v>
      </c>
      <c r="N12" s="123">
        <f t="shared" si="7"/>
        <v>520.14813176547909</v>
      </c>
    </row>
    <row r="13" spans="2:14" ht="16.5" customHeight="1" x14ac:dyDescent="0.35">
      <c r="B13" s="6" t="s">
        <v>83</v>
      </c>
      <c r="C13" s="123"/>
      <c r="D13" s="123">
        <f>D15*D14/120</f>
        <v>4.0340000000000007</v>
      </c>
      <c r="E13" s="123">
        <f t="shared" ref="E13:L13" si="8">E15*E14/365</f>
        <v>8.7863835616438344</v>
      </c>
      <c r="F13" s="123">
        <f t="shared" si="8"/>
        <v>22.35255978082192</v>
      </c>
      <c r="G13" s="123">
        <f t="shared" si="8"/>
        <v>28.43245604120548</v>
      </c>
      <c r="H13" s="123">
        <f t="shared" si="8"/>
        <v>30.13840340367782</v>
      </c>
      <c r="I13" s="123">
        <f t="shared" si="8"/>
        <v>31.946707607898489</v>
      </c>
      <c r="J13" s="123">
        <f t="shared" si="8"/>
        <v>33.863510064372399</v>
      </c>
      <c r="K13" s="123">
        <f t="shared" si="8"/>
        <v>35.895320668234746</v>
      </c>
      <c r="L13" s="123">
        <f t="shared" si="8"/>
        <v>38.04903990832883</v>
      </c>
      <c r="M13" s="123">
        <f t="shared" ref="M13:N13" si="9">M15*M14/365</f>
        <v>40.331982302828564</v>
      </c>
      <c r="N13" s="123">
        <f t="shared" si="9"/>
        <v>42.751901240998286</v>
      </c>
    </row>
    <row r="14" spans="2:14" ht="16.5" customHeight="1" x14ac:dyDescent="0.35">
      <c r="B14" s="6" t="s">
        <v>61</v>
      </c>
      <c r="D14" s="158">
        <v>30</v>
      </c>
      <c r="E14" s="158">
        <f>D14</f>
        <v>30</v>
      </c>
      <c r="F14" s="158">
        <f t="shared" ref="F14:L14" si="10">E14</f>
        <v>30</v>
      </c>
      <c r="G14" s="158">
        <f t="shared" si="10"/>
        <v>30</v>
      </c>
      <c r="H14" s="158">
        <f t="shared" si="10"/>
        <v>30</v>
      </c>
      <c r="I14" s="158">
        <f t="shared" si="10"/>
        <v>30</v>
      </c>
      <c r="J14" s="158">
        <f t="shared" si="10"/>
        <v>30</v>
      </c>
      <c r="K14" s="158">
        <f t="shared" si="10"/>
        <v>30</v>
      </c>
      <c r="L14" s="158">
        <f t="shared" si="10"/>
        <v>30</v>
      </c>
      <c r="M14" s="158">
        <f t="shared" ref="M14" si="11">L14</f>
        <v>30</v>
      </c>
      <c r="N14" s="158">
        <f t="shared" ref="N14" si="12">M14</f>
        <v>30</v>
      </c>
    </row>
    <row r="15" spans="2:14" ht="16.5" customHeight="1" x14ac:dyDescent="0.35">
      <c r="B15" s="6" t="s">
        <v>84</v>
      </c>
      <c r="C15" s="9"/>
      <c r="D15" s="123">
        <f t="shared" ref="D15:L15" si="13">D7</f>
        <v>16.136000000000003</v>
      </c>
      <c r="E15" s="123">
        <f t="shared" si="13"/>
        <v>106.90099999999998</v>
      </c>
      <c r="F15" s="123">
        <f t="shared" si="13"/>
        <v>271.95614400000005</v>
      </c>
      <c r="G15" s="123">
        <f t="shared" si="13"/>
        <v>345.92821516800001</v>
      </c>
      <c r="H15" s="123">
        <f t="shared" si="13"/>
        <v>366.68390807808015</v>
      </c>
      <c r="I15" s="123">
        <f t="shared" si="13"/>
        <v>388.68494256276495</v>
      </c>
      <c r="J15" s="123">
        <f t="shared" si="13"/>
        <v>412.00603911653087</v>
      </c>
      <c r="K15" s="123">
        <f t="shared" si="13"/>
        <v>436.72640146352273</v>
      </c>
      <c r="L15" s="123">
        <f t="shared" si="13"/>
        <v>462.92998555133408</v>
      </c>
      <c r="M15" s="123">
        <f t="shared" ref="M15:N15" si="14">M7</f>
        <v>490.7057846844142</v>
      </c>
      <c r="N15" s="123">
        <f t="shared" si="14"/>
        <v>520.14813176547909</v>
      </c>
    </row>
    <row r="16" spans="2:14" ht="16.5" customHeight="1" x14ac:dyDescent="0.35"/>
    <row r="17" spans="2:14" ht="16.5" customHeight="1" x14ac:dyDescent="0.35">
      <c r="B17" s="6" t="s">
        <v>61</v>
      </c>
    </row>
    <row r="18" spans="2:14" ht="16.5" customHeight="1" x14ac:dyDescent="0.35">
      <c r="B18" s="6" t="s">
        <v>242</v>
      </c>
      <c r="C18" s="32"/>
      <c r="D18" s="123">
        <f>D12*D19/120</f>
        <v>4.0340000000000007</v>
      </c>
      <c r="E18" s="123">
        <f t="shared" ref="E18:L18" si="15">E12*E19/365</f>
        <v>8.7863835616438344</v>
      </c>
      <c r="F18" s="123">
        <f t="shared" si="15"/>
        <v>22.35255978082192</v>
      </c>
      <c r="G18" s="123">
        <f t="shared" si="15"/>
        <v>28.43245604120548</v>
      </c>
      <c r="H18" s="123">
        <f t="shared" si="15"/>
        <v>30.13840340367782</v>
      </c>
      <c r="I18" s="123">
        <f t="shared" si="15"/>
        <v>31.946707607898489</v>
      </c>
      <c r="J18" s="123">
        <f t="shared" si="15"/>
        <v>33.863510064372399</v>
      </c>
      <c r="K18" s="123">
        <f t="shared" si="15"/>
        <v>35.895320668234746</v>
      </c>
      <c r="L18" s="123">
        <f t="shared" si="15"/>
        <v>38.04903990832883</v>
      </c>
      <c r="M18" s="123">
        <f t="shared" ref="M18:N18" si="16">M12*M19/365</f>
        <v>40.331982302828564</v>
      </c>
      <c r="N18" s="123">
        <f t="shared" si="16"/>
        <v>42.751901240998286</v>
      </c>
    </row>
    <row r="19" spans="2:14" ht="16.5" customHeight="1" x14ac:dyDescent="0.35">
      <c r="B19" s="6" t="s">
        <v>85</v>
      </c>
      <c r="C19" s="9"/>
      <c r="D19" s="243">
        <v>30</v>
      </c>
      <c r="E19" s="243">
        <f>D19</f>
        <v>30</v>
      </c>
      <c r="F19" s="243">
        <f t="shared" ref="F19:L19" si="17">E19</f>
        <v>30</v>
      </c>
      <c r="G19" s="243">
        <f t="shared" si="17"/>
        <v>30</v>
      </c>
      <c r="H19" s="243">
        <f t="shared" si="17"/>
        <v>30</v>
      </c>
      <c r="I19" s="243">
        <f t="shared" si="17"/>
        <v>30</v>
      </c>
      <c r="J19" s="243">
        <f t="shared" si="17"/>
        <v>30</v>
      </c>
      <c r="K19" s="243">
        <f t="shared" si="17"/>
        <v>30</v>
      </c>
      <c r="L19" s="243">
        <f t="shared" si="17"/>
        <v>30</v>
      </c>
      <c r="M19" s="243">
        <f t="shared" ref="M19" si="18">L19</f>
        <v>30</v>
      </c>
      <c r="N19" s="243">
        <f t="shared" ref="N19" si="19">M19</f>
        <v>30</v>
      </c>
    </row>
    <row r="20" spans="2:14" ht="16.5" customHeight="1" x14ac:dyDescent="0.35">
      <c r="B20" s="6" t="s">
        <v>88</v>
      </c>
      <c r="C20" s="32"/>
      <c r="D20" s="123">
        <f>D8*D21/120</f>
        <v>35.277992805666671</v>
      </c>
      <c r="E20" s="123">
        <f t="shared" ref="E20:L20" si="20">E8*E21/365</f>
        <v>49.365046725047684</v>
      </c>
      <c r="F20" s="123">
        <f t="shared" si="20"/>
        <v>82.182291994303966</v>
      </c>
      <c r="G20" s="123">
        <f t="shared" si="20"/>
        <v>101.84486506464715</v>
      </c>
      <c r="H20" s="123">
        <f t="shared" si="20"/>
        <v>107.88248387263558</v>
      </c>
      <c r="I20" s="123">
        <f t="shared" si="20"/>
        <v>114.27870615430879</v>
      </c>
      <c r="J20" s="123">
        <f t="shared" si="20"/>
        <v>121.05486543534813</v>
      </c>
      <c r="K20" s="123">
        <f t="shared" si="20"/>
        <v>128.23356611883892</v>
      </c>
      <c r="L20" s="123">
        <f t="shared" si="20"/>
        <v>135.83875928120759</v>
      </c>
      <c r="M20" s="123">
        <f t="shared" ref="M20:N20" si="21">M8*M21/365</f>
        <v>143.89582299308032</v>
      </c>
      <c r="N20" s="123">
        <f t="shared" si="21"/>
        <v>152.43164743541544</v>
      </c>
    </row>
    <row r="21" spans="2:14" ht="16.5" customHeight="1" x14ac:dyDescent="0.35">
      <c r="B21" s="6" t="s">
        <v>85</v>
      </c>
      <c r="C21" s="9"/>
      <c r="D21" s="158">
        <v>30</v>
      </c>
      <c r="E21" s="158">
        <f t="shared" ref="E21:L21" si="22">D21</f>
        <v>30</v>
      </c>
      <c r="F21" s="158">
        <f t="shared" si="22"/>
        <v>30</v>
      </c>
      <c r="G21" s="158">
        <f t="shared" si="22"/>
        <v>30</v>
      </c>
      <c r="H21" s="158">
        <f t="shared" si="22"/>
        <v>30</v>
      </c>
      <c r="I21" s="158">
        <f t="shared" si="22"/>
        <v>30</v>
      </c>
      <c r="J21" s="158">
        <f t="shared" si="22"/>
        <v>30</v>
      </c>
      <c r="K21" s="158">
        <f t="shared" si="22"/>
        <v>30</v>
      </c>
      <c r="L21" s="158">
        <f t="shared" si="22"/>
        <v>30</v>
      </c>
      <c r="M21" s="158">
        <f t="shared" ref="M21" si="23">L21</f>
        <v>30</v>
      </c>
      <c r="N21" s="158">
        <f t="shared" ref="N21" si="24">M21</f>
        <v>30</v>
      </c>
    </row>
    <row r="22" spans="2:14" ht="16.5" customHeight="1" x14ac:dyDescent="0.35">
      <c r="C22" s="32"/>
      <c r="D22" s="32"/>
      <c r="E22" s="32"/>
      <c r="F22" s="32"/>
      <c r="G22" s="32"/>
      <c r="H22" s="32"/>
      <c r="I22" s="32"/>
      <c r="J22" s="32"/>
      <c r="K22" s="32"/>
      <c r="L22" s="32"/>
      <c r="M22" s="32"/>
      <c r="N22" s="32"/>
    </row>
    <row r="23" spans="2:14" ht="16.5" customHeight="1" x14ac:dyDescent="0.35">
      <c r="B23" s="39" t="s">
        <v>102</v>
      </c>
      <c r="C23" s="49"/>
      <c r="D23" s="199">
        <f>D18+D21</f>
        <v>34.033999999999999</v>
      </c>
      <c r="E23" s="199">
        <f t="shared" ref="E23:L23" si="25">E18+E21</f>
        <v>38.786383561643831</v>
      </c>
      <c r="F23" s="199">
        <f t="shared" si="25"/>
        <v>52.35255978082192</v>
      </c>
      <c r="G23" s="199">
        <f t="shared" si="25"/>
        <v>58.432456041205484</v>
      </c>
      <c r="H23" s="199">
        <f t="shared" si="25"/>
        <v>60.13840340367782</v>
      </c>
      <c r="I23" s="199">
        <f t="shared" si="25"/>
        <v>61.946707607898489</v>
      </c>
      <c r="J23" s="199">
        <f t="shared" si="25"/>
        <v>63.863510064372399</v>
      </c>
      <c r="K23" s="199">
        <f t="shared" si="25"/>
        <v>65.895320668234746</v>
      </c>
      <c r="L23" s="199">
        <f t="shared" si="25"/>
        <v>68.049039908328837</v>
      </c>
      <c r="M23" s="199">
        <f t="shared" ref="M23:N23" si="26">M18+M21</f>
        <v>70.331982302828564</v>
      </c>
      <c r="N23" s="199">
        <f t="shared" si="26"/>
        <v>72.751901240998279</v>
      </c>
    </row>
    <row r="24" spans="2:14" ht="16.5" customHeight="1" x14ac:dyDescent="0.35">
      <c r="C24" s="32"/>
      <c r="D24" s="32"/>
      <c r="E24" s="32"/>
      <c r="F24" s="32"/>
      <c r="G24" s="32"/>
      <c r="H24" s="32"/>
      <c r="I24" s="32"/>
      <c r="J24" s="32"/>
      <c r="K24" s="32"/>
      <c r="L24" s="32"/>
      <c r="M24" s="32"/>
      <c r="N24" s="32"/>
    </row>
    <row r="25" spans="2:14" ht="16.5" customHeight="1" x14ac:dyDescent="0.35">
      <c r="C25" s="32"/>
      <c r="D25" s="32"/>
      <c r="E25" s="32"/>
      <c r="F25" s="32"/>
      <c r="G25" s="32"/>
      <c r="H25" s="32"/>
      <c r="I25" s="32"/>
      <c r="J25" s="32"/>
      <c r="K25" s="32"/>
      <c r="L25" s="32"/>
      <c r="M25" s="32"/>
      <c r="N25" s="32"/>
    </row>
    <row r="26" spans="2:14" ht="16.5" customHeight="1" x14ac:dyDescent="0.35">
      <c r="B26" s="6" t="s">
        <v>86</v>
      </c>
      <c r="C26" s="32"/>
      <c r="D26" s="123">
        <f>D6*D27/120</f>
        <v>50.425000000000004</v>
      </c>
      <c r="E26" s="123">
        <f t="shared" ref="E26:L26" si="27">E6*E27/365</f>
        <v>109.82979452054792</v>
      </c>
      <c r="F26" s="123">
        <f t="shared" si="27"/>
        <v>279.40699726027401</v>
      </c>
      <c r="G26" s="123">
        <f t="shared" si="27"/>
        <v>355.40570051506853</v>
      </c>
      <c r="H26" s="123">
        <f t="shared" si="27"/>
        <v>376.73004254597271</v>
      </c>
      <c r="I26" s="123">
        <f t="shared" si="27"/>
        <v>399.33384509873105</v>
      </c>
      <c r="J26" s="123">
        <f t="shared" si="27"/>
        <v>423.29387580465504</v>
      </c>
      <c r="K26" s="123">
        <f t="shared" si="27"/>
        <v>448.69150835293431</v>
      </c>
      <c r="L26" s="123">
        <f t="shared" si="27"/>
        <v>475.6129988541104</v>
      </c>
      <c r="M26" s="123">
        <f t="shared" ref="M26:N26" si="28">M6*M27/365</f>
        <v>504.14977878535706</v>
      </c>
      <c r="N26" s="123">
        <f t="shared" si="28"/>
        <v>534.39876551247846</v>
      </c>
    </row>
    <row r="27" spans="2:14" ht="16.5" customHeight="1" x14ac:dyDescent="0.35">
      <c r="B27" s="6" t="s">
        <v>85</v>
      </c>
      <c r="C27" s="9"/>
      <c r="D27" s="158">
        <v>30</v>
      </c>
      <c r="E27" s="158">
        <f>D27</f>
        <v>30</v>
      </c>
      <c r="F27" s="158">
        <f t="shared" ref="F27:L27" si="29">E27</f>
        <v>30</v>
      </c>
      <c r="G27" s="158">
        <f t="shared" si="29"/>
        <v>30</v>
      </c>
      <c r="H27" s="158">
        <f t="shared" si="29"/>
        <v>30</v>
      </c>
      <c r="I27" s="158">
        <f t="shared" si="29"/>
        <v>30</v>
      </c>
      <c r="J27" s="158">
        <f t="shared" si="29"/>
        <v>30</v>
      </c>
      <c r="K27" s="158">
        <f t="shared" si="29"/>
        <v>30</v>
      </c>
      <c r="L27" s="158">
        <f t="shared" si="29"/>
        <v>30</v>
      </c>
      <c r="M27" s="158">
        <f t="shared" ref="M27" si="30">L27</f>
        <v>30</v>
      </c>
      <c r="N27" s="158">
        <f t="shared" ref="N27" si="31">M27</f>
        <v>30</v>
      </c>
    </row>
    <row r="28" spans="2:14" ht="16.5" customHeight="1" x14ac:dyDescent="0.35">
      <c r="B28" s="6" t="s">
        <v>87</v>
      </c>
      <c r="C28" s="123"/>
      <c r="D28" s="123">
        <f t="shared" ref="D28:L28" si="32">D13</f>
        <v>4.0340000000000007</v>
      </c>
      <c r="E28" s="123">
        <f t="shared" si="32"/>
        <v>8.7863835616438344</v>
      </c>
      <c r="F28" s="123">
        <f t="shared" si="32"/>
        <v>22.35255978082192</v>
      </c>
      <c r="G28" s="123">
        <f t="shared" si="32"/>
        <v>28.43245604120548</v>
      </c>
      <c r="H28" s="123">
        <f t="shared" si="32"/>
        <v>30.13840340367782</v>
      </c>
      <c r="I28" s="123">
        <f t="shared" si="32"/>
        <v>31.946707607898489</v>
      </c>
      <c r="J28" s="123">
        <f t="shared" si="32"/>
        <v>33.863510064372399</v>
      </c>
      <c r="K28" s="123">
        <f t="shared" si="32"/>
        <v>35.895320668234746</v>
      </c>
      <c r="L28" s="123">
        <f t="shared" si="32"/>
        <v>38.04903990832883</v>
      </c>
      <c r="M28" s="123">
        <f t="shared" ref="M28:N28" si="33">M13</f>
        <v>40.331982302828564</v>
      </c>
      <c r="N28" s="123">
        <f t="shared" si="33"/>
        <v>42.751901240998286</v>
      </c>
    </row>
    <row r="29" spans="2:14" ht="16.5" customHeight="1" x14ac:dyDescent="0.35">
      <c r="D29" s="123"/>
      <c r="E29" s="123"/>
      <c r="F29" s="123"/>
      <c r="G29" s="123"/>
      <c r="H29" s="123"/>
      <c r="I29" s="123"/>
      <c r="J29" s="123"/>
      <c r="K29" s="123"/>
      <c r="L29" s="123"/>
      <c r="M29" s="123"/>
      <c r="N29" s="123"/>
    </row>
    <row r="30" spans="2:14" ht="16.5" customHeight="1" x14ac:dyDescent="0.35">
      <c r="B30" s="6" t="s">
        <v>89</v>
      </c>
      <c r="C30" s="49"/>
      <c r="D30" s="199">
        <f t="shared" ref="D30:I30" si="34">D26+D28</f>
        <v>54.459000000000003</v>
      </c>
      <c r="E30" s="199">
        <f t="shared" si="34"/>
        <v>118.61617808219175</v>
      </c>
      <c r="F30" s="199">
        <f t="shared" si="34"/>
        <v>301.75955704109595</v>
      </c>
      <c r="G30" s="199">
        <f t="shared" si="34"/>
        <v>383.83815655627399</v>
      </c>
      <c r="H30" s="199">
        <f t="shared" si="34"/>
        <v>406.86844594965055</v>
      </c>
      <c r="I30" s="199">
        <f t="shared" si="34"/>
        <v>431.28055270662952</v>
      </c>
      <c r="J30" s="199">
        <f t="shared" ref="J30:K30" si="35">J26+J28</f>
        <v>457.15738586902745</v>
      </c>
      <c r="K30" s="199">
        <f t="shared" si="35"/>
        <v>484.58682902116902</v>
      </c>
      <c r="L30" s="199">
        <f t="shared" ref="L30:N30" si="36">L26+L28</f>
        <v>513.66203876243924</v>
      </c>
      <c r="M30" s="199">
        <f t="shared" si="36"/>
        <v>544.48176108818564</v>
      </c>
      <c r="N30" s="199">
        <f t="shared" si="36"/>
        <v>577.1506667534768</v>
      </c>
    </row>
    <row r="31" spans="2:14" ht="16.5" customHeight="1" x14ac:dyDescent="0.35">
      <c r="C31" s="32"/>
      <c r="D31" s="123"/>
      <c r="E31" s="123"/>
      <c r="F31" s="123"/>
      <c r="G31" s="123"/>
      <c r="H31" s="123"/>
      <c r="I31" s="123"/>
      <c r="J31" s="123"/>
      <c r="K31" s="123"/>
      <c r="L31" s="123"/>
      <c r="M31" s="123"/>
      <c r="N31" s="123"/>
    </row>
    <row r="32" spans="2:14" ht="16.5" customHeight="1" x14ac:dyDescent="0.35">
      <c r="B32" s="6" t="s">
        <v>119</v>
      </c>
      <c r="C32" s="32"/>
      <c r="D32" s="123">
        <f t="shared" ref="D32:I32" si="37">D30-D23</f>
        <v>20.425000000000004</v>
      </c>
      <c r="E32" s="123">
        <f t="shared" si="37"/>
        <v>79.829794520547921</v>
      </c>
      <c r="F32" s="123">
        <f t="shared" si="37"/>
        <v>249.40699726027401</v>
      </c>
      <c r="G32" s="123">
        <f t="shared" si="37"/>
        <v>325.40570051506847</v>
      </c>
      <c r="H32" s="123">
        <f t="shared" si="37"/>
        <v>346.73004254597271</v>
      </c>
      <c r="I32" s="123">
        <f t="shared" si="37"/>
        <v>369.33384509873105</v>
      </c>
      <c r="J32" s="123">
        <f t="shared" ref="J32:K32" si="38">J30-J23</f>
        <v>393.29387580465504</v>
      </c>
      <c r="K32" s="123">
        <f t="shared" si="38"/>
        <v>418.69150835293431</v>
      </c>
      <c r="L32" s="123">
        <f t="shared" ref="L32:N32" si="39">L30-L23</f>
        <v>445.6129988541104</v>
      </c>
      <c r="M32" s="123">
        <f t="shared" si="39"/>
        <v>474.14977878535706</v>
      </c>
      <c r="N32" s="123">
        <f t="shared" si="39"/>
        <v>504.39876551247852</v>
      </c>
    </row>
    <row r="33" spans="2:14" ht="16.5" hidden="1" customHeight="1" x14ac:dyDescent="0.35">
      <c r="B33" s="6" t="s">
        <v>120</v>
      </c>
      <c r="C33" s="32"/>
      <c r="D33" s="123">
        <f t="shared" ref="D33:I33" si="40">D32*25%</f>
        <v>5.1062500000000011</v>
      </c>
      <c r="E33" s="123">
        <f t="shared" si="40"/>
        <v>19.95744863013698</v>
      </c>
      <c r="F33" s="123">
        <f t="shared" si="40"/>
        <v>62.351749315068503</v>
      </c>
      <c r="G33" s="123">
        <f t="shared" si="40"/>
        <v>81.351425128767119</v>
      </c>
      <c r="H33" s="123">
        <f t="shared" si="40"/>
        <v>86.682510636493177</v>
      </c>
      <c r="I33" s="123">
        <f t="shared" si="40"/>
        <v>92.333461274682762</v>
      </c>
      <c r="J33" s="123">
        <f t="shared" ref="J33:K33" si="41">J32*25%</f>
        <v>98.323468951163761</v>
      </c>
      <c r="K33" s="123">
        <f t="shared" si="41"/>
        <v>104.67287708823358</v>
      </c>
      <c r="L33" s="123">
        <f t="shared" ref="L33:N33" si="42">L32*25%</f>
        <v>111.4032497135276</v>
      </c>
      <c r="M33" s="123">
        <f t="shared" si="42"/>
        <v>118.53744469633926</v>
      </c>
      <c r="N33" s="123">
        <f t="shared" si="42"/>
        <v>126.09969137811963</v>
      </c>
    </row>
    <row r="34" spans="2:14" ht="16.5" hidden="1" customHeight="1" x14ac:dyDescent="0.35">
      <c r="B34" s="6" t="s">
        <v>144</v>
      </c>
      <c r="C34" s="32"/>
      <c r="D34" s="123">
        <f>D32-D33</f>
        <v>15.318750000000003</v>
      </c>
      <c r="E34" s="123">
        <f>E32-E33</f>
        <v>59.872345890410941</v>
      </c>
      <c r="F34" s="123">
        <f>F32-F33</f>
        <v>187.05524794520551</v>
      </c>
      <c r="G34" s="123">
        <f t="shared" ref="G34:L34" si="43">G32-G33</f>
        <v>244.05427538630136</v>
      </c>
      <c r="H34" s="123">
        <f t="shared" si="43"/>
        <v>260.04753190947952</v>
      </c>
      <c r="I34" s="123">
        <f t="shared" si="43"/>
        <v>277.0003838240483</v>
      </c>
      <c r="J34" s="123">
        <f t="shared" si="43"/>
        <v>294.97040685349128</v>
      </c>
      <c r="K34" s="123">
        <f t="shared" si="43"/>
        <v>314.01863126470073</v>
      </c>
      <c r="L34" s="123">
        <f t="shared" si="43"/>
        <v>334.2097491405828</v>
      </c>
      <c r="M34" s="123">
        <f t="shared" ref="M34:N34" si="44">M32-M33</f>
        <v>355.61233408901779</v>
      </c>
      <c r="N34" s="123">
        <f t="shared" si="44"/>
        <v>378.29907413435888</v>
      </c>
    </row>
    <row r="36" spans="2:14" x14ac:dyDescent="0.35">
      <c r="D36" s="32"/>
    </row>
    <row r="37" spans="2:14" x14ac:dyDescent="0.35">
      <c r="D37" s="32"/>
      <c r="E37" s="156"/>
    </row>
    <row r="38" spans="2:14" x14ac:dyDescent="0.35">
      <c r="D38" s="32"/>
    </row>
    <row r="40" spans="2:14" x14ac:dyDescent="0.35">
      <c r="D40" s="134"/>
    </row>
  </sheetData>
  <customSheetViews>
    <customSheetView guid="{22475485-DA09-46DB-978D-BB94CE1E5597}">
      <pane xSplit="1" ySplit="5" topLeftCell="B9" activePane="bottomRight" state="frozen"/>
      <selection pane="bottomRight" activeCell="B22" sqref="B22"/>
      <pageMargins left="0.7" right="0.7" top="0.75" bottom="0.75" header="0.3" footer="0.3"/>
      <pageSetup paperSize="9" orientation="portrait" verticalDpi="0" r:id="rId1"/>
    </customSheetView>
  </customSheetView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theme="5" tint="-0.499984740745262"/>
  </sheetPr>
  <dimension ref="B2:M29"/>
  <sheetViews>
    <sheetView showGridLines="0" topLeftCell="C17" workbookViewId="0">
      <selection activeCell="C28" sqref="C28:M28"/>
    </sheetView>
  </sheetViews>
  <sheetFormatPr defaultColWidth="32.26953125" defaultRowHeight="14.5" x14ac:dyDescent="0.35"/>
  <cols>
    <col min="1" max="1" width="5" style="28" customWidth="1"/>
    <col min="2" max="2" width="31.7265625" style="29" customWidth="1"/>
    <col min="3" max="3" width="12.1796875" style="1" customWidth="1"/>
    <col min="4" max="4" width="15.81640625" style="1" bestFit="1" customWidth="1"/>
    <col min="5" max="13" width="12.1796875" style="1" customWidth="1"/>
    <col min="14" max="114" width="14" style="28" customWidth="1"/>
    <col min="115" max="16384" width="32.26953125" style="28"/>
  </cols>
  <sheetData>
    <row r="2" spans="2:13" ht="18" customHeight="1" x14ac:dyDescent="0.35">
      <c r="B2" s="72" t="s">
        <v>76</v>
      </c>
      <c r="C2" s="26" t="s">
        <v>91</v>
      </c>
      <c r="D2" s="26" t="s">
        <v>160</v>
      </c>
      <c r="E2" s="26"/>
      <c r="F2" s="26" t="s">
        <v>92</v>
      </c>
      <c r="G2" s="47"/>
      <c r="H2" s="26"/>
      <c r="I2" s="26" t="s">
        <v>93</v>
      </c>
    </row>
    <row r="3" spans="2:13" ht="18" customHeight="1" x14ac:dyDescent="0.35">
      <c r="B3" s="8" t="s">
        <v>373</v>
      </c>
      <c r="C3" s="123">
        <f>'CoP-MoF'!D5/A</f>
        <v>713.20733439999992</v>
      </c>
      <c r="D3" s="123">
        <f>D5*C3/C5</f>
        <v>25.552785989427527</v>
      </c>
      <c r="E3" s="32"/>
      <c r="F3" s="123">
        <f>C3+D3+E3</f>
        <v>738.76012038942747</v>
      </c>
      <c r="G3" s="9"/>
      <c r="H3" s="135"/>
      <c r="I3" s="135">
        <v>0.1</v>
      </c>
    </row>
    <row r="4" spans="2:13" ht="18" customHeight="1" x14ac:dyDescent="0.35">
      <c r="B4" s="29" t="s">
        <v>94</v>
      </c>
      <c r="C4" s="123">
        <f>'CoP-MoF'!D6/A</f>
        <v>2426.7956834000001</v>
      </c>
      <c r="D4" s="123">
        <f>D5*C4/C5</f>
        <v>86.94721401057248</v>
      </c>
      <c r="E4" s="32"/>
      <c r="F4" s="123">
        <f>C4+D4+E4</f>
        <v>2513.7428974105728</v>
      </c>
      <c r="G4" s="9"/>
      <c r="H4" s="135"/>
      <c r="I4" s="135">
        <v>0.15</v>
      </c>
      <c r="K4" s="9"/>
      <c r="L4" s="9"/>
      <c r="M4" s="9"/>
    </row>
    <row r="5" spans="2:13" ht="18" customHeight="1" x14ac:dyDescent="0.35">
      <c r="B5" s="25" t="s">
        <v>92</v>
      </c>
      <c r="C5" s="200">
        <f>SUM(C3:C4)</f>
        <v>3140.0030178000002</v>
      </c>
      <c r="D5" s="200">
        <f>'TL Schd'!D10</f>
        <v>112.5</v>
      </c>
      <c r="E5" s="71"/>
      <c r="F5" s="200">
        <f>SUM(F3:F4)</f>
        <v>3252.5030178000002</v>
      </c>
      <c r="G5" s="136"/>
      <c r="H5" s="137"/>
      <c r="I5" s="137"/>
    </row>
    <row r="9" spans="2:13" ht="18.75" customHeight="1" x14ac:dyDescent="0.35">
      <c r="B9" s="343" t="s">
        <v>214</v>
      </c>
      <c r="C9" s="343"/>
      <c r="D9" s="343"/>
      <c r="E9" s="343"/>
      <c r="F9" s="343"/>
      <c r="G9" s="343"/>
      <c r="H9" s="343"/>
      <c r="I9" s="343"/>
      <c r="J9" s="343"/>
      <c r="K9" s="343"/>
      <c r="L9" s="343"/>
      <c r="M9" s="343"/>
    </row>
    <row r="10" spans="2:13" s="10" customFormat="1" ht="17.25" customHeight="1" x14ac:dyDescent="0.35">
      <c r="B10" s="43" t="s">
        <v>213</v>
      </c>
      <c r="C10" s="17">
        <v>2025</v>
      </c>
      <c r="D10" s="17">
        <f t="shared" ref="D10:K10" si="0">C10+1</f>
        <v>2026</v>
      </c>
      <c r="E10" s="17">
        <f t="shared" si="0"/>
        <v>2027</v>
      </c>
      <c r="F10" s="17">
        <f t="shared" si="0"/>
        <v>2028</v>
      </c>
      <c r="G10" s="17">
        <f t="shared" si="0"/>
        <v>2029</v>
      </c>
      <c r="H10" s="17">
        <f t="shared" si="0"/>
        <v>2030</v>
      </c>
      <c r="I10" s="17">
        <f t="shared" si="0"/>
        <v>2031</v>
      </c>
      <c r="J10" s="17">
        <f t="shared" si="0"/>
        <v>2032</v>
      </c>
      <c r="K10" s="17">
        <f t="shared" si="0"/>
        <v>2033</v>
      </c>
      <c r="L10" s="17">
        <f t="shared" ref="L10" si="1">K10+1</f>
        <v>2034</v>
      </c>
      <c r="M10" s="17">
        <f t="shared" ref="M10" si="2">L10+1</f>
        <v>2035</v>
      </c>
    </row>
    <row r="11" spans="2:13" ht="17.25" customHeight="1" x14ac:dyDescent="0.35">
      <c r="B11" s="29" t="s">
        <v>373</v>
      </c>
      <c r="C11" s="210">
        <f>F3+C21</f>
        <v>738.76012038942747</v>
      </c>
      <c r="D11" s="210">
        <f>C11+D21</f>
        <v>738.76012038942747</v>
      </c>
      <c r="E11" s="210">
        <f t="shared" ref="E11:K11" si="3">D11+E21</f>
        <v>744.76012038942747</v>
      </c>
      <c r="F11" s="210">
        <f t="shared" si="3"/>
        <v>744.76012038942747</v>
      </c>
      <c r="G11" s="210">
        <f t="shared" si="3"/>
        <v>744.76012038942747</v>
      </c>
      <c r="H11" s="210">
        <f t="shared" si="3"/>
        <v>744.76012038942747</v>
      </c>
      <c r="I11" s="210">
        <f t="shared" si="3"/>
        <v>744.76012038942747</v>
      </c>
      <c r="J11" s="210">
        <f t="shared" si="3"/>
        <v>744.76012038942747</v>
      </c>
      <c r="K11" s="210">
        <f t="shared" si="3"/>
        <v>744.76012038942747</v>
      </c>
      <c r="L11" s="210">
        <f t="shared" ref="L11" si="4">K11+L21</f>
        <v>744.76012038942747</v>
      </c>
      <c r="M11" s="210">
        <f t="shared" ref="M11" si="5">L11+M21</f>
        <v>744.76012038942747</v>
      </c>
    </row>
    <row r="12" spans="2:13" ht="17.25" customHeight="1" x14ac:dyDescent="0.35">
      <c r="B12" s="29" t="s">
        <v>141</v>
      </c>
      <c r="C12" s="210">
        <f>(C11*3.17%)*6/12</f>
        <v>11.709347908172425</v>
      </c>
      <c r="D12" s="210">
        <f t="shared" ref="D12:K12" si="6">(D11*3.17%)</f>
        <v>23.418695816344851</v>
      </c>
      <c r="E12" s="210">
        <f t="shared" si="6"/>
        <v>23.608895816344852</v>
      </c>
      <c r="F12" s="210">
        <f t="shared" si="6"/>
        <v>23.608895816344852</v>
      </c>
      <c r="G12" s="210">
        <f t="shared" si="6"/>
        <v>23.608895816344852</v>
      </c>
      <c r="H12" s="210">
        <f t="shared" si="6"/>
        <v>23.608895816344852</v>
      </c>
      <c r="I12" s="210">
        <f t="shared" si="6"/>
        <v>23.608895816344852</v>
      </c>
      <c r="J12" s="210">
        <f t="shared" si="6"/>
        <v>23.608895816344852</v>
      </c>
      <c r="K12" s="210">
        <f t="shared" si="6"/>
        <v>23.608895816344852</v>
      </c>
      <c r="L12" s="210">
        <f t="shared" ref="L12:M12" si="7">(L11*3.17%)</f>
        <v>23.608895816344852</v>
      </c>
      <c r="M12" s="210">
        <f t="shared" si="7"/>
        <v>23.608895816344852</v>
      </c>
    </row>
    <row r="13" spans="2:13" ht="17.25" customHeight="1" x14ac:dyDescent="0.35">
      <c r="B13" s="29" t="s">
        <v>43</v>
      </c>
      <c r="C13" s="210">
        <f>F4</f>
        <v>2513.7428974105728</v>
      </c>
      <c r="D13" s="210">
        <f>C13+D25</f>
        <v>2513.7428974105728</v>
      </c>
      <c r="E13" s="210">
        <f t="shared" ref="E13:K13" si="8">D13+E25</f>
        <v>2513.7428974105728</v>
      </c>
      <c r="F13" s="210">
        <f t="shared" si="8"/>
        <v>2813.7428974105728</v>
      </c>
      <c r="G13" s="210">
        <f t="shared" si="8"/>
        <v>2813.7428974105728</v>
      </c>
      <c r="H13" s="210">
        <f t="shared" si="8"/>
        <v>2813.7428974105728</v>
      </c>
      <c r="I13" s="210">
        <f t="shared" si="8"/>
        <v>2813.7428974105728</v>
      </c>
      <c r="J13" s="210">
        <f t="shared" si="8"/>
        <v>2813.7428974105728</v>
      </c>
      <c r="K13" s="210">
        <f t="shared" si="8"/>
        <v>3213.7428974105728</v>
      </c>
      <c r="L13" s="210">
        <f t="shared" ref="L13" si="9">K13+L25</f>
        <v>3213.7428974105728</v>
      </c>
      <c r="M13" s="210">
        <f t="shared" ref="M13" si="10">L13+M25</f>
        <v>3213.7428974105728</v>
      </c>
    </row>
    <row r="14" spans="2:13" ht="17.25" customHeight="1" x14ac:dyDescent="0.35">
      <c r="B14" s="29" t="s">
        <v>142</v>
      </c>
      <c r="C14" s="210">
        <f>(C13*6.33%)*6/12</f>
        <v>79.559962703044619</v>
      </c>
      <c r="D14" s="210">
        <f t="shared" ref="D14:K14" si="11">(D13*6.33%)</f>
        <v>159.11992540608924</v>
      </c>
      <c r="E14" s="210">
        <f t="shared" si="11"/>
        <v>159.11992540608924</v>
      </c>
      <c r="F14" s="210">
        <f t="shared" si="11"/>
        <v>178.10992540608925</v>
      </c>
      <c r="G14" s="210">
        <f t="shared" si="11"/>
        <v>178.10992540608925</v>
      </c>
      <c r="H14" s="210">
        <f t="shared" si="11"/>
        <v>178.10992540608925</v>
      </c>
      <c r="I14" s="210">
        <f t="shared" si="11"/>
        <v>178.10992540608925</v>
      </c>
      <c r="J14" s="210">
        <f t="shared" si="11"/>
        <v>178.10992540608925</v>
      </c>
      <c r="K14" s="210">
        <f t="shared" si="11"/>
        <v>203.42992540608924</v>
      </c>
      <c r="L14" s="210">
        <f t="shared" ref="L14:M14" si="12">(L13*6.33%)</f>
        <v>203.42992540608924</v>
      </c>
      <c r="M14" s="210">
        <f t="shared" si="12"/>
        <v>203.42992540608924</v>
      </c>
    </row>
    <row r="15" spans="2:13" s="138" customFormat="1" ht="17.25" customHeight="1" x14ac:dyDescent="0.35">
      <c r="B15" s="70" t="s">
        <v>95</v>
      </c>
      <c r="C15" s="305">
        <f t="shared" ref="C15" si="13">C12+C14</f>
        <v>91.269310611217037</v>
      </c>
      <c r="D15" s="305">
        <f>D12+D14</f>
        <v>182.53862122243407</v>
      </c>
      <c r="E15" s="305">
        <f t="shared" ref="E15:K15" si="14">E12+E14</f>
        <v>182.72882122243408</v>
      </c>
      <c r="F15" s="305">
        <f t="shared" si="14"/>
        <v>201.71882122243409</v>
      </c>
      <c r="G15" s="305">
        <f t="shared" si="14"/>
        <v>201.71882122243409</v>
      </c>
      <c r="H15" s="305">
        <f t="shared" si="14"/>
        <v>201.71882122243409</v>
      </c>
      <c r="I15" s="305">
        <f t="shared" si="14"/>
        <v>201.71882122243409</v>
      </c>
      <c r="J15" s="305">
        <f t="shared" si="14"/>
        <v>201.71882122243409</v>
      </c>
      <c r="K15" s="305">
        <f t="shared" si="14"/>
        <v>227.03882122243408</v>
      </c>
      <c r="L15" s="305">
        <f t="shared" ref="L15:M15" si="15">L12+L14</f>
        <v>227.03882122243408</v>
      </c>
      <c r="M15" s="305">
        <f t="shared" si="15"/>
        <v>227.03882122243408</v>
      </c>
    </row>
    <row r="16" spans="2:13" x14ac:dyDescent="0.35">
      <c r="B16" s="28"/>
      <c r="C16" s="28"/>
      <c r="D16" s="28"/>
      <c r="E16" s="28"/>
      <c r="F16" s="28"/>
      <c r="G16" s="28"/>
      <c r="H16" s="28"/>
      <c r="I16" s="28"/>
      <c r="J16" s="28"/>
      <c r="K16" s="28"/>
      <c r="L16" s="28"/>
      <c r="M16" s="28"/>
    </row>
    <row r="17" spans="2:13" ht="15.75" customHeight="1" x14ac:dyDescent="0.35">
      <c r="B17" s="343" t="s">
        <v>487</v>
      </c>
      <c r="C17" s="343"/>
      <c r="D17" s="343"/>
      <c r="E17" s="343"/>
      <c r="F17" s="343"/>
      <c r="G17" s="343"/>
      <c r="H17" s="343"/>
      <c r="I17" s="343"/>
      <c r="J17" s="343"/>
      <c r="K17" s="343"/>
      <c r="L17" s="343"/>
      <c r="M17" s="343"/>
    </row>
    <row r="18" spans="2:13" ht="15" customHeight="1" x14ac:dyDescent="0.35">
      <c r="B18" s="35" t="s">
        <v>74</v>
      </c>
      <c r="C18" s="16">
        <v>4</v>
      </c>
      <c r="D18" s="16">
        <v>12</v>
      </c>
      <c r="E18" s="16">
        <v>12</v>
      </c>
      <c r="F18" s="16">
        <v>12</v>
      </c>
      <c r="G18" s="16">
        <v>12</v>
      </c>
      <c r="H18" s="16">
        <v>12</v>
      </c>
      <c r="I18" s="16">
        <v>12</v>
      </c>
      <c r="J18" s="16">
        <v>12</v>
      </c>
      <c r="K18" s="16">
        <v>12</v>
      </c>
      <c r="L18" s="16">
        <v>12</v>
      </c>
      <c r="M18" s="16">
        <v>12</v>
      </c>
    </row>
    <row r="19" spans="2:13" s="10" customFormat="1" ht="21" customHeight="1" x14ac:dyDescent="0.35">
      <c r="B19" s="43" t="s">
        <v>215</v>
      </c>
      <c r="C19" s="17">
        <v>2025</v>
      </c>
      <c r="D19" s="17">
        <f t="shared" ref="D19:K19" si="16">C19+1</f>
        <v>2026</v>
      </c>
      <c r="E19" s="17">
        <f t="shared" si="16"/>
        <v>2027</v>
      </c>
      <c r="F19" s="17">
        <f t="shared" si="16"/>
        <v>2028</v>
      </c>
      <c r="G19" s="17">
        <f t="shared" si="16"/>
        <v>2029</v>
      </c>
      <c r="H19" s="17">
        <f t="shared" si="16"/>
        <v>2030</v>
      </c>
      <c r="I19" s="17">
        <f t="shared" si="16"/>
        <v>2031</v>
      </c>
      <c r="J19" s="17">
        <f t="shared" si="16"/>
        <v>2032</v>
      </c>
      <c r="K19" s="17">
        <f t="shared" si="16"/>
        <v>2033</v>
      </c>
      <c r="L19" s="17">
        <f t="shared" ref="L19" si="17">K19+1</f>
        <v>2034</v>
      </c>
      <c r="M19" s="17">
        <f t="shared" ref="M19" si="18">L19+1</f>
        <v>2035</v>
      </c>
    </row>
    <row r="20" spans="2:13" s="29" customFormat="1" ht="21" customHeight="1" x14ac:dyDescent="0.35">
      <c r="B20" s="245" t="s">
        <v>373</v>
      </c>
      <c r="C20" s="244">
        <f>F3</f>
        <v>738.76012038942747</v>
      </c>
      <c r="D20" s="244">
        <f t="shared" ref="D20:K20" si="19">(C23)</f>
        <v>701.82211436995613</v>
      </c>
      <c r="E20" s="244">
        <f t="shared" si="19"/>
        <v>631.63990293296047</v>
      </c>
      <c r="F20" s="244">
        <f t="shared" si="19"/>
        <v>573.87591263966442</v>
      </c>
      <c r="G20" s="244">
        <f t="shared" si="19"/>
        <v>516.48832137569798</v>
      </c>
      <c r="H20" s="244">
        <f t="shared" si="19"/>
        <v>464.83948923812818</v>
      </c>
      <c r="I20" s="244">
        <f t="shared" si="19"/>
        <v>418.35554031431536</v>
      </c>
      <c r="J20" s="244">
        <f t="shared" si="19"/>
        <v>376.51998628288379</v>
      </c>
      <c r="K20" s="244">
        <f t="shared" si="19"/>
        <v>338.86798765459542</v>
      </c>
      <c r="L20" s="244">
        <f t="shared" ref="L20" si="20">(K23)</f>
        <v>304.98118888913586</v>
      </c>
      <c r="M20" s="244">
        <f t="shared" ref="M20" si="21">(L23)</f>
        <v>274.48307000022226</v>
      </c>
    </row>
    <row r="21" spans="2:13" s="29" customFormat="1" ht="21" customHeight="1" x14ac:dyDescent="0.35">
      <c r="B21" s="245" t="s">
        <v>375</v>
      </c>
      <c r="C21" s="244">
        <v>0</v>
      </c>
      <c r="D21" s="244">
        <v>0</v>
      </c>
      <c r="E21" s="244">
        <f>10000*60/A</f>
        <v>6</v>
      </c>
      <c r="F21" s="244">
        <v>0</v>
      </c>
      <c r="G21" s="244">
        <v>0</v>
      </c>
      <c r="H21" s="244">
        <v>0</v>
      </c>
      <c r="I21" s="244">
        <v>0</v>
      </c>
      <c r="J21" s="244">
        <v>0</v>
      </c>
      <c r="K21" s="244">
        <v>0</v>
      </c>
      <c r="L21" s="244">
        <v>0</v>
      </c>
      <c r="M21" s="244">
        <v>0</v>
      </c>
    </row>
    <row r="22" spans="2:13" s="29" customFormat="1" ht="21" customHeight="1" x14ac:dyDescent="0.35">
      <c r="B22" s="245" t="s">
        <v>97</v>
      </c>
      <c r="C22" s="244">
        <f>((C20+C21)*$I$3)*6/12</f>
        <v>36.938006019471374</v>
      </c>
      <c r="D22" s="244">
        <f>((D20+D21)*$I$3)</f>
        <v>70.182211436995615</v>
      </c>
      <c r="E22" s="244">
        <f t="shared" ref="E22:K22" si="22">((E20+E21)*$I$3)</f>
        <v>63.763990293296047</v>
      </c>
      <c r="F22" s="244">
        <f t="shared" si="22"/>
        <v>57.387591263966442</v>
      </c>
      <c r="G22" s="244">
        <f t="shared" si="22"/>
        <v>51.648832137569798</v>
      </c>
      <c r="H22" s="244">
        <f t="shared" si="22"/>
        <v>46.483948923812818</v>
      </c>
      <c r="I22" s="244">
        <f t="shared" si="22"/>
        <v>41.835554031431542</v>
      </c>
      <c r="J22" s="244">
        <f t="shared" si="22"/>
        <v>37.651998628288382</v>
      </c>
      <c r="K22" s="244">
        <f t="shared" si="22"/>
        <v>33.886798765459545</v>
      </c>
      <c r="L22" s="244">
        <f t="shared" ref="L22:M22" si="23">((L20+L21)*$I$3)</f>
        <v>30.498118888913588</v>
      </c>
      <c r="M22" s="244">
        <f t="shared" si="23"/>
        <v>27.448307000022226</v>
      </c>
    </row>
    <row r="23" spans="2:13" s="29" customFormat="1" ht="21" customHeight="1" x14ac:dyDescent="0.35">
      <c r="B23" s="245" t="s">
        <v>376</v>
      </c>
      <c r="C23" s="244">
        <f>C20+C21-C22</f>
        <v>701.82211436995613</v>
      </c>
      <c r="D23" s="244">
        <f t="shared" ref="D23:K23" si="24">D20+D21-D22</f>
        <v>631.63990293296047</v>
      </c>
      <c r="E23" s="244">
        <f t="shared" si="24"/>
        <v>573.87591263966442</v>
      </c>
      <c r="F23" s="244">
        <f t="shared" si="24"/>
        <v>516.48832137569798</v>
      </c>
      <c r="G23" s="244">
        <f t="shared" si="24"/>
        <v>464.83948923812818</v>
      </c>
      <c r="H23" s="244">
        <f t="shared" si="24"/>
        <v>418.35554031431536</v>
      </c>
      <c r="I23" s="244">
        <f t="shared" si="24"/>
        <v>376.51998628288379</v>
      </c>
      <c r="J23" s="244">
        <f t="shared" si="24"/>
        <v>338.86798765459542</v>
      </c>
      <c r="K23" s="244">
        <f t="shared" si="24"/>
        <v>304.98118888913586</v>
      </c>
      <c r="L23" s="244">
        <f t="shared" ref="L23:M23" si="25">L20+L21-L22</f>
        <v>274.48307000022226</v>
      </c>
      <c r="M23" s="244">
        <f t="shared" si="25"/>
        <v>247.03476300020003</v>
      </c>
    </row>
    <row r="24" spans="2:13" s="29" customFormat="1" ht="21" customHeight="1" x14ac:dyDescent="0.35">
      <c r="B24" s="29" t="s">
        <v>43</v>
      </c>
      <c r="C24" s="210">
        <f>F4</f>
        <v>2513.7428974105728</v>
      </c>
      <c r="D24" s="210">
        <f>C27</f>
        <v>2325.2121801047797</v>
      </c>
      <c r="E24" s="210">
        <f t="shared" ref="E24:K24" si="26">(D27)</f>
        <v>1976.4303530890627</v>
      </c>
      <c r="F24" s="210">
        <f t="shared" si="26"/>
        <v>1679.9658001257033</v>
      </c>
      <c r="G24" s="210">
        <f t="shared" si="26"/>
        <v>1682.9709301068478</v>
      </c>
      <c r="H24" s="210">
        <f t="shared" si="26"/>
        <v>1430.5252905908208</v>
      </c>
      <c r="I24" s="210">
        <f t="shared" si="26"/>
        <v>1215.9464970021977</v>
      </c>
      <c r="J24" s="210">
        <f t="shared" si="26"/>
        <v>1033.554522451868</v>
      </c>
      <c r="K24" s="210">
        <f t="shared" si="26"/>
        <v>878.52134408408779</v>
      </c>
      <c r="L24" s="210">
        <f t="shared" ref="L24" si="27">(K27)</f>
        <v>1086.7431424714746</v>
      </c>
      <c r="M24" s="210">
        <f t="shared" ref="M24" si="28">(L27)</f>
        <v>923.73167110075337</v>
      </c>
    </row>
    <row r="25" spans="2:13" s="29" customFormat="1" ht="21" customHeight="1" x14ac:dyDescent="0.35">
      <c r="B25" s="226" t="s">
        <v>375</v>
      </c>
      <c r="C25" s="248">
        <v>0</v>
      </c>
      <c r="D25" s="248">
        <v>0</v>
      </c>
      <c r="E25" s="248">
        <v>0</v>
      </c>
      <c r="F25" s="248">
        <v>300</v>
      </c>
      <c r="G25" s="248">
        <v>0</v>
      </c>
      <c r="H25" s="248">
        <v>0</v>
      </c>
      <c r="I25" s="248">
        <v>0</v>
      </c>
      <c r="J25" s="248">
        <v>0</v>
      </c>
      <c r="K25" s="248">
        <v>400</v>
      </c>
      <c r="L25" s="248">
        <v>0</v>
      </c>
      <c r="M25" s="248">
        <v>0</v>
      </c>
    </row>
    <row r="26" spans="2:13" s="29" customFormat="1" ht="21" customHeight="1" x14ac:dyDescent="0.35">
      <c r="B26" s="29" t="s">
        <v>97</v>
      </c>
      <c r="C26" s="244">
        <f>((C24+C25)*$I$4)*6/12</f>
        <v>188.53071730579299</v>
      </c>
      <c r="D26" s="210">
        <f>((D24+D25)*$I$4)</f>
        <v>348.78182701571694</v>
      </c>
      <c r="E26" s="210">
        <f t="shared" ref="E26:K26" si="29">((E24+E25)*$I$4)</f>
        <v>296.46455296335938</v>
      </c>
      <c r="F26" s="210">
        <f t="shared" si="29"/>
        <v>296.99487001885547</v>
      </c>
      <c r="G26" s="210">
        <f t="shared" si="29"/>
        <v>252.44563951602717</v>
      </c>
      <c r="H26" s="210">
        <f t="shared" si="29"/>
        <v>214.57879358862311</v>
      </c>
      <c r="I26" s="210">
        <f t="shared" si="29"/>
        <v>182.39197455032965</v>
      </c>
      <c r="J26" s="210">
        <f t="shared" si="29"/>
        <v>155.03317836778021</v>
      </c>
      <c r="K26" s="210">
        <f t="shared" si="29"/>
        <v>191.77820161261317</v>
      </c>
      <c r="L26" s="210">
        <f t="shared" ref="L26:M26" si="30">((L24+L25)*$I$4)</f>
        <v>163.01147137072118</v>
      </c>
      <c r="M26" s="210">
        <f t="shared" si="30"/>
        <v>138.559750665113</v>
      </c>
    </row>
    <row r="27" spans="2:13" s="29" customFormat="1" ht="21" customHeight="1" x14ac:dyDescent="0.35">
      <c r="B27" s="29" t="s">
        <v>64</v>
      </c>
      <c r="C27" s="210">
        <f>C24+C25-C26</f>
        <v>2325.2121801047797</v>
      </c>
      <c r="D27" s="210">
        <f t="shared" ref="D27:K27" si="31">D24+D25-D26</f>
        <v>1976.4303530890627</v>
      </c>
      <c r="E27" s="210">
        <f t="shared" si="31"/>
        <v>1679.9658001257033</v>
      </c>
      <c r="F27" s="210">
        <f t="shared" si="31"/>
        <v>1682.9709301068478</v>
      </c>
      <c r="G27" s="210">
        <f t="shared" si="31"/>
        <v>1430.5252905908208</v>
      </c>
      <c r="H27" s="210">
        <f t="shared" si="31"/>
        <v>1215.9464970021977</v>
      </c>
      <c r="I27" s="210">
        <f t="shared" si="31"/>
        <v>1033.554522451868</v>
      </c>
      <c r="J27" s="210">
        <f t="shared" si="31"/>
        <v>878.52134408408779</v>
      </c>
      <c r="K27" s="210">
        <f t="shared" si="31"/>
        <v>1086.7431424714746</v>
      </c>
      <c r="L27" s="210">
        <f t="shared" ref="L27:M27" si="32">L24+L25-L26</f>
        <v>923.73167110075337</v>
      </c>
      <c r="M27" s="210">
        <f t="shared" si="32"/>
        <v>785.17192043564035</v>
      </c>
    </row>
    <row r="28" spans="2:13" s="29" customFormat="1" ht="21" customHeight="1" x14ac:dyDescent="0.35">
      <c r="B28" s="72" t="s">
        <v>96</v>
      </c>
      <c r="C28" s="211">
        <f t="shared" ref="C28:K28" si="33">C22+C26</f>
        <v>225.46872332526436</v>
      </c>
      <c r="D28" s="211">
        <f t="shared" si="33"/>
        <v>418.96403845271254</v>
      </c>
      <c r="E28" s="211">
        <f t="shared" si="33"/>
        <v>360.22854325665543</v>
      </c>
      <c r="F28" s="211">
        <f t="shared" si="33"/>
        <v>354.38246128282191</v>
      </c>
      <c r="G28" s="211">
        <f t="shared" si="33"/>
        <v>304.094471653597</v>
      </c>
      <c r="H28" s="211">
        <f t="shared" si="33"/>
        <v>261.06274251243593</v>
      </c>
      <c r="I28" s="211">
        <f t="shared" si="33"/>
        <v>224.22752858176119</v>
      </c>
      <c r="J28" s="211">
        <f t="shared" si="33"/>
        <v>192.68517699606861</v>
      </c>
      <c r="K28" s="211">
        <f t="shared" si="33"/>
        <v>225.6650003780727</v>
      </c>
      <c r="L28" s="211">
        <f t="shared" ref="L28:M28" si="34">L22+L26</f>
        <v>193.50959025963476</v>
      </c>
      <c r="M28" s="211">
        <f t="shared" si="34"/>
        <v>166.00805766513523</v>
      </c>
    </row>
    <row r="29" spans="2:13" x14ac:dyDescent="0.35">
      <c r="B29" s="72" t="s">
        <v>269</v>
      </c>
      <c r="C29" s="211">
        <f t="shared" ref="C29:K29" si="35">C23+C27</f>
        <v>3027.0342944747358</v>
      </c>
      <c r="D29" s="211">
        <f t="shared" si="35"/>
        <v>2608.0702560220234</v>
      </c>
      <c r="E29" s="211">
        <f t="shared" si="35"/>
        <v>2253.8417127653674</v>
      </c>
      <c r="F29" s="211">
        <f t="shared" si="35"/>
        <v>2199.4592514825458</v>
      </c>
      <c r="G29" s="211">
        <f t="shared" si="35"/>
        <v>1895.3647798289489</v>
      </c>
      <c r="H29" s="211">
        <f t="shared" si="35"/>
        <v>1634.3020373165132</v>
      </c>
      <c r="I29" s="211">
        <f t="shared" si="35"/>
        <v>1410.0745087347518</v>
      </c>
      <c r="J29" s="211">
        <f t="shared" si="35"/>
        <v>1217.3893317386833</v>
      </c>
      <c r="K29" s="211">
        <f t="shared" si="35"/>
        <v>1391.7243313606104</v>
      </c>
      <c r="L29" s="211">
        <f t="shared" ref="L29:M29" si="36">L23+L27</f>
        <v>1198.2147411009755</v>
      </c>
      <c r="M29" s="211">
        <f t="shared" si="36"/>
        <v>1032.2066834358404</v>
      </c>
    </row>
  </sheetData>
  <customSheetViews>
    <customSheetView guid="{22475485-DA09-46DB-978D-BB94CE1E5597}">
      <selection activeCell="D4" sqref="D4"/>
      <pageMargins left="0.7" right="0.7" top="0.75" bottom="0.75" header="0.3" footer="0.3"/>
      <pageSetup paperSize="9" orientation="landscape" verticalDpi="300" r:id="rId1"/>
    </customSheetView>
  </customSheetViews>
  <mergeCells count="2">
    <mergeCell ref="B9:M9"/>
    <mergeCell ref="B17:M17"/>
  </mergeCells>
  <pageMargins left="0.7" right="0.7" top="0.75" bottom="0.75" header="0.3" footer="0.3"/>
  <pageSetup paperSize="9" orientation="landscape" verticalDpi="300"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theme="9"/>
  </sheetPr>
  <dimension ref="B1:F27"/>
  <sheetViews>
    <sheetView showGridLines="0" topLeftCell="A16" workbookViewId="0">
      <selection activeCell="C21" sqref="C21"/>
    </sheetView>
  </sheetViews>
  <sheetFormatPr defaultColWidth="32.26953125" defaultRowHeight="14.5" x14ac:dyDescent="0.35"/>
  <cols>
    <col min="1" max="1" width="4.7265625" style="28" customWidth="1"/>
    <col min="2" max="2" width="7.6328125" style="6" customWidth="1"/>
    <col min="3" max="3" width="41.90625" style="1" customWidth="1"/>
    <col min="4" max="4" width="10" style="1" customWidth="1"/>
    <col min="5" max="5" width="22.453125" style="1" customWidth="1"/>
    <col min="6" max="6" width="25" style="1" customWidth="1"/>
    <col min="7" max="14" width="14" style="28" customWidth="1"/>
    <col min="15" max="16384" width="32.26953125" style="28"/>
  </cols>
  <sheetData>
    <row r="1" spans="2:6" ht="16.5" customHeight="1" x14ac:dyDescent="0.35"/>
    <row r="2" spans="2:6" s="29" customFormat="1" ht="16.5" customHeight="1" x14ac:dyDescent="0.35">
      <c r="B2" s="330" t="s">
        <v>8</v>
      </c>
      <c r="C2" s="330"/>
      <c r="D2" s="330"/>
      <c r="E2" s="330"/>
      <c r="F2" s="242"/>
    </row>
    <row r="3" spans="2:6" s="29" customFormat="1" ht="15" customHeight="1" x14ac:dyDescent="0.35"/>
    <row r="4" spans="2:6" ht="15" thickBot="1" x14ac:dyDescent="0.4"/>
    <row r="5" spans="2:6" ht="31.5" thickBot="1" x14ac:dyDescent="0.4">
      <c r="B5" s="250" t="s">
        <v>344</v>
      </c>
      <c r="C5" s="251" t="s">
        <v>345</v>
      </c>
      <c r="D5" s="251" t="s">
        <v>346</v>
      </c>
      <c r="E5" s="251" t="s">
        <v>347</v>
      </c>
    </row>
    <row r="6" spans="2:6" ht="16" thickBot="1" x14ac:dyDescent="0.4">
      <c r="B6" s="252">
        <v>1</v>
      </c>
      <c r="C6" s="253" t="s">
        <v>348</v>
      </c>
      <c r="D6" s="254">
        <v>1</v>
      </c>
      <c r="E6" s="255">
        <v>2500000</v>
      </c>
    </row>
    <row r="7" spans="2:6" ht="16" thickBot="1" x14ac:dyDescent="0.4">
      <c r="B7" s="252">
        <v>2</v>
      </c>
      <c r="C7" s="253" t="s">
        <v>349</v>
      </c>
      <c r="D7" s="254">
        <v>2</v>
      </c>
      <c r="E7" s="255">
        <v>3000000</v>
      </c>
    </row>
    <row r="8" spans="2:6" ht="16" thickBot="1" x14ac:dyDescent="0.4">
      <c r="B8" s="252">
        <v>3</v>
      </c>
      <c r="C8" s="253" t="s">
        <v>350</v>
      </c>
      <c r="D8" s="254">
        <v>4</v>
      </c>
      <c r="E8" s="255">
        <v>1600000</v>
      </c>
    </row>
    <row r="9" spans="2:6" ht="16" thickBot="1" x14ac:dyDescent="0.4">
      <c r="B9" s="252">
        <v>4</v>
      </c>
      <c r="C9" s="253" t="s">
        <v>351</v>
      </c>
      <c r="D9" s="254">
        <v>5</v>
      </c>
      <c r="E9" s="255">
        <v>1250000</v>
      </c>
    </row>
    <row r="10" spans="2:6" ht="16" thickBot="1" x14ac:dyDescent="0.4">
      <c r="B10" s="252">
        <v>5</v>
      </c>
      <c r="C10" s="253" t="s">
        <v>352</v>
      </c>
      <c r="D10" s="254">
        <v>2</v>
      </c>
      <c r="E10" s="255">
        <v>500000</v>
      </c>
    </row>
    <row r="11" spans="2:6" ht="16" thickBot="1" x14ac:dyDescent="0.4">
      <c r="B11" s="252">
        <v>6</v>
      </c>
      <c r="C11" s="253" t="s">
        <v>353</v>
      </c>
      <c r="D11" s="254">
        <v>4</v>
      </c>
      <c r="E11" s="255">
        <v>800000</v>
      </c>
    </row>
    <row r="12" spans="2:6" ht="16" thickBot="1" x14ac:dyDescent="0.4">
      <c r="B12" s="252">
        <v>7</v>
      </c>
      <c r="C12" s="253" t="s">
        <v>354</v>
      </c>
      <c r="D12" s="254">
        <v>2</v>
      </c>
      <c r="E12" s="255">
        <v>1500000</v>
      </c>
    </row>
    <row r="13" spans="2:6" ht="16" thickBot="1" x14ac:dyDescent="0.4">
      <c r="B13" s="252">
        <v>8</v>
      </c>
      <c r="C13" s="253" t="s">
        <v>355</v>
      </c>
      <c r="D13" s="254">
        <v>1</v>
      </c>
      <c r="E13" s="255">
        <v>1500000</v>
      </c>
    </row>
    <row r="14" spans="2:6" ht="16" thickBot="1" x14ac:dyDescent="0.4">
      <c r="B14" s="252">
        <v>9</v>
      </c>
      <c r="C14" s="253" t="s">
        <v>356</v>
      </c>
      <c r="D14" s="254">
        <v>3</v>
      </c>
      <c r="E14" s="255">
        <v>3600000</v>
      </c>
    </row>
    <row r="15" spans="2:6" ht="16" thickBot="1" x14ac:dyDescent="0.4">
      <c r="B15" s="252">
        <v>10</v>
      </c>
      <c r="C15" s="253" t="s">
        <v>357</v>
      </c>
      <c r="D15" s="254">
        <v>4</v>
      </c>
      <c r="E15" s="255">
        <v>2000000</v>
      </c>
    </row>
    <row r="16" spans="2:6" ht="16" thickBot="1" x14ac:dyDescent="0.4">
      <c r="B16" s="252">
        <v>11</v>
      </c>
      <c r="C16" s="253" t="s">
        <v>358</v>
      </c>
      <c r="D16" s="254">
        <v>4</v>
      </c>
      <c r="E16" s="255">
        <v>1000000</v>
      </c>
    </row>
    <row r="17" spans="2:5" ht="16" thickBot="1" x14ac:dyDescent="0.4">
      <c r="B17" s="252">
        <v>12</v>
      </c>
      <c r="C17" s="253" t="s">
        <v>359</v>
      </c>
      <c r="D17" s="254">
        <v>1</v>
      </c>
      <c r="E17" s="255">
        <v>750000</v>
      </c>
    </row>
    <row r="18" spans="2:5" ht="16" thickBot="1" x14ac:dyDescent="0.4">
      <c r="B18" s="252">
        <v>13</v>
      </c>
      <c r="C18" s="253" t="s">
        <v>360</v>
      </c>
      <c r="D18" s="254">
        <v>2</v>
      </c>
      <c r="E18" s="255">
        <v>1000000</v>
      </c>
    </row>
    <row r="19" spans="2:5" ht="16" thickBot="1" x14ac:dyDescent="0.4">
      <c r="B19" s="252">
        <v>14</v>
      </c>
      <c r="C19" s="253" t="s">
        <v>361</v>
      </c>
      <c r="D19" s="254">
        <v>1</v>
      </c>
      <c r="E19" s="255">
        <v>1000000</v>
      </c>
    </row>
    <row r="20" spans="2:5" ht="16" thickBot="1" x14ac:dyDescent="0.4">
      <c r="B20" s="252">
        <v>15</v>
      </c>
      <c r="C20" s="253" t="s">
        <v>362</v>
      </c>
      <c r="D20" s="254">
        <v>2</v>
      </c>
      <c r="E20" s="255">
        <v>1000000</v>
      </c>
    </row>
    <row r="21" spans="2:5" ht="16" thickBot="1" x14ac:dyDescent="0.4">
      <c r="B21" s="252">
        <v>16</v>
      </c>
      <c r="C21" s="253" t="s">
        <v>363</v>
      </c>
      <c r="D21" s="254">
        <v>1</v>
      </c>
      <c r="E21" s="255">
        <v>600000</v>
      </c>
    </row>
    <row r="22" spans="2:5" ht="16" thickBot="1" x14ac:dyDescent="0.4">
      <c r="B22" s="252">
        <v>17</v>
      </c>
      <c r="C22" s="253" t="s">
        <v>364</v>
      </c>
      <c r="D22" s="254">
        <v>1</v>
      </c>
      <c r="E22" s="255">
        <v>750000</v>
      </c>
    </row>
    <row r="23" spans="2:5" ht="16" thickBot="1" x14ac:dyDescent="0.4">
      <c r="B23" s="252">
        <v>18</v>
      </c>
      <c r="C23" s="253" t="s">
        <v>365</v>
      </c>
      <c r="D23" s="254">
        <v>2</v>
      </c>
      <c r="E23" s="255">
        <v>1200000</v>
      </c>
    </row>
    <row r="24" spans="2:5" ht="16" thickBot="1" x14ac:dyDescent="0.4">
      <c r="B24" s="252">
        <v>19</v>
      </c>
      <c r="C24" s="253" t="s">
        <v>366</v>
      </c>
      <c r="D24" s="254">
        <v>1</v>
      </c>
      <c r="E24" s="255">
        <v>750000</v>
      </c>
    </row>
    <row r="25" spans="2:5" ht="16" thickBot="1" x14ac:dyDescent="0.4">
      <c r="B25" s="252">
        <v>20</v>
      </c>
      <c r="C25" s="253" t="s">
        <v>367</v>
      </c>
      <c r="D25" s="254">
        <v>1</v>
      </c>
      <c r="E25" s="255">
        <v>1500000</v>
      </c>
    </row>
    <row r="26" spans="2:5" ht="16" thickBot="1" x14ac:dyDescent="0.4">
      <c r="B26" s="252">
        <v>21</v>
      </c>
      <c r="C26" s="253" t="s">
        <v>368</v>
      </c>
      <c r="D26" s="254">
        <v>1</v>
      </c>
      <c r="E26" s="255">
        <v>1000000</v>
      </c>
    </row>
    <row r="27" spans="2:5" ht="16" thickBot="1" x14ac:dyDescent="0.4">
      <c r="B27" s="252"/>
      <c r="C27" s="253" t="s">
        <v>149</v>
      </c>
      <c r="D27" s="253">
        <v>45</v>
      </c>
      <c r="E27" s="256">
        <v>28800000</v>
      </c>
    </row>
  </sheetData>
  <customSheetViews>
    <customSheetView guid="{22475485-DA09-46DB-978D-BB94CE1E5597}" topLeftCell="A19">
      <selection activeCell="C23" sqref="C23"/>
      <pageMargins left="0.7" right="0.7" top="0.75" bottom="0.75" header="0.3" footer="0.3"/>
      <pageSetup paperSize="9" orientation="landscape" verticalDpi="300" r:id="rId1"/>
    </customSheetView>
  </customSheetViews>
  <mergeCells count="1">
    <mergeCell ref="B2:E2"/>
  </mergeCells>
  <pageMargins left="0.7" right="0.7" top="0.75" bottom="0.75" header="0.3" footer="0.3"/>
  <pageSetup paperSize="9" orientation="landscape" verticalDpi="3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sheetPr>
  <dimension ref="B2:L70"/>
  <sheetViews>
    <sheetView showGridLines="0" topLeftCell="B37" workbookViewId="0">
      <selection activeCell="C38" sqref="C38"/>
    </sheetView>
  </sheetViews>
  <sheetFormatPr defaultColWidth="13" defaultRowHeight="14.5" x14ac:dyDescent="0.35"/>
  <cols>
    <col min="1" max="1" width="4.54296875" style="28" customWidth="1"/>
    <col min="2" max="2" width="8.453125" style="4" customWidth="1"/>
    <col min="3" max="3" width="48.453125" style="28" customWidth="1"/>
    <col min="4" max="4" width="19.7265625" style="42" customWidth="1"/>
    <col min="5" max="5" width="18.54296875" style="1" customWidth="1"/>
    <col min="6" max="7" width="21" style="1" customWidth="1"/>
    <col min="8" max="8" width="13" style="28"/>
    <col min="9" max="9" width="13.81640625" style="28" bestFit="1" customWidth="1"/>
    <col min="10" max="10" width="13" style="28"/>
    <col min="11" max="11" width="19.453125" style="28" bestFit="1" customWidth="1"/>
    <col min="12" max="12" width="11.36328125" style="28" bestFit="1" customWidth="1"/>
    <col min="13" max="13" width="28.26953125" style="28" bestFit="1" customWidth="1"/>
    <col min="14" max="16384" width="13" style="28"/>
  </cols>
  <sheetData>
    <row r="2" spans="2:9" ht="19.5" customHeight="1" x14ac:dyDescent="0.35">
      <c r="B2" s="26"/>
      <c r="C2" s="343" t="s">
        <v>314</v>
      </c>
      <c r="D2" s="343"/>
      <c r="E2" s="343"/>
      <c r="F2" s="344"/>
      <c r="G2" s="344"/>
    </row>
    <row r="3" spans="2:9" s="3" customFormat="1" ht="18" customHeight="1" x14ac:dyDescent="0.35">
      <c r="B3" s="17"/>
      <c r="C3" s="17" t="s">
        <v>4</v>
      </c>
      <c r="D3" s="17" t="s">
        <v>1</v>
      </c>
      <c r="E3" s="17" t="s">
        <v>5</v>
      </c>
      <c r="F3" s="17" t="s">
        <v>6</v>
      </c>
      <c r="G3" s="17" t="s">
        <v>62</v>
      </c>
    </row>
    <row r="4" spans="2:9" s="29" customFormat="1" ht="21" customHeight="1" x14ac:dyDescent="0.35">
      <c r="B4" s="4"/>
      <c r="C4" s="345" t="s">
        <v>44</v>
      </c>
      <c r="D4" s="347"/>
      <c r="E4" s="347"/>
      <c r="F4" s="347"/>
      <c r="G4" s="347"/>
    </row>
    <row r="5" spans="2:9" s="29" customFormat="1" ht="21" customHeight="1" x14ac:dyDescent="0.35">
      <c r="B5" s="4" t="s">
        <v>53</v>
      </c>
      <c r="C5" s="13" t="s">
        <v>321</v>
      </c>
      <c r="D5" s="45"/>
      <c r="I5" s="45"/>
    </row>
    <row r="6" spans="2:9" s="29" customFormat="1" ht="21" customHeight="1" x14ac:dyDescent="0.35">
      <c r="B6" s="4" t="s">
        <v>318</v>
      </c>
      <c r="C6" s="228" t="s">
        <v>323</v>
      </c>
      <c r="D6" s="45"/>
      <c r="I6" s="45"/>
    </row>
    <row r="7" spans="2:9" s="29" customFormat="1" ht="21" customHeight="1" x14ac:dyDescent="0.35">
      <c r="B7" s="4"/>
      <c r="C7" s="229" t="s">
        <v>322</v>
      </c>
      <c r="D7" s="45"/>
      <c r="I7" s="45"/>
    </row>
    <row r="8" spans="2:9" s="29" customFormat="1" ht="21" customHeight="1" x14ac:dyDescent="0.35">
      <c r="B8" s="4"/>
      <c r="C8" s="230" t="s">
        <v>315</v>
      </c>
      <c r="D8" s="45">
        <v>24000</v>
      </c>
      <c r="E8" s="10" t="s">
        <v>317</v>
      </c>
      <c r="F8" s="5">
        <v>15</v>
      </c>
      <c r="G8" s="5">
        <f>(F8*D8)</f>
        <v>360000</v>
      </c>
      <c r="H8" s="29">
        <v>25</v>
      </c>
      <c r="I8" s="45">
        <f>G8*H8</f>
        <v>9000000</v>
      </c>
    </row>
    <row r="9" spans="2:9" s="29" customFormat="1" ht="21" customHeight="1" x14ac:dyDescent="0.35">
      <c r="B9" s="4"/>
      <c r="C9" s="230" t="s">
        <v>316</v>
      </c>
      <c r="D9" s="45">
        <v>1500</v>
      </c>
      <c r="E9" s="10" t="s">
        <v>317</v>
      </c>
      <c r="F9" s="5">
        <v>15</v>
      </c>
      <c r="G9" s="5">
        <f>(F9*D9)</f>
        <v>22500</v>
      </c>
      <c r="H9" s="29">
        <v>25</v>
      </c>
      <c r="I9" s="45">
        <f>G9*H9</f>
        <v>562500</v>
      </c>
    </row>
    <row r="10" spans="2:9" s="29" customFormat="1" ht="21" customHeight="1" x14ac:dyDescent="0.35">
      <c r="B10" s="4"/>
      <c r="C10" s="229" t="s">
        <v>324</v>
      </c>
      <c r="D10" s="45"/>
      <c r="E10" s="10"/>
      <c r="F10" s="5"/>
      <c r="G10" s="5"/>
      <c r="I10" s="45"/>
    </row>
    <row r="11" spans="2:9" s="29" customFormat="1" ht="21" customHeight="1" x14ac:dyDescent="0.35">
      <c r="B11" s="4"/>
      <c r="C11" s="230" t="s">
        <v>319</v>
      </c>
      <c r="D11" s="45">
        <v>800</v>
      </c>
      <c r="E11" s="10" t="s">
        <v>320</v>
      </c>
      <c r="F11" s="5">
        <f>50*15</f>
        <v>750</v>
      </c>
      <c r="G11" s="5">
        <f>D11*F11</f>
        <v>600000</v>
      </c>
      <c r="H11" s="29">
        <v>25</v>
      </c>
      <c r="I11" s="45">
        <f>G11*H11</f>
        <v>15000000</v>
      </c>
    </row>
    <row r="12" spans="2:9" s="29" customFormat="1" ht="21" customHeight="1" x14ac:dyDescent="0.35">
      <c r="B12" s="4"/>
      <c r="C12" s="231" t="s">
        <v>326</v>
      </c>
      <c r="D12" s="232"/>
      <c r="E12" s="233"/>
      <c r="F12" s="234"/>
      <c r="G12" s="234">
        <v>64999.999999999993</v>
      </c>
      <c r="H12" s="29">
        <v>25</v>
      </c>
      <c r="I12" s="45">
        <f>G12*H12</f>
        <v>1624999.9999999998</v>
      </c>
    </row>
    <row r="13" spans="2:9" s="29" customFormat="1" ht="21" customHeight="1" x14ac:dyDescent="0.35">
      <c r="B13" s="4"/>
      <c r="C13" s="240" t="s">
        <v>327</v>
      </c>
      <c r="D13" s="232"/>
      <c r="E13" s="233"/>
      <c r="F13" s="234"/>
      <c r="G13" s="234">
        <f>SUM(G8:G12)</f>
        <v>1047500</v>
      </c>
      <c r="H13" s="29" t="s">
        <v>383</v>
      </c>
      <c r="I13" s="45"/>
    </row>
    <row r="14" spans="2:9" s="29" customFormat="1" ht="21" customHeight="1" x14ac:dyDescent="0.35">
      <c r="B14" s="4"/>
      <c r="C14" s="238" t="s">
        <v>334</v>
      </c>
      <c r="D14" s="232"/>
      <c r="E14" s="233" t="s">
        <v>335</v>
      </c>
      <c r="F14" s="234">
        <v>125</v>
      </c>
      <c r="G14" s="239">
        <f>G13*F14</f>
        <v>130937500</v>
      </c>
      <c r="H14" s="328" t="s">
        <v>502</v>
      </c>
      <c r="I14" s="45"/>
    </row>
    <row r="15" spans="2:9" s="29" customFormat="1" ht="21" customHeight="1" x14ac:dyDescent="0.35">
      <c r="B15" s="4" t="s">
        <v>318</v>
      </c>
      <c r="C15" s="228" t="s">
        <v>325</v>
      </c>
      <c r="D15" s="45"/>
      <c r="E15" s="10"/>
      <c r="F15" s="5"/>
      <c r="G15" s="5"/>
      <c r="I15" s="45"/>
    </row>
    <row r="16" spans="2:9" s="29" customFormat="1" ht="21" customHeight="1" x14ac:dyDescent="0.35">
      <c r="B16" s="4"/>
      <c r="C16" s="229" t="s">
        <v>322</v>
      </c>
      <c r="D16" s="45">
        <f>D8</f>
        <v>24000</v>
      </c>
      <c r="E16" s="10" t="s">
        <v>317</v>
      </c>
      <c r="F16" s="5">
        <v>60</v>
      </c>
      <c r="G16" s="5">
        <f>(F16*D16)</f>
        <v>1440000</v>
      </c>
      <c r="H16" s="29">
        <v>25</v>
      </c>
      <c r="I16" s="45">
        <f>G16*H16</f>
        <v>36000000</v>
      </c>
    </row>
    <row r="17" spans="2:12" s="29" customFormat="1" ht="21" customHeight="1" x14ac:dyDescent="0.35">
      <c r="B17" s="4"/>
      <c r="C17" s="230" t="s">
        <v>315</v>
      </c>
      <c r="D17" s="45">
        <f>D9</f>
        <v>1500</v>
      </c>
      <c r="E17" s="10" t="s">
        <v>317</v>
      </c>
      <c r="F17" s="5">
        <v>60</v>
      </c>
      <c r="G17" s="5">
        <f>(F17*D17)</f>
        <v>90000</v>
      </c>
      <c r="H17" s="29">
        <v>25</v>
      </c>
      <c r="I17" s="45">
        <f>G17*H17</f>
        <v>2250000</v>
      </c>
    </row>
    <row r="18" spans="2:12" s="29" customFormat="1" ht="21" customHeight="1" x14ac:dyDescent="0.35">
      <c r="B18" s="4"/>
      <c r="C18" s="230" t="s">
        <v>316</v>
      </c>
      <c r="D18" s="45"/>
      <c r="E18" s="10"/>
      <c r="F18" s="5"/>
      <c r="G18" s="5"/>
      <c r="I18" s="45"/>
    </row>
    <row r="19" spans="2:12" s="29" customFormat="1" ht="21" customHeight="1" x14ac:dyDescent="0.35">
      <c r="B19" s="4"/>
      <c r="C19" s="229" t="s">
        <v>324</v>
      </c>
      <c r="D19" s="45">
        <f>D11</f>
        <v>800</v>
      </c>
      <c r="E19" s="10" t="s">
        <v>320</v>
      </c>
      <c r="F19" s="5">
        <f>50*60</f>
        <v>3000</v>
      </c>
      <c r="G19" s="5">
        <f>D19*F19</f>
        <v>2400000</v>
      </c>
      <c r="H19" s="29">
        <v>25</v>
      </c>
      <c r="I19" s="45">
        <f>G19*H19</f>
        <v>60000000</v>
      </c>
    </row>
    <row r="20" spans="2:12" s="29" customFormat="1" ht="21" customHeight="1" x14ac:dyDescent="0.35">
      <c r="C20" s="230" t="s">
        <v>319</v>
      </c>
      <c r="D20" s="45"/>
      <c r="E20" s="10"/>
      <c r="F20" s="5"/>
      <c r="G20" s="5"/>
      <c r="I20" s="45"/>
    </row>
    <row r="21" spans="2:12" s="29" customFormat="1" ht="21" customHeight="1" x14ac:dyDescent="0.35">
      <c r="B21" s="4"/>
      <c r="C21" s="230" t="s">
        <v>326</v>
      </c>
      <c r="D21" s="45"/>
      <c r="E21" s="10"/>
      <c r="F21" s="5"/>
      <c r="G21" s="5">
        <v>65000</v>
      </c>
      <c r="H21" s="29">
        <v>25</v>
      </c>
      <c r="I21" s="45">
        <f>G21*H21</f>
        <v>1625000</v>
      </c>
    </row>
    <row r="22" spans="2:12" s="29" customFormat="1" ht="21" customHeight="1" x14ac:dyDescent="0.35">
      <c r="B22" s="4"/>
      <c r="C22" s="235" t="s">
        <v>328</v>
      </c>
      <c r="D22" s="236"/>
      <c r="E22" s="23"/>
      <c r="F22" s="22"/>
      <c r="G22" s="21">
        <f>SUM(G16:G21)</f>
        <v>3995000</v>
      </c>
      <c r="H22" s="29" t="s">
        <v>383</v>
      </c>
      <c r="I22" s="45"/>
    </row>
    <row r="23" spans="2:12" s="29" customFormat="1" ht="21" customHeight="1" x14ac:dyDescent="0.35">
      <c r="B23" s="4"/>
      <c r="C23" s="238" t="s">
        <v>337</v>
      </c>
      <c r="D23" s="236"/>
      <c r="E23" s="233" t="s">
        <v>335</v>
      </c>
      <c r="F23" s="234">
        <v>125</v>
      </c>
      <c r="G23" s="21">
        <f>G22*F23</f>
        <v>499375000</v>
      </c>
      <c r="H23" s="328" t="s">
        <v>502</v>
      </c>
      <c r="I23" s="45"/>
    </row>
    <row r="24" spans="2:12" s="29" customFormat="1" ht="21" customHeight="1" x14ac:dyDescent="0.35">
      <c r="B24" s="4"/>
      <c r="C24" s="230"/>
      <c r="D24" s="45"/>
      <c r="E24" s="10"/>
      <c r="F24" s="5"/>
      <c r="G24" s="5"/>
      <c r="I24" s="45"/>
    </row>
    <row r="25" spans="2:12" s="13" customFormat="1" ht="21" customHeight="1" x14ac:dyDescent="0.35">
      <c r="B25" s="19"/>
      <c r="C25" s="48" t="s">
        <v>336</v>
      </c>
      <c r="D25" s="20"/>
      <c r="E25" s="20"/>
      <c r="F25" s="21"/>
      <c r="G25" s="21">
        <f>G23+G14</f>
        <v>630312500</v>
      </c>
      <c r="H25" s="29"/>
      <c r="I25" s="21">
        <f>SUM(I8:I21)</f>
        <v>126062500</v>
      </c>
    </row>
    <row r="26" spans="2:12" s="29" customFormat="1" ht="21" customHeight="1" x14ac:dyDescent="0.35">
      <c r="B26" s="4"/>
      <c r="C26" s="345" t="s">
        <v>45</v>
      </c>
      <c r="D26" s="347"/>
      <c r="E26" s="347"/>
      <c r="F26" s="347"/>
      <c r="G26" s="347"/>
    </row>
    <row r="27" spans="2:12" s="29" customFormat="1" ht="21" customHeight="1" x14ac:dyDescent="0.35">
      <c r="B27" s="4"/>
      <c r="C27" s="345" t="s">
        <v>46</v>
      </c>
      <c r="D27" s="346"/>
      <c r="E27" s="346"/>
      <c r="F27" s="346"/>
      <c r="G27" s="346"/>
    </row>
    <row r="28" spans="2:12" s="29" customFormat="1" x14ac:dyDescent="0.35">
      <c r="B28" s="4" t="s">
        <v>53</v>
      </c>
      <c r="C28" s="8" t="s">
        <v>413</v>
      </c>
      <c r="D28" s="265"/>
      <c r="E28" s="266">
        <v>0.08</v>
      </c>
      <c r="F28" s="267"/>
      <c r="G28" s="267"/>
      <c r="H28" s="218"/>
      <c r="I28" s="154" t="s">
        <v>398</v>
      </c>
    </row>
    <row r="29" spans="2:12" s="29" customFormat="1" ht="21" customHeight="1" x14ac:dyDescent="0.35">
      <c r="B29" s="4" t="s">
        <v>54</v>
      </c>
      <c r="C29" s="8" t="s">
        <v>414</v>
      </c>
      <c r="D29" s="265"/>
      <c r="E29" s="266">
        <v>0.33</v>
      </c>
      <c r="F29" s="267"/>
      <c r="G29" s="267"/>
      <c r="H29" s="218"/>
      <c r="I29" s="29" t="s">
        <v>391</v>
      </c>
      <c r="K29" s="154" t="s">
        <v>392</v>
      </c>
      <c r="L29" s="29" t="s">
        <v>396</v>
      </c>
    </row>
    <row r="30" spans="2:12" s="29" customFormat="1" ht="21" customHeight="1" x14ac:dyDescent="0.35">
      <c r="B30" s="4" t="s">
        <v>55</v>
      </c>
      <c r="C30" s="8" t="s">
        <v>415</v>
      </c>
      <c r="D30" s="265"/>
      <c r="E30" s="266">
        <v>0.01</v>
      </c>
      <c r="F30" s="267"/>
      <c r="G30" s="267"/>
      <c r="H30" s="218"/>
      <c r="K30" s="258">
        <v>0.3</v>
      </c>
      <c r="L30" s="29" t="s">
        <v>397</v>
      </c>
    </row>
    <row r="31" spans="2:12" s="29" customFormat="1" ht="21" customHeight="1" x14ac:dyDescent="0.35">
      <c r="B31" s="4" t="s">
        <v>56</v>
      </c>
      <c r="C31" s="8" t="s">
        <v>416</v>
      </c>
      <c r="D31" s="265"/>
      <c r="E31" s="266">
        <v>0.03</v>
      </c>
      <c r="F31" s="267"/>
      <c r="G31" s="267"/>
      <c r="H31" s="218"/>
      <c r="I31" s="29" t="s">
        <v>393</v>
      </c>
    </row>
    <row r="32" spans="2:12" s="13" customFormat="1" ht="21" customHeight="1" x14ac:dyDescent="0.35">
      <c r="B32" s="19"/>
      <c r="C32" s="48" t="s">
        <v>47</v>
      </c>
      <c r="D32" s="20"/>
      <c r="E32" s="20"/>
      <c r="F32" s="22"/>
      <c r="G32" s="21">
        <f>SUM(G28:G30)</f>
        <v>0</v>
      </c>
      <c r="H32" s="29"/>
      <c r="I32" s="29"/>
    </row>
    <row r="33" spans="2:9" s="29" customFormat="1" ht="21" customHeight="1" x14ac:dyDescent="0.35">
      <c r="B33" s="4"/>
      <c r="C33" s="348" t="s">
        <v>49</v>
      </c>
      <c r="D33" s="348"/>
      <c r="E33" s="348"/>
      <c r="F33" s="348"/>
      <c r="G33" s="348"/>
    </row>
    <row r="34" spans="2:9" s="3" customFormat="1" ht="19.5" customHeight="1" x14ac:dyDescent="0.35">
      <c r="B34" s="27"/>
      <c r="C34" s="27" t="s">
        <v>4</v>
      </c>
      <c r="D34" s="27" t="s">
        <v>1</v>
      </c>
      <c r="E34" s="27" t="s">
        <v>5</v>
      </c>
      <c r="F34" s="27" t="s">
        <v>6</v>
      </c>
      <c r="G34" s="27" t="s">
        <v>62</v>
      </c>
      <c r="H34" s="29"/>
      <c r="I34" s="29"/>
    </row>
    <row r="35" spans="2:9" s="29" customFormat="1" ht="21" customHeight="1" x14ac:dyDescent="0.35">
      <c r="B35" s="4"/>
      <c r="C35" s="345" t="s">
        <v>48</v>
      </c>
      <c r="D35" s="345"/>
      <c r="E35" s="345"/>
      <c r="F35" s="345"/>
      <c r="G35" s="345"/>
      <c r="H35" s="119"/>
    </row>
    <row r="36" spans="2:9" s="29" customFormat="1" ht="21" customHeight="1" x14ac:dyDescent="0.35">
      <c r="B36" s="4" t="s">
        <v>53</v>
      </c>
      <c r="C36" s="8" t="s">
        <v>340</v>
      </c>
      <c r="D36" s="275">
        <f>28800000</f>
        <v>28800000</v>
      </c>
      <c r="E36" s="265" t="s">
        <v>63</v>
      </c>
      <c r="F36" s="267">
        <v>1</v>
      </c>
      <c r="G36" s="5">
        <f t="shared" ref="G36:G38" si="0">(F36*D36)</f>
        <v>28800000</v>
      </c>
      <c r="H36" s="218"/>
      <c r="I36" s="119">
        <v>0.25</v>
      </c>
    </row>
    <row r="37" spans="2:9" s="29" customFormat="1" ht="21" customHeight="1" x14ac:dyDescent="0.35">
      <c r="B37" s="4" t="s">
        <v>54</v>
      </c>
      <c r="C37" s="8" t="s">
        <v>339</v>
      </c>
      <c r="D37" s="275">
        <f>640000*12</f>
        <v>7680000</v>
      </c>
      <c r="E37" s="265" t="s">
        <v>63</v>
      </c>
      <c r="F37" s="267">
        <v>1</v>
      </c>
      <c r="G37" s="5">
        <f t="shared" ref="G37" si="1">(F37*D37)</f>
        <v>7680000</v>
      </c>
      <c r="H37" s="218"/>
    </row>
    <row r="38" spans="2:9" s="29" customFormat="1" ht="21" customHeight="1" x14ac:dyDescent="0.35">
      <c r="B38" s="4" t="s">
        <v>55</v>
      </c>
      <c r="C38" s="8" t="s">
        <v>66</v>
      </c>
      <c r="D38" s="275">
        <f>'CoP-MoF'!D6*2%</f>
        <v>4853591.3668000009</v>
      </c>
      <c r="E38" s="265" t="s">
        <v>63</v>
      </c>
      <c r="F38" s="267">
        <v>1</v>
      </c>
      <c r="G38" s="5">
        <f t="shared" si="0"/>
        <v>4853591.3668000009</v>
      </c>
      <c r="H38" s="218"/>
    </row>
    <row r="39" spans="2:9" s="29" customFormat="1" ht="21" customHeight="1" x14ac:dyDescent="0.35">
      <c r="B39" s="4" t="s">
        <v>56</v>
      </c>
      <c r="C39" s="8" t="s">
        <v>342</v>
      </c>
      <c r="D39" s="275">
        <v>1000000</v>
      </c>
      <c r="E39" s="265" t="s">
        <v>63</v>
      </c>
      <c r="F39" s="267">
        <v>1</v>
      </c>
      <c r="G39" s="5">
        <f t="shared" ref="G39" si="2">(F39*D39)</f>
        <v>1000000</v>
      </c>
      <c r="H39" s="218"/>
    </row>
    <row r="40" spans="2:9" s="29" customFormat="1" ht="21" customHeight="1" x14ac:dyDescent="0.35">
      <c r="B40" s="4"/>
      <c r="C40" s="8" t="s">
        <v>50</v>
      </c>
      <c r="D40" s="10"/>
      <c r="E40" s="10"/>
      <c r="F40" s="5"/>
      <c r="G40" s="5">
        <f>SUM(G36:G38)</f>
        <v>41333591.366800003</v>
      </c>
    </row>
    <row r="41" spans="2:9" s="29" customFormat="1" ht="21" hidden="1" customHeight="1" x14ac:dyDescent="0.35">
      <c r="B41" s="4"/>
      <c r="C41" s="8" t="s">
        <v>51</v>
      </c>
      <c r="D41" s="10"/>
      <c r="E41" s="10"/>
      <c r="F41" s="5"/>
      <c r="G41" s="5"/>
    </row>
    <row r="42" spans="2:9" s="29" customFormat="1" ht="32.25" hidden="1" customHeight="1" x14ac:dyDescent="0.35">
      <c r="B42" s="4"/>
      <c r="C42" s="8" t="s">
        <v>75</v>
      </c>
      <c r="D42" s="41" t="e">
        <f>G42/F42</f>
        <v>#REF!</v>
      </c>
      <c r="E42" s="10" t="s">
        <v>63</v>
      </c>
      <c r="F42" s="5">
        <v>12</v>
      </c>
      <c r="G42" s="5" t="e">
        <f>#REF!</f>
        <v>#REF!</v>
      </c>
    </row>
    <row r="43" spans="2:9" s="29" customFormat="1" ht="21" hidden="1" customHeight="1" x14ac:dyDescent="0.35">
      <c r="B43" s="4"/>
      <c r="C43" s="8" t="s">
        <v>52</v>
      </c>
      <c r="D43" s="10"/>
      <c r="E43" s="10"/>
      <c r="F43" s="5"/>
      <c r="G43" s="5" t="e">
        <f>(G42)</f>
        <v>#REF!</v>
      </c>
    </row>
    <row r="44" spans="2:9" s="13" customFormat="1" ht="21" hidden="1" customHeight="1" x14ac:dyDescent="0.35">
      <c r="B44" s="4"/>
      <c r="C44" s="342" t="s">
        <v>65</v>
      </c>
      <c r="D44" s="342"/>
      <c r="E44" s="342"/>
      <c r="F44" s="342"/>
      <c r="G44" s="7" t="e">
        <f>(#REF!-G43)</f>
        <v>#REF!</v>
      </c>
      <c r="H44" s="29"/>
      <c r="I44" s="29"/>
    </row>
    <row r="45" spans="2:9" x14ac:dyDescent="0.35">
      <c r="C45" s="33"/>
      <c r="D45" s="34"/>
      <c r="E45" s="10"/>
      <c r="F45" s="10"/>
      <c r="G45" s="10"/>
      <c r="H45" s="29"/>
      <c r="I45" s="29"/>
    </row>
    <row r="46" spans="2:9" ht="29" x14ac:dyDescent="0.35">
      <c r="C46" s="313" t="s">
        <v>379</v>
      </c>
      <c r="D46" s="314">
        <f>100*365</f>
        <v>36500</v>
      </c>
      <c r="E46" s="314" t="s">
        <v>382</v>
      </c>
      <c r="F46" s="315"/>
      <c r="G46" s="315"/>
      <c r="H46" s="142"/>
      <c r="I46" s="29"/>
    </row>
    <row r="47" spans="2:9" ht="29" x14ac:dyDescent="0.35">
      <c r="C47" s="313" t="s">
        <v>380</v>
      </c>
      <c r="D47" s="314">
        <f>60*6</f>
        <v>360</v>
      </c>
      <c r="E47" s="314" t="s">
        <v>480</v>
      </c>
      <c r="F47" s="315"/>
      <c r="G47" s="315" t="s">
        <v>394</v>
      </c>
      <c r="H47" s="142" t="s">
        <v>430</v>
      </c>
      <c r="I47" s="29"/>
    </row>
    <row r="48" spans="2:9" x14ac:dyDescent="0.35">
      <c r="C48" s="313" t="s">
        <v>381</v>
      </c>
      <c r="D48" s="316">
        <f>D46/D47</f>
        <v>101.38888888888889</v>
      </c>
      <c r="E48" s="314"/>
      <c r="F48" s="315"/>
      <c r="G48" s="315" t="s">
        <v>395</v>
      </c>
      <c r="H48" s="142" t="s">
        <v>430</v>
      </c>
      <c r="I48" s="29"/>
    </row>
    <row r="49" spans="2:8" x14ac:dyDescent="0.35">
      <c r="C49" s="317"/>
      <c r="D49" s="318"/>
      <c r="E49" s="315"/>
      <c r="F49" s="315"/>
      <c r="G49" s="315" t="s">
        <v>274</v>
      </c>
      <c r="H49" s="142" t="s">
        <v>430</v>
      </c>
    </row>
    <row r="50" spans="2:8" x14ac:dyDescent="0.35">
      <c r="C50" s="319" t="s">
        <v>400</v>
      </c>
      <c r="D50" s="320">
        <f>MROUND(D48/100,1)</f>
        <v>1</v>
      </c>
      <c r="E50" s="10"/>
      <c r="F50" s="10"/>
      <c r="G50" s="10"/>
    </row>
    <row r="51" spans="2:8" x14ac:dyDescent="0.35">
      <c r="C51" s="33"/>
      <c r="D51" s="34"/>
      <c r="E51" s="10"/>
      <c r="F51" s="10"/>
      <c r="G51" s="10"/>
    </row>
    <row r="52" spans="2:8" x14ac:dyDescent="0.35">
      <c r="C52" s="33"/>
      <c r="D52" s="34"/>
      <c r="E52" s="10"/>
      <c r="F52" s="10"/>
      <c r="G52" s="10"/>
    </row>
    <row r="53" spans="2:8" x14ac:dyDescent="0.35">
      <c r="C53" s="33"/>
      <c r="D53" s="34"/>
      <c r="E53" s="10"/>
      <c r="F53" s="10"/>
      <c r="G53" s="10"/>
    </row>
    <row r="54" spans="2:8" x14ac:dyDescent="0.35">
      <c r="C54" s="33"/>
      <c r="D54" s="34"/>
      <c r="E54" s="10"/>
      <c r="F54" s="10"/>
      <c r="G54" s="10"/>
    </row>
    <row r="55" spans="2:8" x14ac:dyDescent="0.35">
      <c r="C55" s="33"/>
      <c r="D55" s="34"/>
      <c r="E55" s="10"/>
      <c r="F55" s="10"/>
      <c r="G55" s="10"/>
    </row>
    <row r="56" spans="2:8" x14ac:dyDescent="0.35">
      <c r="C56" s="33"/>
      <c r="G56" s="10"/>
    </row>
    <row r="57" spans="2:8" x14ac:dyDescent="0.35">
      <c r="C57" s="33"/>
      <c r="G57" s="10"/>
    </row>
    <row r="58" spans="2:8" x14ac:dyDescent="0.35">
      <c r="C58" s="33"/>
      <c r="G58" s="10"/>
    </row>
    <row r="59" spans="2:8" x14ac:dyDescent="0.35">
      <c r="C59" s="33"/>
      <c r="D59" s="34"/>
      <c r="E59" s="10"/>
      <c r="F59" s="10"/>
      <c r="G59" s="10"/>
    </row>
    <row r="60" spans="2:8" x14ac:dyDescent="0.35">
      <c r="B60" s="28"/>
      <c r="C60" s="33"/>
      <c r="D60" s="34"/>
      <c r="E60" s="10"/>
      <c r="F60" s="10"/>
      <c r="G60" s="10"/>
    </row>
    <row r="61" spans="2:8" x14ac:dyDescent="0.35">
      <c r="B61" s="28"/>
      <c r="C61" s="33"/>
      <c r="D61" s="34"/>
      <c r="E61" s="10"/>
      <c r="F61" s="10"/>
      <c r="G61" s="10"/>
    </row>
    <row r="62" spans="2:8" x14ac:dyDescent="0.35">
      <c r="B62" s="28"/>
      <c r="C62" s="33"/>
      <c r="D62" s="34"/>
      <c r="E62" s="10"/>
      <c r="F62" s="10"/>
      <c r="G62" s="10"/>
    </row>
    <row r="63" spans="2:8" x14ac:dyDescent="0.35">
      <c r="B63" s="28"/>
      <c r="C63" s="33"/>
      <c r="D63" s="34"/>
      <c r="E63" s="10"/>
      <c r="F63" s="10"/>
      <c r="G63" s="10"/>
    </row>
    <row r="64" spans="2:8" x14ac:dyDescent="0.35">
      <c r="B64" s="28"/>
      <c r="C64" s="33"/>
      <c r="D64" s="34"/>
      <c r="E64" s="10"/>
      <c r="F64" s="10"/>
      <c r="G64" s="10"/>
    </row>
    <row r="65" spans="2:7" x14ac:dyDescent="0.35">
      <c r="B65" s="28"/>
      <c r="C65" s="33"/>
      <c r="D65" s="34"/>
      <c r="E65" s="10"/>
      <c r="F65" s="10"/>
      <c r="G65" s="10"/>
    </row>
    <row r="66" spans="2:7" x14ac:dyDescent="0.35">
      <c r="B66" s="28"/>
      <c r="C66" s="33"/>
      <c r="D66" s="34"/>
      <c r="E66" s="10"/>
      <c r="F66" s="10"/>
      <c r="G66" s="10"/>
    </row>
    <row r="67" spans="2:7" x14ac:dyDescent="0.35">
      <c r="B67" s="28"/>
      <c r="C67" s="33"/>
      <c r="D67" s="34"/>
      <c r="E67" s="10"/>
      <c r="F67" s="10"/>
      <c r="G67" s="10"/>
    </row>
    <row r="68" spans="2:7" x14ac:dyDescent="0.35">
      <c r="B68" s="28"/>
      <c r="C68" s="33"/>
      <c r="D68" s="34"/>
      <c r="E68" s="10"/>
      <c r="F68" s="10"/>
      <c r="G68" s="10"/>
    </row>
    <row r="69" spans="2:7" x14ac:dyDescent="0.35">
      <c r="B69" s="28"/>
      <c r="C69" s="33"/>
      <c r="D69" s="34"/>
      <c r="E69" s="10"/>
      <c r="F69" s="10"/>
      <c r="G69" s="10"/>
    </row>
    <row r="70" spans="2:7" x14ac:dyDescent="0.35">
      <c r="B70" s="28"/>
      <c r="C70" s="33"/>
      <c r="D70" s="34"/>
      <c r="E70" s="10"/>
      <c r="F70" s="10"/>
      <c r="G70" s="10"/>
    </row>
  </sheetData>
  <customSheetViews>
    <customSheetView guid="{22475485-DA09-46DB-978D-BB94CE1E5597}">
      <selection activeCell="C4" sqref="C4"/>
      <pageMargins left="0.7" right="0.7" top="0.75" bottom="0.75" header="0.3" footer="0.3"/>
      <pageSetup paperSize="9" orientation="landscape" r:id="rId1"/>
    </customSheetView>
  </customSheetViews>
  <mergeCells count="7">
    <mergeCell ref="C44:F44"/>
    <mergeCell ref="C2:G2"/>
    <mergeCell ref="C27:G27"/>
    <mergeCell ref="C4:G4"/>
    <mergeCell ref="C26:G26"/>
    <mergeCell ref="C35:G35"/>
    <mergeCell ref="C33:G33"/>
  </mergeCells>
  <pageMargins left="0.7" right="0.7" top="0.75" bottom="0.75" header="0.3" footer="0.3"/>
  <pageSetup paperSize="9" orientation="landscape"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8" tint="-0.249977111117893"/>
  </sheetPr>
  <dimension ref="A1:V78"/>
  <sheetViews>
    <sheetView showGridLines="0" topLeftCell="D67" workbookViewId="0">
      <selection activeCell="H65" sqref="H65"/>
    </sheetView>
  </sheetViews>
  <sheetFormatPr defaultColWidth="32.26953125" defaultRowHeight="14.5" x14ac:dyDescent="0.35"/>
  <cols>
    <col min="1" max="1" width="4.81640625" style="28" customWidth="1"/>
    <col min="2" max="2" width="36.7265625" style="52" customWidth="1"/>
    <col min="3" max="3" width="8.453125" style="28" hidden="1" customWidth="1"/>
    <col min="4" max="14" width="11.7265625" style="28" customWidth="1"/>
    <col min="15" max="15" width="5.81640625" style="28" bestFit="1" customWidth="1"/>
    <col min="16" max="16" width="5.81640625" style="28" customWidth="1"/>
    <col min="17" max="16384" width="32.26953125" style="28"/>
  </cols>
  <sheetData>
    <row r="1" spans="2:14" x14ac:dyDescent="0.35">
      <c r="B1" s="52">
        <v>100000</v>
      </c>
    </row>
    <row r="2" spans="2:14" x14ac:dyDescent="0.35">
      <c r="D2" s="56">
        <v>2025</v>
      </c>
      <c r="E2" s="56">
        <f t="shared" ref="E2" si="0">D2+1</f>
        <v>2026</v>
      </c>
      <c r="F2" s="56">
        <f t="shared" ref="F2" si="1">E2+1</f>
        <v>2027</v>
      </c>
      <c r="G2" s="56">
        <f t="shared" ref="G2" si="2">F2+1</f>
        <v>2028</v>
      </c>
      <c r="H2" s="56">
        <f t="shared" ref="H2" si="3">G2+1</f>
        <v>2029</v>
      </c>
      <c r="I2" s="56">
        <f t="shared" ref="I2" si="4">H2+1</f>
        <v>2030</v>
      </c>
      <c r="J2" s="56">
        <f t="shared" ref="J2" si="5">I2+1</f>
        <v>2031</v>
      </c>
      <c r="K2" s="56">
        <f t="shared" ref="K2" si="6">J2+1</f>
        <v>2032</v>
      </c>
      <c r="L2" s="56">
        <f t="shared" ref="L2" si="7">K2+1</f>
        <v>2033</v>
      </c>
      <c r="M2" s="56">
        <f t="shared" ref="M2" si="8">L2+1</f>
        <v>2034</v>
      </c>
      <c r="N2" s="56">
        <f t="shared" ref="N2" si="9">M2+1</f>
        <v>2035</v>
      </c>
    </row>
    <row r="3" spans="2:14" x14ac:dyDescent="0.35">
      <c r="B3" s="52" t="s">
        <v>389</v>
      </c>
      <c r="D3" s="261">
        <f>25000*12</f>
        <v>300000</v>
      </c>
      <c r="E3" s="261">
        <f>D3</f>
        <v>300000</v>
      </c>
      <c r="F3" s="261">
        <f t="shared" ref="F3:L3" si="10">E3</f>
        <v>300000</v>
      </c>
      <c r="G3" s="261">
        <f t="shared" si="10"/>
        <v>300000</v>
      </c>
      <c r="H3" s="261">
        <f t="shared" si="10"/>
        <v>300000</v>
      </c>
      <c r="I3" s="261">
        <f t="shared" si="10"/>
        <v>300000</v>
      </c>
      <c r="J3" s="261">
        <f t="shared" si="10"/>
        <v>300000</v>
      </c>
      <c r="K3" s="261">
        <f t="shared" si="10"/>
        <v>300000</v>
      </c>
      <c r="L3" s="261">
        <f t="shared" si="10"/>
        <v>300000</v>
      </c>
      <c r="M3" s="261">
        <f t="shared" ref="M3" si="11">L3</f>
        <v>300000</v>
      </c>
      <c r="N3" s="261">
        <f t="shared" ref="N3" si="12">M3</f>
        <v>300000</v>
      </c>
    </row>
    <row r="4" spans="2:14" x14ac:dyDescent="0.35">
      <c r="B4" s="52" t="s">
        <v>399</v>
      </c>
      <c r="D4" s="261">
        <f>(D5*D10*D13)+(D5*D11*D14)</f>
        <v>15000</v>
      </c>
      <c r="E4" s="261">
        <f t="shared" ref="E4:L4" si="13">(E5*E10*E13)+(E5*E11*E14)</f>
        <v>93750</v>
      </c>
      <c r="F4" s="262">
        <f t="shared" si="13"/>
        <v>225000</v>
      </c>
      <c r="G4" s="288">
        <f t="shared" si="13"/>
        <v>270000</v>
      </c>
      <c r="H4" s="288">
        <f t="shared" si="13"/>
        <v>270000</v>
      </c>
      <c r="I4" s="288">
        <f t="shared" si="13"/>
        <v>270000</v>
      </c>
      <c r="J4" s="288">
        <f t="shared" si="13"/>
        <v>270000</v>
      </c>
      <c r="K4" s="288">
        <f t="shared" si="13"/>
        <v>270000</v>
      </c>
      <c r="L4" s="288">
        <f t="shared" si="13"/>
        <v>270000</v>
      </c>
      <c r="M4" s="288">
        <f t="shared" ref="M4:N4" si="14">(M5*M10*M13)+(M5*M11*M14)</f>
        <v>270000</v>
      </c>
      <c r="N4" s="288">
        <f t="shared" si="14"/>
        <v>270000</v>
      </c>
    </row>
    <row r="5" spans="2:14" x14ac:dyDescent="0.35">
      <c r="B5" s="52" t="s">
        <v>390</v>
      </c>
      <c r="D5" s="263">
        <v>50</v>
      </c>
      <c r="E5" s="262">
        <f>D5</f>
        <v>50</v>
      </c>
      <c r="F5" s="262">
        <f t="shared" ref="F5:L5" si="15">E5</f>
        <v>50</v>
      </c>
      <c r="G5" s="262">
        <f t="shared" si="15"/>
        <v>50</v>
      </c>
      <c r="H5" s="262">
        <f t="shared" si="15"/>
        <v>50</v>
      </c>
      <c r="I5" s="262">
        <f t="shared" si="15"/>
        <v>50</v>
      </c>
      <c r="J5" s="262">
        <f t="shared" si="15"/>
        <v>50</v>
      </c>
      <c r="K5" s="262">
        <f t="shared" si="15"/>
        <v>50</v>
      </c>
      <c r="L5" s="262">
        <f t="shared" si="15"/>
        <v>50</v>
      </c>
      <c r="M5" s="262">
        <f t="shared" ref="M5:M6" si="16">L5</f>
        <v>50</v>
      </c>
      <c r="N5" s="262">
        <f t="shared" ref="N5:N6" si="17">M5</f>
        <v>50</v>
      </c>
    </row>
    <row r="6" spans="2:14" x14ac:dyDescent="0.35">
      <c r="B6" s="52" t="s">
        <v>385</v>
      </c>
      <c r="D6" s="261">
        <v>100</v>
      </c>
      <c r="E6" s="261">
        <v>100</v>
      </c>
      <c r="F6" s="263">
        <v>160</v>
      </c>
      <c r="G6" s="262">
        <f>F6</f>
        <v>160</v>
      </c>
      <c r="H6" s="262">
        <f t="shared" ref="H6:L6" si="18">G6</f>
        <v>160</v>
      </c>
      <c r="I6" s="262">
        <f t="shared" si="18"/>
        <v>160</v>
      </c>
      <c r="J6" s="262">
        <f t="shared" si="18"/>
        <v>160</v>
      </c>
      <c r="K6" s="262">
        <f t="shared" si="18"/>
        <v>160</v>
      </c>
      <c r="L6" s="262">
        <f t="shared" si="18"/>
        <v>160</v>
      </c>
      <c r="M6" s="262">
        <f t="shared" si="16"/>
        <v>160</v>
      </c>
      <c r="N6" s="262">
        <f t="shared" si="17"/>
        <v>160</v>
      </c>
    </row>
    <row r="7" spans="2:14" x14ac:dyDescent="0.35">
      <c r="B7" s="52" t="s">
        <v>431</v>
      </c>
      <c r="D7" s="261">
        <f>MROUND(D6*D8,1)</f>
        <v>100</v>
      </c>
      <c r="E7" s="261">
        <f t="shared" ref="E7:L7" si="19">MROUND(E6*E8,1)</f>
        <v>100</v>
      </c>
      <c r="F7" s="261">
        <f t="shared" si="19"/>
        <v>160</v>
      </c>
      <c r="G7" s="261">
        <f t="shared" si="19"/>
        <v>160</v>
      </c>
      <c r="H7" s="261">
        <f t="shared" si="19"/>
        <v>160</v>
      </c>
      <c r="I7" s="261">
        <f t="shared" si="19"/>
        <v>160</v>
      </c>
      <c r="J7" s="261">
        <f t="shared" si="19"/>
        <v>160</v>
      </c>
      <c r="K7" s="261">
        <f t="shared" si="19"/>
        <v>160</v>
      </c>
      <c r="L7" s="261">
        <f t="shared" si="19"/>
        <v>160</v>
      </c>
      <c r="M7" s="261">
        <f t="shared" ref="M7:N7" si="20">MROUND(M6*M8,1)</f>
        <v>160</v>
      </c>
      <c r="N7" s="261">
        <f t="shared" si="20"/>
        <v>160</v>
      </c>
    </row>
    <row r="8" spans="2:14" x14ac:dyDescent="0.35">
      <c r="B8" s="33" t="s">
        <v>400</v>
      </c>
      <c r="D8" s="260">
        <f>Assump!D50</f>
        <v>1</v>
      </c>
      <c r="E8" s="259">
        <f>D8</f>
        <v>1</v>
      </c>
      <c r="F8" s="259">
        <f t="shared" ref="F8:L8" si="21">E8</f>
        <v>1</v>
      </c>
      <c r="G8" s="259">
        <f t="shared" si="21"/>
        <v>1</v>
      </c>
      <c r="H8" s="259">
        <f t="shared" si="21"/>
        <v>1</v>
      </c>
      <c r="I8" s="259">
        <f t="shared" si="21"/>
        <v>1</v>
      </c>
      <c r="J8" s="259">
        <f t="shared" si="21"/>
        <v>1</v>
      </c>
      <c r="K8" s="259">
        <f t="shared" si="21"/>
        <v>1</v>
      </c>
      <c r="L8" s="259">
        <f t="shared" si="21"/>
        <v>1</v>
      </c>
      <c r="M8" s="259">
        <f t="shared" ref="M8" si="22">L8</f>
        <v>1</v>
      </c>
      <c r="N8" s="259">
        <f t="shared" ref="N8" si="23">M8</f>
        <v>1</v>
      </c>
    </row>
    <row r="9" spans="2:14" x14ac:dyDescent="0.35">
      <c r="B9" s="33" t="s">
        <v>381</v>
      </c>
      <c r="D9" s="261">
        <f>MROUND(D7*D12,1)</f>
        <v>8</v>
      </c>
      <c r="E9" s="261">
        <f t="shared" ref="E9:L9" si="24">MROUND(E7*E12,1)</f>
        <v>50</v>
      </c>
      <c r="F9" s="261">
        <f t="shared" si="24"/>
        <v>120</v>
      </c>
      <c r="G9" s="261">
        <f t="shared" si="24"/>
        <v>144</v>
      </c>
      <c r="H9" s="261">
        <f t="shared" si="24"/>
        <v>144</v>
      </c>
      <c r="I9" s="261">
        <f t="shared" si="24"/>
        <v>144</v>
      </c>
      <c r="J9" s="261">
        <f t="shared" si="24"/>
        <v>144</v>
      </c>
      <c r="K9" s="261">
        <f t="shared" si="24"/>
        <v>144</v>
      </c>
      <c r="L9" s="261">
        <f t="shared" si="24"/>
        <v>144</v>
      </c>
      <c r="M9" s="261">
        <f t="shared" ref="M9:N9" si="25">MROUND(M7*M12,1)</f>
        <v>144</v>
      </c>
      <c r="N9" s="261">
        <f t="shared" si="25"/>
        <v>144</v>
      </c>
    </row>
    <row r="10" spans="2:14" x14ac:dyDescent="0.35">
      <c r="B10" s="52" t="s">
        <v>401</v>
      </c>
      <c r="D10" s="261">
        <f>MROUND(D6*D8*D12/2,1)</f>
        <v>4</v>
      </c>
      <c r="E10" s="261">
        <f t="shared" ref="E10:L10" si="26">MROUND(E6*E8*E12/2,1)</f>
        <v>25</v>
      </c>
      <c r="F10" s="261">
        <f t="shared" si="26"/>
        <v>60</v>
      </c>
      <c r="G10" s="261">
        <f t="shared" si="26"/>
        <v>72</v>
      </c>
      <c r="H10" s="261">
        <f t="shared" si="26"/>
        <v>72</v>
      </c>
      <c r="I10" s="261">
        <f t="shared" si="26"/>
        <v>72</v>
      </c>
      <c r="J10" s="261">
        <f t="shared" si="26"/>
        <v>72</v>
      </c>
      <c r="K10" s="261">
        <f t="shared" si="26"/>
        <v>72</v>
      </c>
      <c r="L10" s="261">
        <f t="shared" si="26"/>
        <v>72</v>
      </c>
      <c r="M10" s="261">
        <f t="shared" ref="M10:N10" si="27">MROUND(M6*M8*M12/2,1)</f>
        <v>72</v>
      </c>
      <c r="N10" s="261">
        <f t="shared" si="27"/>
        <v>72</v>
      </c>
    </row>
    <row r="11" spans="2:14" x14ac:dyDescent="0.35">
      <c r="B11" s="52" t="s">
        <v>402</v>
      </c>
      <c r="D11" s="261">
        <f>D9-D10</f>
        <v>4</v>
      </c>
      <c r="E11" s="261">
        <f t="shared" ref="E11:L11" si="28">E9-E10</f>
        <v>25</v>
      </c>
      <c r="F11" s="261">
        <f t="shared" si="28"/>
        <v>60</v>
      </c>
      <c r="G11" s="261">
        <f t="shared" si="28"/>
        <v>72</v>
      </c>
      <c r="H11" s="261">
        <f t="shared" si="28"/>
        <v>72</v>
      </c>
      <c r="I11" s="261">
        <f t="shared" si="28"/>
        <v>72</v>
      </c>
      <c r="J11" s="261">
        <f t="shared" si="28"/>
        <v>72</v>
      </c>
      <c r="K11" s="261">
        <f t="shared" si="28"/>
        <v>72</v>
      </c>
      <c r="L11" s="261">
        <f t="shared" si="28"/>
        <v>72</v>
      </c>
      <c r="M11" s="261">
        <f t="shared" ref="M11:N11" si="29">M9-M10</f>
        <v>72</v>
      </c>
      <c r="N11" s="261">
        <f t="shared" si="29"/>
        <v>72</v>
      </c>
    </row>
    <row r="12" spans="2:14" x14ac:dyDescent="0.35">
      <c r="B12" s="52" t="s">
        <v>388</v>
      </c>
      <c r="D12" s="241">
        <f>4/12*25%</f>
        <v>8.3333333333333329E-2</v>
      </c>
      <c r="E12" s="241">
        <v>0.5</v>
      </c>
      <c r="F12" s="241">
        <v>0.75</v>
      </c>
      <c r="G12" s="304">
        <v>0.9</v>
      </c>
      <c r="H12" s="304">
        <v>0.9</v>
      </c>
      <c r="I12" s="304">
        <v>0.9</v>
      </c>
      <c r="J12" s="304">
        <v>0.9</v>
      </c>
      <c r="K12" s="304">
        <v>0.9</v>
      </c>
      <c r="L12" s="304">
        <v>0.9</v>
      </c>
      <c r="M12" s="304">
        <v>0.9</v>
      </c>
      <c r="N12" s="304">
        <v>0.9</v>
      </c>
    </row>
    <row r="13" spans="2:14" x14ac:dyDescent="0.35">
      <c r="B13" s="52" t="s">
        <v>386</v>
      </c>
      <c r="D13" s="262">
        <v>15</v>
      </c>
      <c r="E13" s="261">
        <f>D13</f>
        <v>15</v>
      </c>
      <c r="F13" s="261">
        <f t="shared" ref="F13:L13" si="30">E13</f>
        <v>15</v>
      </c>
      <c r="G13" s="261">
        <f t="shared" si="30"/>
        <v>15</v>
      </c>
      <c r="H13" s="261">
        <f t="shared" si="30"/>
        <v>15</v>
      </c>
      <c r="I13" s="261">
        <f t="shared" si="30"/>
        <v>15</v>
      </c>
      <c r="J13" s="261">
        <f t="shared" si="30"/>
        <v>15</v>
      </c>
      <c r="K13" s="261">
        <f t="shared" si="30"/>
        <v>15</v>
      </c>
      <c r="L13" s="261">
        <f t="shared" si="30"/>
        <v>15</v>
      </c>
      <c r="M13" s="261">
        <f t="shared" ref="M13:M14" si="31">L13</f>
        <v>15</v>
      </c>
      <c r="N13" s="261">
        <f t="shared" ref="N13:N14" si="32">M13</f>
        <v>15</v>
      </c>
    </row>
    <row r="14" spans="2:14" x14ac:dyDescent="0.35">
      <c r="B14" s="52" t="s">
        <v>387</v>
      </c>
      <c r="D14" s="261">
        <v>60</v>
      </c>
      <c r="E14" s="261">
        <f>D14</f>
        <v>60</v>
      </c>
      <c r="F14" s="261">
        <f t="shared" ref="F14:L14" si="33">E14</f>
        <v>60</v>
      </c>
      <c r="G14" s="261">
        <f t="shared" si="33"/>
        <v>60</v>
      </c>
      <c r="H14" s="261">
        <f t="shared" si="33"/>
        <v>60</v>
      </c>
      <c r="I14" s="261">
        <f t="shared" si="33"/>
        <v>60</v>
      </c>
      <c r="J14" s="261">
        <f t="shared" si="33"/>
        <v>60</v>
      </c>
      <c r="K14" s="261">
        <f t="shared" si="33"/>
        <v>60</v>
      </c>
      <c r="L14" s="261">
        <f t="shared" si="33"/>
        <v>60</v>
      </c>
      <c r="M14" s="261">
        <f t="shared" si="31"/>
        <v>60</v>
      </c>
      <c r="N14" s="261">
        <f t="shared" si="32"/>
        <v>60</v>
      </c>
    </row>
    <row r="15" spans="2:14" x14ac:dyDescent="0.35">
      <c r="B15" s="52" t="s">
        <v>327</v>
      </c>
      <c r="D15" s="261">
        <f>Assump!G13</f>
        <v>1047500</v>
      </c>
      <c r="E15" s="261">
        <f>$D$15*E24</f>
        <v>1110350</v>
      </c>
      <c r="F15" s="261">
        <f t="shared" ref="F15:L15" si="34">$D$15*F24</f>
        <v>1176971.0000000002</v>
      </c>
      <c r="G15" s="261">
        <f t="shared" si="34"/>
        <v>1247589.2600000002</v>
      </c>
      <c r="H15" s="261">
        <f t="shared" si="34"/>
        <v>1322444.6156000004</v>
      </c>
      <c r="I15" s="261">
        <f t="shared" si="34"/>
        <v>1401791.2925360005</v>
      </c>
      <c r="J15" s="261">
        <f t="shared" si="34"/>
        <v>1485898.7700881606</v>
      </c>
      <c r="K15" s="261">
        <f t="shared" si="34"/>
        <v>1575052.6962934502</v>
      </c>
      <c r="L15" s="261">
        <f t="shared" si="34"/>
        <v>1669555.8580710574</v>
      </c>
      <c r="M15" s="261">
        <f t="shared" ref="M15:N15" si="35">$D$15*M24</f>
        <v>1769729.2095553207</v>
      </c>
      <c r="N15" s="261">
        <f t="shared" si="35"/>
        <v>1875912.9621286402</v>
      </c>
    </row>
    <row r="16" spans="2:14" x14ac:dyDescent="0.35">
      <c r="B16" s="52" t="s">
        <v>328</v>
      </c>
      <c r="D16" s="261">
        <f>Assump!G22</f>
        <v>3995000</v>
      </c>
      <c r="E16" s="261">
        <f>$D$16*E24</f>
        <v>4234700</v>
      </c>
      <c r="F16" s="261">
        <f t="shared" ref="F16:L16" si="36">$D$16*F24</f>
        <v>4488782.0000000009</v>
      </c>
      <c r="G16" s="261">
        <f t="shared" si="36"/>
        <v>4758108.9200000009</v>
      </c>
      <c r="H16" s="261">
        <f t="shared" si="36"/>
        <v>5043595.4552000016</v>
      </c>
      <c r="I16" s="261">
        <f t="shared" si="36"/>
        <v>5346211.1825120021</v>
      </c>
      <c r="J16" s="261">
        <f t="shared" si="36"/>
        <v>5666983.8534627222</v>
      </c>
      <c r="K16" s="261">
        <f t="shared" si="36"/>
        <v>6007002.8846704857</v>
      </c>
      <c r="L16" s="261">
        <f t="shared" si="36"/>
        <v>6367423.0577507149</v>
      </c>
      <c r="M16" s="261">
        <f t="shared" ref="M16:N16" si="37">$D$16*M24</f>
        <v>6749468.4412157582</v>
      </c>
      <c r="N16" s="261">
        <f t="shared" si="37"/>
        <v>7154436.547688704</v>
      </c>
    </row>
    <row r="17" spans="1:17" x14ac:dyDescent="0.35">
      <c r="D17" s="271"/>
      <c r="E17" s="241"/>
      <c r="F17" s="241"/>
      <c r="G17" s="241"/>
      <c r="H17" s="241"/>
      <c r="I17" s="241"/>
      <c r="J17" s="241"/>
      <c r="K17" s="241"/>
      <c r="L17" s="241"/>
      <c r="M17" s="241"/>
      <c r="N17" s="241"/>
    </row>
    <row r="18" spans="1:17" s="29" customFormat="1" ht="19.5" customHeight="1" x14ac:dyDescent="0.35">
      <c r="B18" s="330" t="s">
        <v>68</v>
      </c>
      <c r="C18" s="330"/>
      <c r="D18" s="330"/>
      <c r="E18" s="330"/>
      <c r="F18" s="330"/>
      <c r="G18" s="330"/>
      <c r="H18" s="330"/>
      <c r="I18" s="330"/>
      <c r="J18" s="330"/>
      <c r="K18" s="330"/>
      <c r="L18" s="330"/>
      <c r="M18" s="124"/>
      <c r="N18" s="124"/>
    </row>
    <row r="19" spans="1:17" s="29" customFormat="1" ht="18.75" customHeight="1" x14ac:dyDescent="0.35">
      <c r="B19" s="53" t="s">
        <v>162</v>
      </c>
      <c r="C19" s="26">
        <v>0</v>
      </c>
      <c r="D19" s="26">
        <v>4</v>
      </c>
      <c r="E19" s="26">
        <v>12</v>
      </c>
      <c r="F19" s="26">
        <v>12</v>
      </c>
      <c r="G19" s="26">
        <v>12</v>
      </c>
      <c r="H19" s="26">
        <v>12</v>
      </c>
      <c r="I19" s="26">
        <v>12</v>
      </c>
      <c r="J19" s="26">
        <v>12</v>
      </c>
      <c r="K19" s="26">
        <v>12</v>
      </c>
      <c r="L19" s="26">
        <v>12</v>
      </c>
      <c r="M19" s="26">
        <v>12</v>
      </c>
      <c r="N19" s="26">
        <v>12</v>
      </c>
    </row>
    <row r="20" spans="1:17" s="10" customFormat="1" ht="19.5" customHeight="1" x14ac:dyDescent="0.35">
      <c r="B20" s="55" t="s">
        <v>7</v>
      </c>
      <c r="C20" s="56"/>
      <c r="D20" s="56">
        <v>2025</v>
      </c>
      <c r="E20" s="56">
        <f t="shared" ref="E20:L20" si="38">D20+1</f>
        <v>2026</v>
      </c>
      <c r="F20" s="56">
        <f t="shared" si="38"/>
        <v>2027</v>
      </c>
      <c r="G20" s="56">
        <f t="shared" si="38"/>
        <v>2028</v>
      </c>
      <c r="H20" s="56">
        <f t="shared" si="38"/>
        <v>2029</v>
      </c>
      <c r="I20" s="56">
        <f t="shared" si="38"/>
        <v>2030</v>
      </c>
      <c r="J20" s="56">
        <f t="shared" si="38"/>
        <v>2031</v>
      </c>
      <c r="K20" s="56">
        <f t="shared" si="38"/>
        <v>2032</v>
      </c>
      <c r="L20" s="56">
        <f t="shared" si="38"/>
        <v>2033</v>
      </c>
      <c r="M20" s="56">
        <f t="shared" ref="M20" si="39">L20+1</f>
        <v>2034</v>
      </c>
      <c r="N20" s="56">
        <f t="shared" ref="N20" si="40">M20+1</f>
        <v>2035</v>
      </c>
    </row>
    <row r="21" spans="1:17" s="29" customFormat="1" ht="21" customHeight="1" x14ac:dyDescent="0.35">
      <c r="B21" s="29" t="s">
        <v>333</v>
      </c>
      <c r="D21" s="237">
        <f>D10+D11</f>
        <v>8</v>
      </c>
      <c r="E21" s="237">
        <f t="shared" ref="E21:L21" si="41">E10+E11</f>
        <v>50</v>
      </c>
      <c r="F21" s="237">
        <f t="shared" si="41"/>
        <v>120</v>
      </c>
      <c r="G21" s="237">
        <f t="shared" si="41"/>
        <v>144</v>
      </c>
      <c r="H21" s="237">
        <f t="shared" si="41"/>
        <v>144</v>
      </c>
      <c r="I21" s="237">
        <f t="shared" si="41"/>
        <v>144</v>
      </c>
      <c r="J21" s="237">
        <f t="shared" si="41"/>
        <v>144</v>
      </c>
      <c r="K21" s="237">
        <f t="shared" si="41"/>
        <v>144</v>
      </c>
      <c r="L21" s="237">
        <f t="shared" si="41"/>
        <v>144</v>
      </c>
      <c r="M21" s="237">
        <f t="shared" ref="M21:N21" si="42">M10+M11</f>
        <v>144</v>
      </c>
      <c r="N21" s="237">
        <f t="shared" si="42"/>
        <v>144</v>
      </c>
    </row>
    <row r="22" spans="1:17" s="29" customFormat="1" ht="21" customHeight="1" x14ac:dyDescent="0.35">
      <c r="B22" s="29" t="s">
        <v>239</v>
      </c>
      <c r="D22" s="1">
        <f>MROUND(D6*D8,1)</f>
        <v>100</v>
      </c>
      <c r="E22" s="1">
        <f t="shared" ref="E22:L22" si="43">MROUND(E6*E8,1)</f>
        <v>100</v>
      </c>
      <c r="F22" s="1">
        <f t="shared" si="43"/>
        <v>160</v>
      </c>
      <c r="G22" s="1">
        <f t="shared" si="43"/>
        <v>160</v>
      </c>
      <c r="H22" s="1">
        <f t="shared" si="43"/>
        <v>160</v>
      </c>
      <c r="I22" s="1">
        <f t="shared" si="43"/>
        <v>160</v>
      </c>
      <c r="J22" s="1">
        <f t="shared" si="43"/>
        <v>160</v>
      </c>
      <c r="K22" s="1">
        <f t="shared" si="43"/>
        <v>160</v>
      </c>
      <c r="L22" s="1">
        <f t="shared" si="43"/>
        <v>160</v>
      </c>
      <c r="M22" s="1">
        <f t="shared" ref="M22:N22" si="44">MROUND(M6*M8,1)</f>
        <v>160</v>
      </c>
      <c r="N22" s="1">
        <f t="shared" si="44"/>
        <v>160</v>
      </c>
    </row>
    <row r="23" spans="1:17" s="29" customFormat="1" ht="21" customHeight="1" x14ac:dyDescent="0.35">
      <c r="B23" s="39" t="s">
        <v>369</v>
      </c>
      <c r="C23" s="11"/>
      <c r="D23" s="11">
        <f>D21/D22</f>
        <v>0.08</v>
      </c>
      <c r="E23" s="11">
        <f t="shared" ref="E23:L23" si="45">E21/E22</f>
        <v>0.5</v>
      </c>
      <c r="F23" s="11">
        <f t="shared" si="45"/>
        <v>0.75</v>
      </c>
      <c r="G23" s="11">
        <f t="shared" si="45"/>
        <v>0.9</v>
      </c>
      <c r="H23" s="11">
        <f t="shared" si="45"/>
        <v>0.9</v>
      </c>
      <c r="I23" s="11">
        <f t="shared" si="45"/>
        <v>0.9</v>
      </c>
      <c r="J23" s="11">
        <f t="shared" si="45"/>
        <v>0.9</v>
      </c>
      <c r="K23" s="11">
        <f t="shared" si="45"/>
        <v>0.9</v>
      </c>
      <c r="L23" s="11">
        <f t="shared" si="45"/>
        <v>0.9</v>
      </c>
      <c r="M23" s="11">
        <f t="shared" ref="M23:N23" si="46">M21/M22</f>
        <v>0.9</v>
      </c>
      <c r="N23" s="11">
        <f t="shared" si="46"/>
        <v>0.9</v>
      </c>
    </row>
    <row r="24" spans="1:17" s="29" customFormat="1" ht="21" customHeight="1" x14ac:dyDescent="0.35">
      <c r="B24" s="39" t="s">
        <v>330</v>
      </c>
      <c r="C24" s="30"/>
      <c r="D24" s="32">
        <v>1</v>
      </c>
      <c r="E24" s="32">
        <f>(D24*1.06)</f>
        <v>1.06</v>
      </c>
      <c r="F24" s="32">
        <f t="shared" ref="F24:L24" si="47">(E24*1.06)</f>
        <v>1.1236000000000002</v>
      </c>
      <c r="G24" s="32">
        <f t="shared" si="47"/>
        <v>1.1910160000000003</v>
      </c>
      <c r="H24" s="32">
        <f t="shared" si="47"/>
        <v>1.2624769600000003</v>
      </c>
      <c r="I24" s="32">
        <f t="shared" si="47"/>
        <v>1.3382255776000005</v>
      </c>
      <c r="J24" s="32">
        <f t="shared" si="47"/>
        <v>1.4185191122560006</v>
      </c>
      <c r="K24" s="32">
        <f t="shared" si="47"/>
        <v>1.5036302589913606</v>
      </c>
      <c r="L24" s="32">
        <f t="shared" si="47"/>
        <v>1.5938480745308423</v>
      </c>
      <c r="M24" s="32">
        <f t="shared" ref="M24" si="48">(L24*1.06)</f>
        <v>1.6894789590026928</v>
      </c>
      <c r="N24" s="32">
        <f t="shared" ref="N24" si="49">(M24*1.06)</f>
        <v>1.7908476965428546</v>
      </c>
    </row>
    <row r="25" spans="1:17" s="29" customFormat="1" ht="21" customHeight="1" x14ac:dyDescent="0.35">
      <c r="B25" s="39" t="s">
        <v>67</v>
      </c>
      <c r="C25" s="30"/>
      <c r="D25" s="32">
        <v>1</v>
      </c>
      <c r="E25" s="32">
        <f>(D25*1.05)</f>
        <v>1.05</v>
      </c>
      <c r="F25" s="32">
        <f t="shared" ref="F25:L25" si="50">(E25*1.05)</f>
        <v>1.1025</v>
      </c>
      <c r="G25" s="32">
        <f t="shared" si="50"/>
        <v>1.1576250000000001</v>
      </c>
      <c r="H25" s="32">
        <f t="shared" si="50"/>
        <v>1.2155062500000002</v>
      </c>
      <c r="I25" s="32">
        <f t="shared" si="50"/>
        <v>1.2762815625000004</v>
      </c>
      <c r="J25" s="32">
        <f t="shared" si="50"/>
        <v>1.3400956406250004</v>
      </c>
      <c r="K25" s="32">
        <f t="shared" si="50"/>
        <v>1.4071004226562505</v>
      </c>
      <c r="L25" s="32">
        <f t="shared" si="50"/>
        <v>1.477455443789063</v>
      </c>
      <c r="M25" s="32">
        <f t="shared" ref="M25" si="51">(L25*1.05)</f>
        <v>1.5513282159785162</v>
      </c>
      <c r="N25" s="32">
        <f t="shared" ref="N25" si="52">(M25*1.05)</f>
        <v>1.628894626777442</v>
      </c>
    </row>
    <row r="26" spans="1:17" s="29" customFormat="1" ht="21" customHeight="1" x14ac:dyDescent="0.35">
      <c r="B26" s="39" t="s">
        <v>329</v>
      </c>
      <c r="C26" s="30"/>
    </row>
    <row r="27" spans="1:17" s="29" customFormat="1" ht="21" customHeight="1" x14ac:dyDescent="0.35">
      <c r="B27" s="6" t="s">
        <v>331</v>
      </c>
      <c r="C27" s="30"/>
      <c r="D27" s="123">
        <f t="shared" ref="D27:L27" si="53">D15*D10/A</f>
        <v>41.9</v>
      </c>
      <c r="E27" s="123">
        <f t="shared" si="53"/>
        <v>277.58749999999998</v>
      </c>
      <c r="F27" s="123">
        <f t="shared" si="53"/>
        <v>706.18260000000009</v>
      </c>
      <c r="G27" s="123">
        <f t="shared" si="53"/>
        <v>898.26426720000018</v>
      </c>
      <c r="H27" s="123">
        <f t="shared" si="53"/>
        <v>952.16012323200027</v>
      </c>
      <c r="I27" s="123">
        <f t="shared" si="53"/>
        <v>1009.2897306259202</v>
      </c>
      <c r="J27" s="123">
        <f t="shared" si="53"/>
        <v>1069.8471144634757</v>
      </c>
      <c r="K27" s="123">
        <f t="shared" si="53"/>
        <v>1134.0379413312842</v>
      </c>
      <c r="L27" s="123">
        <f t="shared" si="53"/>
        <v>1202.0802178111612</v>
      </c>
      <c r="M27" s="123">
        <f t="shared" ref="M27:N27" si="54">M15*M10/A</f>
        <v>1274.2050308798309</v>
      </c>
      <c r="N27" s="123">
        <f t="shared" si="54"/>
        <v>1350.6573327326209</v>
      </c>
    </row>
    <row r="28" spans="1:17" s="29" customFormat="1" ht="21" customHeight="1" x14ac:dyDescent="0.35">
      <c r="B28" s="6" t="s">
        <v>332</v>
      </c>
      <c r="C28" s="30"/>
      <c r="D28" s="123">
        <f t="shared" ref="D28:L28" si="55">D16*D11/A</f>
        <v>159.80000000000001</v>
      </c>
      <c r="E28" s="123">
        <f t="shared" si="55"/>
        <v>1058.675</v>
      </c>
      <c r="F28" s="123">
        <f t="shared" si="55"/>
        <v>2693.2692000000006</v>
      </c>
      <c r="G28" s="123">
        <f t="shared" si="55"/>
        <v>3425.8384224000006</v>
      </c>
      <c r="H28" s="123">
        <f t="shared" si="55"/>
        <v>3631.3887277440012</v>
      </c>
      <c r="I28" s="123">
        <f t="shared" si="55"/>
        <v>3849.2720514086413</v>
      </c>
      <c r="J28" s="123">
        <f t="shared" si="55"/>
        <v>4080.2283744931601</v>
      </c>
      <c r="K28" s="123">
        <f t="shared" si="55"/>
        <v>4325.0420769627499</v>
      </c>
      <c r="L28" s="123">
        <f t="shared" si="55"/>
        <v>4584.5446015805146</v>
      </c>
      <c r="M28" s="123">
        <f t="shared" ref="M28:N28" si="56">M16*M11/A</f>
        <v>4859.6172776753465</v>
      </c>
      <c r="N28" s="123">
        <f t="shared" si="56"/>
        <v>5151.1943143358676</v>
      </c>
    </row>
    <row r="29" spans="1:17" s="29" customFormat="1" ht="21" customHeight="1" x14ac:dyDescent="0.35">
      <c r="B29" s="246" t="s">
        <v>384</v>
      </c>
      <c r="C29" s="247"/>
      <c r="D29" s="158"/>
      <c r="E29" s="158"/>
      <c r="F29" s="158"/>
      <c r="G29" s="158"/>
      <c r="H29" s="158"/>
      <c r="I29" s="158"/>
      <c r="J29" s="158"/>
      <c r="K29" s="158"/>
      <c r="L29" s="158"/>
      <c r="M29" s="158"/>
      <c r="N29" s="158"/>
    </row>
    <row r="30" spans="1:17" s="29" customFormat="1" ht="18" customHeight="1" x14ac:dyDescent="0.35">
      <c r="A30" s="155">
        <v>0</v>
      </c>
      <c r="B30" s="57" t="s">
        <v>336</v>
      </c>
      <c r="C30" s="58"/>
      <c r="D30" s="191">
        <f>SUM(D27:D29)*(1-$A$30)</f>
        <v>201.70000000000002</v>
      </c>
      <c r="E30" s="191">
        <f t="shared" ref="E30:L30" si="57">SUM(E27:E29)*(1-$A$30)</f>
        <v>1336.2624999999998</v>
      </c>
      <c r="F30" s="191">
        <f t="shared" si="57"/>
        <v>3399.4518000000007</v>
      </c>
      <c r="G30" s="191">
        <f t="shared" si="57"/>
        <v>4324.1026896000003</v>
      </c>
      <c r="H30" s="191">
        <f t="shared" si="57"/>
        <v>4583.5488509760016</v>
      </c>
      <c r="I30" s="191">
        <f t="shared" si="57"/>
        <v>4858.5617820345615</v>
      </c>
      <c r="J30" s="191">
        <f t="shared" si="57"/>
        <v>5150.075488956636</v>
      </c>
      <c r="K30" s="191">
        <f t="shared" si="57"/>
        <v>5459.0800182940338</v>
      </c>
      <c r="L30" s="191">
        <f t="shared" si="57"/>
        <v>5786.6248193916763</v>
      </c>
      <c r="M30" s="191">
        <f t="shared" ref="M30:N30" si="58">SUM(M27:M29)*(1-$A$30)</f>
        <v>6133.8223085551772</v>
      </c>
      <c r="N30" s="191">
        <f t="shared" si="58"/>
        <v>6501.8516470684881</v>
      </c>
    </row>
    <row r="31" spans="1:17" s="29" customFormat="1" ht="18" customHeight="1" x14ac:dyDescent="0.35">
      <c r="A31" s="155"/>
      <c r="B31" s="308" t="s">
        <v>482</v>
      </c>
      <c r="C31" s="307"/>
      <c r="D31" s="306">
        <f t="shared" ref="D31:L31" si="59">D30/D6</f>
        <v>2.0170000000000003</v>
      </c>
      <c r="E31" s="306">
        <f t="shared" si="59"/>
        <v>13.362624999999998</v>
      </c>
      <c r="F31" s="306">
        <f t="shared" si="59"/>
        <v>21.246573750000003</v>
      </c>
      <c r="G31" s="306">
        <f t="shared" si="59"/>
        <v>27.025641810000003</v>
      </c>
      <c r="H31" s="306">
        <f t="shared" si="59"/>
        <v>28.647180318600011</v>
      </c>
      <c r="I31" s="306">
        <f t="shared" si="59"/>
        <v>30.366011137716008</v>
      </c>
      <c r="J31" s="306">
        <f t="shared" si="59"/>
        <v>32.187971805978975</v>
      </c>
      <c r="K31" s="306">
        <f t="shared" si="59"/>
        <v>34.11925011433771</v>
      </c>
      <c r="L31" s="306">
        <f t="shared" si="59"/>
        <v>36.166405121197975</v>
      </c>
      <c r="M31" s="306">
        <f t="shared" ref="M31:N31" si="60">M30/M6</f>
        <v>38.336389428469857</v>
      </c>
      <c r="N31" s="306">
        <f t="shared" si="60"/>
        <v>40.636572794178051</v>
      </c>
      <c r="Q31" s="328" t="s">
        <v>503</v>
      </c>
    </row>
    <row r="32" spans="1:17" s="29" customFormat="1" ht="21" customHeight="1" x14ac:dyDescent="0.35">
      <c r="B32" s="39" t="s">
        <v>31</v>
      </c>
      <c r="C32" s="30"/>
    </row>
    <row r="33" spans="1:22" s="29" customFormat="1" ht="21" customHeight="1" x14ac:dyDescent="0.35">
      <c r="A33" s="155">
        <v>0</v>
      </c>
      <c r="B33" s="268" t="s">
        <v>403</v>
      </c>
      <c r="C33" s="269"/>
      <c r="D33" s="194">
        <f t="shared" ref="D33:L36" si="61">D$30*$O33</f>
        <v>16.136000000000003</v>
      </c>
      <c r="E33" s="194">
        <f t="shared" si="61"/>
        <v>106.90099999999998</v>
      </c>
      <c r="F33" s="194">
        <f t="shared" si="61"/>
        <v>271.95614400000005</v>
      </c>
      <c r="G33" s="194">
        <f t="shared" si="61"/>
        <v>345.92821516800001</v>
      </c>
      <c r="H33" s="194">
        <f t="shared" si="61"/>
        <v>366.68390807808015</v>
      </c>
      <c r="I33" s="194">
        <f t="shared" si="61"/>
        <v>388.68494256276495</v>
      </c>
      <c r="J33" s="194">
        <f t="shared" si="61"/>
        <v>412.00603911653087</v>
      </c>
      <c r="K33" s="194">
        <f t="shared" si="61"/>
        <v>436.72640146352273</v>
      </c>
      <c r="L33" s="194">
        <f t="shared" si="61"/>
        <v>462.92998555133408</v>
      </c>
      <c r="M33" s="194">
        <f t="shared" ref="M33:N36" si="62">M$30*$O33</f>
        <v>490.7057846844142</v>
      </c>
      <c r="N33" s="194">
        <f t="shared" si="62"/>
        <v>520.14813176547909</v>
      </c>
      <c r="O33" s="264">
        <v>0.08</v>
      </c>
      <c r="P33" s="264" t="s">
        <v>505</v>
      </c>
      <c r="Q33" s="8" t="s">
        <v>405</v>
      </c>
    </row>
    <row r="34" spans="1:22" s="29" customFormat="1" x14ac:dyDescent="0.35">
      <c r="A34" s="155"/>
      <c r="B34" s="270" t="s">
        <v>404</v>
      </c>
      <c r="C34" s="269"/>
      <c r="D34" s="194">
        <f t="shared" si="61"/>
        <v>66.561000000000007</v>
      </c>
      <c r="E34" s="194">
        <f t="shared" si="61"/>
        <v>440.96662499999996</v>
      </c>
      <c r="F34" s="194">
        <f t="shared" si="61"/>
        <v>1121.8190940000004</v>
      </c>
      <c r="G34" s="194">
        <f t="shared" si="61"/>
        <v>1426.9538875680003</v>
      </c>
      <c r="H34" s="194">
        <f t="shared" si="61"/>
        <v>1512.5711208220805</v>
      </c>
      <c r="I34" s="194">
        <f t="shared" si="61"/>
        <v>1603.3253880714053</v>
      </c>
      <c r="J34" s="194">
        <f t="shared" si="61"/>
        <v>1699.5249113556899</v>
      </c>
      <c r="K34" s="194">
        <f t="shared" si="61"/>
        <v>1801.4964060370312</v>
      </c>
      <c r="L34" s="194">
        <f t="shared" si="61"/>
        <v>1909.5861903992532</v>
      </c>
      <c r="M34" s="194">
        <f t="shared" si="62"/>
        <v>2024.1613618232086</v>
      </c>
      <c r="N34" s="194">
        <f t="shared" si="62"/>
        <v>2145.6110435326013</v>
      </c>
      <c r="O34" s="311">
        <v>0.33</v>
      </c>
      <c r="P34" s="311">
        <f>(659-19-1.9-66-3.8-59)/1958</f>
        <v>0.26011235955056183</v>
      </c>
      <c r="Q34" s="29" t="s">
        <v>397</v>
      </c>
    </row>
    <row r="35" spans="1:22" s="29" customFormat="1" x14ac:dyDescent="0.35">
      <c r="B35" s="270" t="s">
        <v>412</v>
      </c>
      <c r="C35" s="269"/>
      <c r="D35" s="194">
        <f t="shared" si="61"/>
        <v>2.0170000000000003</v>
      </c>
      <c r="E35" s="194">
        <f t="shared" si="61"/>
        <v>13.362624999999998</v>
      </c>
      <c r="F35" s="194">
        <f t="shared" si="61"/>
        <v>33.994518000000006</v>
      </c>
      <c r="G35" s="194">
        <f t="shared" si="61"/>
        <v>43.241026896000001</v>
      </c>
      <c r="H35" s="194">
        <f t="shared" si="61"/>
        <v>45.835488509760019</v>
      </c>
      <c r="I35" s="194">
        <f t="shared" si="61"/>
        <v>48.585617820345618</v>
      </c>
      <c r="J35" s="194">
        <f t="shared" si="61"/>
        <v>51.500754889566359</v>
      </c>
      <c r="K35" s="194">
        <f t="shared" si="61"/>
        <v>54.590800182940342</v>
      </c>
      <c r="L35" s="194">
        <f t="shared" si="61"/>
        <v>57.866248193916761</v>
      </c>
      <c r="M35" s="194">
        <f t="shared" si="62"/>
        <v>61.338223085551775</v>
      </c>
      <c r="N35" s="194">
        <f t="shared" si="62"/>
        <v>65.018516470684887</v>
      </c>
      <c r="O35" s="264">
        <v>0.01</v>
      </c>
      <c r="P35" s="264">
        <f>19/1958</f>
        <v>9.7037793667007158E-3</v>
      </c>
      <c r="Q35" s="29" t="s">
        <v>432</v>
      </c>
    </row>
    <row r="36" spans="1:22" s="29" customFormat="1" x14ac:dyDescent="0.35">
      <c r="B36" s="270" t="s">
        <v>411</v>
      </c>
      <c r="C36" s="269"/>
      <c r="D36" s="194">
        <f t="shared" si="61"/>
        <v>6.0510000000000002</v>
      </c>
      <c r="E36" s="194">
        <f t="shared" si="61"/>
        <v>40.08787499999999</v>
      </c>
      <c r="F36" s="194">
        <f t="shared" si="61"/>
        <v>101.98355400000001</v>
      </c>
      <c r="G36" s="194">
        <f t="shared" si="61"/>
        <v>129.72308068800001</v>
      </c>
      <c r="H36" s="194">
        <f t="shared" si="61"/>
        <v>137.50646552928004</v>
      </c>
      <c r="I36" s="194">
        <f t="shared" si="61"/>
        <v>145.75685346103683</v>
      </c>
      <c r="J36" s="194">
        <f t="shared" si="61"/>
        <v>154.50226466869907</v>
      </c>
      <c r="K36" s="194">
        <f t="shared" si="61"/>
        <v>163.772400548821</v>
      </c>
      <c r="L36" s="194">
        <f t="shared" si="61"/>
        <v>173.59874458175028</v>
      </c>
      <c r="M36" s="194">
        <f t="shared" si="62"/>
        <v>184.01466925665531</v>
      </c>
      <c r="N36" s="194">
        <f t="shared" si="62"/>
        <v>195.05554941205463</v>
      </c>
      <c r="O36" s="264">
        <v>0.03</v>
      </c>
      <c r="P36" s="264">
        <f>66/1958</f>
        <v>3.3707865168539325E-2</v>
      </c>
      <c r="Q36" s="29" t="s">
        <v>410</v>
      </c>
    </row>
    <row r="37" spans="1:22" s="29" customFormat="1" ht="21" customHeight="1" x14ac:dyDescent="0.35">
      <c r="B37" s="57" t="s">
        <v>32</v>
      </c>
      <c r="C37" s="58"/>
      <c r="D37" s="191">
        <f>SUM(D33:D36)*(1+$A$33)</f>
        <v>90.765000000000001</v>
      </c>
      <c r="E37" s="191">
        <f t="shared" ref="E37:L37" si="63">SUM(E33:E36)*(1+$A$33)</f>
        <v>601.3181249999999</v>
      </c>
      <c r="F37" s="191">
        <f t="shared" si="63"/>
        <v>1529.7533100000003</v>
      </c>
      <c r="G37" s="191">
        <f t="shared" si="63"/>
        <v>1945.8462103200002</v>
      </c>
      <c r="H37" s="191">
        <f t="shared" si="63"/>
        <v>2062.5969829392006</v>
      </c>
      <c r="I37" s="191">
        <f t="shared" si="63"/>
        <v>2186.3528019155528</v>
      </c>
      <c r="J37" s="191">
        <f t="shared" si="63"/>
        <v>2317.5339700304862</v>
      </c>
      <c r="K37" s="191">
        <f t="shared" si="63"/>
        <v>2456.5860082323152</v>
      </c>
      <c r="L37" s="191">
        <f t="shared" si="63"/>
        <v>2603.9811687262545</v>
      </c>
      <c r="M37" s="191">
        <f t="shared" ref="M37:N37" si="64">SUM(M33:M36)*(1+$A$33)</f>
        <v>2760.22003884983</v>
      </c>
      <c r="N37" s="191">
        <f t="shared" si="64"/>
        <v>2925.8332411808201</v>
      </c>
      <c r="O37" s="6"/>
      <c r="P37" s="6"/>
    </row>
    <row r="38" spans="1:22" s="29" customFormat="1" ht="21" customHeight="1" x14ac:dyDescent="0.35">
      <c r="B38" s="39" t="s">
        <v>33</v>
      </c>
      <c r="C38" s="31"/>
      <c r="O38" s="6"/>
      <c r="P38" s="6"/>
    </row>
    <row r="39" spans="1:22" s="29" customFormat="1" ht="21" customHeight="1" x14ac:dyDescent="0.35">
      <c r="B39" s="39"/>
      <c r="C39" s="31"/>
      <c r="D39" s="309">
        <f t="shared" ref="D39:L39" si="65">D40/D30</f>
        <v>0.47595438770451159</v>
      </c>
      <c r="E39" s="309">
        <f t="shared" si="65"/>
        <v>0.34268715914724845</v>
      </c>
      <c r="F39" s="309">
        <f t="shared" si="65"/>
        <v>0.24987605354486858</v>
      </c>
      <c r="G39" s="309">
        <f t="shared" si="65"/>
        <v>0.24987605354486866</v>
      </c>
      <c r="H39" s="309">
        <f t="shared" si="65"/>
        <v>0.24987605354486861</v>
      </c>
      <c r="I39" s="309">
        <f t="shared" si="65"/>
        <v>0.24987605354486864</v>
      </c>
      <c r="J39" s="309">
        <f t="shared" si="65"/>
        <v>0.24987605354486864</v>
      </c>
      <c r="K39" s="309">
        <f t="shared" si="65"/>
        <v>0.24987605354486864</v>
      </c>
      <c r="L39" s="309">
        <f t="shared" si="65"/>
        <v>0.24987605354486861</v>
      </c>
      <c r="M39" s="309">
        <f t="shared" ref="M39:N39" si="66">M40/M30</f>
        <v>0.24987605354486861</v>
      </c>
      <c r="N39" s="309">
        <f t="shared" si="66"/>
        <v>0.24987605354486864</v>
      </c>
      <c r="O39" s="6"/>
      <c r="P39" s="6" t="s">
        <v>506</v>
      </c>
    </row>
    <row r="40" spans="1:22" s="29" customFormat="1" ht="21" customHeight="1" x14ac:dyDescent="0.35">
      <c r="B40" s="6" t="s">
        <v>341</v>
      </c>
      <c r="C40" s="30"/>
      <c r="D40" s="194">
        <f>(Assump!$G$36)/A*D$24*D19/12</f>
        <v>96</v>
      </c>
      <c r="E40" s="158">
        <f>(Assump!$G$36*1.5)/A*E$24*E19/12</f>
        <v>457.92</v>
      </c>
      <c r="F40" s="158">
        <f>(Assump!$G$36*1.5*1.75)/A*F$24*F19/12</f>
        <v>849.44160000000011</v>
      </c>
      <c r="G40" s="158">
        <f>(Assump!$G$36*1.5*1.75*1.2)/A*G$24*G19/12</f>
        <v>1080.4897152000003</v>
      </c>
      <c r="H40" s="194">
        <f>(Assump!$G$36*1.5*1.75*1.2)/A*H$24*H19/12</f>
        <v>1145.3190981120003</v>
      </c>
      <c r="I40" s="194">
        <f>(Assump!$G$36*1.5*1.75*1.2)/A*I$24*I19/12</f>
        <v>1214.0382439987204</v>
      </c>
      <c r="J40" s="194">
        <f>(Assump!$G$36*1.5*1.75*1.2)/A*J$24*J19/12</f>
        <v>1286.8805386386439</v>
      </c>
      <c r="K40" s="194">
        <f>(Assump!$G$36*1.5*1.75*1.2)/A*K$24*K19/12</f>
        <v>1364.0933709569624</v>
      </c>
      <c r="L40" s="194">
        <f>(Assump!$G$36*1.5*1.75*1.2)/A*L$24*L19/12</f>
        <v>1445.9389732143802</v>
      </c>
      <c r="M40" s="194">
        <f>(Assump!$G$36*1.5*1.75*1.2)/A*M$24*M19/12</f>
        <v>1532.695311607243</v>
      </c>
      <c r="N40" s="194">
        <f>(Assump!$G$36*1.5*1.75*1.2)/A*N$24*N19/12</f>
        <v>1624.6570303036779</v>
      </c>
      <c r="O40" s="119">
        <f>N40/N30</f>
        <v>0.24987605354486864</v>
      </c>
      <c r="P40" s="119">
        <f>491/1958</f>
        <v>0.25076608784473953</v>
      </c>
      <c r="Q40" s="119" t="s">
        <v>481</v>
      </c>
      <c r="R40" s="119"/>
      <c r="S40" s="119"/>
      <c r="T40" s="119"/>
      <c r="U40" s="119"/>
      <c r="V40" s="119"/>
    </row>
    <row r="41" spans="1:22" s="29" customFormat="1" ht="21" customHeight="1" x14ac:dyDescent="0.35">
      <c r="B41" s="8" t="s">
        <v>407</v>
      </c>
      <c r="C41" s="30"/>
      <c r="D41" s="194">
        <f>(Assump!$G$37)/A*D$25*D19/12</f>
        <v>25.599999999999998</v>
      </c>
      <c r="E41" s="194">
        <f>(Assump!$G$37)/A*E$25*E19/12</f>
        <v>80.64</v>
      </c>
      <c r="F41" s="194">
        <f>(Assump!$G$37)/A*F$25*F19/12</f>
        <v>84.671999999999997</v>
      </c>
      <c r="G41" s="194">
        <f>(Assump!$G$37)/A*G$25*G19/12</f>
        <v>88.905600000000007</v>
      </c>
      <c r="H41" s="194">
        <f>(Assump!$G$37)/A*H$25*H19/12</f>
        <v>93.350880000000018</v>
      </c>
      <c r="I41" s="194">
        <f>(Assump!$G$37)/A*I$25*I19/12</f>
        <v>98.018424000000024</v>
      </c>
      <c r="J41" s="194">
        <f>(Assump!$G$37)/A*J$25*J19/12</f>
        <v>102.91934520000002</v>
      </c>
      <c r="K41" s="194">
        <f>(Assump!$G$37)/A*K$25*K19/12</f>
        <v>108.06531246000003</v>
      </c>
      <c r="L41" s="194">
        <f>(Assump!$G$37)/A*L$25*L19/12</f>
        <v>113.46857808300005</v>
      </c>
      <c r="M41" s="194">
        <f>(Assump!$G$37)/A*M$25*M19/12</f>
        <v>119.14200698715005</v>
      </c>
      <c r="N41" s="194">
        <f>(Assump!$G$37)/A*N$25*N19/12</f>
        <v>125.09910733650754</v>
      </c>
      <c r="Q41" s="29" t="s">
        <v>418</v>
      </c>
    </row>
    <row r="42" spans="1:22" s="29" customFormat="1" ht="21" customHeight="1" x14ac:dyDescent="0.35">
      <c r="B42" s="8" t="s">
        <v>408</v>
      </c>
      <c r="C42" s="30"/>
      <c r="D42" s="194">
        <f>(Assump!$G$38)/A*D$24*D19/12</f>
        <v>16.178637889333334</v>
      </c>
      <c r="E42" s="194">
        <f>(Assump!$G$38)/A*E$24*E19/12</f>
        <v>51.448068488080004</v>
      </c>
      <c r="F42" s="194">
        <f>(Assump!$G$38)/A*F$24*F19/12</f>
        <v>54.534952597364814</v>
      </c>
      <c r="G42" s="194">
        <f>(Assump!$G$38)/A*G$24*G19/12</f>
        <v>57.807049753206712</v>
      </c>
      <c r="H42" s="194">
        <f>(Assump!$G$38)/A*H$24*H19/12</f>
        <v>61.27547273839911</v>
      </c>
      <c r="I42" s="194">
        <f>(Assump!$G$38)/A*I$24*I19/12</f>
        <v>64.952001102703065</v>
      </c>
      <c r="J42" s="194">
        <f>(Assump!$G$38)/A*J$24*J19/12</f>
        <v>68.849121168865253</v>
      </c>
      <c r="K42" s="194">
        <f>(Assump!$G$38)/A*K$24*K19/12</f>
        <v>72.980068438997165</v>
      </c>
      <c r="L42" s="194">
        <f>(Assump!$G$38)/A*L$24*L19/12</f>
        <v>77.358872545337007</v>
      </c>
      <c r="M42" s="194">
        <f>(Assump!$G$38)/A*M$24*M19/12</f>
        <v>82.000404898057226</v>
      </c>
      <c r="N42" s="194">
        <f>(Assump!$G$38)/A*N$24*N19/12</f>
        <v>86.92042919194067</v>
      </c>
      <c r="Q42" s="29" t="s">
        <v>417</v>
      </c>
    </row>
    <row r="43" spans="1:22" s="29" customFormat="1" ht="21" customHeight="1" x14ac:dyDescent="0.35">
      <c r="B43" s="6" t="s">
        <v>409</v>
      </c>
      <c r="C43" s="30"/>
      <c r="D43" s="194">
        <f>(Assump!$G$39)/A*D$24*D19/12</f>
        <v>3.3333333333333335</v>
      </c>
      <c r="E43" s="194">
        <f>(Assump!$G$39)/A*E$24*E19/12</f>
        <v>10.600000000000001</v>
      </c>
      <c r="F43" s="194">
        <f>(Assump!$G$39)/A*F$24*F19/12</f>
        <v>11.235999999999999</v>
      </c>
      <c r="G43" s="194">
        <f>(Assump!$G$39)/A*G$24*G19/12</f>
        <v>11.910160000000003</v>
      </c>
      <c r="H43" s="194">
        <f>(Assump!$G$39)/A*H$24*H19/12</f>
        <v>12.624769600000002</v>
      </c>
      <c r="I43" s="194">
        <f>(Assump!$G$39)/A*I$24*I19/12</f>
        <v>13.382255776000003</v>
      </c>
      <c r="J43" s="194">
        <f>(Assump!$G$39)/A*J$24*J19/12</f>
        <v>14.185191122560006</v>
      </c>
      <c r="K43" s="194">
        <f>(Assump!$G$39)/A*K$24*K19/12</f>
        <v>15.036302589913609</v>
      </c>
      <c r="L43" s="194">
        <f>(Assump!$G$39)/A*L$24*L19/12</f>
        <v>15.938480745308423</v>
      </c>
      <c r="M43" s="194">
        <f>(Assump!$G$39)/A*M$24*M19/12</f>
        <v>16.894789590026928</v>
      </c>
      <c r="N43" s="194">
        <f>(Assump!$G$39)/A*N$24*N19/12</f>
        <v>17.908476965428545</v>
      </c>
      <c r="Q43" s="29" t="s">
        <v>406</v>
      </c>
    </row>
    <row r="44" spans="1:22" s="29" customFormat="1" ht="18" customHeight="1" x14ac:dyDescent="0.35">
      <c r="B44" s="57" t="s">
        <v>34</v>
      </c>
      <c r="C44" s="59"/>
      <c r="D44" s="193">
        <f t="shared" ref="D44:L44" si="67">SUM(D40:D43)</f>
        <v>141.11197122266668</v>
      </c>
      <c r="E44" s="193">
        <f t="shared" si="67"/>
        <v>600.60806848808011</v>
      </c>
      <c r="F44" s="193">
        <f t="shared" si="67"/>
        <v>999.88455259736497</v>
      </c>
      <c r="G44" s="193">
        <f t="shared" si="67"/>
        <v>1239.112524953207</v>
      </c>
      <c r="H44" s="193">
        <f t="shared" si="67"/>
        <v>1312.5702204503993</v>
      </c>
      <c r="I44" s="193">
        <f t="shared" si="67"/>
        <v>1390.3909248774235</v>
      </c>
      <c r="J44" s="193">
        <f t="shared" si="67"/>
        <v>1472.8341961300689</v>
      </c>
      <c r="K44" s="193">
        <f t="shared" si="67"/>
        <v>1560.1750544458735</v>
      </c>
      <c r="L44" s="193">
        <f t="shared" si="67"/>
        <v>1652.7049045880256</v>
      </c>
      <c r="M44" s="193">
        <f t="shared" ref="M44:N44" si="68">SUM(M40:M43)</f>
        <v>1750.7325130824772</v>
      </c>
      <c r="N44" s="193">
        <f t="shared" si="68"/>
        <v>1854.5850437975546</v>
      </c>
    </row>
    <row r="45" spans="1:22" s="29" customFormat="1" ht="21" customHeight="1" x14ac:dyDescent="0.35">
      <c r="B45" s="57" t="s">
        <v>378</v>
      </c>
      <c r="C45" s="58"/>
      <c r="D45" s="191">
        <f t="shared" ref="D45:L45" si="69">(D37+D44)</f>
        <v>231.87697122266667</v>
      </c>
      <c r="E45" s="191">
        <f t="shared" si="69"/>
        <v>1201.9261934880801</v>
      </c>
      <c r="F45" s="191">
        <f t="shared" si="69"/>
        <v>2529.6378625973653</v>
      </c>
      <c r="G45" s="191">
        <f t="shared" si="69"/>
        <v>3184.9587352732069</v>
      </c>
      <c r="H45" s="191">
        <f t="shared" si="69"/>
        <v>3375.1672033896002</v>
      </c>
      <c r="I45" s="191">
        <f t="shared" si="69"/>
        <v>3576.7437267929763</v>
      </c>
      <c r="J45" s="191">
        <f t="shared" si="69"/>
        <v>3790.3681661605551</v>
      </c>
      <c r="K45" s="191">
        <f t="shared" si="69"/>
        <v>4016.7610626781889</v>
      </c>
      <c r="L45" s="191">
        <f t="shared" si="69"/>
        <v>4256.6860733142803</v>
      </c>
      <c r="M45" s="191">
        <f t="shared" ref="M45:N45" si="70">(M37+M44)</f>
        <v>4510.952551932307</v>
      </c>
      <c r="N45" s="191">
        <f t="shared" si="70"/>
        <v>4780.4182849783747</v>
      </c>
    </row>
    <row r="46" spans="1:22" s="29" customFormat="1" ht="21" customHeight="1" x14ac:dyDescent="0.35">
      <c r="B46" s="6" t="s">
        <v>35</v>
      </c>
      <c r="C46" s="30"/>
      <c r="D46" s="123">
        <f t="shared" ref="D46:L46" si="71">(D30-D45)</f>
        <v>-30.176971222666651</v>
      </c>
      <c r="E46" s="123">
        <f t="shared" si="71"/>
        <v>134.3363065119197</v>
      </c>
      <c r="F46" s="123">
        <f t="shared" si="71"/>
        <v>869.81393740263547</v>
      </c>
      <c r="G46" s="123">
        <f t="shared" si="71"/>
        <v>1139.1439543267934</v>
      </c>
      <c r="H46" s="123">
        <f t="shared" si="71"/>
        <v>1208.3816475864014</v>
      </c>
      <c r="I46" s="123">
        <f t="shared" si="71"/>
        <v>1281.8180552415852</v>
      </c>
      <c r="J46" s="123">
        <f t="shared" si="71"/>
        <v>1359.7073227960809</v>
      </c>
      <c r="K46" s="123">
        <f t="shared" si="71"/>
        <v>1442.318955615845</v>
      </c>
      <c r="L46" s="123">
        <f t="shared" si="71"/>
        <v>1529.938746077396</v>
      </c>
      <c r="M46" s="123">
        <f t="shared" ref="M46:N46" si="72">(M30-M45)</f>
        <v>1622.8697566228702</v>
      </c>
      <c r="N46" s="123">
        <f t="shared" si="72"/>
        <v>1721.4333620901134</v>
      </c>
    </row>
    <row r="47" spans="1:22" s="29" customFormat="1" ht="21" customHeight="1" x14ac:dyDescent="0.35">
      <c r="B47" s="6" t="s">
        <v>36</v>
      </c>
      <c r="C47" s="30"/>
      <c r="D47" s="123">
        <f>'TL Schd'!D11</f>
        <v>100</v>
      </c>
      <c r="E47" s="123">
        <f>'TL Schd'!E11</f>
        <v>300</v>
      </c>
      <c r="F47" s="123">
        <f>'TL Schd'!F11</f>
        <v>286.97916666666663</v>
      </c>
      <c r="G47" s="123">
        <f>'TL Schd'!G11</f>
        <v>250</v>
      </c>
      <c r="H47" s="123">
        <f>'TL Schd'!H11</f>
        <v>212.5</v>
      </c>
      <c r="I47" s="123">
        <f>'TL Schd'!I11</f>
        <v>175</v>
      </c>
      <c r="J47" s="123">
        <f>'TL Schd'!J11</f>
        <v>137.5</v>
      </c>
      <c r="K47" s="123">
        <f>'TL Schd'!K11</f>
        <v>100</v>
      </c>
      <c r="L47" s="123">
        <f>'TL Schd'!L11</f>
        <v>62.5</v>
      </c>
      <c r="M47" s="123">
        <f>'TL Schd'!M11</f>
        <v>25</v>
      </c>
      <c r="N47" s="123">
        <f>'TL Schd'!N11</f>
        <v>0.52083333333333337</v>
      </c>
    </row>
    <row r="48" spans="1:22" s="29" customFormat="1" ht="21" customHeight="1" x14ac:dyDescent="0.35">
      <c r="B48" s="246" t="s">
        <v>377</v>
      </c>
      <c r="C48" s="247"/>
      <c r="D48" s="158">
        <v>0</v>
      </c>
      <c r="E48" s="158">
        <v>0</v>
      </c>
      <c r="F48" s="158">
        <v>0</v>
      </c>
      <c r="G48" s="158">
        <v>0</v>
      </c>
      <c r="H48" s="158">
        <v>0</v>
      </c>
      <c r="I48" s="158">
        <v>0</v>
      </c>
      <c r="J48" s="158">
        <v>0</v>
      </c>
      <c r="K48" s="158">
        <v>0</v>
      </c>
      <c r="L48" s="158">
        <v>0</v>
      </c>
      <c r="M48" s="158">
        <v>0</v>
      </c>
      <c r="N48" s="158">
        <v>0</v>
      </c>
    </row>
    <row r="49" spans="1:14" s="29" customFormat="1" ht="21" customHeight="1" x14ac:dyDescent="0.35">
      <c r="B49" s="6" t="s">
        <v>37</v>
      </c>
      <c r="C49" s="30"/>
      <c r="D49" s="123">
        <f>Depr!C28</f>
        <v>225.46872332526436</v>
      </c>
      <c r="E49" s="123">
        <f>Depr!D28</f>
        <v>418.96403845271254</v>
      </c>
      <c r="F49" s="123">
        <f>Depr!E28</f>
        <v>360.22854325665543</v>
      </c>
      <c r="G49" s="123">
        <f>Depr!F28</f>
        <v>354.38246128282191</v>
      </c>
      <c r="H49" s="123">
        <f>Depr!G28</f>
        <v>304.094471653597</v>
      </c>
      <c r="I49" s="123">
        <f>Depr!H28</f>
        <v>261.06274251243593</v>
      </c>
      <c r="J49" s="123">
        <f>Depr!I28</f>
        <v>224.22752858176119</v>
      </c>
      <c r="K49" s="123">
        <f>Depr!J28</f>
        <v>192.68517699606861</v>
      </c>
      <c r="L49" s="123">
        <f>Depr!K28</f>
        <v>225.6650003780727</v>
      </c>
      <c r="M49" s="123">
        <f>Depr!L28</f>
        <v>193.50959025963476</v>
      </c>
      <c r="N49" s="123">
        <f>Depr!M28</f>
        <v>166.00805766513523</v>
      </c>
    </row>
    <row r="50" spans="1:14" s="29" customFormat="1" ht="21" customHeight="1" x14ac:dyDescent="0.35">
      <c r="B50" s="6" t="s">
        <v>268</v>
      </c>
      <c r="C50" s="30"/>
      <c r="D50" s="123">
        <f>'CoP-MoF'!D7/A/5*D19/12</f>
        <v>22.88</v>
      </c>
      <c r="E50" s="123">
        <f>'CoP-MoF'!D7/A/5*E19/12</f>
        <v>68.64</v>
      </c>
      <c r="F50" s="123">
        <f t="shared" ref="F50:H50" si="73">E50</f>
        <v>68.64</v>
      </c>
      <c r="G50" s="123">
        <f t="shared" si="73"/>
        <v>68.64</v>
      </c>
      <c r="H50" s="123">
        <f t="shared" si="73"/>
        <v>68.64</v>
      </c>
      <c r="I50" s="123">
        <f>H50*8/12</f>
        <v>45.76</v>
      </c>
      <c r="J50" s="123">
        <v>0</v>
      </c>
      <c r="K50" s="123">
        <v>0</v>
      </c>
      <c r="L50" s="123">
        <v>0</v>
      </c>
      <c r="M50" s="123">
        <v>0</v>
      </c>
      <c r="N50" s="123">
        <v>0</v>
      </c>
    </row>
    <row r="51" spans="1:14" s="29" customFormat="1" ht="21" customHeight="1" x14ac:dyDescent="0.35">
      <c r="B51" s="6" t="s">
        <v>38</v>
      </c>
      <c r="C51" s="30"/>
      <c r="D51" s="123">
        <f>D46-D47-D49-D50</f>
        <v>-378.52569454793104</v>
      </c>
      <c r="E51" s="123">
        <f t="shared" ref="E51:N51" si="74">E46-E47-E49-E50</f>
        <v>-653.26773194079283</v>
      </c>
      <c r="F51" s="123">
        <f t="shared" si="74"/>
        <v>153.96622747931343</v>
      </c>
      <c r="G51" s="123">
        <f t="shared" si="74"/>
        <v>466.12149304397155</v>
      </c>
      <c r="H51" s="123">
        <f t="shared" si="74"/>
        <v>623.14717593280443</v>
      </c>
      <c r="I51" s="123">
        <f t="shared" si="74"/>
        <v>799.99531272914919</v>
      </c>
      <c r="J51" s="123">
        <f t="shared" si="74"/>
        <v>997.97979421431978</v>
      </c>
      <c r="K51" s="123">
        <f t="shared" si="74"/>
        <v>1149.6337786197764</v>
      </c>
      <c r="L51" s="123">
        <f t="shared" si="74"/>
        <v>1241.7737456993232</v>
      </c>
      <c r="M51" s="123">
        <f t="shared" si="74"/>
        <v>1404.3601663632355</v>
      </c>
      <c r="N51" s="123">
        <f t="shared" si="74"/>
        <v>1554.9044710916448</v>
      </c>
    </row>
    <row r="52" spans="1:14" s="29" customFormat="1" ht="21" customHeight="1" x14ac:dyDescent="0.35">
      <c r="A52" s="119">
        <v>0.25168000000000001</v>
      </c>
      <c r="B52" s="6" t="s">
        <v>272</v>
      </c>
      <c r="C52" s="30"/>
      <c r="D52" s="158">
        <v>0</v>
      </c>
      <c r="E52" s="158">
        <v>0</v>
      </c>
      <c r="F52" s="158">
        <v>0</v>
      </c>
      <c r="G52" s="158">
        <v>0</v>
      </c>
      <c r="H52" s="158">
        <f>SUM(D51:H51)*$A$52</f>
        <v>53.215589161386525</v>
      </c>
      <c r="I52" s="158">
        <f t="shared" ref="I52:K52" si="75">I51*$A$52</f>
        <v>201.34282030767227</v>
      </c>
      <c r="J52" s="158">
        <f t="shared" si="75"/>
        <v>251.17155460786003</v>
      </c>
      <c r="K52" s="158">
        <f t="shared" si="75"/>
        <v>289.33982940302536</v>
      </c>
      <c r="L52" s="158">
        <f t="shared" ref="L52:N52" si="76">L51*$A$52</f>
        <v>312.5296163176057</v>
      </c>
      <c r="M52" s="158">
        <f t="shared" si="76"/>
        <v>353.44936667029913</v>
      </c>
      <c r="N52" s="158">
        <f t="shared" si="76"/>
        <v>391.33835728434519</v>
      </c>
    </row>
    <row r="53" spans="1:14" s="29" customFormat="1" ht="21" customHeight="1" x14ac:dyDescent="0.35">
      <c r="B53" s="60" t="s">
        <v>39</v>
      </c>
      <c r="C53" s="61"/>
      <c r="D53" s="195">
        <f t="shared" ref="D53:I53" si="77">D51-D52</f>
        <v>-378.52569454793104</v>
      </c>
      <c r="E53" s="195">
        <f t="shared" si="77"/>
        <v>-653.26773194079283</v>
      </c>
      <c r="F53" s="195">
        <f t="shared" si="77"/>
        <v>153.96622747931343</v>
      </c>
      <c r="G53" s="195">
        <f t="shared" si="77"/>
        <v>466.12149304397155</v>
      </c>
      <c r="H53" s="195">
        <f t="shared" si="77"/>
        <v>569.93158677141787</v>
      </c>
      <c r="I53" s="195">
        <f t="shared" si="77"/>
        <v>598.65249242147695</v>
      </c>
      <c r="J53" s="195">
        <f t="shared" ref="J53" si="78">J51-J52</f>
        <v>746.80823960645978</v>
      </c>
      <c r="K53" s="195">
        <f t="shared" ref="K53:L53" si="79">K51-K52</f>
        <v>860.29394921675112</v>
      </c>
      <c r="L53" s="195">
        <f t="shared" si="79"/>
        <v>929.24412938171747</v>
      </c>
      <c r="M53" s="195">
        <f t="shared" ref="M53:N53" si="80">M51-M52</f>
        <v>1050.9107996929365</v>
      </c>
      <c r="N53" s="195">
        <f t="shared" si="80"/>
        <v>1163.5661138072996</v>
      </c>
    </row>
    <row r="54" spans="1:14" s="29" customFormat="1" ht="21" customHeight="1" x14ac:dyDescent="0.35">
      <c r="B54" s="6"/>
      <c r="C54" s="30"/>
      <c r="D54" s="123"/>
      <c r="E54" s="123"/>
      <c r="F54" s="123"/>
      <c r="G54" s="123"/>
      <c r="H54" s="123"/>
      <c r="I54" s="123"/>
      <c r="J54" s="123"/>
      <c r="K54" s="123"/>
      <c r="L54" s="123"/>
      <c r="M54" s="123"/>
      <c r="N54" s="123"/>
    </row>
    <row r="55" spans="1:14" s="29" customFormat="1" ht="21" customHeight="1" x14ac:dyDescent="0.35">
      <c r="B55" s="6" t="s">
        <v>40</v>
      </c>
      <c r="C55" s="30"/>
      <c r="D55" s="123">
        <f t="shared" ref="D55:I55" si="81">D49</f>
        <v>225.46872332526436</v>
      </c>
      <c r="E55" s="123">
        <f t="shared" si="81"/>
        <v>418.96403845271254</v>
      </c>
      <c r="F55" s="123">
        <f t="shared" si="81"/>
        <v>360.22854325665543</v>
      </c>
      <c r="G55" s="123">
        <f t="shared" si="81"/>
        <v>354.38246128282191</v>
      </c>
      <c r="H55" s="123">
        <f t="shared" si="81"/>
        <v>304.094471653597</v>
      </c>
      <c r="I55" s="123">
        <f t="shared" si="81"/>
        <v>261.06274251243593</v>
      </c>
      <c r="J55" s="123">
        <f t="shared" ref="J55" si="82">J49</f>
        <v>224.22752858176119</v>
      </c>
      <c r="K55" s="123">
        <f t="shared" ref="K55:L55" si="83">K49</f>
        <v>192.68517699606861</v>
      </c>
      <c r="L55" s="123">
        <f t="shared" si="83"/>
        <v>225.6650003780727</v>
      </c>
      <c r="M55" s="123">
        <f t="shared" ref="M55:N55" si="84">M49</f>
        <v>193.50959025963476</v>
      </c>
      <c r="N55" s="123">
        <f t="shared" si="84"/>
        <v>166.00805766513523</v>
      </c>
    </row>
    <row r="56" spans="1:14" s="29" customFormat="1" ht="21" customHeight="1" x14ac:dyDescent="0.35">
      <c r="B56" s="6" t="s">
        <v>116</v>
      </c>
      <c r="C56" s="30"/>
      <c r="D56" s="123">
        <f t="shared" ref="D56:I56" si="85">D53+D55</f>
        <v>-153.05697122266668</v>
      </c>
      <c r="E56" s="123">
        <f t="shared" si="85"/>
        <v>-234.30369348808028</v>
      </c>
      <c r="F56" s="123">
        <f t="shared" si="85"/>
        <v>514.19477073596886</v>
      </c>
      <c r="G56" s="123">
        <f t="shared" si="85"/>
        <v>820.50395432679352</v>
      </c>
      <c r="H56" s="123">
        <f t="shared" si="85"/>
        <v>874.02605842501487</v>
      </c>
      <c r="I56" s="123">
        <f t="shared" si="85"/>
        <v>859.71523493391282</v>
      </c>
      <c r="J56" s="123">
        <f t="shared" ref="J56" si="86">J53+J55</f>
        <v>971.03576818822103</v>
      </c>
      <c r="K56" s="123">
        <f t="shared" ref="K56:L56" si="87">K53+K55</f>
        <v>1052.9791262128197</v>
      </c>
      <c r="L56" s="123">
        <f t="shared" si="87"/>
        <v>1154.9091297597902</v>
      </c>
      <c r="M56" s="123">
        <f t="shared" ref="M56:N56" si="88">M53+M55</f>
        <v>1244.4203899525712</v>
      </c>
      <c r="N56" s="123">
        <f t="shared" si="88"/>
        <v>1329.574171472435</v>
      </c>
    </row>
    <row r="57" spans="1:14" s="29" customFormat="1" ht="21" customHeight="1" x14ac:dyDescent="0.35">
      <c r="B57" s="6" t="s">
        <v>41</v>
      </c>
      <c r="C57" s="30"/>
      <c r="D57" s="123">
        <f>'Cash Flow'!C22</f>
        <v>0</v>
      </c>
      <c r="E57" s="123">
        <f>'Cash Flow'!D22</f>
        <v>0</v>
      </c>
      <c r="F57" s="123">
        <f>'Cash Flow'!E22</f>
        <v>312.5</v>
      </c>
      <c r="G57" s="123">
        <f>'Cash Flow'!F22</f>
        <v>375</v>
      </c>
      <c r="H57" s="123">
        <f>'Cash Flow'!G22</f>
        <v>375</v>
      </c>
      <c r="I57" s="123">
        <f>'Cash Flow'!H22</f>
        <v>375</v>
      </c>
      <c r="J57" s="123">
        <f>'Cash Flow'!I22</f>
        <v>375</v>
      </c>
      <c r="K57" s="123">
        <f>'Cash Flow'!J22</f>
        <v>375</v>
      </c>
      <c r="L57" s="123">
        <f>'Cash Flow'!K22</f>
        <v>375</v>
      </c>
      <c r="M57" s="123">
        <f>'Cash Flow'!L22</f>
        <v>375</v>
      </c>
      <c r="N57" s="123">
        <f>'Cash Flow'!M22</f>
        <v>62.5</v>
      </c>
    </row>
    <row r="58" spans="1:14" s="29" customFormat="1" ht="21" customHeight="1" x14ac:dyDescent="0.35">
      <c r="B58" s="6" t="s">
        <v>117</v>
      </c>
      <c r="C58" s="30"/>
      <c r="D58" s="123">
        <f t="shared" ref="D58:I58" si="89">D56-D57</f>
        <v>-153.05697122266668</v>
      </c>
      <c r="E58" s="123">
        <f t="shared" si="89"/>
        <v>-234.30369348808028</v>
      </c>
      <c r="F58" s="123">
        <f t="shared" si="89"/>
        <v>201.69477073596886</v>
      </c>
      <c r="G58" s="123">
        <f t="shared" si="89"/>
        <v>445.50395432679352</v>
      </c>
      <c r="H58" s="123">
        <f t="shared" si="89"/>
        <v>499.02605842501487</v>
      </c>
      <c r="I58" s="123">
        <f t="shared" si="89"/>
        <v>484.71523493391282</v>
      </c>
      <c r="J58" s="123">
        <f t="shared" ref="J58" si="90">J56-J57</f>
        <v>596.03576818822103</v>
      </c>
      <c r="K58" s="123">
        <f t="shared" ref="K58:L58" si="91">K56-K57</f>
        <v>677.97912621281966</v>
      </c>
      <c r="L58" s="123">
        <f t="shared" si="91"/>
        <v>779.90912975979018</v>
      </c>
      <c r="M58" s="123">
        <f t="shared" ref="M58:N58" si="92">M56-M57</f>
        <v>869.42038995257121</v>
      </c>
      <c r="N58" s="123">
        <f t="shared" si="92"/>
        <v>1267.074171472435</v>
      </c>
    </row>
    <row r="59" spans="1:14" s="13" customFormat="1" ht="18.75" customHeight="1" x14ac:dyDescent="0.35">
      <c r="B59" s="63" t="s">
        <v>42</v>
      </c>
      <c r="C59" s="62"/>
      <c r="D59" s="196">
        <f>C59+D58</f>
        <v>-153.05697122266668</v>
      </c>
      <c r="E59" s="196">
        <f t="shared" ref="E59:J59" si="93">D59+E58</f>
        <v>-387.36066471074696</v>
      </c>
      <c r="F59" s="196">
        <f t="shared" si="93"/>
        <v>-185.6658939747781</v>
      </c>
      <c r="G59" s="196">
        <f t="shared" si="93"/>
        <v>259.83806035201542</v>
      </c>
      <c r="H59" s="196">
        <f t="shared" si="93"/>
        <v>758.86411877703028</v>
      </c>
      <c r="I59" s="196">
        <f t="shared" si="93"/>
        <v>1243.579353710943</v>
      </c>
      <c r="J59" s="196">
        <f t="shared" si="93"/>
        <v>1839.615121899164</v>
      </c>
      <c r="K59" s="196">
        <f t="shared" ref="K59" si="94">J59+K58</f>
        <v>2517.5942481119837</v>
      </c>
      <c r="L59" s="196">
        <f t="shared" ref="L59" si="95">K59+L58</f>
        <v>3297.5033778717739</v>
      </c>
      <c r="M59" s="196">
        <f t="shared" ref="M59" si="96">L59+M58</f>
        <v>4166.9237678243453</v>
      </c>
      <c r="N59" s="196">
        <f t="shared" ref="N59" si="97">M59+N58</f>
        <v>5433.9979392967798</v>
      </c>
    </row>
    <row r="60" spans="1:14" s="29" customFormat="1" ht="21" customHeight="1" x14ac:dyDescent="0.35">
      <c r="B60" s="6"/>
      <c r="C60" s="30"/>
      <c r="D60" s="30"/>
      <c r="E60" s="30"/>
      <c r="F60" s="30"/>
      <c r="G60" s="30"/>
      <c r="H60" s="30"/>
      <c r="I60" s="30"/>
      <c r="J60" s="30"/>
      <c r="K60" s="30"/>
      <c r="L60" s="30"/>
      <c r="M60" s="30"/>
      <c r="N60" s="30"/>
    </row>
    <row r="61" spans="1:14" x14ac:dyDescent="0.35">
      <c r="B61" s="52" t="s">
        <v>420</v>
      </c>
      <c r="C61" s="50"/>
      <c r="D61" s="50">
        <f t="shared" ref="D61:N61" si="98">D46/D30</f>
        <v>-0.14961314438605181</v>
      </c>
      <c r="E61" s="50">
        <f t="shared" si="98"/>
        <v>0.10053137501944395</v>
      </c>
      <c r="F61" s="50">
        <f t="shared" si="98"/>
        <v>0.25586888374255967</v>
      </c>
      <c r="G61" s="50">
        <f t="shared" si="98"/>
        <v>0.26344054156405095</v>
      </c>
      <c r="H61" s="50">
        <f t="shared" si="98"/>
        <v>0.26363450829788665</v>
      </c>
      <c r="I61" s="50">
        <f t="shared" si="98"/>
        <v>0.26382664515687471</v>
      </c>
      <c r="J61" s="50">
        <f t="shared" si="98"/>
        <v>0.26401696940398572</v>
      </c>
      <c r="K61" s="50">
        <f t="shared" si="98"/>
        <v>0.26420549813933131</v>
      </c>
      <c r="L61" s="50">
        <f t="shared" si="98"/>
        <v>0.26439224830170205</v>
      </c>
      <c r="M61" s="50">
        <f t="shared" si="98"/>
        <v>0.26457723667008826</v>
      </c>
      <c r="N61" s="50">
        <f t="shared" si="98"/>
        <v>0.26476047986518764</v>
      </c>
    </row>
    <row r="62" spans="1:14" x14ac:dyDescent="0.35">
      <c r="B62" s="52" t="s">
        <v>421</v>
      </c>
      <c r="C62" s="50"/>
      <c r="D62" s="50">
        <f t="shared" ref="D62:N62" si="99">D53/D30</f>
        <v>-1.8766767206144324</v>
      </c>
      <c r="E62" s="50">
        <f t="shared" si="99"/>
        <v>-0.48887679774055842</v>
      </c>
      <c r="F62" s="50">
        <f t="shared" si="99"/>
        <v>4.5291487138989117E-2</v>
      </c>
      <c r="G62" s="50">
        <f t="shared" si="99"/>
        <v>0.10779612014419805</v>
      </c>
      <c r="H62" s="50">
        <f t="shared" si="99"/>
        <v>0.12434286298706275</v>
      </c>
      <c r="I62" s="50">
        <f t="shared" si="99"/>
        <v>0.12321598845055469</v>
      </c>
      <c r="J62" s="50">
        <f t="shared" si="99"/>
        <v>0.14500918310961636</v>
      </c>
      <c r="K62" s="50">
        <f t="shared" si="99"/>
        <v>0.15758954738413847</v>
      </c>
      <c r="L62" s="50">
        <f t="shared" si="99"/>
        <v>0.16058482420835521</v>
      </c>
      <c r="M62" s="50">
        <f t="shared" si="99"/>
        <v>0.17133049293377373</v>
      </c>
      <c r="N62" s="50">
        <f t="shared" si="99"/>
        <v>0.17895919146846739</v>
      </c>
    </row>
    <row r="63" spans="1:14" x14ac:dyDescent="0.35">
      <c r="B63" s="52" t="s">
        <v>419</v>
      </c>
      <c r="D63" s="241">
        <f>(D51+D47)/(BS!C6+BS!C7+BS!C8+BS!C9+BS!C12)</f>
        <v>-7.595097536787046E-2</v>
      </c>
      <c r="E63" s="241">
        <f>(E51+E47)/(BS!D6+BS!D7+BS!D8+BS!D9+BS!D12)</f>
        <v>-0.11721245154772374</v>
      </c>
      <c r="F63" s="241">
        <f>(F51+F47)/(BS!E6+BS!E7+BS!E8+BS!E9+BS!E12)</f>
        <v>0.15442639502800895</v>
      </c>
      <c r="G63" s="241">
        <f>(G51+G47)/(BS!F6+BS!F7+BS!F8+BS!F9+BS!F12)</f>
        <v>0.24304162442900609</v>
      </c>
      <c r="H63" s="241">
        <f>(H51+H47)/(BS!G6+BS!G7+BS!G8+BS!G9+BS!G12)</f>
        <v>0.26600862311530465</v>
      </c>
      <c r="I63" s="241">
        <f>(I51+I47)/(BS!H6+BS!H7+BS!H8+BS!H9+BS!H12)</f>
        <v>0.28973899868480002</v>
      </c>
      <c r="J63" s="241">
        <f>(J51+J47)/(BS!I6+BS!I7+BS!I8+BS!I9+BS!I12)</f>
        <v>0.30385692553132748</v>
      </c>
      <c r="K63" s="241">
        <f>(K51+K47)/(BS!J6+BS!J7+BS!J8+BS!J9+BS!J12)</f>
        <v>0.29596860368254624</v>
      </c>
      <c r="L63" s="241">
        <f>(L51+L47)/(BS!K6+BS!K7+BS!K8+BS!K9+BS!K12)</f>
        <v>0.27306468873762813</v>
      </c>
      <c r="M63" s="241">
        <f>(M51+M47)/(BS!L6+BS!L7+BS!L8+BS!L9+BS!L12)</f>
        <v>0.26215543367738708</v>
      </c>
      <c r="N63" s="241">
        <f>(N51+N47)/(BS!M6+BS!M7+BS!M8+BS!M9+BS!M12)</f>
        <v>0.23734614203882337</v>
      </c>
    </row>
    <row r="66" spans="2:17" x14ac:dyDescent="0.35">
      <c r="B66" s="152" t="s">
        <v>233</v>
      </c>
      <c r="C66" s="51"/>
      <c r="D66" s="51">
        <f t="shared" ref="D66:N66" si="100">D30</f>
        <v>201.70000000000002</v>
      </c>
      <c r="E66" s="51">
        <f t="shared" si="100"/>
        <v>1336.2624999999998</v>
      </c>
      <c r="F66" s="51">
        <f t="shared" si="100"/>
        <v>3399.4518000000007</v>
      </c>
      <c r="G66" s="51">
        <f t="shared" si="100"/>
        <v>4324.1026896000003</v>
      </c>
      <c r="H66" s="51">
        <f t="shared" si="100"/>
        <v>4583.5488509760016</v>
      </c>
      <c r="I66" s="51">
        <f t="shared" si="100"/>
        <v>4858.5617820345615</v>
      </c>
      <c r="J66" s="51">
        <f t="shared" si="100"/>
        <v>5150.075488956636</v>
      </c>
      <c r="K66" s="51">
        <f t="shared" si="100"/>
        <v>5459.0800182940338</v>
      </c>
      <c r="L66" s="51">
        <f t="shared" si="100"/>
        <v>5786.6248193916763</v>
      </c>
      <c r="M66" s="51">
        <f t="shared" si="100"/>
        <v>6133.8223085551772</v>
      </c>
      <c r="N66" s="51">
        <f t="shared" si="100"/>
        <v>6501.8516470684881</v>
      </c>
    </row>
    <row r="67" spans="2:17" x14ac:dyDescent="0.35">
      <c r="B67" s="152" t="s">
        <v>232</v>
      </c>
      <c r="D67" s="51">
        <f t="shared" ref="D67:N67" si="101">D46</f>
        <v>-30.176971222666651</v>
      </c>
      <c r="E67" s="51">
        <f t="shared" si="101"/>
        <v>134.3363065119197</v>
      </c>
      <c r="F67" s="51">
        <f t="shared" si="101"/>
        <v>869.81393740263547</v>
      </c>
      <c r="G67" s="51">
        <f t="shared" si="101"/>
        <v>1139.1439543267934</v>
      </c>
      <c r="H67" s="51">
        <f t="shared" si="101"/>
        <v>1208.3816475864014</v>
      </c>
      <c r="I67" s="51">
        <f t="shared" si="101"/>
        <v>1281.8180552415852</v>
      </c>
      <c r="J67" s="51">
        <f t="shared" si="101"/>
        <v>1359.7073227960809</v>
      </c>
      <c r="K67" s="51">
        <f t="shared" si="101"/>
        <v>1442.318955615845</v>
      </c>
      <c r="L67" s="51">
        <f t="shared" si="101"/>
        <v>1529.938746077396</v>
      </c>
      <c r="M67" s="51">
        <f t="shared" si="101"/>
        <v>1622.8697566228702</v>
      </c>
      <c r="N67" s="51">
        <f t="shared" si="101"/>
        <v>1721.4333620901134</v>
      </c>
    </row>
    <row r="68" spans="2:17" x14ac:dyDescent="0.35">
      <c r="B68" s="152" t="s">
        <v>181</v>
      </c>
      <c r="D68" s="51">
        <f>D67-D49</f>
        <v>-255.64569454793101</v>
      </c>
      <c r="E68" s="51">
        <f t="shared" ref="E68:J68" si="102">E67-E49</f>
        <v>-284.62773194079284</v>
      </c>
      <c r="F68" s="51">
        <f t="shared" si="102"/>
        <v>509.58539414598005</v>
      </c>
      <c r="G68" s="51">
        <f t="shared" si="102"/>
        <v>784.76149304397154</v>
      </c>
      <c r="H68" s="51">
        <f t="shared" si="102"/>
        <v>904.28717593280442</v>
      </c>
      <c r="I68" s="51">
        <f t="shared" si="102"/>
        <v>1020.7553127291492</v>
      </c>
      <c r="J68" s="51">
        <f t="shared" si="102"/>
        <v>1135.4797942143198</v>
      </c>
      <c r="K68" s="51">
        <f t="shared" ref="K68:L68" si="103">K67-K49</f>
        <v>1249.6337786197764</v>
      </c>
      <c r="L68" s="51">
        <f t="shared" si="103"/>
        <v>1304.2737456993232</v>
      </c>
      <c r="M68" s="51">
        <f t="shared" ref="M68:N68" si="104">M67-M49</f>
        <v>1429.3601663632355</v>
      </c>
      <c r="N68" s="51">
        <f t="shared" si="104"/>
        <v>1555.4253044249781</v>
      </c>
    </row>
    <row r="69" spans="2:17" x14ac:dyDescent="0.35">
      <c r="B69" s="152" t="s">
        <v>39</v>
      </c>
      <c r="D69" s="51">
        <f>D53</f>
        <v>-378.52569454793104</v>
      </c>
      <c r="E69" s="51">
        <f t="shared" ref="E69:J69" si="105">E53</f>
        <v>-653.26773194079283</v>
      </c>
      <c r="F69" s="51">
        <f t="shared" si="105"/>
        <v>153.96622747931343</v>
      </c>
      <c r="G69" s="51">
        <f t="shared" si="105"/>
        <v>466.12149304397155</v>
      </c>
      <c r="H69" s="51">
        <f t="shared" si="105"/>
        <v>569.93158677141787</v>
      </c>
      <c r="I69" s="51">
        <f t="shared" si="105"/>
        <v>598.65249242147695</v>
      </c>
      <c r="J69" s="51">
        <f t="shared" si="105"/>
        <v>746.80823960645978</v>
      </c>
      <c r="K69" s="51">
        <f t="shared" ref="K69:L69" si="106">K53</f>
        <v>860.29394921675112</v>
      </c>
      <c r="L69" s="51">
        <f t="shared" si="106"/>
        <v>929.24412938171747</v>
      </c>
      <c r="M69" s="51">
        <f t="shared" ref="M69:N69" si="107">M53</f>
        <v>1050.9107996929365</v>
      </c>
      <c r="N69" s="51">
        <f t="shared" si="107"/>
        <v>1163.5661138072996</v>
      </c>
    </row>
    <row r="70" spans="2:17" x14ac:dyDescent="0.35">
      <c r="B70" s="152"/>
    </row>
    <row r="71" spans="2:17" x14ac:dyDescent="0.35">
      <c r="B71" s="152" t="s">
        <v>234</v>
      </c>
      <c r="D71" s="197">
        <f>D67/D66</f>
        <v>-0.14961314438605181</v>
      </c>
      <c r="E71" s="197">
        <f t="shared" ref="E71:J71" si="108">E67/E66</f>
        <v>0.10053137501944395</v>
      </c>
      <c r="F71" s="197">
        <f t="shared" si="108"/>
        <v>0.25586888374255967</v>
      </c>
      <c r="G71" s="197">
        <f t="shared" si="108"/>
        <v>0.26344054156405095</v>
      </c>
      <c r="H71" s="197">
        <f t="shared" si="108"/>
        <v>0.26363450829788665</v>
      </c>
      <c r="I71" s="197">
        <f t="shared" si="108"/>
        <v>0.26382664515687471</v>
      </c>
      <c r="J71" s="197">
        <f t="shared" si="108"/>
        <v>0.26401696940398572</v>
      </c>
      <c r="K71" s="197">
        <f t="shared" ref="K71:L71" si="109">K67/K66</f>
        <v>0.26420549813933131</v>
      </c>
      <c r="L71" s="197">
        <f t="shared" si="109"/>
        <v>0.26439224830170205</v>
      </c>
      <c r="M71" s="197">
        <f t="shared" ref="M71:N71" si="110">M67/M66</f>
        <v>0.26457723667008826</v>
      </c>
      <c r="N71" s="197">
        <f t="shared" si="110"/>
        <v>0.26476047986518764</v>
      </c>
      <c r="Q71" s="329" t="s">
        <v>504</v>
      </c>
    </row>
    <row r="72" spans="2:17" x14ac:dyDescent="0.35">
      <c r="B72" s="152" t="s">
        <v>238</v>
      </c>
      <c r="D72" s="349">
        <f>AVERAGE(D71:N71)</f>
        <v>0.21087647652500535</v>
      </c>
      <c r="E72" s="349"/>
      <c r="F72" s="349"/>
      <c r="G72" s="349"/>
      <c r="H72" s="349"/>
      <c r="I72" s="349"/>
      <c r="J72" s="349"/>
      <c r="K72" s="349"/>
      <c r="L72" s="349"/>
      <c r="M72" s="349"/>
      <c r="N72" s="349"/>
      <c r="O72" s="276">
        <f>AVERAGE(E71:N71)</f>
        <v>0.2469254386161111</v>
      </c>
      <c r="P72" s="276"/>
      <c r="Q72" s="28" t="s">
        <v>494</v>
      </c>
    </row>
    <row r="73" spans="2:17" x14ac:dyDescent="0.35">
      <c r="B73" s="152" t="s">
        <v>235</v>
      </c>
      <c r="D73" s="197">
        <f>D68/D66</f>
        <v>-1.2674551043526574</v>
      </c>
      <c r="E73" s="197">
        <f t="shared" ref="E73:N73" si="111">E68/E66</f>
        <v>-0.21300285830126406</v>
      </c>
      <c r="F73" s="197">
        <f t="shared" si="111"/>
        <v>0.1499022266313586</v>
      </c>
      <c r="G73" s="197">
        <f t="shared" si="111"/>
        <v>0.18148539694291249</v>
      </c>
      <c r="H73" s="197">
        <f t="shared" si="111"/>
        <v>0.19728974323907322</v>
      </c>
      <c r="I73" s="197">
        <f t="shared" si="111"/>
        <v>0.21009413042838776</v>
      </c>
      <c r="J73" s="197">
        <f t="shared" si="111"/>
        <v>0.22047828165803426</v>
      </c>
      <c r="K73" s="197">
        <f t="shared" si="111"/>
        <v>0.22890922544313388</v>
      </c>
      <c r="L73" s="197">
        <f t="shared" si="111"/>
        <v>0.2253945583837654</v>
      </c>
      <c r="M73" s="197">
        <f t="shared" si="111"/>
        <v>0.23302927513397784</v>
      </c>
      <c r="N73" s="197">
        <f t="shared" si="111"/>
        <v>0.2392280520774844</v>
      </c>
      <c r="Q73" s="276"/>
    </row>
    <row r="74" spans="2:17" x14ac:dyDescent="0.35">
      <c r="B74" s="152" t="s">
        <v>238</v>
      </c>
      <c r="D74" s="349">
        <f>AVERAGE(D73:N73)</f>
        <v>3.6850266116746029E-2</v>
      </c>
      <c r="E74" s="349"/>
      <c r="F74" s="349"/>
      <c r="G74" s="349"/>
      <c r="H74" s="349"/>
      <c r="I74" s="349"/>
      <c r="J74" s="349"/>
      <c r="K74" s="349"/>
      <c r="L74" s="349"/>
      <c r="M74" s="349"/>
      <c r="N74" s="349"/>
      <c r="O74" s="276">
        <f>AVERAGE(E73:N73)</f>
        <v>0.16728080316368638</v>
      </c>
      <c r="P74" s="276"/>
      <c r="Q74" s="28" t="s">
        <v>494</v>
      </c>
    </row>
    <row r="75" spans="2:17" x14ac:dyDescent="0.35">
      <c r="B75" s="152" t="s">
        <v>236</v>
      </c>
      <c r="D75" s="197">
        <f>D69/D66</f>
        <v>-1.8766767206144324</v>
      </c>
      <c r="E75" s="197">
        <f t="shared" ref="E75:N75" si="112">E69/E66</f>
        <v>-0.48887679774055842</v>
      </c>
      <c r="F75" s="197">
        <f t="shared" si="112"/>
        <v>4.5291487138989117E-2</v>
      </c>
      <c r="G75" s="197">
        <f t="shared" si="112"/>
        <v>0.10779612014419805</v>
      </c>
      <c r="H75" s="197">
        <f t="shared" si="112"/>
        <v>0.12434286298706275</v>
      </c>
      <c r="I75" s="197">
        <f t="shared" si="112"/>
        <v>0.12321598845055469</v>
      </c>
      <c r="J75" s="197">
        <f t="shared" si="112"/>
        <v>0.14500918310961636</v>
      </c>
      <c r="K75" s="197">
        <f t="shared" si="112"/>
        <v>0.15758954738413847</v>
      </c>
      <c r="L75" s="197">
        <f t="shared" si="112"/>
        <v>0.16058482420835521</v>
      </c>
      <c r="M75" s="197">
        <f t="shared" si="112"/>
        <v>0.17133049293377373</v>
      </c>
      <c r="N75" s="197">
        <f t="shared" si="112"/>
        <v>0.17895919146846739</v>
      </c>
    </row>
    <row r="76" spans="2:17" x14ac:dyDescent="0.35">
      <c r="B76" s="152" t="s">
        <v>238</v>
      </c>
      <c r="D76" s="349">
        <f>AVERAGE(D75:N75)</f>
        <v>-0.10467580186634867</v>
      </c>
      <c r="E76" s="349"/>
      <c r="F76" s="349"/>
      <c r="G76" s="349"/>
      <c r="H76" s="349"/>
      <c r="I76" s="349"/>
      <c r="J76" s="349"/>
      <c r="K76" s="349"/>
      <c r="L76" s="349"/>
      <c r="M76" s="349"/>
      <c r="N76" s="349"/>
      <c r="O76" s="276">
        <f>AVERAGE(E75:N75)</f>
        <v>7.2524290008459724E-2</v>
      </c>
      <c r="P76" s="276"/>
      <c r="Q76" s="28" t="s">
        <v>494</v>
      </c>
    </row>
    <row r="77" spans="2:17" x14ac:dyDescent="0.35">
      <c r="B77" s="152" t="s">
        <v>237</v>
      </c>
      <c r="D77" s="153"/>
      <c r="E77" s="197">
        <f>E66/(D66*12/4)-1</f>
        <v>1.208333333333333</v>
      </c>
      <c r="F77" s="197">
        <f t="shared" ref="F77:J77" si="113">F66/E66-1</f>
        <v>1.5440000000000009</v>
      </c>
      <c r="G77" s="197">
        <f t="shared" si="113"/>
        <v>0.2719999999999998</v>
      </c>
      <c r="H77" s="197">
        <f t="shared" si="113"/>
        <v>6.0000000000000275E-2</v>
      </c>
      <c r="I77" s="197">
        <f t="shared" si="113"/>
        <v>6.0000000000000053E-2</v>
      </c>
      <c r="J77" s="197">
        <f t="shared" si="113"/>
        <v>6.0000000000000275E-2</v>
      </c>
      <c r="K77" s="197">
        <f t="shared" ref="K77" si="114">K66/J66-1</f>
        <v>5.9999999999999831E-2</v>
      </c>
      <c r="L77" s="197">
        <f t="shared" ref="L77" si="115">L66/K66-1</f>
        <v>6.0000000000000053E-2</v>
      </c>
      <c r="M77" s="197">
        <f t="shared" ref="M77" si="116">M66/L66-1</f>
        <v>6.0000000000000053E-2</v>
      </c>
      <c r="N77" s="197">
        <f t="shared" ref="N77" si="117">N66/M66-1</f>
        <v>6.0000000000000053E-2</v>
      </c>
    </row>
    <row r="78" spans="2:17" x14ac:dyDescent="0.35">
      <c r="B78" s="152" t="s">
        <v>238</v>
      </c>
      <c r="D78" s="349">
        <f>AVERAGE(D77:N77)</f>
        <v>0.34443333333333342</v>
      </c>
      <c r="E78" s="349"/>
      <c r="F78" s="349"/>
      <c r="G78" s="349"/>
      <c r="H78" s="349"/>
      <c r="I78" s="349"/>
      <c r="J78" s="349"/>
      <c r="K78" s="349"/>
      <c r="L78" s="349"/>
      <c r="M78" s="349"/>
      <c r="N78" s="349"/>
    </row>
  </sheetData>
  <customSheetViews>
    <customSheetView guid="{22475485-DA09-46DB-978D-BB94CE1E5597}" hiddenRows="1">
      <pane xSplit="1" ySplit="4" topLeftCell="B5" activePane="bottomRight" state="frozen"/>
      <selection pane="bottomRight" activeCell="D3" sqref="D3"/>
      <pageMargins left="0.7" right="0.7" top="0.75" bottom="0.75" header="0.3" footer="0.3"/>
      <pageSetup paperSize="9" orientation="landscape" verticalDpi="300" r:id="rId1"/>
    </customSheetView>
  </customSheetViews>
  <mergeCells count="5">
    <mergeCell ref="B18:L18"/>
    <mergeCell ref="D72:N72"/>
    <mergeCell ref="D74:N74"/>
    <mergeCell ref="D76:N76"/>
    <mergeCell ref="D78:N78"/>
  </mergeCells>
  <dataValidations count="1">
    <dataValidation type="list" allowBlank="1" showInputMessage="1" showErrorMessage="1" sqref="A30:A31 A33:A34" xr:uid="{00000000-0002-0000-0500-000000000000}">
      <formula1>"0%,10%"</formula1>
    </dataValidation>
  </dataValidations>
  <pageMargins left="0.7" right="0.7" top="0.75" bottom="0.75" header="0.3" footer="0.3"/>
  <pageSetup paperSize="9" orientation="landscape" verticalDpi="300"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7" tint="-0.249977111117893"/>
  </sheetPr>
  <dimension ref="B1:M28"/>
  <sheetViews>
    <sheetView showGridLines="0" tabSelected="1" zoomScaleNormal="99" workbookViewId="0">
      <pane xSplit="2" ySplit="3" topLeftCell="C4" activePane="bottomRight" state="frozen"/>
      <selection activeCell="B8" sqref="B8"/>
      <selection pane="topRight" activeCell="B8" sqref="B8"/>
      <selection pane="bottomLeft" activeCell="B8" sqref="B8"/>
      <selection pane="bottomRight" activeCell="C7" sqref="C7"/>
    </sheetView>
  </sheetViews>
  <sheetFormatPr defaultColWidth="32.26953125" defaultRowHeight="14.5" x14ac:dyDescent="0.35"/>
  <cols>
    <col min="1" max="1" width="4.81640625" style="28" customWidth="1"/>
    <col min="2" max="2" width="40.453125" style="6" customWidth="1"/>
    <col min="3" max="5" width="12.7265625" style="28" customWidth="1"/>
    <col min="6" max="11" width="12.7265625" style="1" customWidth="1"/>
    <col min="12" max="12" width="11.90625" style="28" customWidth="1"/>
    <col min="13" max="13" width="11.453125" style="28" customWidth="1"/>
    <col min="14" max="16384" width="32.26953125" style="28"/>
  </cols>
  <sheetData>
    <row r="1" spans="2:13" ht="15.75" customHeight="1" x14ac:dyDescent="0.35"/>
    <row r="2" spans="2:13" s="29" customFormat="1" ht="19.5" customHeight="1" x14ac:dyDescent="0.35">
      <c r="B2" s="330" t="s">
        <v>313</v>
      </c>
      <c r="C2" s="330"/>
      <c r="D2" s="330"/>
      <c r="E2" s="330"/>
      <c r="F2" s="330"/>
      <c r="G2" s="330"/>
      <c r="H2" s="330"/>
      <c r="I2" s="330"/>
      <c r="J2" s="330"/>
      <c r="K2" s="330"/>
      <c r="L2" s="330"/>
      <c r="M2" s="330"/>
    </row>
    <row r="3" spans="2:13" s="10" customFormat="1" ht="21" customHeight="1" x14ac:dyDescent="0.35">
      <c r="B3" s="54" t="s">
        <v>7</v>
      </c>
      <c r="C3" s="27">
        <v>2025</v>
      </c>
      <c r="D3" s="27">
        <f t="shared" ref="D3:M3" si="0">C3+1</f>
        <v>2026</v>
      </c>
      <c r="E3" s="27">
        <f t="shared" si="0"/>
        <v>2027</v>
      </c>
      <c r="F3" s="27">
        <f t="shared" si="0"/>
        <v>2028</v>
      </c>
      <c r="G3" s="27">
        <f t="shared" si="0"/>
        <v>2029</v>
      </c>
      <c r="H3" s="27">
        <f t="shared" si="0"/>
        <v>2030</v>
      </c>
      <c r="I3" s="27">
        <f t="shared" si="0"/>
        <v>2031</v>
      </c>
      <c r="J3" s="27">
        <f t="shared" si="0"/>
        <v>2032</v>
      </c>
      <c r="K3" s="27">
        <f t="shared" si="0"/>
        <v>2033</v>
      </c>
      <c r="L3" s="27">
        <f t="shared" si="0"/>
        <v>2034</v>
      </c>
      <c r="M3" s="27">
        <f t="shared" si="0"/>
        <v>2035</v>
      </c>
    </row>
    <row r="4" spans="2:13" s="10" customFormat="1" ht="21" customHeight="1" x14ac:dyDescent="0.35">
      <c r="B4" s="44" t="s">
        <v>76</v>
      </c>
      <c r="C4" s="16" t="s">
        <v>343</v>
      </c>
      <c r="D4" s="16" t="s">
        <v>161</v>
      </c>
      <c r="E4" s="16" t="s">
        <v>161</v>
      </c>
      <c r="F4" s="16" t="s">
        <v>161</v>
      </c>
      <c r="G4" s="16" t="s">
        <v>161</v>
      </c>
      <c r="H4" s="16" t="s">
        <v>161</v>
      </c>
      <c r="I4" s="16" t="s">
        <v>161</v>
      </c>
      <c r="J4" s="16" t="s">
        <v>161</v>
      </c>
      <c r="K4" s="16" t="s">
        <v>161</v>
      </c>
      <c r="L4" s="16" t="s">
        <v>161</v>
      </c>
      <c r="M4" s="16" t="s">
        <v>161</v>
      </c>
    </row>
    <row r="5" spans="2:13" s="29" customFormat="1" ht="21" customHeight="1" x14ac:dyDescent="0.35">
      <c r="B5" s="39" t="s">
        <v>23</v>
      </c>
      <c r="F5" s="1"/>
      <c r="G5" s="1"/>
      <c r="H5" s="1"/>
      <c r="I5" s="1"/>
      <c r="J5" s="1"/>
      <c r="K5" s="1"/>
      <c r="L5" s="1"/>
      <c r="M5" s="1"/>
    </row>
    <row r="6" spans="2:13" s="29" customFormat="1" ht="21" customHeight="1" x14ac:dyDescent="0.35">
      <c r="B6" s="6" t="s">
        <v>174</v>
      </c>
      <c r="C6" s="123">
        <f>'CoP-MoF'!D14/A</f>
        <v>1000</v>
      </c>
      <c r="D6" s="123">
        <f>C6</f>
        <v>1000</v>
      </c>
      <c r="E6" s="123">
        <f t="shared" ref="E6:M6" si="1">D6</f>
        <v>1000</v>
      </c>
      <c r="F6" s="123">
        <f t="shared" si="1"/>
        <v>1000</v>
      </c>
      <c r="G6" s="123">
        <f t="shared" si="1"/>
        <v>1000</v>
      </c>
      <c r="H6" s="123">
        <f t="shared" si="1"/>
        <v>1000</v>
      </c>
      <c r="I6" s="123">
        <f t="shared" si="1"/>
        <v>1000</v>
      </c>
      <c r="J6" s="123">
        <f t="shared" si="1"/>
        <v>1000</v>
      </c>
      <c r="K6" s="123">
        <f t="shared" si="1"/>
        <v>1000</v>
      </c>
      <c r="L6" s="123">
        <f t="shared" si="1"/>
        <v>1000</v>
      </c>
      <c r="M6" s="123">
        <f t="shared" si="1"/>
        <v>1000</v>
      </c>
    </row>
    <row r="7" spans="2:13" s="29" customFormat="1" ht="21" customHeight="1" x14ac:dyDescent="0.35">
      <c r="B7" s="6" t="s">
        <v>104</v>
      </c>
      <c r="C7" s="123">
        <f>'P &amp; L'!D53</f>
        <v>-378.52569454793104</v>
      </c>
      <c r="D7" s="123">
        <f>C7+'P &amp; L'!E53</f>
        <v>-1031.793426488724</v>
      </c>
      <c r="E7" s="123">
        <f>D7+'P &amp; L'!F53</f>
        <v>-877.82719900941061</v>
      </c>
      <c r="F7" s="123">
        <f>E7+'P &amp; L'!G53</f>
        <v>-411.70570596543905</v>
      </c>
      <c r="G7" s="123">
        <f>F7+'P &amp; L'!H53</f>
        <v>158.22588080597882</v>
      </c>
      <c r="H7" s="123">
        <f>G7+'P &amp; L'!I53</f>
        <v>756.87837322745577</v>
      </c>
      <c r="I7" s="123">
        <f>H7+'P &amp; L'!J53</f>
        <v>1503.6866128339157</v>
      </c>
      <c r="J7" s="123">
        <f>I7+'P &amp; L'!K53</f>
        <v>2363.9805620506668</v>
      </c>
      <c r="K7" s="123">
        <f>J7+'P &amp; L'!L53</f>
        <v>3293.2246914323841</v>
      </c>
      <c r="L7" s="123">
        <f>K7+'P &amp; L'!M53</f>
        <v>4344.1354911253202</v>
      </c>
      <c r="M7" s="123">
        <f>L7+'P &amp; L'!N53</f>
        <v>5507.7016049326194</v>
      </c>
    </row>
    <row r="8" spans="2:13" s="29" customFormat="1" ht="21" customHeight="1" x14ac:dyDescent="0.35">
      <c r="B8" s="6" t="s">
        <v>103</v>
      </c>
      <c r="C8" s="123">
        <f>'Cash Flow'!C8-C12</f>
        <v>3000</v>
      </c>
      <c r="D8" s="123">
        <f>C8+'Cash Flow'!D8-D12</f>
        <v>2687.5</v>
      </c>
      <c r="E8" s="123">
        <f>D8+'Cash Flow'!E8-E12</f>
        <v>2312.5</v>
      </c>
      <c r="F8" s="123">
        <f>E8+'Cash Flow'!F8-F12</f>
        <v>1937.5</v>
      </c>
      <c r="G8" s="123">
        <f>F8+'Cash Flow'!G8-G12</f>
        <v>1562.5</v>
      </c>
      <c r="H8" s="123">
        <f>G8+'Cash Flow'!H8-H12</f>
        <v>1187.5</v>
      </c>
      <c r="I8" s="123">
        <f>H8+'Cash Flow'!I8-I12</f>
        <v>812.5</v>
      </c>
      <c r="J8" s="123">
        <f>I8+'Cash Flow'!J8-J12</f>
        <v>437.5</v>
      </c>
      <c r="K8" s="123">
        <f>J8+'Cash Flow'!K8-K12</f>
        <v>62.5</v>
      </c>
      <c r="L8" s="123">
        <f>K8+'Cash Flow'!L8-L12</f>
        <v>0</v>
      </c>
      <c r="M8" s="123">
        <f>L8+'Cash Flow'!M8-M12</f>
        <v>0</v>
      </c>
    </row>
    <row r="9" spans="2:13" s="29" customFormat="1" ht="21" customHeight="1" x14ac:dyDescent="0.35">
      <c r="B9" s="268" t="s">
        <v>370</v>
      </c>
      <c r="C9" s="194">
        <f>'CoP-MoF'!D15/A</f>
        <v>45.70301780000031</v>
      </c>
      <c r="D9" s="194">
        <f>C9</f>
        <v>45.70301780000031</v>
      </c>
      <c r="E9" s="194">
        <f>D9</f>
        <v>45.70301780000031</v>
      </c>
      <c r="F9" s="194">
        <f t="shared" ref="F9:M9" si="2">E9</f>
        <v>45.70301780000031</v>
      </c>
      <c r="G9" s="194">
        <f t="shared" si="2"/>
        <v>45.70301780000031</v>
      </c>
      <c r="H9" s="194">
        <f t="shared" si="2"/>
        <v>45.70301780000031</v>
      </c>
      <c r="I9" s="194">
        <f t="shared" si="2"/>
        <v>45.70301780000031</v>
      </c>
      <c r="J9" s="194">
        <f t="shared" si="2"/>
        <v>45.70301780000031</v>
      </c>
      <c r="K9" s="194">
        <f t="shared" si="2"/>
        <v>45.70301780000031</v>
      </c>
      <c r="L9" s="194">
        <f t="shared" si="2"/>
        <v>45.70301780000031</v>
      </c>
      <c r="M9" s="194">
        <f t="shared" si="2"/>
        <v>45.70301780000031</v>
      </c>
    </row>
    <row r="10" spans="2:13" s="29" customFormat="1" ht="21" customHeight="1" x14ac:dyDescent="0.35">
      <c r="B10" s="39" t="s">
        <v>90</v>
      </c>
      <c r="C10" s="123"/>
      <c r="D10" s="123"/>
      <c r="E10" s="123"/>
      <c r="F10" s="123"/>
      <c r="G10" s="123"/>
      <c r="H10" s="123"/>
      <c r="I10" s="123"/>
      <c r="J10" s="123"/>
      <c r="K10" s="123"/>
      <c r="L10" s="123"/>
      <c r="M10" s="123"/>
    </row>
    <row r="11" spans="2:13" s="29" customFormat="1" ht="21" customHeight="1" x14ac:dyDescent="0.35">
      <c r="B11" s="6" t="s">
        <v>242</v>
      </c>
      <c r="C11" s="123">
        <f>WC!D23</f>
        <v>34.033999999999999</v>
      </c>
      <c r="D11" s="123">
        <f>WC!E23</f>
        <v>38.786383561643831</v>
      </c>
      <c r="E11" s="123">
        <f>WC!F23</f>
        <v>52.35255978082192</v>
      </c>
      <c r="F11" s="123">
        <f>WC!G23</f>
        <v>58.432456041205484</v>
      </c>
      <c r="G11" s="123">
        <f>WC!H23</f>
        <v>60.13840340367782</v>
      </c>
      <c r="H11" s="123">
        <f>WC!I23</f>
        <v>61.946707607898489</v>
      </c>
      <c r="I11" s="123">
        <f>WC!J23</f>
        <v>63.863510064372399</v>
      </c>
      <c r="J11" s="123">
        <f>WC!K23</f>
        <v>65.895320668234746</v>
      </c>
      <c r="K11" s="123">
        <f>WC!L23</f>
        <v>68.049039908328837</v>
      </c>
      <c r="L11" s="123">
        <f>WC!M23</f>
        <v>70.331982302828564</v>
      </c>
      <c r="M11" s="123">
        <f>WC!N23</f>
        <v>72.751901240998279</v>
      </c>
    </row>
    <row r="12" spans="2:13" s="29" customFormat="1" ht="30.75" customHeight="1" x14ac:dyDescent="0.35">
      <c r="B12" s="2" t="s">
        <v>173</v>
      </c>
      <c r="C12" s="123">
        <f>'TL Schd'!E7</f>
        <v>0</v>
      </c>
      <c r="D12" s="123">
        <f>'TL Schd'!F7</f>
        <v>312.5</v>
      </c>
      <c r="E12" s="123">
        <f>'TL Schd'!G7</f>
        <v>375</v>
      </c>
      <c r="F12" s="123">
        <f>'TL Schd'!H7</f>
        <v>375</v>
      </c>
      <c r="G12" s="123">
        <f>'TL Schd'!I7</f>
        <v>375</v>
      </c>
      <c r="H12" s="123">
        <f>'TL Schd'!J7</f>
        <v>375</v>
      </c>
      <c r="I12" s="123">
        <f>'TL Schd'!K7</f>
        <v>375</v>
      </c>
      <c r="J12" s="123">
        <f>'TL Schd'!L7</f>
        <v>375</v>
      </c>
      <c r="K12" s="123">
        <f>'TL Schd'!M7</f>
        <v>375</v>
      </c>
      <c r="L12" s="123">
        <f>'TL Schd'!N7</f>
        <v>62.5</v>
      </c>
      <c r="M12" s="123">
        <v>0</v>
      </c>
    </row>
    <row r="13" spans="2:13" s="29" customFormat="1" ht="21" customHeight="1" x14ac:dyDescent="0.35">
      <c r="B13" s="53" t="s">
        <v>24</v>
      </c>
      <c r="C13" s="198">
        <f t="shared" ref="C13:M13" si="3">SUM(C6:C12)</f>
        <v>3701.2113232520696</v>
      </c>
      <c r="D13" s="198">
        <f t="shared" si="3"/>
        <v>3052.6959748729205</v>
      </c>
      <c r="E13" s="198">
        <f t="shared" si="3"/>
        <v>2907.7283785714117</v>
      </c>
      <c r="F13" s="198">
        <f t="shared" si="3"/>
        <v>3004.9297678757671</v>
      </c>
      <c r="G13" s="198">
        <f t="shared" si="3"/>
        <v>3201.5673020096569</v>
      </c>
      <c r="H13" s="198">
        <f t="shared" si="3"/>
        <v>3427.028098635355</v>
      </c>
      <c r="I13" s="198">
        <f t="shared" si="3"/>
        <v>3800.7531406982885</v>
      </c>
      <c r="J13" s="198">
        <f t="shared" si="3"/>
        <v>4288.0789005189017</v>
      </c>
      <c r="K13" s="198">
        <f t="shared" si="3"/>
        <v>4844.4767491407138</v>
      </c>
      <c r="L13" s="198">
        <f t="shared" si="3"/>
        <v>5522.6704912281493</v>
      </c>
      <c r="M13" s="198">
        <f t="shared" si="3"/>
        <v>6626.1565239736183</v>
      </c>
    </row>
    <row r="14" spans="2:13" s="29" customFormat="1" ht="21" customHeight="1" x14ac:dyDescent="0.35">
      <c r="B14" s="39" t="s">
        <v>98</v>
      </c>
      <c r="C14" s="123"/>
      <c r="D14" s="123"/>
      <c r="E14" s="123"/>
      <c r="F14" s="123"/>
      <c r="G14" s="123"/>
      <c r="H14" s="123"/>
      <c r="I14" s="123"/>
      <c r="J14" s="123"/>
      <c r="K14" s="123"/>
      <c r="L14" s="123"/>
      <c r="M14" s="123"/>
    </row>
    <row r="15" spans="2:13" s="29" customFormat="1" ht="21" hidden="1" customHeight="1" x14ac:dyDescent="0.35">
      <c r="B15" s="6"/>
      <c r="C15" s="123"/>
      <c r="D15" s="123"/>
      <c r="E15" s="123"/>
      <c r="F15" s="123"/>
      <c r="G15" s="123"/>
      <c r="H15" s="123"/>
      <c r="I15" s="123"/>
      <c r="J15" s="123"/>
      <c r="K15" s="123"/>
      <c r="L15" s="123"/>
      <c r="M15" s="123"/>
    </row>
    <row r="16" spans="2:13" s="29" customFormat="1" ht="21" customHeight="1" x14ac:dyDescent="0.35">
      <c r="B16" s="268" t="s">
        <v>374</v>
      </c>
      <c r="C16" s="194">
        <f>Depr!C11</f>
        <v>738.76012038942747</v>
      </c>
      <c r="D16" s="194">
        <f>Depr!D11</f>
        <v>738.76012038942747</v>
      </c>
      <c r="E16" s="194">
        <f>Depr!E11</f>
        <v>744.76012038942747</v>
      </c>
      <c r="F16" s="194">
        <f>Depr!F11</f>
        <v>744.76012038942747</v>
      </c>
      <c r="G16" s="194">
        <f>Depr!G11</f>
        <v>744.76012038942747</v>
      </c>
      <c r="H16" s="194">
        <f>Depr!H11</f>
        <v>744.76012038942747</v>
      </c>
      <c r="I16" s="194">
        <f>Depr!I11</f>
        <v>744.76012038942747</v>
      </c>
      <c r="J16" s="194">
        <f>Depr!J11</f>
        <v>744.76012038942747</v>
      </c>
      <c r="K16" s="194">
        <f>Depr!K11</f>
        <v>744.76012038942747</v>
      </c>
      <c r="L16" s="194">
        <f>Depr!L11</f>
        <v>744.76012038942747</v>
      </c>
      <c r="M16" s="194">
        <f>Depr!M11</f>
        <v>744.76012038942747</v>
      </c>
    </row>
    <row r="17" spans="2:13" s="29" customFormat="1" ht="21" customHeight="1" x14ac:dyDescent="0.35">
      <c r="B17" s="6" t="s">
        <v>60</v>
      </c>
      <c r="C17" s="194">
        <f>Depr!C13</f>
        <v>2513.7428974105728</v>
      </c>
      <c r="D17" s="194">
        <f>Depr!D13</f>
        <v>2513.7428974105728</v>
      </c>
      <c r="E17" s="194">
        <f>Depr!E13</f>
        <v>2513.7428974105728</v>
      </c>
      <c r="F17" s="194">
        <f>Depr!F13</f>
        <v>2813.7428974105728</v>
      </c>
      <c r="G17" s="194">
        <f>Depr!G13</f>
        <v>2813.7428974105728</v>
      </c>
      <c r="H17" s="194">
        <f>Depr!H13</f>
        <v>2813.7428974105728</v>
      </c>
      <c r="I17" s="194">
        <f>Depr!I13</f>
        <v>2813.7428974105728</v>
      </c>
      <c r="J17" s="194">
        <f>Depr!J13</f>
        <v>2813.7428974105728</v>
      </c>
      <c r="K17" s="194">
        <f>Depr!K13</f>
        <v>3213.7428974105728</v>
      </c>
      <c r="L17" s="194">
        <f>Depr!L13</f>
        <v>3213.7428974105728</v>
      </c>
      <c r="M17" s="194">
        <f>Depr!M13</f>
        <v>3213.7428974105728</v>
      </c>
    </row>
    <row r="18" spans="2:13" s="29" customFormat="1" ht="21" customHeight="1" x14ac:dyDescent="0.35">
      <c r="B18" s="39" t="s">
        <v>100</v>
      </c>
      <c r="C18" s="199">
        <f t="shared" ref="C18:K18" si="4">SUM(C15:C17)</f>
        <v>3252.5030178000002</v>
      </c>
      <c r="D18" s="199">
        <f t="shared" si="4"/>
        <v>3252.5030178000002</v>
      </c>
      <c r="E18" s="199">
        <f t="shared" si="4"/>
        <v>3258.5030178000002</v>
      </c>
      <c r="F18" s="199">
        <f t="shared" si="4"/>
        <v>3558.5030178000002</v>
      </c>
      <c r="G18" s="199">
        <f t="shared" si="4"/>
        <v>3558.5030178000002</v>
      </c>
      <c r="H18" s="199">
        <f t="shared" si="4"/>
        <v>3558.5030178000002</v>
      </c>
      <c r="I18" s="199">
        <f t="shared" si="4"/>
        <v>3558.5030178000002</v>
      </c>
      <c r="J18" s="199">
        <f t="shared" si="4"/>
        <v>3558.5030178000002</v>
      </c>
      <c r="K18" s="199">
        <f t="shared" si="4"/>
        <v>3958.5030178000002</v>
      </c>
      <c r="L18" s="199">
        <f t="shared" ref="L18:M18" si="5">SUM(L15:L17)</f>
        <v>3958.5030178000002</v>
      </c>
      <c r="M18" s="199">
        <f t="shared" si="5"/>
        <v>3958.5030178000002</v>
      </c>
    </row>
    <row r="19" spans="2:13" s="29" customFormat="1" ht="21" customHeight="1" x14ac:dyDescent="0.35">
      <c r="B19" s="6" t="s">
        <v>69</v>
      </c>
      <c r="C19" s="123">
        <f>'P &amp; L'!D49</f>
        <v>225.46872332526436</v>
      </c>
      <c r="D19" s="123">
        <f>C19+'P &amp; L'!E49</f>
        <v>644.43276177797691</v>
      </c>
      <c r="E19" s="123">
        <f>D19+'P &amp; L'!F49</f>
        <v>1004.6613050346323</v>
      </c>
      <c r="F19" s="123">
        <f>E19+'P &amp; L'!G49</f>
        <v>1359.0437663174541</v>
      </c>
      <c r="G19" s="123">
        <f>F19+'P &amp; L'!H49</f>
        <v>1663.1382379710512</v>
      </c>
      <c r="H19" s="123">
        <f>G19+'P &amp; L'!I49</f>
        <v>1924.2009804834872</v>
      </c>
      <c r="I19" s="123">
        <f>H19+'P &amp; L'!J49</f>
        <v>2148.4285090652484</v>
      </c>
      <c r="J19" s="123">
        <f>I19+'P &amp; L'!K49</f>
        <v>2341.1136860613169</v>
      </c>
      <c r="K19" s="123">
        <f>J19+'P &amp; L'!L49</f>
        <v>2566.7786864393897</v>
      </c>
      <c r="L19" s="123">
        <f>K19+'P &amp; L'!M49</f>
        <v>2760.2882766990247</v>
      </c>
      <c r="M19" s="123">
        <f>L19+'P &amp; L'!N49</f>
        <v>2926.29633436416</v>
      </c>
    </row>
    <row r="20" spans="2:13" s="29" customFormat="1" ht="21" customHeight="1" x14ac:dyDescent="0.35">
      <c r="B20" s="39" t="s">
        <v>114</v>
      </c>
      <c r="C20" s="199">
        <f t="shared" ref="C20:H20" si="6">C18-C19</f>
        <v>3027.0342944747358</v>
      </c>
      <c r="D20" s="199">
        <f t="shared" si="6"/>
        <v>2608.0702560220234</v>
      </c>
      <c r="E20" s="199">
        <f t="shared" si="6"/>
        <v>2253.8417127653679</v>
      </c>
      <c r="F20" s="199">
        <f t="shared" si="6"/>
        <v>2199.4592514825463</v>
      </c>
      <c r="G20" s="199">
        <f t="shared" si="6"/>
        <v>1895.3647798289489</v>
      </c>
      <c r="H20" s="199">
        <f t="shared" si="6"/>
        <v>1634.302037316513</v>
      </c>
      <c r="I20" s="199">
        <f t="shared" ref="I20:J20" si="7">I18-I19</f>
        <v>1410.0745087347518</v>
      </c>
      <c r="J20" s="199">
        <f t="shared" si="7"/>
        <v>1217.3893317386833</v>
      </c>
      <c r="K20" s="199">
        <f t="shared" ref="K20:L20" si="8">K18-K19</f>
        <v>1391.7243313606104</v>
      </c>
      <c r="L20" s="199">
        <f t="shared" si="8"/>
        <v>1198.2147411009755</v>
      </c>
      <c r="M20" s="199">
        <f t="shared" ref="M20" si="9">M18-M19</f>
        <v>1032.2066834358402</v>
      </c>
    </row>
    <row r="21" spans="2:13" s="13" customFormat="1" ht="21" customHeight="1" x14ac:dyDescent="0.35">
      <c r="B21" s="39" t="s">
        <v>101</v>
      </c>
      <c r="C21" s="199">
        <f t="shared" ref="C21:H21" si="10">SUM(C22:C24)</f>
        <v>353.85702877733382</v>
      </c>
      <c r="D21" s="199">
        <f t="shared" si="10"/>
        <v>192.94571885089738</v>
      </c>
      <c r="E21" s="199">
        <f t="shared" si="10"/>
        <v>470.84666580604437</v>
      </c>
      <c r="F21" s="199">
        <f t="shared" si="10"/>
        <v>691.0705163932214</v>
      </c>
      <c r="G21" s="199">
        <f t="shared" si="10"/>
        <v>1260.4425221807087</v>
      </c>
      <c r="H21" s="199">
        <f t="shared" si="10"/>
        <v>1792.7260613188421</v>
      </c>
      <c r="I21" s="199">
        <f t="shared" ref="I21:J21" si="11">SUM(I22:I24)</f>
        <v>2390.6786319635371</v>
      </c>
      <c r="J21" s="199">
        <f t="shared" si="11"/>
        <v>3070.6895687802189</v>
      </c>
      <c r="K21" s="199">
        <f t="shared" ref="K21:L21" si="12">SUM(K22:K24)</f>
        <v>3452.7524177801029</v>
      </c>
      <c r="L21" s="199">
        <f t="shared" si="12"/>
        <v>4324.4557501271738</v>
      </c>
      <c r="M21" s="199">
        <f t="shared" ref="M21" si="13">SUM(M22:M24)</f>
        <v>5593.949840537779</v>
      </c>
    </row>
    <row r="22" spans="2:13" s="29" customFormat="1" ht="21" customHeight="1" x14ac:dyDescent="0.35">
      <c r="B22" s="6" t="s">
        <v>86</v>
      </c>
      <c r="C22" s="123">
        <f>WC!D26</f>
        <v>50.425000000000004</v>
      </c>
      <c r="D22" s="123">
        <f>WC!E26</f>
        <v>109.82979452054792</v>
      </c>
      <c r="E22" s="123">
        <f>WC!F26</f>
        <v>279.40699726027401</v>
      </c>
      <c r="F22" s="123">
        <f>WC!G26</f>
        <v>355.40570051506853</v>
      </c>
      <c r="G22" s="123">
        <f>WC!H26</f>
        <v>376.73004254597271</v>
      </c>
      <c r="H22" s="123">
        <f>WC!I26</f>
        <v>399.33384509873105</v>
      </c>
      <c r="I22" s="123">
        <f>WC!J26</f>
        <v>423.29387580465504</v>
      </c>
      <c r="J22" s="123">
        <f>WC!K26</f>
        <v>448.69150835293431</v>
      </c>
      <c r="K22" s="123">
        <f>WC!L26</f>
        <v>475.6129988541104</v>
      </c>
      <c r="L22" s="123">
        <f>WC!M26</f>
        <v>504.14977878535706</v>
      </c>
      <c r="M22" s="123">
        <f>WC!N26</f>
        <v>534.39876551247846</v>
      </c>
    </row>
    <row r="23" spans="2:13" s="29" customFormat="1" ht="21" customHeight="1" x14ac:dyDescent="0.35">
      <c r="B23" s="6" t="s">
        <v>87</v>
      </c>
      <c r="C23" s="123">
        <f>WC!D28</f>
        <v>4.0340000000000007</v>
      </c>
      <c r="D23" s="123">
        <f>WC!E28</f>
        <v>8.7863835616438344</v>
      </c>
      <c r="E23" s="123">
        <f>WC!F28</f>
        <v>22.35255978082192</v>
      </c>
      <c r="F23" s="123">
        <f>WC!G28</f>
        <v>28.43245604120548</v>
      </c>
      <c r="G23" s="123">
        <f>WC!H28</f>
        <v>30.13840340367782</v>
      </c>
      <c r="H23" s="123">
        <f>WC!I28</f>
        <v>31.946707607898489</v>
      </c>
      <c r="I23" s="123">
        <f>WC!J28</f>
        <v>33.863510064372399</v>
      </c>
      <c r="J23" s="123">
        <f>WC!K28</f>
        <v>35.895320668234746</v>
      </c>
      <c r="K23" s="123">
        <f>WC!L28</f>
        <v>38.04903990832883</v>
      </c>
      <c r="L23" s="123">
        <f>WC!M28</f>
        <v>40.331982302828564</v>
      </c>
      <c r="M23" s="123">
        <f>WC!N28</f>
        <v>42.751901240998286</v>
      </c>
    </row>
    <row r="24" spans="2:13" s="29" customFormat="1" ht="21" customHeight="1" x14ac:dyDescent="0.35">
      <c r="B24" s="6" t="s">
        <v>115</v>
      </c>
      <c r="C24" s="123">
        <f>'Cash Flow'!C32</f>
        <v>299.39802877733382</v>
      </c>
      <c r="D24" s="123">
        <f>'Cash Flow'!D32</f>
        <v>74.329540768705613</v>
      </c>
      <c r="E24" s="123">
        <f>'Cash Flow'!E32</f>
        <v>169.08710876494843</v>
      </c>
      <c r="F24" s="123">
        <f>'Cash Flow'!F32</f>
        <v>307.23235983694747</v>
      </c>
      <c r="G24" s="123">
        <f>'Cash Flow'!G32</f>
        <v>853.57407623105814</v>
      </c>
      <c r="H24" s="123">
        <f>'Cash Flow'!H32</f>
        <v>1361.4455086122125</v>
      </c>
      <c r="I24" s="123">
        <f>'Cash Flow'!I32</f>
        <v>1933.5212460945095</v>
      </c>
      <c r="J24" s="123">
        <f>'Cash Flow'!J32</f>
        <v>2586.1027397590497</v>
      </c>
      <c r="K24" s="123">
        <f>'Cash Flow'!K32</f>
        <v>2939.0903790176635</v>
      </c>
      <c r="L24" s="123">
        <f>'Cash Flow'!L32</f>
        <v>3779.9739890389883</v>
      </c>
      <c r="M24" s="123">
        <f>'Cash Flow'!M32</f>
        <v>5016.7991737843022</v>
      </c>
    </row>
    <row r="25" spans="2:13" s="29" customFormat="1" ht="21" customHeight="1" x14ac:dyDescent="0.35">
      <c r="B25" s="6" t="s">
        <v>107</v>
      </c>
      <c r="C25" s="123">
        <f>'CoP-MoF'!D7/A-'P &amp; L'!D50</f>
        <v>320.32</v>
      </c>
      <c r="D25" s="123">
        <f>C25-'P &amp; L'!E50</f>
        <v>251.68</v>
      </c>
      <c r="E25" s="123">
        <f>D25-'P &amp; L'!F50</f>
        <v>183.04000000000002</v>
      </c>
      <c r="F25" s="123">
        <f>E25-'P &amp; L'!G50</f>
        <v>114.40000000000002</v>
      </c>
      <c r="G25" s="123">
        <f>F25-'P &amp; L'!H50</f>
        <v>45.760000000000019</v>
      </c>
      <c r="H25" s="123">
        <f>G25-'P &amp; L'!I50</f>
        <v>0</v>
      </c>
      <c r="I25" s="123">
        <f>H25-'P &amp; L'!J50</f>
        <v>0</v>
      </c>
      <c r="J25" s="123">
        <f>I25-'P &amp; L'!K50</f>
        <v>0</v>
      </c>
      <c r="K25" s="123">
        <f>J25-'P &amp; L'!L50</f>
        <v>0</v>
      </c>
      <c r="L25" s="123">
        <f>K25-'P &amp; L'!M50</f>
        <v>0</v>
      </c>
      <c r="M25" s="123">
        <f>L25-'P &amp; L'!N50</f>
        <v>0</v>
      </c>
    </row>
    <row r="26" spans="2:13" s="29" customFormat="1" ht="21" customHeight="1" x14ac:dyDescent="0.35">
      <c r="B26" s="53" t="s">
        <v>24</v>
      </c>
      <c r="C26" s="198">
        <f>C20+C21+C25</f>
        <v>3701.2113232520696</v>
      </c>
      <c r="D26" s="198">
        <f t="shared" ref="D26:K26" si="14">D20+D21+D25</f>
        <v>3052.6959748729205</v>
      </c>
      <c r="E26" s="198">
        <f t="shared" si="14"/>
        <v>2907.7283785714121</v>
      </c>
      <c r="F26" s="198">
        <f t="shared" si="14"/>
        <v>3004.929767875768</v>
      </c>
      <c r="G26" s="198">
        <f t="shared" si="14"/>
        <v>3201.5673020096579</v>
      </c>
      <c r="H26" s="198">
        <f t="shared" si="14"/>
        <v>3427.028098635355</v>
      </c>
      <c r="I26" s="198">
        <f t="shared" si="14"/>
        <v>3800.7531406982889</v>
      </c>
      <c r="J26" s="198">
        <f t="shared" si="14"/>
        <v>4288.0789005189017</v>
      </c>
      <c r="K26" s="198">
        <f t="shared" si="14"/>
        <v>4844.4767491407129</v>
      </c>
      <c r="L26" s="198">
        <f t="shared" ref="L26:M26" si="15">L20+L21+L25</f>
        <v>5522.6704912281493</v>
      </c>
      <c r="M26" s="198">
        <f t="shared" si="15"/>
        <v>6626.1565239736192</v>
      </c>
    </row>
    <row r="27" spans="2:13" x14ac:dyDescent="0.35">
      <c r="L27" s="1"/>
      <c r="M27" s="1"/>
    </row>
    <row r="28" spans="2:13" x14ac:dyDescent="0.35">
      <c r="B28" s="65" t="s">
        <v>112</v>
      </c>
      <c r="C28" s="64">
        <f t="shared" ref="C28:K28" si="16">C26-C13</f>
        <v>0</v>
      </c>
      <c r="D28" s="64">
        <f t="shared" si="16"/>
        <v>0</v>
      </c>
      <c r="E28" s="64">
        <f t="shared" si="16"/>
        <v>0</v>
      </c>
      <c r="F28" s="66">
        <f t="shared" si="16"/>
        <v>0</v>
      </c>
      <c r="G28" s="66">
        <f t="shared" si="16"/>
        <v>0</v>
      </c>
      <c r="H28" s="66">
        <f t="shared" si="16"/>
        <v>0</v>
      </c>
      <c r="I28" s="66">
        <f t="shared" si="16"/>
        <v>0</v>
      </c>
      <c r="J28" s="66">
        <f t="shared" si="16"/>
        <v>0</v>
      </c>
      <c r="K28" s="66">
        <f t="shared" si="16"/>
        <v>0</v>
      </c>
      <c r="L28" s="66">
        <f t="shared" ref="L28:M28" si="17">L26-L13</f>
        <v>0</v>
      </c>
      <c r="M28" s="66">
        <f t="shared" si="17"/>
        <v>0</v>
      </c>
    </row>
  </sheetData>
  <customSheetViews>
    <customSheetView guid="{22475485-DA09-46DB-978D-BB94CE1E5597}">
      <pane xSplit="1" ySplit="2" topLeftCell="B20" activePane="bottomRight" state="frozen"/>
      <selection pane="bottomRight" activeCell="C22" sqref="C22"/>
      <pageMargins left="0.43" right="0.7" top="0.75" bottom="0.75" header="0.3" footer="0.3"/>
      <pageSetup paperSize="9" orientation="landscape" verticalDpi="300" r:id="rId1"/>
    </customSheetView>
  </customSheetViews>
  <mergeCells count="1">
    <mergeCell ref="B2:M2"/>
  </mergeCells>
  <pageMargins left="0.43" right="0.7" top="0.75" bottom="0.75" header="0.3" footer="0.3"/>
  <pageSetup paperSize="9" orientation="landscape"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M32"/>
  <sheetViews>
    <sheetView showGridLines="0" zoomScaleNormal="100" workbookViewId="0">
      <pane xSplit="2" ySplit="3" topLeftCell="F23" activePane="bottomRight" state="frozen"/>
      <selection pane="topRight" activeCell="B1" sqref="B1"/>
      <selection pane="bottomLeft" activeCell="A3" sqref="A3"/>
      <selection pane="bottomRight" activeCell="C30" sqref="C30"/>
    </sheetView>
  </sheetViews>
  <sheetFormatPr defaultColWidth="32.26953125" defaultRowHeight="14.5" x14ac:dyDescent="0.35"/>
  <cols>
    <col min="1" max="1" width="4.7265625" style="28" customWidth="1"/>
    <col min="2" max="2" width="40.26953125" style="29" customWidth="1"/>
    <col min="3" max="11" width="12.7265625" style="1" customWidth="1"/>
    <col min="12" max="12" width="14.90625" style="28" customWidth="1"/>
    <col min="13" max="13" width="13.36328125" style="28" customWidth="1"/>
    <col min="14" max="16384" width="32.26953125" style="28"/>
  </cols>
  <sheetData>
    <row r="1" spans="2:13" ht="18.75" customHeight="1" x14ac:dyDescent="0.35"/>
    <row r="2" spans="2:13" ht="17.25" customHeight="1" x14ac:dyDescent="0.35">
      <c r="B2" s="75" t="s">
        <v>113</v>
      </c>
      <c r="C2" s="75"/>
      <c r="D2" s="75"/>
      <c r="E2" s="75"/>
      <c r="F2" s="75"/>
      <c r="G2" s="75"/>
      <c r="H2" s="75"/>
      <c r="I2" s="75"/>
      <c r="J2" s="75"/>
      <c r="K2" s="75"/>
      <c r="L2" s="75"/>
      <c r="M2" s="75"/>
    </row>
    <row r="3" spans="2:13" s="10" customFormat="1" ht="18.75" customHeight="1" x14ac:dyDescent="0.35">
      <c r="B3" s="68" t="s">
        <v>7</v>
      </c>
      <c r="C3" s="27">
        <v>2025</v>
      </c>
      <c r="D3" s="27">
        <f t="shared" ref="D3:K3" si="0">C3+1</f>
        <v>2026</v>
      </c>
      <c r="E3" s="27">
        <f t="shared" si="0"/>
        <v>2027</v>
      </c>
      <c r="F3" s="27">
        <f t="shared" si="0"/>
        <v>2028</v>
      </c>
      <c r="G3" s="27">
        <f t="shared" si="0"/>
        <v>2029</v>
      </c>
      <c r="H3" s="27">
        <f t="shared" si="0"/>
        <v>2030</v>
      </c>
      <c r="I3" s="27">
        <f t="shared" si="0"/>
        <v>2031</v>
      </c>
      <c r="J3" s="27">
        <f t="shared" si="0"/>
        <v>2032</v>
      </c>
      <c r="K3" s="27">
        <f t="shared" si="0"/>
        <v>2033</v>
      </c>
      <c r="L3" s="27">
        <f t="shared" ref="L3" si="1">K3+1</f>
        <v>2034</v>
      </c>
      <c r="M3" s="27">
        <f t="shared" ref="M3" si="2">L3+1</f>
        <v>2035</v>
      </c>
    </row>
    <row r="4" spans="2:13" s="29" customFormat="1" ht="21" customHeight="1" x14ac:dyDescent="0.35">
      <c r="B4" s="35" t="s">
        <v>76</v>
      </c>
      <c r="C4" s="16" t="s">
        <v>343</v>
      </c>
      <c r="D4" s="16" t="s">
        <v>161</v>
      </c>
      <c r="E4" s="16" t="s">
        <v>161</v>
      </c>
      <c r="F4" s="16" t="s">
        <v>161</v>
      </c>
      <c r="G4" s="16" t="s">
        <v>161</v>
      </c>
      <c r="H4" s="16" t="s">
        <v>161</v>
      </c>
      <c r="I4" s="16" t="s">
        <v>161</v>
      </c>
      <c r="J4" s="16" t="s">
        <v>161</v>
      </c>
      <c r="K4" s="16" t="s">
        <v>161</v>
      </c>
      <c r="L4" s="16" t="s">
        <v>161</v>
      </c>
      <c r="M4" s="16" t="s">
        <v>161</v>
      </c>
    </row>
    <row r="5" spans="2:13" s="29" customFormat="1" ht="21" customHeight="1" x14ac:dyDescent="0.35">
      <c r="B5" s="13" t="s">
        <v>25</v>
      </c>
      <c r="C5" s="1"/>
      <c r="D5" s="1"/>
      <c r="E5" s="1"/>
      <c r="F5" s="1"/>
      <c r="G5" s="1"/>
      <c r="H5" s="1"/>
      <c r="I5" s="1"/>
      <c r="J5" s="1"/>
      <c r="K5" s="1"/>
      <c r="L5" s="1"/>
      <c r="M5" s="1"/>
    </row>
    <row r="6" spans="2:13" s="29" customFormat="1" ht="21" customHeight="1" x14ac:dyDescent="0.35">
      <c r="B6" s="29" t="s">
        <v>109</v>
      </c>
      <c r="C6" s="123">
        <f>'P &amp; L'!D53</f>
        <v>-378.52569454793104</v>
      </c>
      <c r="D6" s="123">
        <f>'P &amp; L'!E53</f>
        <v>-653.26773194079283</v>
      </c>
      <c r="E6" s="123">
        <f>'P &amp; L'!F53</f>
        <v>153.96622747931343</v>
      </c>
      <c r="F6" s="123">
        <f>'P &amp; L'!G53</f>
        <v>466.12149304397155</v>
      </c>
      <c r="G6" s="123">
        <f>'P &amp; L'!H53</f>
        <v>569.93158677141787</v>
      </c>
      <c r="H6" s="123">
        <f>'P &amp; L'!I53</f>
        <v>598.65249242147695</v>
      </c>
      <c r="I6" s="123">
        <f>'P &amp; L'!J53</f>
        <v>746.80823960645978</v>
      </c>
      <c r="J6" s="123">
        <f>'P &amp; L'!K53</f>
        <v>860.29394921675112</v>
      </c>
      <c r="K6" s="123">
        <f>'P &amp; L'!L53</f>
        <v>929.24412938171747</v>
      </c>
      <c r="L6" s="123">
        <f>'P &amp; L'!M53</f>
        <v>1050.9107996929365</v>
      </c>
      <c r="M6" s="123">
        <f>'P &amp; L'!N53</f>
        <v>1163.5661138072996</v>
      </c>
    </row>
    <row r="7" spans="2:13" s="29" customFormat="1" ht="21" customHeight="1" x14ac:dyDescent="0.35">
      <c r="B7" s="29" t="s">
        <v>175</v>
      </c>
      <c r="C7" s="123">
        <f>BS!C6</f>
        <v>1000</v>
      </c>
      <c r="D7" s="123">
        <f>BS!D6-BS!C6</f>
        <v>0</v>
      </c>
      <c r="E7" s="123">
        <f>BS!E6-BS!D6</f>
        <v>0</v>
      </c>
      <c r="F7" s="123">
        <f>BS!F6-BS!E6</f>
        <v>0</v>
      </c>
      <c r="G7" s="123">
        <f>BS!G6-BS!F6</f>
        <v>0</v>
      </c>
      <c r="H7" s="123">
        <f>BS!H6-BS!G6</f>
        <v>0</v>
      </c>
      <c r="I7" s="123">
        <f>BS!I6-BS!H6</f>
        <v>0</v>
      </c>
      <c r="J7" s="123">
        <f>BS!J6-BS!I6</f>
        <v>0</v>
      </c>
      <c r="K7" s="123">
        <f>BS!K6-BS!J6</f>
        <v>0</v>
      </c>
      <c r="L7" s="123">
        <f>BS!L6-BS!K6</f>
        <v>0</v>
      </c>
      <c r="M7" s="123">
        <f>BS!M6-BS!L6</f>
        <v>0</v>
      </c>
    </row>
    <row r="8" spans="2:13" s="29" customFormat="1" ht="21" customHeight="1" x14ac:dyDescent="0.35">
      <c r="B8" s="29" t="s">
        <v>156</v>
      </c>
      <c r="C8" s="123">
        <f>'TL Schd'!D6</f>
        <v>3000</v>
      </c>
      <c r="D8" s="123">
        <f>'TL Schd'!E6</f>
        <v>0</v>
      </c>
      <c r="E8" s="123">
        <f>'TL Schd'!F6</f>
        <v>0</v>
      </c>
      <c r="F8" s="123">
        <f>'TL Schd'!G6</f>
        <v>0</v>
      </c>
      <c r="G8" s="123">
        <f>'TL Schd'!H6</f>
        <v>0</v>
      </c>
      <c r="H8" s="123">
        <f>'TL Schd'!I6</f>
        <v>0</v>
      </c>
      <c r="I8" s="123">
        <f>'TL Schd'!J6</f>
        <v>0</v>
      </c>
      <c r="J8" s="123">
        <f>'TL Schd'!K6</f>
        <v>0</v>
      </c>
      <c r="K8" s="123">
        <f>'TL Schd'!L6</f>
        <v>0</v>
      </c>
      <c r="L8" s="123">
        <f>'TL Schd'!M6</f>
        <v>0</v>
      </c>
      <c r="M8" s="123">
        <f>'TL Schd'!N6</f>
        <v>0</v>
      </c>
    </row>
    <row r="9" spans="2:13" s="29" customFormat="1" ht="21" customHeight="1" x14ac:dyDescent="0.35">
      <c r="B9" s="29" t="s">
        <v>371</v>
      </c>
      <c r="C9" s="158">
        <f>BS!C9</f>
        <v>45.70301780000031</v>
      </c>
      <c r="D9" s="158">
        <f>BS!D9-BS!C9</f>
        <v>0</v>
      </c>
      <c r="E9" s="123">
        <v>0</v>
      </c>
      <c r="F9" s="123">
        <v>0</v>
      </c>
      <c r="G9" s="123">
        <v>0</v>
      </c>
      <c r="H9" s="123">
        <v>0</v>
      </c>
      <c r="I9" s="123">
        <v>0</v>
      </c>
      <c r="J9" s="123">
        <v>0</v>
      </c>
      <c r="K9" s="123">
        <v>0</v>
      </c>
      <c r="L9" s="123">
        <v>0</v>
      </c>
      <c r="M9" s="123">
        <v>0</v>
      </c>
    </row>
    <row r="10" spans="2:13" s="29" customFormat="1" ht="21" customHeight="1" x14ac:dyDescent="0.35">
      <c r="B10" s="29" t="s">
        <v>273</v>
      </c>
      <c r="C10" s="194">
        <v>0</v>
      </c>
      <c r="D10" s="194">
        <v>0</v>
      </c>
      <c r="E10" s="194">
        <v>0</v>
      </c>
      <c r="F10" s="194">
        <v>0</v>
      </c>
      <c r="G10" s="194">
        <v>0</v>
      </c>
      <c r="H10" s="194">
        <v>0</v>
      </c>
      <c r="I10" s="194">
        <v>0</v>
      </c>
      <c r="J10" s="194">
        <v>0</v>
      </c>
      <c r="K10" s="194">
        <v>0</v>
      </c>
      <c r="L10" s="194">
        <v>0</v>
      </c>
      <c r="M10" s="194">
        <v>0</v>
      </c>
    </row>
    <row r="11" spans="2:13" s="29" customFormat="1" ht="21" customHeight="1" x14ac:dyDescent="0.35">
      <c r="B11" s="29" t="s">
        <v>274</v>
      </c>
      <c r="C11" s="194">
        <v>0</v>
      </c>
      <c r="D11" s="194">
        <v>0</v>
      </c>
      <c r="E11" s="194">
        <v>0</v>
      </c>
      <c r="F11" s="194">
        <v>0</v>
      </c>
      <c r="G11" s="194">
        <v>0</v>
      </c>
      <c r="H11" s="194">
        <v>0</v>
      </c>
      <c r="I11" s="194">
        <v>0</v>
      </c>
      <c r="J11" s="194">
        <v>0</v>
      </c>
      <c r="K11" s="194">
        <v>0</v>
      </c>
      <c r="L11" s="194">
        <v>0</v>
      </c>
      <c r="M11" s="194">
        <v>0</v>
      </c>
    </row>
    <row r="12" spans="2:13" s="29" customFormat="1" ht="21" customHeight="1" x14ac:dyDescent="0.35">
      <c r="B12" s="29" t="s">
        <v>37</v>
      </c>
      <c r="C12" s="123">
        <f>'P &amp; L'!D55</f>
        <v>225.46872332526436</v>
      </c>
      <c r="D12" s="123">
        <f>'P &amp; L'!E55</f>
        <v>418.96403845271254</v>
      </c>
      <c r="E12" s="123">
        <f>'P &amp; L'!F55</f>
        <v>360.22854325665543</v>
      </c>
      <c r="F12" s="123">
        <f>'P &amp; L'!G55</f>
        <v>354.38246128282191</v>
      </c>
      <c r="G12" s="123">
        <f>'P &amp; L'!H55</f>
        <v>304.094471653597</v>
      </c>
      <c r="H12" s="123">
        <f>'P &amp; L'!I55</f>
        <v>261.06274251243593</v>
      </c>
      <c r="I12" s="123">
        <f>'P &amp; L'!J55</f>
        <v>224.22752858176119</v>
      </c>
      <c r="J12" s="123">
        <f>'P &amp; L'!K55</f>
        <v>192.68517699606861</v>
      </c>
      <c r="K12" s="123">
        <f>'P &amp; L'!L55</f>
        <v>225.6650003780727</v>
      </c>
      <c r="L12" s="123">
        <f>'P &amp; L'!M55</f>
        <v>193.50959025963476</v>
      </c>
      <c r="M12" s="123">
        <f>'P &amp; L'!N55</f>
        <v>166.00805766513523</v>
      </c>
    </row>
    <row r="13" spans="2:13" s="29" customFormat="1" ht="21" customHeight="1" x14ac:dyDescent="0.35">
      <c r="B13" s="29" t="s">
        <v>310</v>
      </c>
      <c r="C13" s="123">
        <f>'P &amp; L'!D50</f>
        <v>22.88</v>
      </c>
      <c r="D13" s="123">
        <f>'P &amp; L'!E50</f>
        <v>68.64</v>
      </c>
      <c r="E13" s="123">
        <f>'P &amp; L'!F50</f>
        <v>68.64</v>
      </c>
      <c r="F13" s="123">
        <f>'P &amp; L'!G50</f>
        <v>68.64</v>
      </c>
      <c r="G13" s="123">
        <f>'P &amp; L'!H50</f>
        <v>68.64</v>
      </c>
      <c r="H13" s="123">
        <f>'P &amp; L'!I50</f>
        <v>45.76</v>
      </c>
      <c r="I13" s="123">
        <f>'P &amp; L'!J50</f>
        <v>0</v>
      </c>
      <c r="J13" s="123">
        <f>'P &amp; L'!K50</f>
        <v>0</v>
      </c>
      <c r="K13" s="123">
        <f>'P &amp; L'!L50</f>
        <v>0</v>
      </c>
      <c r="L13" s="123">
        <f>'P &amp; L'!M50</f>
        <v>0</v>
      </c>
      <c r="M13" s="123">
        <f>'P &amp; L'!N50</f>
        <v>0</v>
      </c>
    </row>
    <row r="14" spans="2:13" s="29" customFormat="1" ht="21" customHeight="1" x14ac:dyDescent="0.35">
      <c r="B14" s="29" t="s">
        <v>275</v>
      </c>
      <c r="C14" s="123">
        <f>BS!C11</f>
        <v>34.033999999999999</v>
      </c>
      <c r="D14" s="123">
        <f>BS!D11-BS!C11</f>
        <v>4.7523835616438319</v>
      </c>
      <c r="E14" s="123">
        <f>BS!E11-BS!D11</f>
        <v>13.566176219178089</v>
      </c>
      <c r="F14" s="123">
        <f>BS!F11-BS!E11</f>
        <v>6.0798962603835633</v>
      </c>
      <c r="G14" s="123">
        <f>BS!G11-BS!F11</f>
        <v>1.7059473624723367</v>
      </c>
      <c r="H14" s="123">
        <f>BS!H11-BS!G11</f>
        <v>1.8083042042206685</v>
      </c>
      <c r="I14" s="123">
        <f>BS!I11-BS!H11</f>
        <v>1.9168024564739099</v>
      </c>
      <c r="J14" s="123">
        <f>BS!J11-BS!I11</f>
        <v>2.0318106038623469</v>
      </c>
      <c r="K14" s="123">
        <f>BS!K11-BS!J11</f>
        <v>2.153719240094091</v>
      </c>
      <c r="L14" s="123">
        <f>BS!L11-BS!K11</f>
        <v>2.2829423944997274</v>
      </c>
      <c r="M14" s="123">
        <f>BS!M11-BS!L11</f>
        <v>2.4199189381697153</v>
      </c>
    </row>
    <row r="15" spans="2:13" s="29" customFormat="1" ht="21" customHeight="1" x14ac:dyDescent="0.35">
      <c r="B15" s="29" t="s">
        <v>243</v>
      </c>
      <c r="C15" s="123">
        <v>0</v>
      </c>
      <c r="D15" s="123">
        <v>0</v>
      </c>
      <c r="E15" s="123">
        <v>0</v>
      </c>
      <c r="F15" s="123">
        <v>0</v>
      </c>
      <c r="G15" s="123">
        <v>0</v>
      </c>
      <c r="H15" s="123">
        <v>0</v>
      </c>
      <c r="I15" s="123">
        <v>0</v>
      </c>
      <c r="J15" s="123">
        <v>0</v>
      </c>
      <c r="K15" s="123">
        <v>0</v>
      </c>
      <c r="L15" s="123">
        <v>0</v>
      </c>
      <c r="M15" s="123">
        <v>0</v>
      </c>
    </row>
    <row r="16" spans="2:13" s="29" customFormat="1" ht="21" hidden="1" customHeight="1" x14ac:dyDescent="0.35">
      <c r="B16" s="29" t="s">
        <v>118</v>
      </c>
      <c r="C16" s="32">
        <v>0</v>
      </c>
      <c r="D16" s="32">
        <v>0</v>
      </c>
      <c r="E16" s="32">
        <v>0</v>
      </c>
      <c r="F16" s="32"/>
      <c r="G16" s="32"/>
      <c r="H16" s="32"/>
      <c r="I16" s="32"/>
      <c r="J16" s="32"/>
      <c r="K16" s="32"/>
      <c r="L16" s="32"/>
      <c r="M16" s="32"/>
    </row>
    <row r="17" spans="2:13" s="29" customFormat="1" ht="21" customHeight="1" x14ac:dyDescent="0.35">
      <c r="B17" s="25" t="s">
        <v>26</v>
      </c>
      <c r="C17" s="200">
        <f t="shared" ref="C17:M17" si="3">SUM(C6:C16)</f>
        <v>3949.5600465773341</v>
      </c>
      <c r="D17" s="200">
        <f t="shared" si="3"/>
        <v>-160.91130992643647</v>
      </c>
      <c r="E17" s="200">
        <f t="shared" si="3"/>
        <v>596.40094695514699</v>
      </c>
      <c r="F17" s="200">
        <f t="shared" si="3"/>
        <v>895.22385058717703</v>
      </c>
      <c r="G17" s="200">
        <f t="shared" si="3"/>
        <v>944.37200578748718</v>
      </c>
      <c r="H17" s="200">
        <f t="shared" si="3"/>
        <v>907.28353913813351</v>
      </c>
      <c r="I17" s="200">
        <f t="shared" si="3"/>
        <v>972.9525706446949</v>
      </c>
      <c r="J17" s="200">
        <f t="shared" si="3"/>
        <v>1055.010936816682</v>
      </c>
      <c r="K17" s="200">
        <f t="shared" si="3"/>
        <v>1157.0628489998842</v>
      </c>
      <c r="L17" s="200">
        <f t="shared" si="3"/>
        <v>1246.703332347071</v>
      </c>
      <c r="M17" s="200">
        <f t="shared" si="3"/>
        <v>1331.9940904106047</v>
      </c>
    </row>
    <row r="18" spans="2:13" s="29" customFormat="1" ht="21" customHeight="1" x14ac:dyDescent="0.35">
      <c r="B18" s="29" t="s">
        <v>27</v>
      </c>
      <c r="C18" s="1"/>
      <c r="D18" s="1"/>
      <c r="E18" s="1"/>
      <c r="F18" s="1"/>
      <c r="G18" s="1"/>
      <c r="H18" s="1"/>
      <c r="I18" s="1"/>
      <c r="J18" s="1"/>
      <c r="K18" s="1"/>
      <c r="L18" s="1"/>
      <c r="M18" s="1"/>
    </row>
    <row r="19" spans="2:13" s="29" customFormat="1" ht="21" customHeight="1" x14ac:dyDescent="0.35">
      <c r="C19" s="1"/>
      <c r="D19" s="1"/>
      <c r="E19" s="1"/>
      <c r="F19" s="1"/>
      <c r="G19" s="1"/>
      <c r="H19" s="1"/>
      <c r="I19" s="1"/>
      <c r="J19" s="1"/>
      <c r="K19" s="1"/>
      <c r="L19" s="1"/>
      <c r="M19" s="1"/>
    </row>
    <row r="20" spans="2:13" s="29" customFormat="1" ht="21" customHeight="1" x14ac:dyDescent="0.35">
      <c r="B20" s="29" t="s">
        <v>108</v>
      </c>
      <c r="C20" s="123">
        <f>BS!C18</f>
        <v>3252.5030178000002</v>
      </c>
      <c r="D20" s="123">
        <f>BS!D18-BS!C18</f>
        <v>0</v>
      </c>
      <c r="E20" s="123">
        <f>BS!E18-BS!D18</f>
        <v>6</v>
      </c>
      <c r="F20" s="123">
        <f>BS!F18-BS!E18</f>
        <v>300</v>
      </c>
      <c r="G20" s="123">
        <f>BS!G18-BS!F18</f>
        <v>0</v>
      </c>
      <c r="H20" s="123">
        <f>BS!H18-BS!G18</f>
        <v>0</v>
      </c>
      <c r="I20" s="123">
        <f>BS!I18-BS!H18</f>
        <v>0</v>
      </c>
      <c r="J20" s="123">
        <f>BS!J18-BS!I18</f>
        <v>0</v>
      </c>
      <c r="K20" s="123">
        <f>BS!K18-BS!J18</f>
        <v>400</v>
      </c>
      <c r="L20" s="123">
        <f>BS!L18-BS!K18</f>
        <v>0</v>
      </c>
      <c r="M20" s="123">
        <f>BS!M18-BS!L18</f>
        <v>0</v>
      </c>
    </row>
    <row r="21" spans="2:13" s="29" customFormat="1" ht="21" customHeight="1" x14ac:dyDescent="0.35">
      <c r="B21" s="29" t="s">
        <v>268</v>
      </c>
      <c r="C21" s="123">
        <f>'CoP-MoF'!D7/A</f>
        <v>343.2</v>
      </c>
      <c r="D21" s="123">
        <v>0</v>
      </c>
      <c r="E21" s="123">
        <v>0</v>
      </c>
      <c r="F21" s="123">
        <v>0</v>
      </c>
      <c r="G21" s="123">
        <v>0</v>
      </c>
      <c r="H21" s="123">
        <v>0</v>
      </c>
      <c r="I21" s="123">
        <v>0</v>
      </c>
      <c r="J21" s="123">
        <v>0</v>
      </c>
      <c r="K21" s="123">
        <v>0</v>
      </c>
      <c r="L21" s="123">
        <v>0</v>
      </c>
      <c r="M21" s="123">
        <v>0</v>
      </c>
    </row>
    <row r="22" spans="2:13" s="29" customFormat="1" ht="21" customHeight="1" x14ac:dyDescent="0.35">
      <c r="B22" s="29" t="s">
        <v>110</v>
      </c>
      <c r="C22" s="123">
        <f>'TL Schd'!D7</f>
        <v>0</v>
      </c>
      <c r="D22" s="123">
        <f>'TL Schd'!E7</f>
        <v>0</v>
      </c>
      <c r="E22" s="123">
        <f>'TL Schd'!F7</f>
        <v>312.5</v>
      </c>
      <c r="F22" s="123">
        <f>'TL Schd'!G7</f>
        <v>375</v>
      </c>
      <c r="G22" s="123">
        <f>'TL Schd'!H7</f>
        <v>375</v>
      </c>
      <c r="H22" s="123">
        <f>'TL Schd'!I7</f>
        <v>375</v>
      </c>
      <c r="I22" s="123">
        <f>'TL Schd'!J7</f>
        <v>375</v>
      </c>
      <c r="J22" s="123">
        <f>'TL Schd'!K7</f>
        <v>375</v>
      </c>
      <c r="K22" s="123">
        <f>'TL Schd'!L7</f>
        <v>375</v>
      </c>
      <c r="L22" s="123">
        <f>'TL Schd'!M7</f>
        <v>375</v>
      </c>
      <c r="M22" s="123">
        <f>'TL Schd'!N7</f>
        <v>62.5</v>
      </c>
    </row>
    <row r="23" spans="2:13" s="29" customFormat="1" ht="21" customHeight="1" x14ac:dyDescent="0.35">
      <c r="B23" s="29" t="s">
        <v>372</v>
      </c>
      <c r="C23" s="123">
        <v>0</v>
      </c>
      <c r="D23" s="123">
        <v>0</v>
      </c>
      <c r="E23" s="158">
        <f>BS!D9-BS!E9</f>
        <v>0</v>
      </c>
      <c r="F23" s="158">
        <f>BS!E9-BS!F9</f>
        <v>0</v>
      </c>
      <c r="G23" s="158">
        <f>BS!F9-BS!G9</f>
        <v>0</v>
      </c>
      <c r="H23" s="158">
        <f>BS!G9-BS!H9</f>
        <v>0</v>
      </c>
      <c r="I23" s="158">
        <f>BS!H9-BS!I9</f>
        <v>0</v>
      </c>
      <c r="J23" s="158">
        <f>BS!I9-BS!J9</f>
        <v>0</v>
      </c>
      <c r="K23" s="158">
        <f>BS!J9-BS!K9</f>
        <v>0</v>
      </c>
      <c r="L23" s="158">
        <f>BS!K9-BS!L9</f>
        <v>0</v>
      </c>
      <c r="M23" s="158">
        <f>BS!L9-BS!M9</f>
        <v>0</v>
      </c>
    </row>
    <row r="24" spans="2:13" s="29" customFormat="1" ht="21" hidden="1" customHeight="1" x14ac:dyDescent="0.35">
      <c r="B24" s="29" t="s">
        <v>270</v>
      </c>
      <c r="C24" s="123">
        <v>0</v>
      </c>
      <c r="D24" s="123">
        <v>0</v>
      </c>
      <c r="E24" s="123">
        <v>0</v>
      </c>
      <c r="F24" s="123">
        <v>0</v>
      </c>
      <c r="G24" s="123">
        <v>0</v>
      </c>
      <c r="H24" s="123">
        <v>0</v>
      </c>
      <c r="I24" s="123">
        <v>0</v>
      </c>
      <c r="J24" s="123">
        <v>0</v>
      </c>
      <c r="K24" s="123">
        <v>0</v>
      </c>
      <c r="L24" s="123">
        <v>0</v>
      </c>
      <c r="M24" s="123">
        <v>0</v>
      </c>
    </row>
    <row r="25" spans="2:13" s="29" customFormat="1" ht="21" customHeight="1" x14ac:dyDescent="0.35">
      <c r="B25" s="29" t="s">
        <v>105</v>
      </c>
      <c r="C25" s="123">
        <f>BS!C22</f>
        <v>50.425000000000004</v>
      </c>
      <c r="D25" s="123">
        <f>BS!D22-BS!C22</f>
        <v>59.404794520547917</v>
      </c>
      <c r="E25" s="123">
        <f>BS!E22-BS!D22</f>
        <v>169.57720273972609</v>
      </c>
      <c r="F25" s="123">
        <f>BS!F22-BS!E22</f>
        <v>75.99870325479452</v>
      </c>
      <c r="G25" s="123">
        <f>BS!G22-BS!F22</f>
        <v>21.324342030904177</v>
      </c>
      <c r="H25" s="123">
        <f>BS!H22-BS!G22</f>
        <v>22.603802552758339</v>
      </c>
      <c r="I25" s="123">
        <f>BS!I22-BS!H22</f>
        <v>23.960030705923998</v>
      </c>
      <c r="J25" s="123">
        <f>BS!J22-BS!I22</f>
        <v>25.397632548279262</v>
      </c>
      <c r="K25" s="123">
        <f>BS!K22-BS!J22</f>
        <v>26.921490501176095</v>
      </c>
      <c r="L25" s="123">
        <f>BS!L22-BS!K22</f>
        <v>28.536779931246656</v>
      </c>
      <c r="M25" s="123">
        <f>BS!M22-BS!L22</f>
        <v>30.248986727121405</v>
      </c>
    </row>
    <row r="26" spans="2:13" s="29" customFormat="1" ht="21" customHeight="1" x14ac:dyDescent="0.35">
      <c r="B26" s="29" t="s">
        <v>275</v>
      </c>
      <c r="C26" s="123">
        <v>0</v>
      </c>
      <c r="D26" s="123">
        <v>0</v>
      </c>
      <c r="E26" s="123">
        <v>0</v>
      </c>
      <c r="F26" s="123">
        <v>0</v>
      </c>
      <c r="G26" s="123">
        <v>0</v>
      </c>
      <c r="H26" s="123">
        <v>0</v>
      </c>
      <c r="I26" s="123">
        <v>0</v>
      </c>
      <c r="J26" s="123">
        <v>0</v>
      </c>
      <c r="K26" s="123">
        <v>0</v>
      </c>
      <c r="L26" s="123">
        <v>0</v>
      </c>
      <c r="M26" s="123">
        <v>0</v>
      </c>
    </row>
    <row r="27" spans="2:13" s="29" customFormat="1" ht="21" customHeight="1" x14ac:dyDescent="0.35">
      <c r="B27" s="29" t="s">
        <v>106</v>
      </c>
      <c r="C27" s="123">
        <f>BS!C23</f>
        <v>4.0340000000000007</v>
      </c>
      <c r="D27" s="123">
        <f>BS!D23-BS!C23</f>
        <v>4.7523835616438337</v>
      </c>
      <c r="E27" s="123">
        <f>BS!E23-BS!D23</f>
        <v>13.566176219178086</v>
      </c>
      <c r="F27" s="123">
        <f>BS!F23-BS!E23</f>
        <v>6.0798962603835598</v>
      </c>
      <c r="G27" s="123">
        <f>BS!G23-BS!F23</f>
        <v>1.7059473624723402</v>
      </c>
      <c r="H27" s="123">
        <f>BS!H23-BS!G23</f>
        <v>1.8083042042206685</v>
      </c>
      <c r="I27" s="123">
        <f>BS!I23-BS!H23</f>
        <v>1.9168024564739099</v>
      </c>
      <c r="J27" s="123">
        <f>BS!J23-BS!I23</f>
        <v>2.0318106038623469</v>
      </c>
      <c r="K27" s="123">
        <f>BS!K23-BS!J23</f>
        <v>2.1537192400940839</v>
      </c>
      <c r="L27" s="123">
        <f>BS!L23-BS!K23</f>
        <v>2.2829423944997345</v>
      </c>
      <c r="M27" s="123">
        <f>BS!M23-BS!L23</f>
        <v>2.4199189381697224</v>
      </c>
    </row>
    <row r="28" spans="2:13" s="29" customFormat="1" ht="21" hidden="1" customHeight="1" x14ac:dyDescent="0.35">
      <c r="B28" s="29" t="s">
        <v>99</v>
      </c>
      <c r="C28" s="123"/>
      <c r="D28" s="123"/>
      <c r="E28" s="123"/>
      <c r="F28" s="123"/>
      <c r="G28" s="123"/>
      <c r="H28" s="123"/>
      <c r="I28" s="123"/>
      <c r="J28" s="123"/>
      <c r="K28" s="123"/>
      <c r="L28" s="123"/>
      <c r="M28" s="123"/>
    </row>
    <row r="29" spans="2:13" s="29" customFormat="1" ht="21" customHeight="1" x14ac:dyDescent="0.35">
      <c r="B29" s="25" t="s">
        <v>24</v>
      </c>
      <c r="C29" s="200">
        <f t="shared" ref="C29:K29" si="4">SUM(C20:C28)</f>
        <v>3650.1620178000003</v>
      </c>
      <c r="D29" s="200">
        <f t="shared" si="4"/>
        <v>64.157178082191749</v>
      </c>
      <c r="E29" s="200">
        <f t="shared" si="4"/>
        <v>501.64337895890418</v>
      </c>
      <c r="F29" s="200">
        <f t="shared" si="4"/>
        <v>757.07859951517798</v>
      </c>
      <c r="G29" s="200">
        <f t="shared" si="4"/>
        <v>398.03028939337651</v>
      </c>
      <c r="H29" s="200">
        <f t="shared" si="4"/>
        <v>399.41210675697903</v>
      </c>
      <c r="I29" s="200">
        <f t="shared" si="4"/>
        <v>400.87683316239793</v>
      </c>
      <c r="J29" s="200">
        <f t="shared" si="4"/>
        <v>402.42944315214163</v>
      </c>
      <c r="K29" s="200">
        <f t="shared" si="4"/>
        <v>804.07520974127021</v>
      </c>
      <c r="L29" s="200">
        <f t="shared" ref="L29:M29" si="5">SUM(L20:L28)</f>
        <v>405.8197223257464</v>
      </c>
      <c r="M29" s="200">
        <f t="shared" si="5"/>
        <v>95.168905665291135</v>
      </c>
    </row>
    <row r="30" spans="2:13" s="29" customFormat="1" ht="21" customHeight="1" x14ac:dyDescent="0.35">
      <c r="B30" s="29" t="s">
        <v>111</v>
      </c>
      <c r="C30" s="123">
        <v>0</v>
      </c>
      <c r="D30" s="123">
        <f t="shared" ref="D30:K30" si="6">C32</f>
        <v>299.39802877733382</v>
      </c>
      <c r="E30" s="123">
        <f t="shared" si="6"/>
        <v>74.329540768705613</v>
      </c>
      <c r="F30" s="123">
        <f t="shared" si="6"/>
        <v>169.08710876494843</v>
      </c>
      <c r="G30" s="123">
        <f t="shared" si="6"/>
        <v>307.23235983694747</v>
      </c>
      <c r="H30" s="123">
        <f t="shared" si="6"/>
        <v>853.57407623105814</v>
      </c>
      <c r="I30" s="123">
        <f t="shared" si="6"/>
        <v>1361.4455086122125</v>
      </c>
      <c r="J30" s="123">
        <f t="shared" si="6"/>
        <v>1933.5212460945095</v>
      </c>
      <c r="K30" s="123">
        <f t="shared" si="6"/>
        <v>2586.1027397590497</v>
      </c>
      <c r="L30" s="123">
        <f t="shared" ref="L30" si="7">K32</f>
        <v>2939.0903790176635</v>
      </c>
      <c r="M30" s="123">
        <f t="shared" ref="M30" si="8">L32</f>
        <v>3779.9739890389883</v>
      </c>
    </row>
    <row r="31" spans="2:13" s="29" customFormat="1" ht="21" customHeight="1" x14ac:dyDescent="0.35">
      <c r="B31" s="29" t="s">
        <v>28</v>
      </c>
      <c r="C31" s="123">
        <f t="shared" ref="C31:K31" si="9">C17-C29</f>
        <v>299.39802877733382</v>
      </c>
      <c r="D31" s="123">
        <f t="shared" si="9"/>
        <v>-225.06848800862821</v>
      </c>
      <c r="E31" s="123">
        <f t="shared" si="9"/>
        <v>94.757567996242813</v>
      </c>
      <c r="F31" s="123">
        <f t="shared" si="9"/>
        <v>138.14525107199904</v>
      </c>
      <c r="G31" s="123">
        <f t="shared" si="9"/>
        <v>546.34171639411068</v>
      </c>
      <c r="H31" s="123">
        <f t="shared" si="9"/>
        <v>507.87143238115448</v>
      </c>
      <c r="I31" s="123">
        <f t="shared" si="9"/>
        <v>572.07573748229697</v>
      </c>
      <c r="J31" s="123">
        <f t="shared" si="9"/>
        <v>652.5814936645404</v>
      </c>
      <c r="K31" s="123">
        <f t="shared" si="9"/>
        <v>352.98763925861397</v>
      </c>
      <c r="L31" s="123">
        <f t="shared" ref="L31:M31" si="10">L17-L29</f>
        <v>840.88361002132456</v>
      </c>
      <c r="M31" s="123">
        <f t="shared" si="10"/>
        <v>1236.8251847453137</v>
      </c>
    </row>
    <row r="32" spans="2:13" s="29" customFormat="1" ht="21" customHeight="1" x14ac:dyDescent="0.35">
      <c r="B32" s="72" t="s">
        <v>29</v>
      </c>
      <c r="C32" s="198">
        <f t="shared" ref="C32:G32" si="11">C30+C31</f>
        <v>299.39802877733382</v>
      </c>
      <c r="D32" s="198">
        <f t="shared" si="11"/>
        <v>74.329540768705613</v>
      </c>
      <c r="E32" s="198">
        <f t="shared" si="11"/>
        <v>169.08710876494843</v>
      </c>
      <c r="F32" s="198">
        <f t="shared" si="11"/>
        <v>307.23235983694747</v>
      </c>
      <c r="G32" s="198">
        <f t="shared" si="11"/>
        <v>853.57407623105814</v>
      </c>
      <c r="H32" s="198">
        <f t="shared" ref="H32:I32" si="12">H30+H31</f>
        <v>1361.4455086122125</v>
      </c>
      <c r="I32" s="198">
        <f t="shared" si="12"/>
        <v>1933.5212460945095</v>
      </c>
      <c r="J32" s="198">
        <f t="shared" ref="J32:K32" si="13">J30+J31</f>
        <v>2586.1027397590497</v>
      </c>
      <c r="K32" s="198">
        <f t="shared" si="13"/>
        <v>2939.0903790176635</v>
      </c>
      <c r="L32" s="198">
        <f t="shared" ref="L32:M32" si="14">L30+L31</f>
        <v>3779.9739890389883</v>
      </c>
      <c r="M32" s="198">
        <f t="shared" si="14"/>
        <v>5016.7991737843022</v>
      </c>
    </row>
  </sheetData>
  <customSheetViews>
    <customSheetView guid="{22475485-DA09-46DB-978D-BB94CE1E5597}">
      <pane xSplit="2" ySplit="2" topLeftCell="C20" activePane="bottomRight" state="frozen"/>
      <selection pane="bottomRight" activeCell="A28" sqref="A28"/>
      <pageMargins left="0.35" right="0.7" top="0.75" bottom="0.75" header="0.3" footer="0.3"/>
      <pageSetup paperSize="9" orientation="landscape" verticalDpi="300" r:id="rId1"/>
    </customSheetView>
  </customSheetViews>
  <pageMargins left="0.35" right="0.7" top="0.75" bottom="0.75" header="0.3" footer="0.3"/>
  <pageSetup paperSize="9" orientation="landscape"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B2:M54"/>
  <sheetViews>
    <sheetView topLeftCell="B2" workbookViewId="0">
      <selection activeCell="C5" sqref="C5:M12"/>
    </sheetView>
  </sheetViews>
  <sheetFormatPr defaultColWidth="9.1796875" defaultRowHeight="14.5" x14ac:dyDescent="0.35"/>
  <cols>
    <col min="1" max="1" width="4.453125" style="74" customWidth="1"/>
    <col min="2" max="2" width="27" style="90" customWidth="1"/>
    <col min="3" max="13" width="12.7265625" style="80" customWidth="1"/>
    <col min="14" max="16384" width="9.1796875" style="74"/>
  </cols>
  <sheetData>
    <row r="2" spans="2:13" ht="18" customHeight="1" x14ac:dyDescent="0.35">
      <c r="B2" s="82" t="s">
        <v>197</v>
      </c>
      <c r="C2" s="67"/>
      <c r="D2" s="67"/>
      <c r="E2" s="67"/>
      <c r="F2" s="67"/>
      <c r="G2" s="67"/>
      <c r="H2" s="67"/>
      <c r="I2" s="67"/>
      <c r="J2" s="67"/>
      <c r="K2" s="67"/>
      <c r="L2" s="67"/>
      <c r="M2" s="67"/>
    </row>
    <row r="3" spans="2:13" x14ac:dyDescent="0.35">
      <c r="B3" s="83"/>
      <c r="C3" s="92"/>
      <c r="D3" s="92"/>
      <c r="E3" s="92"/>
      <c r="F3" s="92"/>
      <c r="G3" s="92"/>
      <c r="H3" s="92"/>
      <c r="I3" s="92"/>
    </row>
    <row r="4" spans="2:13" ht="20.25" customHeight="1" x14ac:dyDescent="0.35">
      <c r="B4" s="53" t="s">
        <v>208</v>
      </c>
      <c r="C4" s="26">
        <v>2025</v>
      </c>
      <c r="D4" s="26">
        <f t="shared" ref="D4:K4" si="0">C4+1</f>
        <v>2026</v>
      </c>
      <c r="E4" s="26">
        <f t="shared" si="0"/>
        <v>2027</v>
      </c>
      <c r="F4" s="26">
        <f t="shared" si="0"/>
        <v>2028</v>
      </c>
      <c r="G4" s="26">
        <f t="shared" si="0"/>
        <v>2029</v>
      </c>
      <c r="H4" s="26">
        <f t="shared" si="0"/>
        <v>2030</v>
      </c>
      <c r="I4" s="26">
        <f t="shared" si="0"/>
        <v>2031</v>
      </c>
      <c r="J4" s="26">
        <f t="shared" si="0"/>
        <v>2032</v>
      </c>
      <c r="K4" s="26">
        <f t="shared" si="0"/>
        <v>2033</v>
      </c>
      <c r="L4" s="26">
        <f t="shared" ref="L4" si="1">K4+1</f>
        <v>2034</v>
      </c>
      <c r="M4" s="26">
        <f t="shared" ref="M4" si="2">L4+1</f>
        <v>2035</v>
      </c>
    </row>
    <row r="5" spans="2:13" ht="20.149999999999999" customHeight="1" x14ac:dyDescent="0.35">
      <c r="B5" s="84" t="s">
        <v>198</v>
      </c>
      <c r="C5" s="206">
        <f>'P &amp; L'!D30</f>
        <v>201.70000000000002</v>
      </c>
      <c r="D5" s="206">
        <f>'P &amp; L'!E30</f>
        <v>1336.2624999999998</v>
      </c>
      <c r="E5" s="206">
        <f>'P &amp; L'!F30</f>
        <v>3399.4518000000007</v>
      </c>
      <c r="F5" s="206">
        <f>'P &amp; L'!G30</f>
        <v>4324.1026896000003</v>
      </c>
      <c r="G5" s="206">
        <f>'P &amp; L'!H30</f>
        <v>4583.5488509760016</v>
      </c>
      <c r="H5" s="206">
        <f>'P &amp; L'!I30</f>
        <v>4858.5617820345615</v>
      </c>
      <c r="I5" s="206">
        <f>'P &amp; L'!J30</f>
        <v>5150.075488956636</v>
      </c>
      <c r="J5" s="206">
        <f>'P &amp; L'!K30</f>
        <v>5459.0800182940338</v>
      </c>
      <c r="K5" s="206">
        <f>'P &amp; L'!L30</f>
        <v>5786.6248193916763</v>
      </c>
      <c r="L5" s="206">
        <f>'P &amp; L'!M30</f>
        <v>6133.8223085551772</v>
      </c>
      <c r="M5" s="206">
        <f>'P &amp; L'!N30</f>
        <v>6501.8516470684881</v>
      </c>
    </row>
    <row r="6" spans="2:13" ht="20.149999999999999" customHeight="1" x14ac:dyDescent="0.35">
      <c r="B6" s="84" t="s">
        <v>199</v>
      </c>
      <c r="C6" s="206">
        <f>'P &amp; L'!D37</f>
        <v>90.765000000000001</v>
      </c>
      <c r="D6" s="206">
        <f>'P &amp; L'!E37</f>
        <v>601.3181249999999</v>
      </c>
      <c r="E6" s="206">
        <f>'P &amp; L'!F37</f>
        <v>1529.7533100000003</v>
      </c>
      <c r="F6" s="206">
        <f>'P &amp; L'!G37</f>
        <v>1945.8462103200002</v>
      </c>
      <c r="G6" s="206">
        <f>'P &amp; L'!H37</f>
        <v>2062.5969829392006</v>
      </c>
      <c r="H6" s="206">
        <f>'P &amp; L'!I37</f>
        <v>2186.3528019155528</v>
      </c>
      <c r="I6" s="206">
        <f>'P &amp; L'!J37</f>
        <v>2317.5339700304862</v>
      </c>
      <c r="J6" s="206">
        <f>'P &amp; L'!K37</f>
        <v>2456.5860082323152</v>
      </c>
      <c r="K6" s="206">
        <f>'P &amp; L'!L37</f>
        <v>2603.9811687262545</v>
      </c>
      <c r="L6" s="206">
        <f>'P &amp; L'!M37</f>
        <v>2760.22003884983</v>
      </c>
      <c r="M6" s="206">
        <f>'P &amp; L'!N37</f>
        <v>2925.8332411808201</v>
      </c>
    </row>
    <row r="7" spans="2:13" ht="20.149999999999999" customHeight="1" x14ac:dyDescent="0.35">
      <c r="B7" s="84" t="s">
        <v>200</v>
      </c>
      <c r="C7" s="206">
        <f>C5-C6</f>
        <v>110.93500000000002</v>
      </c>
      <c r="D7" s="206">
        <f t="shared" ref="D7:K7" si="3">D5-D6</f>
        <v>734.94437499999992</v>
      </c>
      <c r="E7" s="206">
        <f t="shared" si="3"/>
        <v>1869.6984900000004</v>
      </c>
      <c r="F7" s="206">
        <f t="shared" si="3"/>
        <v>2378.2564792800003</v>
      </c>
      <c r="G7" s="206">
        <f t="shared" si="3"/>
        <v>2520.951868036801</v>
      </c>
      <c r="H7" s="206">
        <f t="shared" si="3"/>
        <v>2672.2089801190086</v>
      </c>
      <c r="I7" s="206">
        <f t="shared" si="3"/>
        <v>2832.5415189261498</v>
      </c>
      <c r="J7" s="206">
        <f t="shared" si="3"/>
        <v>3002.4940100617187</v>
      </c>
      <c r="K7" s="206">
        <f t="shared" si="3"/>
        <v>3182.6436506654218</v>
      </c>
      <c r="L7" s="206">
        <f t="shared" ref="L7:M7" si="4">L5-L6</f>
        <v>3373.6022697053472</v>
      </c>
      <c r="M7" s="206">
        <f t="shared" si="4"/>
        <v>3576.018405887668</v>
      </c>
    </row>
    <row r="8" spans="2:13" ht="29" x14ac:dyDescent="0.35">
      <c r="B8" s="85" t="s">
        <v>276</v>
      </c>
      <c r="C8" s="206">
        <f>'P &amp; L'!D44+'P &amp; L'!D47+'P &amp; L'!D49</f>
        <v>466.58069454793105</v>
      </c>
      <c r="D8" s="206">
        <f>'P &amp; L'!E44+'P &amp; L'!E47+'P &amp; L'!E49</f>
        <v>1319.5721069407928</v>
      </c>
      <c r="E8" s="206">
        <f>'P &amp; L'!F44+'P &amp; L'!F47+'P &amp; L'!F49</f>
        <v>1647.0922625206872</v>
      </c>
      <c r="F8" s="206">
        <f>'P &amp; L'!G44+'P &amp; L'!G47+'P &amp; L'!G49</f>
        <v>1843.4949862360288</v>
      </c>
      <c r="G8" s="206">
        <f>'P &amp; L'!H44+'P &amp; L'!H47+'P &amp; L'!H49</f>
        <v>1829.1646921039965</v>
      </c>
      <c r="H8" s="206">
        <f>'P &amp; L'!I44+'P &amp; L'!I47+'P &amp; L'!I49</f>
        <v>1826.4536673898594</v>
      </c>
      <c r="I8" s="206">
        <f>'P &amp; L'!J44+'P &amp; L'!J47+'P &amp; L'!J49</f>
        <v>1834.56172471183</v>
      </c>
      <c r="J8" s="206">
        <f>'P &amp; L'!K44+'P &amp; L'!K47+'P &amp; L'!K49</f>
        <v>1852.860231441942</v>
      </c>
      <c r="K8" s="206">
        <f>'P &amp; L'!L44+'P &amp; L'!L47+'P &amp; L'!L49</f>
        <v>1940.8699049660981</v>
      </c>
      <c r="L8" s="206">
        <f>'P &amp; L'!M44+'P &amp; L'!M47+'P &amp; L'!M49</f>
        <v>1969.2421033421119</v>
      </c>
      <c r="M8" s="206">
        <f>'P &amp; L'!N44+'P &amp; L'!N47+'P &amp; L'!N49</f>
        <v>2021.1139347960232</v>
      </c>
    </row>
    <row r="9" spans="2:13" ht="20.149999999999999" customHeight="1" x14ac:dyDescent="0.35">
      <c r="B9" s="84" t="s">
        <v>136</v>
      </c>
      <c r="C9" s="206">
        <f t="shared" ref="C9:K9" si="5">C7-C8</f>
        <v>-355.64569454793104</v>
      </c>
      <c r="D9" s="206">
        <f t="shared" si="5"/>
        <v>-584.62773194079284</v>
      </c>
      <c r="E9" s="206">
        <f t="shared" si="5"/>
        <v>222.60622747931325</v>
      </c>
      <c r="F9" s="206">
        <f t="shared" si="5"/>
        <v>534.76149304397154</v>
      </c>
      <c r="G9" s="206">
        <f t="shared" si="5"/>
        <v>691.78717593280453</v>
      </c>
      <c r="H9" s="206">
        <f t="shared" si="5"/>
        <v>845.75531272914918</v>
      </c>
      <c r="I9" s="206">
        <f t="shared" si="5"/>
        <v>997.97979421431978</v>
      </c>
      <c r="J9" s="206">
        <f t="shared" si="5"/>
        <v>1149.6337786197766</v>
      </c>
      <c r="K9" s="206">
        <f t="shared" si="5"/>
        <v>1241.7737456993236</v>
      </c>
      <c r="L9" s="206">
        <f t="shared" ref="L9:M9" si="6">L7-L8</f>
        <v>1404.3601663632353</v>
      </c>
      <c r="M9" s="206">
        <f t="shared" si="6"/>
        <v>1554.9044710916448</v>
      </c>
    </row>
    <row r="10" spans="2:13" ht="20.149999999999999" customHeight="1" x14ac:dyDescent="0.35">
      <c r="B10" s="103" t="s">
        <v>201</v>
      </c>
      <c r="C10" s="208">
        <f t="shared" ref="C10:K10" si="7">C7/C5</f>
        <v>0.55000000000000004</v>
      </c>
      <c r="D10" s="208">
        <f t="shared" si="7"/>
        <v>0.55000000000000004</v>
      </c>
      <c r="E10" s="208">
        <f t="shared" si="7"/>
        <v>0.55000000000000004</v>
      </c>
      <c r="F10" s="208">
        <f t="shared" si="7"/>
        <v>0.55000000000000004</v>
      </c>
      <c r="G10" s="208">
        <f t="shared" si="7"/>
        <v>0.55000000000000004</v>
      </c>
      <c r="H10" s="208">
        <f t="shared" si="7"/>
        <v>0.54999999999999993</v>
      </c>
      <c r="I10" s="208">
        <f t="shared" si="7"/>
        <v>0.55000000000000004</v>
      </c>
      <c r="J10" s="208">
        <f t="shared" si="7"/>
        <v>0.55000000000000004</v>
      </c>
      <c r="K10" s="208">
        <f t="shared" si="7"/>
        <v>0.54999999999999993</v>
      </c>
      <c r="L10" s="208">
        <f t="shared" ref="L10:M10" si="8">L7/L5</f>
        <v>0.54999999999999993</v>
      </c>
      <c r="M10" s="208">
        <f t="shared" si="8"/>
        <v>0.54999999999999993</v>
      </c>
    </row>
    <row r="11" spans="2:13" ht="30" customHeight="1" x14ac:dyDescent="0.35">
      <c r="B11" s="85" t="s">
        <v>202</v>
      </c>
      <c r="C11" s="204">
        <f t="shared" ref="C11:K11" si="9">(C8/C7)*C5</f>
        <v>848.32853554169264</v>
      </c>
      <c r="D11" s="204">
        <f t="shared" si="9"/>
        <v>2399.222012619623</v>
      </c>
      <c r="E11" s="272">
        <f t="shared" si="9"/>
        <v>2994.7132045830676</v>
      </c>
      <c r="F11" s="310">
        <f t="shared" si="9"/>
        <v>3351.8090658836882</v>
      </c>
      <c r="G11" s="204">
        <f t="shared" si="9"/>
        <v>3325.7539856436297</v>
      </c>
      <c r="H11" s="204">
        <f t="shared" si="9"/>
        <v>3320.8248497997447</v>
      </c>
      <c r="I11" s="204">
        <f t="shared" si="9"/>
        <v>3335.5667722033272</v>
      </c>
      <c r="J11" s="204">
        <f t="shared" si="9"/>
        <v>3368.8367844398945</v>
      </c>
      <c r="K11" s="204">
        <f t="shared" si="9"/>
        <v>3528.8543726656335</v>
      </c>
      <c r="L11" s="204">
        <f t="shared" ref="L11:M11" si="10">(L8/L7)*L5</f>
        <v>3580.4401878947492</v>
      </c>
      <c r="M11" s="204">
        <f t="shared" si="10"/>
        <v>3674.7526087200422</v>
      </c>
    </row>
    <row r="12" spans="2:13" s="104" customFormat="1" ht="20.149999999999999" customHeight="1" x14ac:dyDescent="0.35">
      <c r="B12" s="103" t="s">
        <v>203</v>
      </c>
      <c r="C12" s="209">
        <f t="shared" ref="C12:K12" si="11">C11/C5</f>
        <v>4.2058925906876183</v>
      </c>
      <c r="D12" s="209">
        <f t="shared" si="11"/>
        <v>1.7954720817351555</v>
      </c>
      <c r="E12" s="209">
        <f t="shared" si="11"/>
        <v>0.88094003997440617</v>
      </c>
      <c r="F12" s="209">
        <f t="shared" si="11"/>
        <v>0.77514557504501502</v>
      </c>
      <c r="G12" s="209">
        <f t="shared" si="11"/>
        <v>0.72558493293585336</v>
      </c>
      <c r="H12" s="209">
        <f t="shared" si="11"/>
        <v>0.68349956196484196</v>
      </c>
      <c r="I12" s="209">
        <f t="shared" si="11"/>
        <v>0.64767337476039333</v>
      </c>
      <c r="J12" s="209">
        <f t="shared" si="11"/>
        <v>0.61710705341385674</v>
      </c>
      <c r="K12" s="209">
        <f t="shared" si="11"/>
        <v>0.60982947448744518</v>
      </c>
      <c r="L12" s="209">
        <f t="shared" ref="L12:M12" si="12">L11/L5</f>
        <v>0.5837208852465311</v>
      </c>
      <c r="M12" s="209">
        <f t="shared" si="12"/>
        <v>0.5651855514693096</v>
      </c>
    </row>
    <row r="13" spans="2:13" ht="20.149999999999999" customHeight="1" x14ac:dyDescent="0.35">
      <c r="B13" s="86"/>
      <c r="C13" s="93"/>
      <c r="D13" s="78"/>
      <c r="E13" s="94" t="s">
        <v>483</v>
      </c>
      <c r="G13" s="95"/>
      <c r="H13" s="73"/>
      <c r="I13" s="95"/>
    </row>
    <row r="14" spans="2:13" x14ac:dyDescent="0.35">
      <c r="B14" s="86"/>
      <c r="C14" s="96"/>
      <c r="D14" s="96"/>
      <c r="E14" s="96"/>
      <c r="F14" s="96"/>
      <c r="G14" s="96"/>
      <c r="H14" s="97"/>
      <c r="I14" s="97"/>
    </row>
    <row r="15" spans="2:13" hidden="1" x14ac:dyDescent="0.35">
      <c r="B15" s="87"/>
      <c r="C15" s="98"/>
      <c r="D15" s="98"/>
      <c r="E15" s="98"/>
      <c r="F15" s="98"/>
      <c r="G15" s="98"/>
      <c r="H15" s="95"/>
      <c r="I15" s="95"/>
    </row>
    <row r="16" spans="2:13" hidden="1" x14ac:dyDescent="0.35">
      <c r="B16" s="350" t="s">
        <v>188</v>
      </c>
      <c r="C16" s="350"/>
      <c r="D16" s="350"/>
      <c r="E16" s="350"/>
      <c r="F16" s="350"/>
      <c r="G16" s="350"/>
      <c r="H16" s="350"/>
      <c r="I16" s="350"/>
    </row>
    <row r="17" spans="2:10" hidden="1" x14ac:dyDescent="0.35">
      <c r="B17" s="77" t="s">
        <v>189</v>
      </c>
      <c r="C17" s="76">
        <f t="shared" ref="C17:J17" si="13">C4</f>
        <v>2025</v>
      </c>
      <c r="D17" s="76">
        <f t="shared" si="13"/>
        <v>2026</v>
      </c>
      <c r="E17" s="76">
        <f t="shared" si="13"/>
        <v>2027</v>
      </c>
      <c r="F17" s="76">
        <f t="shared" si="13"/>
        <v>2028</v>
      </c>
      <c r="G17" s="76">
        <f t="shared" si="13"/>
        <v>2029</v>
      </c>
      <c r="H17" s="76">
        <f t="shared" si="13"/>
        <v>2030</v>
      </c>
      <c r="I17" s="76">
        <f t="shared" si="13"/>
        <v>2031</v>
      </c>
      <c r="J17" s="76">
        <f t="shared" si="13"/>
        <v>2032</v>
      </c>
    </row>
    <row r="18" spans="2:10" hidden="1" x14ac:dyDescent="0.35">
      <c r="B18" s="88" t="s">
        <v>190</v>
      </c>
      <c r="C18" s="79">
        <v>0.13</v>
      </c>
      <c r="D18" s="79">
        <f>C18</f>
        <v>0.13</v>
      </c>
      <c r="E18" s="79">
        <f t="shared" ref="E18:J18" si="14">D18</f>
        <v>0.13</v>
      </c>
      <c r="F18" s="79">
        <f t="shared" si="14"/>
        <v>0.13</v>
      </c>
      <c r="G18" s="79">
        <f t="shared" si="14"/>
        <v>0.13</v>
      </c>
      <c r="H18" s="79">
        <f t="shared" si="14"/>
        <v>0.13</v>
      </c>
      <c r="I18" s="79">
        <f t="shared" si="14"/>
        <v>0.13</v>
      </c>
      <c r="J18" s="79">
        <f t="shared" si="14"/>
        <v>0.13</v>
      </c>
    </row>
    <row r="19" spans="2:10" hidden="1" x14ac:dyDescent="0.35">
      <c r="B19" s="88" t="s">
        <v>191</v>
      </c>
      <c r="C19" s="79">
        <v>0.2</v>
      </c>
      <c r="D19" s="79">
        <v>0.2</v>
      </c>
      <c r="E19" s="79">
        <v>0.2</v>
      </c>
      <c r="F19" s="79">
        <v>0.2</v>
      </c>
      <c r="G19" s="79">
        <v>0.2</v>
      </c>
      <c r="H19" s="79">
        <v>0.2</v>
      </c>
      <c r="I19" s="79">
        <v>0.2</v>
      </c>
      <c r="J19" s="79">
        <v>0.2</v>
      </c>
    </row>
    <row r="20" spans="2:10" hidden="1" x14ac:dyDescent="0.35">
      <c r="B20" s="88" t="s">
        <v>192</v>
      </c>
      <c r="C20" s="99">
        <v>0</v>
      </c>
      <c r="D20" s="99">
        <v>0</v>
      </c>
      <c r="E20" s="99">
        <v>0</v>
      </c>
      <c r="F20" s="99">
        <v>0</v>
      </c>
      <c r="G20" s="99">
        <v>0</v>
      </c>
      <c r="H20" s="99">
        <v>0</v>
      </c>
      <c r="I20" s="99">
        <v>0</v>
      </c>
      <c r="J20" s="99">
        <v>0</v>
      </c>
    </row>
    <row r="21" spans="2:10" hidden="1" x14ac:dyDescent="0.35">
      <c r="B21" s="88" t="s">
        <v>193</v>
      </c>
      <c r="C21" s="99">
        <v>0.33989999999999998</v>
      </c>
      <c r="D21" s="99">
        <v>0.33989999999999998</v>
      </c>
      <c r="E21" s="99">
        <v>0.33989999999999998</v>
      </c>
      <c r="F21" s="99">
        <v>0.33989999999999998</v>
      </c>
      <c r="G21" s="99">
        <v>0.33989999999999998</v>
      </c>
      <c r="H21" s="99">
        <v>0.33989999999999998</v>
      </c>
      <c r="I21" s="99">
        <v>0.33989999999999998</v>
      </c>
      <c r="J21" s="99">
        <v>0.33989999999999998</v>
      </c>
    </row>
    <row r="22" spans="2:10" hidden="1" x14ac:dyDescent="0.35">
      <c r="B22" s="89" t="s">
        <v>194</v>
      </c>
      <c r="C22" s="100">
        <f>C18*C20*(1-C21)+C19*(1-C20)</f>
        <v>0.2</v>
      </c>
      <c r="D22" s="100">
        <f>D18*D20*(1-D21)+D19*(1-D20)</f>
        <v>0.2</v>
      </c>
      <c r="E22" s="100">
        <f>E18*E20*(1-E21)+E19*(1-E20)</f>
        <v>0.2</v>
      </c>
      <c r="F22" s="100">
        <f t="shared" ref="F22:J22" si="15">F18*F20*(1-F21)+F19*(1-F20)</f>
        <v>0.2</v>
      </c>
      <c r="G22" s="100">
        <f t="shared" si="15"/>
        <v>0.2</v>
      </c>
      <c r="H22" s="100">
        <f t="shared" si="15"/>
        <v>0.2</v>
      </c>
      <c r="I22" s="100">
        <f t="shared" si="15"/>
        <v>0.2</v>
      </c>
      <c r="J22" s="100">
        <f t="shared" si="15"/>
        <v>0.2</v>
      </c>
    </row>
    <row r="23" spans="2:10" hidden="1" x14ac:dyDescent="0.35">
      <c r="B23" s="88" t="s">
        <v>195</v>
      </c>
      <c r="E23" s="81">
        <f>1/(1+E22)</f>
        <v>0.83333333333333337</v>
      </c>
      <c r="F23" s="101">
        <f t="shared" ref="F23:J23" si="16">E23/(1+F22)</f>
        <v>0.69444444444444453</v>
      </c>
      <c r="G23" s="101">
        <f t="shared" si="16"/>
        <v>0.57870370370370383</v>
      </c>
      <c r="H23" s="101">
        <f t="shared" si="16"/>
        <v>0.48225308641975323</v>
      </c>
      <c r="I23" s="101">
        <f t="shared" si="16"/>
        <v>0.40187757201646102</v>
      </c>
      <c r="J23" s="101">
        <f t="shared" si="16"/>
        <v>0.33489797668038418</v>
      </c>
    </row>
    <row r="24" spans="2:10" hidden="1" x14ac:dyDescent="0.35">
      <c r="E24" s="102"/>
      <c r="F24" s="102"/>
      <c r="G24" s="102"/>
      <c r="H24" s="102"/>
      <c r="I24" s="102"/>
    </row>
    <row r="25" spans="2:10" hidden="1" x14ac:dyDescent="0.35">
      <c r="E25" s="102"/>
      <c r="F25" s="102"/>
      <c r="G25" s="102"/>
      <c r="H25" s="102"/>
      <c r="I25" s="102"/>
    </row>
    <row r="26" spans="2:10" hidden="1" x14ac:dyDescent="0.35">
      <c r="B26" s="86"/>
    </row>
    <row r="27" spans="2:10" hidden="1" x14ac:dyDescent="0.35">
      <c r="B27" s="86"/>
    </row>
    <row r="28" spans="2:10" hidden="1" x14ac:dyDescent="0.35"/>
    <row r="29" spans="2:10" hidden="1" x14ac:dyDescent="0.35"/>
    <row r="30" spans="2:10" hidden="1" x14ac:dyDescent="0.35">
      <c r="E30" s="102"/>
      <c r="F30" s="102"/>
      <c r="G30" s="102"/>
      <c r="H30" s="102"/>
      <c r="I30" s="102"/>
      <c r="J30" s="102"/>
    </row>
    <row r="31" spans="2:10" hidden="1" x14ac:dyDescent="0.35">
      <c r="B31" s="86"/>
      <c r="C31" s="78"/>
      <c r="D31" s="78"/>
    </row>
    <row r="32" spans="2:10" hidden="1" x14ac:dyDescent="0.35">
      <c r="B32" s="91"/>
      <c r="C32" s="79"/>
      <c r="D32" s="79"/>
    </row>
    <row r="33" spans="2:9" hidden="1" x14ac:dyDescent="0.35">
      <c r="B33" s="91"/>
      <c r="C33" s="79"/>
      <c r="D33" s="79"/>
    </row>
    <row r="34" spans="2:9" hidden="1" x14ac:dyDescent="0.35">
      <c r="B34" s="91"/>
      <c r="C34" s="79"/>
      <c r="D34" s="79"/>
    </row>
    <row r="35" spans="2:9" x14ac:dyDescent="0.35">
      <c r="B35" s="91"/>
      <c r="C35" s="79"/>
      <c r="D35" s="79"/>
      <c r="E35" s="102"/>
      <c r="F35" s="102"/>
      <c r="G35" s="102"/>
      <c r="H35" s="102"/>
      <c r="I35" s="102"/>
    </row>
    <row r="36" spans="2:9" x14ac:dyDescent="0.35">
      <c r="B36" s="91"/>
      <c r="C36" s="79"/>
      <c r="D36" s="79"/>
    </row>
    <row r="37" spans="2:9" x14ac:dyDescent="0.35">
      <c r="B37" s="91"/>
      <c r="C37" s="79"/>
      <c r="D37" s="79"/>
    </row>
    <row r="38" spans="2:9" x14ac:dyDescent="0.35">
      <c r="B38" s="91"/>
      <c r="C38" s="79"/>
      <c r="D38" s="79"/>
    </row>
    <row r="39" spans="2:9" x14ac:dyDescent="0.35">
      <c r="B39" s="91"/>
      <c r="C39" s="79"/>
      <c r="D39" s="79"/>
      <c r="E39" s="79"/>
      <c r="F39" s="79"/>
    </row>
    <row r="41" spans="2:9" x14ac:dyDescent="0.35">
      <c r="B41" s="91"/>
      <c r="C41" s="79"/>
      <c r="D41" s="79"/>
    </row>
    <row r="43" spans="2:9" x14ac:dyDescent="0.35">
      <c r="B43" s="351"/>
      <c r="C43" s="351"/>
      <c r="D43" s="351"/>
    </row>
    <row r="44" spans="2:9" x14ac:dyDescent="0.35">
      <c r="B44" s="86"/>
      <c r="C44" s="78"/>
      <c r="D44" s="78"/>
    </row>
    <row r="45" spans="2:9" x14ac:dyDescent="0.35">
      <c r="B45" s="86"/>
      <c r="C45" s="79"/>
      <c r="D45" s="79"/>
    </row>
    <row r="46" spans="2:9" x14ac:dyDescent="0.35">
      <c r="B46" s="86"/>
      <c r="C46" s="79"/>
      <c r="D46" s="79"/>
    </row>
    <row r="47" spans="2:9" x14ac:dyDescent="0.35">
      <c r="B47" s="86"/>
      <c r="D47" s="79"/>
    </row>
    <row r="48" spans="2:9" x14ac:dyDescent="0.35">
      <c r="B48" s="86"/>
    </row>
    <row r="49" spans="2:4" x14ac:dyDescent="0.35">
      <c r="B49" s="86"/>
    </row>
    <row r="50" spans="2:4" x14ac:dyDescent="0.35">
      <c r="B50" s="351"/>
      <c r="C50" s="351"/>
      <c r="D50" s="351"/>
    </row>
    <row r="51" spans="2:4" x14ac:dyDescent="0.35">
      <c r="C51" s="78"/>
      <c r="D51" s="78"/>
    </row>
    <row r="52" spans="2:4" x14ac:dyDescent="0.35">
      <c r="B52" s="86"/>
      <c r="D52" s="81"/>
    </row>
    <row r="53" spans="2:4" x14ac:dyDescent="0.35">
      <c r="B53" s="86"/>
      <c r="C53" s="79"/>
      <c r="D53" s="79"/>
    </row>
    <row r="54" spans="2:4" x14ac:dyDescent="0.35">
      <c r="B54" s="86"/>
      <c r="C54" s="79"/>
      <c r="D54" s="79"/>
    </row>
  </sheetData>
  <mergeCells count="3">
    <mergeCell ref="B16:I16"/>
    <mergeCell ref="B43:D43"/>
    <mergeCell ref="B50:D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Q102"/>
  <sheetViews>
    <sheetView showGridLines="0" topLeftCell="A14" workbookViewId="0">
      <selection activeCell="D14" sqref="D14"/>
    </sheetView>
  </sheetViews>
  <sheetFormatPr defaultColWidth="9.1796875" defaultRowHeight="14.5" x14ac:dyDescent="0.35"/>
  <cols>
    <col min="1" max="1" width="6.1796875" style="74" bestFit="1" customWidth="1"/>
    <col min="2" max="2" width="37.453125" style="90" customWidth="1"/>
    <col min="3" max="3" width="11.54296875" style="90" customWidth="1"/>
    <col min="4" max="12" width="11.7265625" style="80" customWidth="1"/>
    <col min="13" max="14" width="10.08984375" style="74" bestFit="1" customWidth="1"/>
    <col min="15" max="16" width="9.1796875" style="74"/>
    <col min="17" max="17" width="7.26953125" style="74" bestFit="1" customWidth="1"/>
    <col min="18" max="16384" width="9.1796875" style="74"/>
  </cols>
  <sheetData>
    <row r="1" spans="2:17" ht="18" customHeight="1" x14ac:dyDescent="0.35"/>
    <row r="2" spans="2:17" ht="21" customHeight="1" x14ac:dyDescent="0.35">
      <c r="B2" s="82" t="s">
        <v>196</v>
      </c>
      <c r="C2" s="82"/>
      <c r="D2" s="67"/>
      <c r="E2" s="67"/>
      <c r="F2" s="67"/>
      <c r="G2" s="67"/>
      <c r="H2" s="67"/>
      <c r="I2" s="67"/>
      <c r="J2" s="67"/>
      <c r="K2" s="67"/>
      <c r="L2" s="67"/>
      <c r="M2" s="67"/>
      <c r="N2" s="67"/>
    </row>
    <row r="3" spans="2:17" ht="15" customHeight="1" x14ac:dyDescent="0.35">
      <c r="B3" s="83"/>
      <c r="C3" s="282">
        <v>45627</v>
      </c>
      <c r="D3" s="282">
        <v>45992</v>
      </c>
      <c r="E3" s="282">
        <v>46112</v>
      </c>
      <c r="F3" s="282">
        <v>46477</v>
      </c>
      <c r="G3" s="282">
        <v>46843</v>
      </c>
      <c r="H3" s="282">
        <v>47208</v>
      </c>
      <c r="I3" s="282">
        <v>47573</v>
      </c>
      <c r="J3" s="282">
        <v>47938</v>
      </c>
      <c r="K3" s="282">
        <v>48304</v>
      </c>
      <c r="L3" s="282">
        <v>48669</v>
      </c>
      <c r="M3" s="282">
        <v>49034</v>
      </c>
      <c r="N3" s="282">
        <v>49399</v>
      </c>
    </row>
    <row r="4" spans="2:17" ht="22.5" customHeight="1" x14ac:dyDescent="0.35">
      <c r="B4" s="53" t="s">
        <v>208</v>
      </c>
      <c r="C4" s="53"/>
      <c r="D4" s="26">
        <v>2025</v>
      </c>
      <c r="E4" s="26">
        <f t="shared" ref="E4:L4" si="0">D4+1</f>
        <v>2026</v>
      </c>
      <c r="F4" s="26">
        <f t="shared" si="0"/>
        <v>2027</v>
      </c>
      <c r="G4" s="26">
        <f t="shared" si="0"/>
        <v>2028</v>
      </c>
      <c r="H4" s="26">
        <f t="shared" si="0"/>
        <v>2029</v>
      </c>
      <c r="I4" s="26">
        <f t="shared" si="0"/>
        <v>2030</v>
      </c>
      <c r="J4" s="26">
        <f t="shared" si="0"/>
        <v>2031</v>
      </c>
      <c r="K4" s="26">
        <f t="shared" si="0"/>
        <v>2032</v>
      </c>
      <c r="L4" s="26">
        <f t="shared" si="0"/>
        <v>2033</v>
      </c>
      <c r="M4" s="26">
        <f t="shared" ref="M4" si="1">L4+1</f>
        <v>2034</v>
      </c>
      <c r="N4" s="26">
        <f t="shared" ref="N4" si="2">M4+1</f>
        <v>2035</v>
      </c>
    </row>
    <row r="5" spans="2:17" ht="18.75" customHeight="1" x14ac:dyDescent="0.35">
      <c r="B5" s="91" t="s">
        <v>219</v>
      </c>
      <c r="C5" s="91"/>
      <c r="D5" s="204">
        <v>4</v>
      </c>
      <c r="E5" s="204">
        <f>12</f>
        <v>12</v>
      </c>
      <c r="F5" s="204">
        <f>E5</f>
        <v>12</v>
      </c>
      <c r="G5" s="204">
        <f t="shared" ref="G5:L5" si="3">F5</f>
        <v>12</v>
      </c>
      <c r="H5" s="204">
        <f t="shared" si="3"/>
        <v>12</v>
      </c>
      <c r="I5" s="204">
        <f t="shared" si="3"/>
        <v>12</v>
      </c>
      <c r="J5" s="204">
        <f t="shared" si="3"/>
        <v>12</v>
      </c>
      <c r="K5" s="204">
        <f t="shared" si="3"/>
        <v>12</v>
      </c>
      <c r="L5" s="204">
        <f t="shared" si="3"/>
        <v>12</v>
      </c>
      <c r="M5" s="204">
        <f t="shared" ref="M5" si="4">L5</f>
        <v>12</v>
      </c>
      <c r="N5" s="204">
        <f t="shared" ref="N5" si="5">M5</f>
        <v>12</v>
      </c>
    </row>
    <row r="6" spans="2:17" ht="19.5" customHeight="1" x14ac:dyDescent="0.35">
      <c r="B6" s="83" t="s">
        <v>181</v>
      </c>
      <c r="C6" s="83"/>
      <c r="D6" s="204">
        <f>'P &amp; L'!D51+'P &amp; L'!D47</f>
        <v>-278.52569454793104</v>
      </c>
      <c r="E6" s="204">
        <f>'P &amp; L'!E51+'P &amp; L'!E47</f>
        <v>-353.26773194079283</v>
      </c>
      <c r="F6" s="204">
        <f>'P &amp; L'!F51+'P &amp; L'!F47</f>
        <v>440.94539414598006</v>
      </c>
      <c r="G6" s="204">
        <f>'P &amp; L'!G51+'P &amp; L'!G47</f>
        <v>716.12149304397155</v>
      </c>
      <c r="H6" s="204">
        <f>'P &amp; L'!H51+'P &amp; L'!H47</f>
        <v>835.64717593280443</v>
      </c>
      <c r="I6" s="204">
        <f>'P &amp; L'!I51+'P &amp; L'!I47</f>
        <v>974.99531272914919</v>
      </c>
      <c r="J6" s="204">
        <f>'P &amp; L'!J51+'P &amp; L'!J47</f>
        <v>1135.4797942143198</v>
      </c>
      <c r="K6" s="204">
        <f>'P &amp; L'!K51+'P &amp; L'!K47</f>
        <v>1249.6337786197764</v>
      </c>
      <c r="L6" s="204">
        <f>'P &amp; L'!L51+'P &amp; L'!L47</f>
        <v>1304.2737456993232</v>
      </c>
      <c r="M6" s="204">
        <f>'P &amp; L'!M51+'P &amp; L'!M47</f>
        <v>1429.3601663632355</v>
      </c>
      <c r="N6" s="204">
        <f>'P &amp; L'!N51+'P &amp; L'!N47</f>
        <v>1555.4253044249781</v>
      </c>
    </row>
    <row r="7" spans="2:17" ht="19.5" customHeight="1" x14ac:dyDescent="0.35">
      <c r="B7" s="83" t="s">
        <v>182</v>
      </c>
      <c r="C7" s="83"/>
      <c r="D7" s="204">
        <f>'P &amp; L'!D52</f>
        <v>0</v>
      </c>
      <c r="E7" s="204">
        <f>'P &amp; L'!E52</f>
        <v>0</v>
      </c>
      <c r="F7" s="204">
        <f>'P &amp; L'!F52</f>
        <v>0</v>
      </c>
      <c r="G7" s="204">
        <f>'P &amp; L'!G52</f>
        <v>0</v>
      </c>
      <c r="H7" s="204">
        <f>'P &amp; L'!H52</f>
        <v>53.215589161386525</v>
      </c>
      <c r="I7" s="204">
        <f>'P &amp; L'!I52</f>
        <v>201.34282030767227</v>
      </c>
      <c r="J7" s="204">
        <f>'P &amp; L'!J52</f>
        <v>251.17155460786003</v>
      </c>
      <c r="K7" s="204">
        <f>'P &amp; L'!K52</f>
        <v>289.33982940302536</v>
      </c>
      <c r="L7" s="204">
        <f>'P &amp; L'!L52</f>
        <v>312.5296163176057</v>
      </c>
      <c r="M7" s="204">
        <f>'P &amp; L'!M52</f>
        <v>353.44936667029913</v>
      </c>
      <c r="N7" s="204">
        <f>'P &amp; L'!N52</f>
        <v>391.33835728434519</v>
      </c>
    </row>
    <row r="8" spans="2:17" ht="19.5" customHeight="1" x14ac:dyDescent="0.35">
      <c r="B8" s="105" t="s">
        <v>183</v>
      </c>
      <c r="C8" s="105"/>
      <c r="D8" s="204">
        <f>'P &amp; L'!D49</f>
        <v>225.46872332526436</v>
      </c>
      <c r="E8" s="204">
        <f>'P &amp; L'!E49</f>
        <v>418.96403845271254</v>
      </c>
      <c r="F8" s="204">
        <f>'P &amp; L'!F49</f>
        <v>360.22854325665543</v>
      </c>
      <c r="G8" s="204">
        <f>'P &amp; L'!G49</f>
        <v>354.38246128282191</v>
      </c>
      <c r="H8" s="204">
        <f>'P &amp; L'!H49</f>
        <v>304.094471653597</v>
      </c>
      <c r="I8" s="204">
        <f>'P &amp; L'!I49</f>
        <v>261.06274251243593</v>
      </c>
      <c r="J8" s="204">
        <f>'P &amp; L'!J49</f>
        <v>224.22752858176119</v>
      </c>
      <c r="K8" s="204">
        <f>'P &amp; L'!K49</f>
        <v>192.68517699606861</v>
      </c>
      <c r="L8" s="204">
        <f>'P &amp; L'!L49</f>
        <v>225.6650003780727</v>
      </c>
      <c r="M8" s="204">
        <f>'P &amp; L'!M49</f>
        <v>193.50959025963476</v>
      </c>
      <c r="N8" s="204">
        <f>'P &amp; L'!N49</f>
        <v>166.00805766513523</v>
      </c>
    </row>
    <row r="9" spans="2:17" ht="19.5" customHeight="1" x14ac:dyDescent="0.35">
      <c r="B9" s="106" t="s">
        <v>184</v>
      </c>
      <c r="C9" s="106"/>
      <c r="D9" s="205">
        <f t="shared" ref="D9:L9" si="6">D6-D7+D8</f>
        <v>-53.056971222666675</v>
      </c>
      <c r="E9" s="205">
        <f t="shared" si="6"/>
        <v>65.696306511919715</v>
      </c>
      <c r="F9" s="205">
        <f t="shared" si="6"/>
        <v>801.17393740263549</v>
      </c>
      <c r="G9" s="205">
        <f t="shared" si="6"/>
        <v>1070.5039543267935</v>
      </c>
      <c r="H9" s="205">
        <f t="shared" si="6"/>
        <v>1086.526058425015</v>
      </c>
      <c r="I9" s="205">
        <f t="shared" si="6"/>
        <v>1034.7152349339128</v>
      </c>
      <c r="J9" s="205">
        <f t="shared" si="6"/>
        <v>1108.535768188221</v>
      </c>
      <c r="K9" s="205">
        <f t="shared" si="6"/>
        <v>1152.9791262128197</v>
      </c>
      <c r="L9" s="205">
        <f t="shared" si="6"/>
        <v>1217.4091297597902</v>
      </c>
      <c r="M9" s="205">
        <f t="shared" ref="M9:N9" si="7">M6-M7+M8</f>
        <v>1269.4203899525712</v>
      </c>
      <c r="N9" s="205">
        <f t="shared" si="7"/>
        <v>1330.0950048057682</v>
      </c>
    </row>
    <row r="10" spans="2:17" ht="19.5" customHeight="1" x14ac:dyDescent="0.35">
      <c r="B10" s="105" t="s">
        <v>185</v>
      </c>
      <c r="C10" s="105"/>
      <c r="D10" s="206">
        <f>WC!D32</f>
        <v>20.425000000000004</v>
      </c>
      <c r="E10" s="206">
        <f>WC!E32-WC!D32</f>
        <v>59.404794520547917</v>
      </c>
      <c r="F10" s="206">
        <f>WC!F32-WC!E32</f>
        <v>169.57720273972609</v>
      </c>
      <c r="G10" s="206">
        <f>WC!G32-WC!F32</f>
        <v>75.998703254794464</v>
      </c>
      <c r="H10" s="206">
        <f>WC!H32-WC!G32</f>
        <v>21.324342030904234</v>
      </c>
      <c r="I10" s="206">
        <f>WC!I32-WC!H32</f>
        <v>22.603802552758339</v>
      </c>
      <c r="J10" s="206">
        <f>WC!J32-WC!I32</f>
        <v>23.960030705923998</v>
      </c>
      <c r="K10" s="206">
        <f>WC!K32-WC!J32</f>
        <v>25.397632548279262</v>
      </c>
      <c r="L10" s="206">
        <f>WC!L32-WC!K32</f>
        <v>26.921490501176095</v>
      </c>
      <c r="M10" s="206">
        <f>WC!M32-WC!L32</f>
        <v>28.536779931246656</v>
      </c>
      <c r="N10" s="206">
        <f>WC!N32-WC!M32</f>
        <v>30.248986727121462</v>
      </c>
    </row>
    <row r="11" spans="2:17" ht="19.5" customHeight="1" x14ac:dyDescent="0.35">
      <c r="B11" s="105" t="s">
        <v>244</v>
      </c>
      <c r="C11" s="105"/>
      <c r="D11" s="206">
        <f>'Cash Flow'!C20</f>
        <v>3252.5030178000002</v>
      </c>
      <c r="E11" s="206">
        <f>BS!D18-BS!C18</f>
        <v>0</v>
      </c>
      <c r="F11" s="206">
        <f>BS!E18-BS!D18</f>
        <v>6</v>
      </c>
      <c r="G11" s="206">
        <f>BS!F18-BS!E18</f>
        <v>300</v>
      </c>
      <c r="H11" s="206">
        <f>BS!G18-BS!F18</f>
        <v>0</v>
      </c>
      <c r="I11" s="206">
        <f>BS!H18-BS!G18</f>
        <v>0</v>
      </c>
      <c r="J11" s="206">
        <f>BS!I18-BS!H18</f>
        <v>0</v>
      </c>
      <c r="K11" s="206">
        <f>BS!J18-BS!I18</f>
        <v>0</v>
      </c>
      <c r="L11" s="206">
        <f>BS!K18-BS!J18</f>
        <v>400</v>
      </c>
      <c r="M11" s="206">
        <f>BS!L18-BS!K18</f>
        <v>0</v>
      </c>
      <c r="N11" s="206">
        <f>BS!M18-BS!L18</f>
        <v>0</v>
      </c>
    </row>
    <row r="12" spans="2:17" ht="19.5" customHeight="1" x14ac:dyDescent="0.35">
      <c r="B12" s="106" t="s">
        <v>186</v>
      </c>
      <c r="C12" s="106"/>
      <c r="D12" s="207">
        <f t="shared" ref="D12:L12" si="8">D9-D10-D11</f>
        <v>-3325.9849890226669</v>
      </c>
      <c r="E12" s="207">
        <f t="shared" si="8"/>
        <v>6.2915119913717987</v>
      </c>
      <c r="F12" s="207">
        <f t="shared" si="8"/>
        <v>625.5967346629094</v>
      </c>
      <c r="G12" s="207">
        <f t="shared" si="8"/>
        <v>694.50525107199906</v>
      </c>
      <c r="H12" s="207">
        <f t="shared" si="8"/>
        <v>1065.2017163941107</v>
      </c>
      <c r="I12" s="207">
        <f t="shared" si="8"/>
        <v>1012.1114323811545</v>
      </c>
      <c r="J12" s="207">
        <f t="shared" si="8"/>
        <v>1084.575737482297</v>
      </c>
      <c r="K12" s="207">
        <f t="shared" si="8"/>
        <v>1127.5814936645404</v>
      </c>
      <c r="L12" s="207">
        <f t="shared" si="8"/>
        <v>790.48763925861408</v>
      </c>
      <c r="M12" s="207">
        <f t="shared" ref="M12:N12" si="9">M9-M10-M11</f>
        <v>1240.8836100213246</v>
      </c>
      <c r="N12" s="207">
        <f t="shared" si="9"/>
        <v>1299.8460180786467</v>
      </c>
    </row>
    <row r="13" spans="2:17" ht="19.5" customHeight="1" x14ac:dyDescent="0.35">
      <c r="B13" s="106" t="s">
        <v>428</v>
      </c>
      <c r="C13" s="106"/>
      <c r="D13" s="280"/>
      <c r="E13" s="280"/>
      <c r="F13" s="280"/>
      <c r="G13" s="280"/>
      <c r="H13" s="280"/>
      <c r="I13" s="280"/>
      <c r="J13" s="280"/>
      <c r="K13" s="280"/>
      <c r="L13" s="280"/>
      <c r="M13" s="280"/>
      <c r="N13" s="280">
        <f>(N9-N10-N8)*(1+$D$40)/($D$19-$D$40)</f>
        <v>10582.487630526106</v>
      </c>
      <c r="O13" s="74" t="s">
        <v>500</v>
      </c>
    </row>
    <row r="14" spans="2:17" ht="19.5" customHeight="1" x14ac:dyDescent="0.35">
      <c r="B14" s="55" t="s">
        <v>429</v>
      </c>
      <c r="C14" s="55"/>
      <c r="D14" s="280">
        <f>D12+D13</f>
        <v>-3325.9849890226669</v>
      </c>
      <c r="E14" s="280">
        <f t="shared" ref="E14:N14" si="10">E12+E13</f>
        <v>6.2915119913717987</v>
      </c>
      <c r="F14" s="280">
        <f t="shared" si="10"/>
        <v>625.5967346629094</v>
      </c>
      <c r="G14" s="280">
        <f t="shared" si="10"/>
        <v>694.50525107199906</v>
      </c>
      <c r="H14" s="280">
        <f t="shared" si="10"/>
        <v>1065.2017163941107</v>
      </c>
      <c r="I14" s="280">
        <f t="shared" si="10"/>
        <v>1012.1114323811545</v>
      </c>
      <c r="J14" s="280">
        <f t="shared" si="10"/>
        <v>1084.575737482297</v>
      </c>
      <c r="K14" s="280">
        <f t="shared" si="10"/>
        <v>1127.5814936645404</v>
      </c>
      <c r="L14" s="280">
        <f t="shared" si="10"/>
        <v>790.48763925861408</v>
      </c>
      <c r="M14" s="280">
        <f t="shared" si="10"/>
        <v>1240.8836100213246</v>
      </c>
      <c r="N14" s="280">
        <f t="shared" si="10"/>
        <v>11882.333648604752</v>
      </c>
      <c r="O14" s="323">
        <f>5/14</f>
        <v>0.35714285714285715</v>
      </c>
      <c r="P14" s="322">
        <f>N9*O14</f>
        <v>475.03393028777435</v>
      </c>
      <c r="Q14" s="322">
        <f>N8+N10</f>
        <v>196.25704439225669</v>
      </c>
    </row>
    <row r="15" spans="2:17" s="104" customFormat="1" ht="21" customHeight="1" x14ac:dyDescent="0.35">
      <c r="B15" s="53" t="s">
        <v>187</v>
      </c>
      <c r="C15" s="53"/>
      <c r="D15" s="352">
        <f>IRR(D14:N14)</f>
        <v>0.26652844804278941</v>
      </c>
      <c r="E15" s="352"/>
      <c r="F15" s="352"/>
      <c r="G15" s="352"/>
      <c r="H15" s="352"/>
      <c r="I15" s="352"/>
      <c r="J15" s="352"/>
      <c r="K15" s="352"/>
      <c r="L15" s="352"/>
      <c r="M15" s="352"/>
      <c r="N15" s="352"/>
    </row>
    <row r="16" spans="2:17" s="283" customFormat="1" ht="21" customHeight="1" x14ac:dyDescent="0.35">
      <c r="B16" s="284"/>
      <c r="C16" s="285">
        <f>-D11</f>
        <v>-3252.5030178000002</v>
      </c>
      <c r="D16" s="285">
        <f>D9-D10</f>
        <v>-73.481971222666687</v>
      </c>
      <c r="E16" s="285">
        <f>E14</f>
        <v>6.2915119913717987</v>
      </c>
      <c r="F16" s="285">
        <f t="shared" ref="F16:N16" si="11">F14</f>
        <v>625.5967346629094</v>
      </c>
      <c r="G16" s="285">
        <f t="shared" si="11"/>
        <v>694.50525107199906</v>
      </c>
      <c r="H16" s="285">
        <f t="shared" si="11"/>
        <v>1065.2017163941107</v>
      </c>
      <c r="I16" s="285">
        <f t="shared" si="11"/>
        <v>1012.1114323811545</v>
      </c>
      <c r="J16" s="285">
        <f t="shared" si="11"/>
        <v>1084.575737482297</v>
      </c>
      <c r="K16" s="285">
        <f t="shared" si="11"/>
        <v>1127.5814936645404</v>
      </c>
      <c r="L16" s="285">
        <f t="shared" si="11"/>
        <v>790.48763925861408</v>
      </c>
      <c r="M16" s="285">
        <f t="shared" si="11"/>
        <v>1240.8836100213246</v>
      </c>
      <c r="N16" s="285">
        <f t="shared" si="11"/>
        <v>11882.333648604752</v>
      </c>
    </row>
    <row r="17" spans="1:12" s="283" customFormat="1" ht="21" customHeight="1" x14ac:dyDescent="0.35">
      <c r="B17" s="286" t="s">
        <v>187</v>
      </c>
      <c r="C17" s="287">
        <f>XIRR(C16:N16,C3:N3)</f>
        <v>0.25294092297554016</v>
      </c>
      <c r="D17" s="285"/>
      <c r="E17" s="285"/>
      <c r="F17" s="285"/>
      <c r="G17" s="285"/>
      <c r="H17" s="285"/>
      <c r="I17" s="285"/>
      <c r="J17" s="285"/>
      <c r="K17" s="285"/>
      <c r="L17" s="285"/>
    </row>
    <row r="18" spans="1:12" x14ac:dyDescent="0.35">
      <c r="B18" s="86"/>
      <c r="C18" s="86"/>
      <c r="D18" s="93"/>
      <c r="E18" s="78"/>
      <c r="F18" s="93"/>
      <c r="G18" s="94"/>
      <c r="H18" s="95"/>
      <c r="I18" s="73"/>
      <c r="J18" s="95"/>
      <c r="L18" s="159"/>
    </row>
    <row r="19" spans="1:12" x14ac:dyDescent="0.35">
      <c r="A19" s="144">
        <v>0.02</v>
      </c>
      <c r="B19" s="74" t="s">
        <v>217</v>
      </c>
      <c r="C19" s="74"/>
      <c r="D19" s="144">
        <f>E60</f>
        <v>0.16250000000000001</v>
      </c>
      <c r="E19" s="74"/>
      <c r="F19" s="74"/>
      <c r="G19" s="74"/>
      <c r="H19" s="74"/>
      <c r="I19" s="74"/>
      <c r="J19" s="74"/>
      <c r="K19" s="161"/>
      <c r="L19" s="79"/>
    </row>
    <row r="20" spans="1:12" ht="15" hidden="1" customHeight="1" x14ac:dyDescent="0.35">
      <c r="B20" s="74"/>
      <c r="C20" s="74"/>
      <c r="D20" s="74"/>
      <c r="E20" s="74"/>
      <c r="F20" s="74"/>
      <c r="G20" s="74"/>
      <c r="H20" s="74"/>
      <c r="I20" s="74"/>
      <c r="J20" s="74"/>
    </row>
    <row r="21" spans="1:12" ht="15" hidden="1" customHeight="1" x14ac:dyDescent="0.35">
      <c r="B21" s="74" t="s">
        <v>188</v>
      </c>
      <c r="C21" s="74"/>
      <c r="D21" s="74"/>
      <c r="E21" s="74"/>
      <c r="F21" s="74"/>
      <c r="G21" s="74"/>
      <c r="H21" s="74"/>
      <c r="I21" s="74"/>
      <c r="J21" s="74"/>
    </row>
    <row r="22" spans="1:12" ht="15" hidden="1" customHeight="1" x14ac:dyDescent="0.35">
      <c r="B22" s="74" t="s">
        <v>189</v>
      </c>
      <c r="C22" s="74"/>
      <c r="D22" s="74">
        <f t="shared" ref="D22:J22" si="12">D4</f>
        <v>2025</v>
      </c>
      <c r="E22" s="74">
        <f t="shared" si="12"/>
        <v>2026</v>
      </c>
      <c r="F22" s="74">
        <f t="shared" si="12"/>
        <v>2027</v>
      </c>
      <c r="G22" s="74">
        <f t="shared" si="12"/>
        <v>2028</v>
      </c>
      <c r="H22" s="74">
        <f t="shared" si="12"/>
        <v>2029</v>
      </c>
      <c r="I22" s="74">
        <f t="shared" si="12"/>
        <v>2030</v>
      </c>
      <c r="J22" s="74">
        <f t="shared" si="12"/>
        <v>2031</v>
      </c>
      <c r="K22" s="76"/>
    </row>
    <row r="23" spans="1:12" ht="15" hidden="1" customHeight="1" x14ac:dyDescent="0.35">
      <c r="B23" s="74" t="s">
        <v>190</v>
      </c>
      <c r="C23" s="74"/>
      <c r="D23" s="74">
        <v>0.13</v>
      </c>
      <c r="E23" s="74">
        <f>D23</f>
        <v>0.13</v>
      </c>
      <c r="F23" s="74">
        <f t="shared" ref="F23:J23" si="13">E23</f>
        <v>0.13</v>
      </c>
      <c r="G23" s="74">
        <f t="shared" si="13"/>
        <v>0.13</v>
      </c>
      <c r="H23" s="74">
        <f t="shared" si="13"/>
        <v>0.13</v>
      </c>
      <c r="I23" s="74">
        <f t="shared" si="13"/>
        <v>0.13</v>
      </c>
      <c r="J23" s="74">
        <f t="shared" si="13"/>
        <v>0.13</v>
      </c>
      <c r="K23" s="79"/>
    </row>
    <row r="24" spans="1:12" ht="15" hidden="1" customHeight="1" x14ac:dyDescent="0.35">
      <c r="B24" s="74" t="s">
        <v>191</v>
      </c>
      <c r="C24" s="74"/>
      <c r="D24" s="74">
        <v>0.2</v>
      </c>
      <c r="E24" s="74">
        <v>0.2</v>
      </c>
      <c r="F24" s="74">
        <v>0.2</v>
      </c>
      <c r="G24" s="74">
        <v>0.2</v>
      </c>
      <c r="H24" s="74">
        <v>0.2</v>
      </c>
      <c r="I24" s="74">
        <v>0.2</v>
      </c>
      <c r="J24" s="74">
        <v>0.2</v>
      </c>
      <c r="K24" s="79"/>
    </row>
    <row r="25" spans="1:12" ht="15" hidden="1" customHeight="1" x14ac:dyDescent="0.35">
      <c r="B25" s="74" t="s">
        <v>192</v>
      </c>
      <c r="C25" s="74"/>
      <c r="D25" s="74">
        <v>0</v>
      </c>
      <c r="E25" s="74">
        <v>0</v>
      </c>
      <c r="F25" s="74">
        <v>0</v>
      </c>
      <c r="G25" s="74">
        <v>0</v>
      </c>
      <c r="H25" s="74">
        <v>0</v>
      </c>
      <c r="I25" s="74">
        <v>0</v>
      </c>
      <c r="J25" s="74">
        <v>0</v>
      </c>
      <c r="K25" s="99"/>
    </row>
    <row r="26" spans="1:12" ht="15" hidden="1" customHeight="1" x14ac:dyDescent="0.35">
      <c r="B26" s="74" t="s">
        <v>193</v>
      </c>
      <c r="C26" s="74"/>
      <c r="D26" s="74">
        <v>0.33989999999999998</v>
      </c>
      <c r="E26" s="74">
        <v>0.33989999999999998</v>
      </c>
      <c r="F26" s="74">
        <v>0.33989999999999998</v>
      </c>
      <c r="G26" s="74">
        <v>0.33989999999999998</v>
      </c>
      <c r="H26" s="74">
        <v>0.33989999999999998</v>
      </c>
      <c r="I26" s="74">
        <v>0.33989999999999998</v>
      </c>
      <c r="J26" s="74">
        <v>0.33989999999999998</v>
      </c>
      <c r="K26" s="99"/>
    </row>
    <row r="27" spans="1:12" ht="15" hidden="1" customHeight="1" x14ac:dyDescent="0.35">
      <c r="B27" s="74" t="s">
        <v>194</v>
      </c>
      <c r="C27" s="74"/>
      <c r="D27" s="74">
        <f>D23*D25*(1-D26)+D24*(1-D25)</f>
        <v>0.2</v>
      </c>
      <c r="E27" s="74">
        <f>E23*E25*(1-E26)+E24*(1-E25)</f>
        <v>0.2</v>
      </c>
      <c r="F27" s="74">
        <f>F23*F25*(1-F26)+F24*(1-F25)</f>
        <v>0.2</v>
      </c>
      <c r="G27" s="74">
        <f t="shared" ref="G27:J27" si="14">G23*G25*(1-G26)+G24*(1-G25)</f>
        <v>0.2</v>
      </c>
      <c r="H27" s="74">
        <f t="shared" si="14"/>
        <v>0.2</v>
      </c>
      <c r="I27" s="74">
        <f t="shared" si="14"/>
        <v>0.2</v>
      </c>
      <c r="J27" s="74">
        <f t="shared" si="14"/>
        <v>0.2</v>
      </c>
      <c r="K27" s="100"/>
    </row>
    <row r="28" spans="1:12" ht="15" hidden="1" customHeight="1" x14ac:dyDescent="0.35">
      <c r="B28" s="74" t="s">
        <v>195</v>
      </c>
      <c r="C28" s="74"/>
      <c r="D28" s="74"/>
      <c r="E28" s="74"/>
      <c r="F28" s="74">
        <f>1/(1+F27)</f>
        <v>0.83333333333333337</v>
      </c>
      <c r="G28" s="74">
        <f t="shared" ref="G28:J28" si="15">F28/(1+G27)</f>
        <v>0.69444444444444453</v>
      </c>
      <c r="H28" s="74">
        <f t="shared" si="15"/>
        <v>0.57870370370370383</v>
      </c>
      <c r="I28" s="74">
        <f t="shared" si="15"/>
        <v>0.48225308641975323</v>
      </c>
      <c r="J28" s="74">
        <f t="shared" si="15"/>
        <v>0.40187757201646102</v>
      </c>
      <c r="K28" s="101"/>
    </row>
    <row r="29" spans="1:12" ht="15" hidden="1" customHeight="1" x14ac:dyDescent="0.35">
      <c r="B29" s="74"/>
      <c r="C29" s="74"/>
      <c r="D29" s="74"/>
      <c r="E29" s="74"/>
      <c r="F29" s="74"/>
      <c r="G29" s="74"/>
      <c r="H29" s="74"/>
      <c r="I29" s="74"/>
      <c r="J29" s="74"/>
    </row>
    <row r="30" spans="1:12" ht="15" hidden="1" customHeight="1" x14ac:dyDescent="0.35">
      <c r="B30" s="74"/>
      <c r="C30" s="74"/>
      <c r="D30" s="74"/>
      <c r="E30" s="74"/>
      <c r="F30" s="74"/>
      <c r="G30" s="74"/>
      <c r="H30" s="74"/>
      <c r="I30" s="74"/>
      <c r="J30" s="74"/>
    </row>
    <row r="31" spans="1:12" ht="15" hidden="1" customHeight="1" x14ac:dyDescent="0.35">
      <c r="B31" s="74"/>
      <c r="C31" s="74"/>
      <c r="D31" s="74"/>
      <c r="E31" s="74"/>
      <c r="F31" s="74"/>
      <c r="G31" s="74"/>
      <c r="H31" s="74"/>
      <c r="I31" s="74"/>
      <c r="J31" s="74"/>
    </row>
    <row r="32" spans="1:12" ht="15" hidden="1" customHeight="1" x14ac:dyDescent="0.35">
      <c r="B32" s="74"/>
      <c r="C32" s="74"/>
      <c r="D32" s="74"/>
      <c r="E32" s="74"/>
      <c r="F32" s="74"/>
      <c r="G32" s="74"/>
      <c r="H32" s="74"/>
      <c r="I32" s="74"/>
      <c r="J32" s="74"/>
    </row>
    <row r="33" spans="2:12" ht="15" hidden="1" customHeight="1" x14ac:dyDescent="0.35">
      <c r="B33" s="74"/>
      <c r="C33" s="74"/>
      <c r="D33" s="74"/>
      <c r="E33" s="74"/>
      <c r="F33" s="74"/>
      <c r="G33" s="74"/>
      <c r="H33" s="74"/>
      <c r="I33" s="74"/>
      <c r="J33" s="74"/>
    </row>
    <row r="34" spans="2:12" ht="15" hidden="1" customHeight="1" x14ac:dyDescent="0.35">
      <c r="B34" s="74"/>
      <c r="C34" s="74"/>
      <c r="D34" s="74"/>
      <c r="E34" s="74"/>
      <c r="F34" s="74"/>
      <c r="G34" s="74"/>
      <c r="H34" s="74"/>
      <c r="I34" s="74"/>
      <c r="J34" s="74"/>
    </row>
    <row r="35" spans="2:12" ht="15" hidden="1" customHeight="1" x14ac:dyDescent="0.35">
      <c r="B35" s="74"/>
      <c r="C35" s="74"/>
      <c r="D35" s="74"/>
      <c r="E35" s="74"/>
      <c r="F35" s="74"/>
      <c r="G35" s="74"/>
      <c r="H35" s="74"/>
      <c r="I35" s="74"/>
      <c r="J35" s="74"/>
      <c r="K35" s="102"/>
    </row>
    <row r="36" spans="2:12" ht="15" hidden="1" customHeight="1" x14ac:dyDescent="0.35">
      <c r="B36" s="74"/>
      <c r="C36" s="74"/>
      <c r="D36" s="74"/>
      <c r="E36" s="74"/>
      <c r="F36" s="74"/>
      <c r="G36" s="74"/>
      <c r="H36" s="74"/>
      <c r="I36" s="74"/>
      <c r="J36" s="74"/>
    </row>
    <row r="37" spans="2:12" ht="15" hidden="1" customHeight="1" x14ac:dyDescent="0.35">
      <c r="B37" s="74"/>
      <c r="C37" s="74"/>
      <c r="D37" s="74"/>
      <c r="E37" s="74"/>
      <c r="F37" s="74"/>
      <c r="G37" s="74"/>
      <c r="H37" s="74"/>
      <c r="I37" s="74"/>
      <c r="J37" s="74"/>
    </row>
    <row r="38" spans="2:12" ht="15" hidden="1" customHeight="1" x14ac:dyDescent="0.35">
      <c r="B38" s="74"/>
      <c r="C38" s="74"/>
      <c r="D38" s="74"/>
      <c r="E38" s="74"/>
      <c r="F38" s="74"/>
      <c r="G38" s="74"/>
      <c r="H38" s="74"/>
      <c r="I38" s="74"/>
      <c r="J38" s="74"/>
    </row>
    <row r="39" spans="2:12" ht="15" hidden="1" customHeight="1" x14ac:dyDescent="0.35">
      <c r="B39" s="74"/>
      <c r="C39" s="74"/>
      <c r="D39" s="74"/>
      <c r="E39" s="74"/>
      <c r="F39" s="74"/>
      <c r="G39" s="74"/>
      <c r="H39" s="74"/>
      <c r="I39" s="74"/>
      <c r="J39" s="74"/>
    </row>
    <row r="40" spans="2:12" x14ac:dyDescent="0.35">
      <c r="B40" s="141" t="s">
        <v>218</v>
      </c>
      <c r="C40" s="141"/>
      <c r="D40" s="145">
        <v>0.05</v>
      </c>
      <c r="E40" s="74"/>
      <c r="F40" s="74"/>
      <c r="G40" s="74"/>
      <c r="H40" s="74"/>
      <c r="I40" s="74"/>
      <c r="J40" s="74"/>
      <c r="K40" s="79"/>
      <c r="L40" s="79"/>
    </row>
    <row r="41" spans="2:12" x14ac:dyDescent="0.35">
      <c r="B41" s="141"/>
      <c r="C41" s="141"/>
      <c r="D41" s="145"/>
      <c r="E41" s="74"/>
      <c r="F41" s="74"/>
      <c r="G41" s="74"/>
      <c r="H41" s="74"/>
      <c r="I41" s="74"/>
      <c r="J41" s="74"/>
      <c r="K41" s="79"/>
      <c r="L41" s="79"/>
    </row>
    <row r="42" spans="2:12" x14ac:dyDescent="0.35">
      <c r="B42" s="162" t="s">
        <v>425</v>
      </c>
      <c r="C42" s="162"/>
      <c r="D42" s="163" t="s">
        <v>245</v>
      </c>
      <c r="E42" s="164">
        <v>0.55503693953594246</v>
      </c>
      <c r="F42" s="165"/>
      <c r="G42" s="190" t="s">
        <v>424</v>
      </c>
      <c r="H42" s="74"/>
      <c r="I42" s="74"/>
      <c r="J42" s="74"/>
      <c r="K42" s="79"/>
      <c r="L42" s="79"/>
    </row>
    <row r="43" spans="2:12" x14ac:dyDescent="0.35">
      <c r="B43" s="277" t="s">
        <v>246</v>
      </c>
      <c r="C43" s="277"/>
      <c r="D43" s="167" t="str">
        <f>D42</f>
        <v>Median</v>
      </c>
      <c r="E43" s="168">
        <v>0.8</v>
      </c>
      <c r="F43" s="169"/>
      <c r="G43" s="190" t="s">
        <v>424</v>
      </c>
      <c r="H43" s="74"/>
      <c r="I43" s="74"/>
      <c r="J43" s="90" t="s">
        <v>484</v>
      </c>
      <c r="K43" s="79"/>
      <c r="L43" s="79"/>
    </row>
    <row r="44" spans="2:12" x14ac:dyDescent="0.35">
      <c r="B44" s="277" t="s">
        <v>247</v>
      </c>
      <c r="C44" s="277"/>
      <c r="D44" s="167"/>
      <c r="E44" s="170">
        <v>0.25168000000000001</v>
      </c>
      <c r="F44" s="169"/>
      <c r="G44" s="190" t="s">
        <v>427</v>
      </c>
      <c r="H44" s="74"/>
      <c r="I44" s="74"/>
      <c r="J44" s="74"/>
      <c r="K44" s="79"/>
      <c r="L44" s="79"/>
    </row>
    <row r="45" spans="2:12" x14ac:dyDescent="0.35">
      <c r="B45" s="278" t="s">
        <v>248</v>
      </c>
      <c r="C45" s="278"/>
      <c r="D45" s="167" t="s">
        <v>263</v>
      </c>
      <c r="E45" s="168">
        <f>E43*(1+(1-E44)*E42)</f>
        <v>1.1322761940748292</v>
      </c>
      <c r="F45" s="169"/>
      <c r="G45" s="169"/>
      <c r="H45" s="74"/>
      <c r="I45" s="74"/>
      <c r="J45" s="74"/>
      <c r="K45" s="79"/>
      <c r="L45" s="79"/>
    </row>
    <row r="46" spans="2:12" x14ac:dyDescent="0.35">
      <c r="B46" s="277"/>
      <c r="C46" s="277"/>
      <c r="D46" s="167"/>
      <c r="E46" s="171"/>
      <c r="F46" s="171"/>
      <c r="G46" s="171"/>
      <c r="H46" s="74"/>
      <c r="I46" s="74"/>
      <c r="J46" s="74"/>
      <c r="K46" s="79"/>
      <c r="L46" s="79"/>
    </row>
    <row r="47" spans="2:12" x14ac:dyDescent="0.35">
      <c r="B47" s="279" t="s">
        <v>249</v>
      </c>
      <c r="C47" s="279"/>
      <c r="D47" s="167"/>
      <c r="E47" s="171"/>
      <c r="F47" s="171"/>
      <c r="G47" s="171"/>
      <c r="H47" s="74"/>
      <c r="I47" s="74"/>
      <c r="J47" s="74"/>
      <c r="K47" s="79"/>
      <c r="L47" s="79"/>
    </row>
    <row r="48" spans="2:12" x14ac:dyDescent="0.35">
      <c r="B48" s="277" t="s">
        <v>250</v>
      </c>
      <c r="C48" s="277"/>
      <c r="D48" s="167"/>
      <c r="E48" s="171">
        <v>7.1800000000000003E-2</v>
      </c>
      <c r="F48" s="173" t="s">
        <v>426</v>
      </c>
      <c r="G48" s="171"/>
      <c r="H48" s="74"/>
      <c r="I48" s="74"/>
      <c r="J48" s="74"/>
      <c r="K48" s="79"/>
      <c r="L48" s="79"/>
    </row>
    <row r="49" spans="2:14" x14ac:dyDescent="0.35">
      <c r="B49" s="277" t="s">
        <v>251</v>
      </c>
      <c r="C49" s="277"/>
      <c r="D49" s="167"/>
      <c r="E49" s="174">
        <f>+E48+E50</f>
        <v>0.14990000000000001</v>
      </c>
      <c r="F49" s="175" t="s">
        <v>423</v>
      </c>
      <c r="G49" s="171"/>
      <c r="H49" s="74"/>
      <c r="I49" s="74"/>
      <c r="J49" s="74"/>
      <c r="K49" s="79"/>
      <c r="L49" s="79"/>
    </row>
    <row r="50" spans="2:14" x14ac:dyDescent="0.35">
      <c r="B50" s="277" t="s">
        <v>252</v>
      </c>
      <c r="C50" s="277"/>
      <c r="D50" s="167"/>
      <c r="E50" s="171">
        <v>7.8100000000000003E-2</v>
      </c>
      <c r="F50" s="175" t="s">
        <v>266</v>
      </c>
      <c r="G50" s="171"/>
      <c r="H50" s="74"/>
      <c r="I50" s="74"/>
      <c r="J50" s="74"/>
      <c r="K50" s="79"/>
      <c r="L50" s="79"/>
    </row>
    <row r="51" spans="2:14" x14ac:dyDescent="0.35">
      <c r="B51" s="277" t="s">
        <v>253</v>
      </c>
      <c r="C51" s="277"/>
      <c r="D51" s="167"/>
      <c r="E51" s="176">
        <f>E45</f>
        <v>1.1322761940748292</v>
      </c>
      <c r="F51" s="177" t="s">
        <v>204</v>
      </c>
      <c r="G51" s="178"/>
      <c r="H51" s="74"/>
      <c r="I51" s="74"/>
      <c r="J51" s="74"/>
      <c r="K51" s="79"/>
      <c r="L51" s="79"/>
    </row>
    <row r="52" spans="2:14" x14ac:dyDescent="0.35">
      <c r="B52" s="277" t="s">
        <v>254</v>
      </c>
      <c r="C52" s="277"/>
      <c r="D52" s="167"/>
      <c r="E52" s="179">
        <v>0.05</v>
      </c>
      <c r="F52" s="175" t="s">
        <v>255</v>
      </c>
      <c r="G52" s="178"/>
      <c r="H52" s="74"/>
      <c r="I52" s="74"/>
      <c r="J52" s="74"/>
      <c r="K52" s="79"/>
      <c r="L52" s="79"/>
    </row>
    <row r="53" spans="2:14" x14ac:dyDescent="0.3">
      <c r="B53" s="180" t="s">
        <v>249</v>
      </c>
      <c r="C53" s="180"/>
      <c r="D53" s="180"/>
      <c r="E53" s="181">
        <f>E48+(E51*E50)+E52</f>
        <v>0.21023077075724417</v>
      </c>
      <c r="F53" s="182" t="s">
        <v>204</v>
      </c>
      <c r="G53" s="178"/>
      <c r="H53" s="74"/>
      <c r="I53" s="74"/>
      <c r="J53" s="74"/>
      <c r="K53" s="79"/>
      <c r="L53" s="79"/>
    </row>
    <row r="54" spans="2:14" x14ac:dyDescent="0.35">
      <c r="B54" s="172" t="s">
        <v>256</v>
      </c>
      <c r="C54" s="172"/>
      <c r="D54" s="183"/>
      <c r="E54" s="184"/>
      <c r="F54" s="185"/>
      <c r="G54" s="178"/>
      <c r="H54" s="74"/>
      <c r="I54" s="74"/>
      <c r="J54" s="74"/>
      <c r="K54" s="79"/>
      <c r="L54" s="79"/>
    </row>
    <row r="55" spans="2:14" x14ac:dyDescent="0.35">
      <c r="B55" s="166" t="s">
        <v>257</v>
      </c>
      <c r="C55" s="166"/>
      <c r="D55" s="167"/>
      <c r="E55" s="171">
        <f>'TL Schd'!D16</f>
        <v>0.1</v>
      </c>
      <c r="F55" s="175" t="s">
        <v>258</v>
      </c>
      <c r="G55" s="178"/>
      <c r="H55" s="74"/>
      <c r="I55" s="74"/>
      <c r="J55" s="74"/>
      <c r="K55" s="79"/>
      <c r="L55" s="79"/>
    </row>
    <row r="56" spans="2:14" x14ac:dyDescent="0.35">
      <c r="B56" s="166" t="s">
        <v>259</v>
      </c>
      <c r="C56" s="166"/>
      <c r="D56" s="167"/>
      <c r="E56" s="186">
        <v>0.25168000000000001</v>
      </c>
      <c r="F56" s="187" t="s">
        <v>260</v>
      </c>
      <c r="G56" s="178"/>
      <c r="H56" s="74"/>
      <c r="I56" s="74"/>
      <c r="J56" s="74"/>
      <c r="K56" s="79"/>
      <c r="L56" s="79"/>
    </row>
    <row r="57" spans="2:14" x14ac:dyDescent="0.35">
      <c r="B57" s="166" t="s">
        <v>261</v>
      </c>
      <c r="C57" s="166"/>
      <c r="D57" s="167"/>
      <c r="E57" s="171">
        <f>E55*(1-E56)</f>
        <v>7.4831999999999996E-2</v>
      </c>
      <c r="F57" s="182" t="s">
        <v>204</v>
      </c>
      <c r="G57" s="178"/>
      <c r="H57" s="74"/>
      <c r="I57" s="74"/>
      <c r="J57" s="74"/>
      <c r="K57" s="79"/>
      <c r="L57" s="79"/>
    </row>
    <row r="58" spans="2:14" x14ac:dyDescent="0.35">
      <c r="B58" s="166" t="s">
        <v>262</v>
      </c>
      <c r="C58" s="166"/>
      <c r="D58" s="167" t="s">
        <v>263</v>
      </c>
      <c r="E58" s="176">
        <f>E42</f>
        <v>0.55503693953594246</v>
      </c>
      <c r="F58" s="177" t="s">
        <v>204</v>
      </c>
      <c r="G58" s="188"/>
      <c r="H58" s="74"/>
      <c r="I58" s="74"/>
      <c r="J58" s="74"/>
      <c r="K58" s="79"/>
      <c r="L58" s="79"/>
    </row>
    <row r="59" spans="2:14" x14ac:dyDescent="0.3">
      <c r="B59" s="180" t="s">
        <v>194</v>
      </c>
      <c r="C59" s="180"/>
      <c r="D59" s="180"/>
      <c r="E59" s="181">
        <f>(E53*(1/(1+E58)))+(E57*(E58/(1+E58)))</f>
        <v>0.16190309607161496</v>
      </c>
      <c r="F59" s="189" t="s">
        <v>264</v>
      </c>
      <c r="G59" s="178"/>
      <c r="H59" s="74"/>
      <c r="I59" s="74"/>
      <c r="J59" s="74"/>
      <c r="K59" s="79"/>
      <c r="L59" s="79"/>
    </row>
    <row r="60" spans="2:14" x14ac:dyDescent="0.3">
      <c r="B60" s="180" t="s">
        <v>265</v>
      </c>
      <c r="C60" s="180"/>
      <c r="D60" s="180"/>
      <c r="E60" s="181">
        <f>ROUND(E59*4,2)/4</f>
        <v>0.16250000000000001</v>
      </c>
      <c r="F60" s="189" t="s">
        <v>204</v>
      </c>
      <c r="G60" s="178"/>
      <c r="H60" s="74"/>
      <c r="I60" s="74"/>
      <c r="J60" s="74"/>
      <c r="K60" s="79"/>
      <c r="L60" s="79"/>
    </row>
    <row r="61" spans="2:14" x14ac:dyDescent="0.35">
      <c r="B61" s="74"/>
      <c r="C61" s="74"/>
      <c r="D61" s="74"/>
      <c r="E61" s="74"/>
      <c r="F61" s="74"/>
      <c r="G61" s="74"/>
      <c r="H61" s="74"/>
      <c r="I61" s="74"/>
      <c r="J61" s="74"/>
      <c r="K61" s="74"/>
      <c r="L61" s="74"/>
    </row>
    <row r="62" spans="2:14" x14ac:dyDescent="0.35">
      <c r="B62" s="91" t="s">
        <v>220</v>
      </c>
      <c r="C62" s="91"/>
      <c r="D62" s="204">
        <f>D5/12</f>
        <v>0.33333333333333331</v>
      </c>
      <c r="E62" s="204">
        <f>D62+1</f>
        <v>1.3333333333333333</v>
      </c>
      <c r="F62" s="204">
        <f t="shared" ref="F62:L62" si="16">E62+1</f>
        <v>2.333333333333333</v>
      </c>
      <c r="G62" s="204">
        <f t="shared" si="16"/>
        <v>3.333333333333333</v>
      </c>
      <c r="H62" s="204">
        <f t="shared" si="16"/>
        <v>4.333333333333333</v>
      </c>
      <c r="I62" s="204">
        <f t="shared" si="16"/>
        <v>5.333333333333333</v>
      </c>
      <c r="J62" s="204">
        <f t="shared" si="16"/>
        <v>6.333333333333333</v>
      </c>
      <c r="K62" s="204">
        <f t="shared" si="16"/>
        <v>7.333333333333333</v>
      </c>
      <c r="L62" s="204">
        <f t="shared" si="16"/>
        <v>8.3333333333333321</v>
      </c>
      <c r="M62" s="204">
        <f t="shared" ref="M62" si="17">L62+1</f>
        <v>9.3333333333333321</v>
      </c>
      <c r="N62" s="204">
        <f t="shared" ref="N62" si="18">M62+1</f>
        <v>10.333333333333332</v>
      </c>
    </row>
    <row r="63" spans="2:14" x14ac:dyDescent="0.35">
      <c r="B63" s="91"/>
      <c r="C63" s="91"/>
      <c r="D63" s="79"/>
      <c r="E63" s="79"/>
      <c r="M63" s="80"/>
      <c r="N63" s="80"/>
    </row>
    <row r="64" spans="2:14" x14ac:dyDescent="0.35">
      <c r="B64" s="91" t="s">
        <v>221</v>
      </c>
      <c r="C64" s="91"/>
      <c r="D64" s="146">
        <f>1/(1+$D$19)^D62</f>
        <v>0.95104780189472227</v>
      </c>
      <c r="E64" s="146">
        <f t="shared" ref="E64:L64" si="19">1/(1+$D$19)^E62</f>
        <v>0.81810563603847075</v>
      </c>
      <c r="F64" s="146">
        <f t="shared" si="19"/>
        <v>0.703746783689007</v>
      </c>
      <c r="G64" s="146">
        <f t="shared" si="19"/>
        <v>0.60537357736688768</v>
      </c>
      <c r="H64" s="146">
        <f t="shared" si="19"/>
        <v>0.52075146440162379</v>
      </c>
      <c r="I64" s="146">
        <f t="shared" si="19"/>
        <v>0.44795824894763336</v>
      </c>
      <c r="J64" s="146">
        <f t="shared" si="19"/>
        <v>0.38534042920226524</v>
      </c>
      <c r="K64" s="146">
        <f t="shared" si="19"/>
        <v>0.33147563802345392</v>
      </c>
      <c r="L64" s="146">
        <f t="shared" si="19"/>
        <v>0.28514033378361631</v>
      </c>
      <c r="M64" s="146">
        <f t="shared" ref="M64:N64" si="20">1/(1+$D$19)^M62</f>
        <v>0.24528200755579896</v>
      </c>
      <c r="N64" s="146">
        <f t="shared" si="20"/>
        <v>0.21099527531681628</v>
      </c>
    </row>
    <row r="65" spans="2:14" x14ac:dyDescent="0.35">
      <c r="M65" s="80"/>
      <c r="N65" s="80"/>
    </row>
    <row r="66" spans="2:14" x14ac:dyDescent="0.35">
      <c r="B66" s="141" t="s">
        <v>222</v>
      </c>
      <c r="C66" s="141"/>
      <c r="D66" s="204">
        <f t="shared" ref="D66:L66" si="21">D12*D64</f>
        <v>-3163.1707129448491</v>
      </c>
      <c r="E66" s="204">
        <f t="shared" si="21"/>
        <v>5.1471214193448915</v>
      </c>
      <c r="F66" s="204">
        <f t="shared" si="21"/>
        <v>440.26168990536763</v>
      </c>
      <c r="G66" s="204">
        <f t="shared" si="21"/>
        <v>420.43512834154456</v>
      </c>
      <c r="H66" s="204">
        <f t="shared" si="21"/>
        <v>554.70535369535628</v>
      </c>
      <c r="I66" s="204">
        <f t="shared" si="21"/>
        <v>453.383664989343</v>
      </c>
      <c r="J66" s="204">
        <f t="shared" si="21"/>
        <v>417.93088018379166</v>
      </c>
      <c r="K66" s="204">
        <f t="shared" si="21"/>
        <v>373.76579503589272</v>
      </c>
      <c r="L66" s="204">
        <f t="shared" si="21"/>
        <v>225.3999093100241</v>
      </c>
      <c r="M66" s="204">
        <f t="shared" ref="M66:N66" si="22">M12*M64</f>
        <v>304.36642300911763</v>
      </c>
      <c r="N66" s="204">
        <f t="shared" si="22"/>
        <v>274.26136845397139</v>
      </c>
    </row>
    <row r="67" spans="2:14" x14ac:dyDescent="0.35">
      <c r="B67" s="141" t="s">
        <v>223</v>
      </c>
      <c r="C67" s="141"/>
      <c r="D67" s="146"/>
      <c r="L67" s="281"/>
      <c r="M67" s="281"/>
      <c r="N67" s="281">
        <f t="shared" ref="N67" si="23">N13</f>
        <v>10582.487630526106</v>
      </c>
    </row>
    <row r="68" spans="2:14" x14ac:dyDescent="0.35">
      <c r="B68" s="141" t="s">
        <v>224</v>
      </c>
      <c r="C68" s="141"/>
      <c r="D68" s="146"/>
      <c r="E68" s="140"/>
      <c r="L68" s="281"/>
      <c r="M68" s="281"/>
      <c r="N68" s="281">
        <f t="shared" ref="N68" si="24">N67*N64</f>
        <v>2232.8548911396583</v>
      </c>
    </row>
    <row r="69" spans="2:14" s="104" customFormat="1" x14ac:dyDescent="0.35">
      <c r="B69" s="326" t="s">
        <v>225</v>
      </c>
      <c r="C69" s="326"/>
      <c r="D69" s="327">
        <f>D66+D68</f>
        <v>-3163.1707129448491</v>
      </c>
      <c r="E69" s="327">
        <f t="shared" ref="E69:L69" si="25">E66+E68</f>
        <v>5.1471214193448915</v>
      </c>
      <c r="F69" s="327">
        <f t="shared" si="25"/>
        <v>440.26168990536763</v>
      </c>
      <c r="G69" s="327">
        <f t="shared" si="25"/>
        <v>420.43512834154456</v>
      </c>
      <c r="H69" s="327">
        <f t="shared" si="25"/>
        <v>554.70535369535628</v>
      </c>
      <c r="I69" s="327">
        <f t="shared" si="25"/>
        <v>453.383664989343</v>
      </c>
      <c r="J69" s="327">
        <f t="shared" si="25"/>
        <v>417.93088018379166</v>
      </c>
      <c r="K69" s="327">
        <f t="shared" si="25"/>
        <v>373.76579503589272</v>
      </c>
      <c r="L69" s="327">
        <f t="shared" si="25"/>
        <v>225.3999093100241</v>
      </c>
      <c r="M69" s="327">
        <f t="shared" ref="M69:N69" si="26">M66+M68</f>
        <v>304.36642300911763</v>
      </c>
      <c r="N69" s="327">
        <f t="shared" si="26"/>
        <v>2507.1162595936298</v>
      </c>
    </row>
    <row r="70" spans="2:14" x14ac:dyDescent="0.35">
      <c r="B70" s="86"/>
      <c r="C70" s="86"/>
      <c r="D70" s="79"/>
      <c r="E70" s="79"/>
    </row>
    <row r="71" spans="2:14" x14ac:dyDescent="0.35">
      <c r="B71" s="53" t="s">
        <v>73</v>
      </c>
      <c r="C71" s="53"/>
      <c r="D71" s="353">
        <f>SUM(D69:N69)</f>
        <v>2539.3415125385632</v>
      </c>
      <c r="E71" s="353"/>
      <c r="F71" s="353"/>
      <c r="G71" s="353"/>
      <c r="H71" s="353"/>
      <c r="I71" s="353"/>
      <c r="J71" s="353"/>
      <c r="K71" s="353"/>
      <c r="L71" s="353"/>
      <c r="M71" s="353"/>
      <c r="N71" s="353"/>
    </row>
    <row r="72" spans="2:14" x14ac:dyDescent="0.35">
      <c r="B72" s="86"/>
      <c r="C72" s="86"/>
      <c r="D72" s="157"/>
      <c r="E72" s="79"/>
    </row>
    <row r="73" spans="2:14" x14ac:dyDescent="0.35">
      <c r="B73" s="86"/>
      <c r="C73" s="86"/>
      <c r="D73" s="79"/>
    </row>
    <row r="74" spans="2:14" x14ac:dyDescent="0.35">
      <c r="B74" s="46" t="s">
        <v>71</v>
      </c>
      <c r="C74" s="46"/>
      <c r="D74" s="26">
        <f t="shared" ref="D74:L74" si="27">D4</f>
        <v>2025</v>
      </c>
      <c r="E74" s="26">
        <f t="shared" si="27"/>
        <v>2026</v>
      </c>
      <c r="F74" s="26">
        <f t="shared" si="27"/>
        <v>2027</v>
      </c>
      <c r="G74" s="26">
        <f t="shared" si="27"/>
        <v>2028</v>
      </c>
      <c r="H74" s="26">
        <f t="shared" si="27"/>
        <v>2029</v>
      </c>
      <c r="I74" s="26">
        <f t="shared" si="27"/>
        <v>2030</v>
      </c>
      <c r="J74" s="26">
        <f t="shared" si="27"/>
        <v>2031</v>
      </c>
      <c r="K74" s="26">
        <f t="shared" si="27"/>
        <v>2032</v>
      </c>
      <c r="L74" s="26">
        <f t="shared" si="27"/>
        <v>2033</v>
      </c>
      <c r="M74" s="26">
        <f t="shared" ref="M74:N74" si="28">M4</f>
        <v>2034</v>
      </c>
      <c r="N74" s="26">
        <f t="shared" si="28"/>
        <v>2035</v>
      </c>
    </row>
    <row r="75" spans="2:14" x14ac:dyDescent="0.35">
      <c r="B75" s="147"/>
      <c r="C75" s="147"/>
      <c r="D75" s="147"/>
      <c r="E75" s="142"/>
      <c r="F75" s="148"/>
      <c r="G75" s="143"/>
      <c r="H75" s="143"/>
      <c r="I75" s="143"/>
      <c r="J75" s="143"/>
      <c r="K75" s="42"/>
      <c r="M75" s="80"/>
      <c r="N75" s="80"/>
    </row>
    <row r="76" spans="2:14" x14ac:dyDescent="0.35">
      <c r="B76" s="52" t="s">
        <v>226</v>
      </c>
      <c r="C76" s="52"/>
      <c r="D76" s="310">
        <f>D62</f>
        <v>0.33333333333333331</v>
      </c>
      <c r="E76" s="204">
        <f>D76+1</f>
        <v>1.3333333333333333</v>
      </c>
      <c r="F76" s="204">
        <f t="shared" ref="F76:K76" si="29">E76+1</f>
        <v>2.333333333333333</v>
      </c>
      <c r="G76" s="204">
        <f t="shared" si="29"/>
        <v>3.333333333333333</v>
      </c>
      <c r="H76" s="204">
        <f t="shared" si="29"/>
        <v>4.333333333333333</v>
      </c>
      <c r="I76" s="204">
        <f t="shared" si="29"/>
        <v>5.333333333333333</v>
      </c>
      <c r="J76" s="204">
        <f t="shared" si="29"/>
        <v>6.333333333333333</v>
      </c>
      <c r="K76" s="204">
        <f t="shared" si="29"/>
        <v>7.333333333333333</v>
      </c>
      <c r="L76" s="204">
        <f t="shared" ref="L76" si="30">K76+1</f>
        <v>8.3333333333333321</v>
      </c>
      <c r="M76" s="204">
        <f t="shared" ref="M76" si="31">L76+1</f>
        <v>9.3333333333333321</v>
      </c>
      <c r="N76" s="204">
        <f t="shared" ref="N76" si="32">M76+1</f>
        <v>10.333333333333332</v>
      </c>
    </row>
    <row r="77" spans="2:14" x14ac:dyDescent="0.35">
      <c r="B77" s="52" t="s">
        <v>227</v>
      </c>
      <c r="C77" s="52"/>
      <c r="D77" s="146">
        <f>DSCR!C5+DSCR!C6</f>
        <v>-153.05697122266668</v>
      </c>
      <c r="E77" s="146">
        <f>DSCR!D5+DSCR!D6</f>
        <v>-234.30369348808028</v>
      </c>
      <c r="F77" s="146">
        <f>DSCR!E5+DSCR!E6</f>
        <v>514.19477073596886</v>
      </c>
      <c r="G77" s="146">
        <f>DSCR!F5+DSCR!F6</f>
        <v>820.50395432679352</v>
      </c>
      <c r="H77" s="146">
        <f>DSCR!G5+DSCR!G6</f>
        <v>874.02605842501487</v>
      </c>
      <c r="I77" s="146">
        <f>DSCR!H5+DSCR!H6</f>
        <v>859.71523493391282</v>
      </c>
      <c r="J77" s="146">
        <f>DSCR!I5+DSCR!I6</f>
        <v>971.03576818822103</v>
      </c>
      <c r="K77" s="146">
        <f>DSCR!J5+DSCR!J6</f>
        <v>1052.9791262128197</v>
      </c>
      <c r="L77" s="146">
        <f>DSCR!K5+DSCR!K6</f>
        <v>1154.9091297597902</v>
      </c>
      <c r="M77" s="146">
        <f>DSCR!L5+DSCR!L6</f>
        <v>1244.4203899525712</v>
      </c>
      <c r="N77" s="146">
        <f>DSCR!M5+DSCR!M6</f>
        <v>1329.574171472435</v>
      </c>
    </row>
    <row r="78" spans="2:14" x14ac:dyDescent="0.35">
      <c r="B78" s="52" t="s">
        <v>228</v>
      </c>
      <c r="C78" s="52"/>
      <c r="D78" s="146">
        <f>D77</f>
        <v>-153.05697122266668</v>
      </c>
      <c r="E78" s="146">
        <f>D78+E77</f>
        <v>-387.36066471074696</v>
      </c>
      <c r="F78" s="146">
        <f t="shared" ref="F78:L78" si="33">E78+F77</f>
        <v>126.8341060252219</v>
      </c>
      <c r="G78" s="146">
        <f t="shared" si="33"/>
        <v>947.33806035201542</v>
      </c>
      <c r="H78" s="146">
        <f t="shared" si="33"/>
        <v>1821.3641187770304</v>
      </c>
      <c r="I78" s="146">
        <f t="shared" si="33"/>
        <v>2681.079353710943</v>
      </c>
      <c r="J78" s="146">
        <f t="shared" si="33"/>
        <v>3652.115121899164</v>
      </c>
      <c r="K78" s="146">
        <f t="shared" si="33"/>
        <v>4705.0942481119837</v>
      </c>
      <c r="L78" s="146">
        <f t="shared" si="33"/>
        <v>5860.0033778717734</v>
      </c>
      <c r="M78" s="146">
        <f t="shared" ref="M78" si="34">L78+M77</f>
        <v>7104.4237678243444</v>
      </c>
      <c r="N78" s="146">
        <f t="shared" ref="N78" si="35">M78+N77</f>
        <v>8433.9979392967798</v>
      </c>
    </row>
    <row r="79" spans="2:14" x14ac:dyDescent="0.35">
      <c r="B79" s="52" t="s">
        <v>229</v>
      </c>
      <c r="C79" s="52"/>
      <c r="D79" s="146">
        <f>'CoP-MoF'!D11/10^5</f>
        <v>4045.7030178000005</v>
      </c>
      <c r="E79" s="146"/>
      <c r="F79" s="146"/>
      <c r="G79" s="146"/>
      <c r="H79" s="146"/>
      <c r="I79" s="146"/>
      <c r="J79" s="146"/>
      <c r="K79" s="146"/>
      <c r="L79" s="146"/>
    </row>
    <row r="80" spans="2:14" x14ac:dyDescent="0.35">
      <c r="B80" s="149" t="s">
        <v>230</v>
      </c>
      <c r="C80" s="149"/>
      <c r="D80" s="321">
        <f>J76+(D79-J78)/K77</f>
        <v>6.7071184218530151</v>
      </c>
      <c r="E80" s="151" t="s">
        <v>231</v>
      </c>
      <c r="F80" s="150"/>
      <c r="G80" s="150"/>
      <c r="H80" s="150"/>
      <c r="I80" s="150"/>
      <c r="J80" s="150"/>
      <c r="K80" s="150"/>
      <c r="L80" s="150"/>
      <c r="M80" s="150"/>
      <c r="N80" s="150"/>
    </row>
    <row r="81" spans="4:10" x14ac:dyDescent="0.35">
      <c r="D81" s="274"/>
    </row>
    <row r="82" spans="4:10" x14ac:dyDescent="0.35">
      <c r="D82" s="146"/>
      <c r="E82" s="146"/>
      <c r="J82" s="160"/>
    </row>
    <row r="83" spans="4:10" x14ac:dyDescent="0.35">
      <c r="D83" s="146"/>
      <c r="E83" s="146"/>
      <c r="J83" s="160"/>
    </row>
    <row r="84" spans="4:10" x14ac:dyDescent="0.35">
      <c r="D84" s="146"/>
      <c r="E84" s="146"/>
      <c r="J84" s="160"/>
    </row>
    <row r="85" spans="4:10" x14ac:dyDescent="0.35">
      <c r="D85" s="146"/>
      <c r="E85" s="146"/>
    </row>
    <row r="86" spans="4:10" x14ac:dyDescent="0.35">
      <c r="D86" s="146"/>
      <c r="E86" s="146"/>
    </row>
    <row r="87" spans="4:10" x14ac:dyDescent="0.35">
      <c r="D87" s="146"/>
      <c r="E87" s="146"/>
    </row>
    <row r="88" spans="4:10" x14ac:dyDescent="0.35">
      <c r="D88" s="146"/>
      <c r="E88" s="146"/>
    </row>
    <row r="89" spans="4:10" x14ac:dyDescent="0.35">
      <c r="D89" s="146"/>
      <c r="E89" s="146"/>
    </row>
    <row r="90" spans="4:10" x14ac:dyDescent="0.35">
      <c r="D90" s="146"/>
      <c r="E90" s="146"/>
    </row>
    <row r="91" spans="4:10" x14ac:dyDescent="0.35">
      <c r="D91" s="146"/>
      <c r="E91" s="146"/>
    </row>
    <row r="92" spans="4:10" x14ac:dyDescent="0.35">
      <c r="D92" s="146"/>
      <c r="E92" s="146"/>
    </row>
    <row r="93" spans="4:10" x14ac:dyDescent="0.35">
      <c r="D93" s="146"/>
      <c r="E93" s="146"/>
    </row>
    <row r="94" spans="4:10" x14ac:dyDescent="0.35">
      <c r="D94" s="146"/>
      <c r="E94" s="146"/>
      <c r="H94" s="146"/>
      <c r="I94" s="146"/>
    </row>
    <row r="95" spans="4:10" x14ac:dyDescent="0.35">
      <c r="D95" s="146"/>
      <c r="E95" s="146"/>
      <c r="H95" s="146"/>
      <c r="I95" s="146"/>
    </row>
    <row r="96" spans="4:10" x14ac:dyDescent="0.35">
      <c r="D96" s="146"/>
      <c r="E96" s="146"/>
      <c r="H96" s="146"/>
      <c r="I96" s="146"/>
    </row>
    <row r="97" spans="4:9" x14ac:dyDescent="0.35">
      <c r="D97" s="146"/>
      <c r="E97" s="146"/>
      <c r="H97" s="146"/>
      <c r="I97" s="146"/>
    </row>
    <row r="98" spans="4:9" x14ac:dyDescent="0.35">
      <c r="H98" s="146"/>
      <c r="I98" s="146"/>
    </row>
    <row r="99" spans="4:9" x14ac:dyDescent="0.35">
      <c r="H99" s="146"/>
      <c r="I99" s="146"/>
    </row>
    <row r="100" spans="4:9" x14ac:dyDescent="0.35">
      <c r="H100" s="146"/>
      <c r="I100" s="146"/>
    </row>
    <row r="101" spans="4:9" x14ac:dyDescent="0.35">
      <c r="H101" s="146"/>
      <c r="I101" s="146"/>
    </row>
    <row r="102" spans="4:9" x14ac:dyDescent="0.35">
      <c r="H102" s="146"/>
      <c r="I102" s="146"/>
    </row>
  </sheetData>
  <mergeCells count="2">
    <mergeCell ref="D15:N15"/>
    <mergeCell ref="D71:N71"/>
  </mergeCells>
  <dataValidations count="1">
    <dataValidation type="list" allowBlank="1" showInputMessage="1" showErrorMessage="1" sqref="D42" xr:uid="{7C66EB21-F63C-48B1-B483-CE8C5BDC9E38}">
      <formula1>$B$22:$B$23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6" tint="-0.499984740745262"/>
  </sheetPr>
  <dimension ref="B1:N27"/>
  <sheetViews>
    <sheetView showGridLines="0" topLeftCell="A6" workbookViewId="0">
      <selection activeCell="A12" sqref="A12"/>
    </sheetView>
  </sheetViews>
  <sheetFormatPr defaultColWidth="8.81640625" defaultRowHeight="14.5" x14ac:dyDescent="0.35"/>
  <cols>
    <col min="1" max="1" width="5.453125" style="28" customWidth="1"/>
    <col min="2" max="2" width="35" style="6" customWidth="1"/>
    <col min="3" max="3" width="12.1796875" style="1" customWidth="1"/>
    <col min="4" max="4" width="11.81640625" style="1" bestFit="1" customWidth="1"/>
    <col min="5" max="11" width="12.1796875" style="1" customWidth="1"/>
    <col min="12" max="248" width="8.81640625" style="28"/>
    <col min="249" max="249" width="22.453125" style="28" customWidth="1"/>
    <col min="250" max="258" width="8.81640625" style="28"/>
    <col min="259" max="259" width="0" style="28" hidden="1" customWidth="1"/>
    <col min="260" max="504" width="8.81640625" style="28"/>
    <col min="505" max="505" width="22.453125" style="28" customWidth="1"/>
    <col min="506" max="514" width="8.81640625" style="28"/>
    <col min="515" max="515" width="0" style="28" hidden="1" customWidth="1"/>
    <col min="516" max="760" width="8.81640625" style="28"/>
    <col min="761" max="761" width="22.453125" style="28" customWidth="1"/>
    <col min="762" max="770" width="8.81640625" style="28"/>
    <col min="771" max="771" width="0" style="28" hidden="1" customWidth="1"/>
    <col min="772" max="1016" width="8.81640625" style="28"/>
    <col min="1017" max="1017" width="22.453125" style="28" customWidth="1"/>
    <col min="1018" max="1026" width="8.81640625" style="28"/>
    <col min="1027" max="1027" width="0" style="28" hidden="1" customWidth="1"/>
    <col min="1028" max="1272" width="8.81640625" style="28"/>
    <col min="1273" max="1273" width="22.453125" style="28" customWidth="1"/>
    <col min="1274" max="1282" width="8.81640625" style="28"/>
    <col min="1283" max="1283" width="0" style="28" hidden="1" customWidth="1"/>
    <col min="1284" max="1528" width="8.81640625" style="28"/>
    <col min="1529" max="1529" width="22.453125" style="28" customWidth="1"/>
    <col min="1530" max="1538" width="8.81640625" style="28"/>
    <col min="1539" max="1539" width="0" style="28" hidden="1" customWidth="1"/>
    <col min="1540" max="1784" width="8.81640625" style="28"/>
    <col min="1785" max="1785" width="22.453125" style="28" customWidth="1"/>
    <col min="1786" max="1794" width="8.81640625" style="28"/>
    <col min="1795" max="1795" width="0" style="28" hidden="1" customWidth="1"/>
    <col min="1796" max="2040" width="8.81640625" style="28"/>
    <col min="2041" max="2041" width="22.453125" style="28" customWidth="1"/>
    <col min="2042" max="2050" width="8.81640625" style="28"/>
    <col min="2051" max="2051" width="0" style="28" hidden="1" customWidth="1"/>
    <col min="2052" max="2296" width="8.81640625" style="28"/>
    <col min="2297" max="2297" width="22.453125" style="28" customWidth="1"/>
    <col min="2298" max="2306" width="8.81640625" style="28"/>
    <col min="2307" max="2307" width="0" style="28" hidden="1" customWidth="1"/>
    <col min="2308" max="2552" width="8.81640625" style="28"/>
    <col min="2553" max="2553" width="22.453125" style="28" customWidth="1"/>
    <col min="2554" max="2562" width="8.81640625" style="28"/>
    <col min="2563" max="2563" width="0" style="28" hidden="1" customWidth="1"/>
    <col min="2564" max="2808" width="8.81640625" style="28"/>
    <col min="2809" max="2809" width="22.453125" style="28" customWidth="1"/>
    <col min="2810" max="2818" width="8.81640625" style="28"/>
    <col min="2819" max="2819" width="0" style="28" hidden="1" customWidth="1"/>
    <col min="2820" max="3064" width="8.81640625" style="28"/>
    <col min="3065" max="3065" width="22.453125" style="28" customWidth="1"/>
    <col min="3066" max="3074" width="8.81640625" style="28"/>
    <col min="3075" max="3075" width="0" style="28" hidden="1" customWidth="1"/>
    <col min="3076" max="3320" width="8.81640625" style="28"/>
    <col min="3321" max="3321" width="22.453125" style="28" customWidth="1"/>
    <col min="3322" max="3330" width="8.81640625" style="28"/>
    <col min="3331" max="3331" width="0" style="28" hidden="1" customWidth="1"/>
    <col min="3332" max="3576" width="8.81640625" style="28"/>
    <col min="3577" max="3577" width="22.453125" style="28" customWidth="1"/>
    <col min="3578" max="3586" width="8.81640625" style="28"/>
    <col min="3587" max="3587" width="0" style="28" hidden="1" customWidth="1"/>
    <col min="3588" max="3832" width="8.81640625" style="28"/>
    <col min="3833" max="3833" width="22.453125" style="28" customWidth="1"/>
    <col min="3834" max="3842" width="8.81640625" style="28"/>
    <col min="3843" max="3843" width="0" style="28" hidden="1" customWidth="1"/>
    <col min="3844" max="4088" width="8.81640625" style="28"/>
    <col min="4089" max="4089" width="22.453125" style="28" customWidth="1"/>
    <col min="4090" max="4098" width="8.81640625" style="28"/>
    <col min="4099" max="4099" width="0" style="28" hidden="1" customWidth="1"/>
    <col min="4100" max="4344" width="8.81640625" style="28"/>
    <col min="4345" max="4345" width="22.453125" style="28" customWidth="1"/>
    <col min="4346" max="4354" width="8.81640625" style="28"/>
    <col min="4355" max="4355" width="0" style="28" hidden="1" customWidth="1"/>
    <col min="4356" max="4600" width="8.81640625" style="28"/>
    <col min="4601" max="4601" width="22.453125" style="28" customWidth="1"/>
    <col min="4602" max="4610" width="8.81640625" style="28"/>
    <col min="4611" max="4611" width="0" style="28" hidden="1" customWidth="1"/>
    <col min="4612" max="4856" width="8.81640625" style="28"/>
    <col min="4857" max="4857" width="22.453125" style="28" customWidth="1"/>
    <col min="4858" max="4866" width="8.81640625" style="28"/>
    <col min="4867" max="4867" width="0" style="28" hidden="1" customWidth="1"/>
    <col min="4868" max="5112" width="8.81640625" style="28"/>
    <col min="5113" max="5113" width="22.453125" style="28" customWidth="1"/>
    <col min="5114" max="5122" width="8.81640625" style="28"/>
    <col min="5123" max="5123" width="0" style="28" hidden="1" customWidth="1"/>
    <col min="5124" max="5368" width="8.81640625" style="28"/>
    <col min="5369" max="5369" width="22.453125" style="28" customWidth="1"/>
    <col min="5370" max="5378" width="8.81640625" style="28"/>
    <col min="5379" max="5379" width="0" style="28" hidden="1" customWidth="1"/>
    <col min="5380" max="5624" width="8.81640625" style="28"/>
    <col min="5625" max="5625" width="22.453125" style="28" customWidth="1"/>
    <col min="5626" max="5634" width="8.81640625" style="28"/>
    <col min="5635" max="5635" width="0" style="28" hidden="1" customWidth="1"/>
    <col min="5636" max="5880" width="8.81640625" style="28"/>
    <col min="5881" max="5881" width="22.453125" style="28" customWidth="1"/>
    <col min="5882" max="5890" width="8.81640625" style="28"/>
    <col min="5891" max="5891" width="0" style="28" hidden="1" customWidth="1"/>
    <col min="5892" max="6136" width="8.81640625" style="28"/>
    <col min="6137" max="6137" width="22.453125" style="28" customWidth="1"/>
    <col min="6138" max="6146" width="8.81640625" style="28"/>
    <col min="6147" max="6147" width="0" style="28" hidden="1" customWidth="1"/>
    <col min="6148" max="6392" width="8.81640625" style="28"/>
    <col min="6393" max="6393" width="22.453125" style="28" customWidth="1"/>
    <col min="6394" max="6402" width="8.81640625" style="28"/>
    <col min="6403" max="6403" width="0" style="28" hidden="1" customWidth="1"/>
    <col min="6404" max="6648" width="8.81640625" style="28"/>
    <col min="6649" max="6649" width="22.453125" style="28" customWidth="1"/>
    <col min="6650" max="6658" width="8.81640625" style="28"/>
    <col min="6659" max="6659" width="0" style="28" hidden="1" customWidth="1"/>
    <col min="6660" max="6904" width="8.81640625" style="28"/>
    <col min="6905" max="6905" width="22.453125" style="28" customWidth="1"/>
    <col min="6906" max="6914" width="8.81640625" style="28"/>
    <col min="6915" max="6915" width="0" style="28" hidden="1" customWidth="1"/>
    <col min="6916" max="7160" width="8.81640625" style="28"/>
    <col min="7161" max="7161" width="22.453125" style="28" customWidth="1"/>
    <col min="7162" max="7170" width="8.81640625" style="28"/>
    <col min="7171" max="7171" width="0" style="28" hidden="1" customWidth="1"/>
    <col min="7172" max="7416" width="8.81640625" style="28"/>
    <col min="7417" max="7417" width="22.453125" style="28" customWidth="1"/>
    <col min="7418" max="7426" width="8.81640625" style="28"/>
    <col min="7427" max="7427" width="0" style="28" hidden="1" customWidth="1"/>
    <col min="7428" max="7672" width="8.81640625" style="28"/>
    <col min="7673" max="7673" width="22.453125" style="28" customWidth="1"/>
    <col min="7674" max="7682" width="8.81640625" style="28"/>
    <col min="7683" max="7683" width="0" style="28" hidden="1" customWidth="1"/>
    <col min="7684" max="7928" width="8.81640625" style="28"/>
    <col min="7929" max="7929" width="22.453125" style="28" customWidth="1"/>
    <col min="7930" max="7938" width="8.81640625" style="28"/>
    <col min="7939" max="7939" width="0" style="28" hidden="1" customWidth="1"/>
    <col min="7940" max="8184" width="8.81640625" style="28"/>
    <col min="8185" max="8185" width="22.453125" style="28" customWidth="1"/>
    <col min="8186" max="8194" width="8.81640625" style="28"/>
    <col min="8195" max="8195" width="0" style="28" hidden="1" customWidth="1"/>
    <col min="8196" max="8440" width="8.81640625" style="28"/>
    <col min="8441" max="8441" width="22.453125" style="28" customWidth="1"/>
    <col min="8442" max="8450" width="8.81640625" style="28"/>
    <col min="8451" max="8451" width="0" style="28" hidden="1" customWidth="1"/>
    <col min="8452" max="8696" width="8.81640625" style="28"/>
    <col min="8697" max="8697" width="22.453125" style="28" customWidth="1"/>
    <col min="8698" max="8706" width="8.81640625" style="28"/>
    <col min="8707" max="8707" width="0" style="28" hidden="1" customWidth="1"/>
    <col min="8708" max="8952" width="8.81640625" style="28"/>
    <col min="8953" max="8953" width="22.453125" style="28" customWidth="1"/>
    <col min="8954" max="8962" width="8.81640625" style="28"/>
    <col min="8963" max="8963" width="0" style="28" hidden="1" customWidth="1"/>
    <col min="8964" max="9208" width="8.81640625" style="28"/>
    <col min="9209" max="9209" width="22.453125" style="28" customWidth="1"/>
    <col min="9210" max="9218" width="8.81640625" style="28"/>
    <col min="9219" max="9219" width="0" style="28" hidden="1" customWidth="1"/>
    <col min="9220" max="9464" width="8.81640625" style="28"/>
    <col min="9465" max="9465" width="22.453125" style="28" customWidth="1"/>
    <col min="9466" max="9474" width="8.81640625" style="28"/>
    <col min="9475" max="9475" width="0" style="28" hidden="1" customWidth="1"/>
    <col min="9476" max="9720" width="8.81640625" style="28"/>
    <col min="9721" max="9721" width="22.453125" style="28" customWidth="1"/>
    <col min="9722" max="9730" width="8.81640625" style="28"/>
    <col min="9731" max="9731" width="0" style="28" hidden="1" customWidth="1"/>
    <col min="9732" max="9976" width="8.81640625" style="28"/>
    <col min="9977" max="9977" width="22.453125" style="28" customWidth="1"/>
    <col min="9978" max="9986" width="8.81640625" style="28"/>
    <col min="9987" max="9987" width="0" style="28" hidden="1" customWidth="1"/>
    <col min="9988" max="10232" width="8.81640625" style="28"/>
    <col min="10233" max="10233" width="22.453125" style="28" customWidth="1"/>
    <col min="10234" max="10242" width="8.81640625" style="28"/>
    <col min="10243" max="10243" width="0" style="28" hidden="1" customWidth="1"/>
    <col min="10244" max="10488" width="8.81640625" style="28"/>
    <col min="10489" max="10489" width="22.453125" style="28" customWidth="1"/>
    <col min="10490" max="10498" width="8.81640625" style="28"/>
    <col min="10499" max="10499" width="0" style="28" hidden="1" customWidth="1"/>
    <col min="10500" max="10744" width="8.81640625" style="28"/>
    <col min="10745" max="10745" width="22.453125" style="28" customWidth="1"/>
    <col min="10746" max="10754" width="8.81640625" style="28"/>
    <col min="10755" max="10755" width="0" style="28" hidden="1" customWidth="1"/>
    <col min="10756" max="11000" width="8.81640625" style="28"/>
    <col min="11001" max="11001" width="22.453125" style="28" customWidth="1"/>
    <col min="11002" max="11010" width="8.81640625" style="28"/>
    <col min="11011" max="11011" width="0" style="28" hidden="1" customWidth="1"/>
    <col min="11012" max="11256" width="8.81640625" style="28"/>
    <col min="11257" max="11257" width="22.453125" style="28" customWidth="1"/>
    <col min="11258" max="11266" width="8.81640625" style="28"/>
    <col min="11267" max="11267" width="0" style="28" hidden="1" customWidth="1"/>
    <col min="11268" max="11512" width="8.81640625" style="28"/>
    <col min="11513" max="11513" width="22.453125" style="28" customWidth="1"/>
    <col min="11514" max="11522" width="8.81640625" style="28"/>
    <col min="11523" max="11523" width="0" style="28" hidden="1" customWidth="1"/>
    <col min="11524" max="11768" width="8.81640625" style="28"/>
    <col min="11769" max="11769" width="22.453125" style="28" customWidth="1"/>
    <col min="11770" max="11778" width="8.81640625" style="28"/>
    <col min="11779" max="11779" width="0" style="28" hidden="1" customWidth="1"/>
    <col min="11780" max="12024" width="8.81640625" style="28"/>
    <col min="12025" max="12025" width="22.453125" style="28" customWidth="1"/>
    <col min="12026" max="12034" width="8.81640625" style="28"/>
    <col min="12035" max="12035" width="0" style="28" hidden="1" customWidth="1"/>
    <col min="12036" max="12280" width="8.81640625" style="28"/>
    <col min="12281" max="12281" width="22.453125" style="28" customWidth="1"/>
    <col min="12282" max="12290" width="8.81640625" style="28"/>
    <col min="12291" max="12291" width="0" style="28" hidden="1" customWidth="1"/>
    <col min="12292" max="12536" width="8.81640625" style="28"/>
    <col min="12537" max="12537" width="22.453125" style="28" customWidth="1"/>
    <col min="12538" max="12546" width="8.81640625" style="28"/>
    <col min="12547" max="12547" width="0" style="28" hidden="1" customWidth="1"/>
    <col min="12548" max="12792" width="8.81640625" style="28"/>
    <col min="12793" max="12793" width="22.453125" style="28" customWidth="1"/>
    <col min="12794" max="12802" width="8.81640625" style="28"/>
    <col min="12803" max="12803" width="0" style="28" hidden="1" customWidth="1"/>
    <col min="12804" max="13048" width="8.81640625" style="28"/>
    <col min="13049" max="13049" width="22.453125" style="28" customWidth="1"/>
    <col min="13050" max="13058" width="8.81640625" style="28"/>
    <col min="13059" max="13059" width="0" style="28" hidden="1" customWidth="1"/>
    <col min="13060" max="13304" width="8.81640625" style="28"/>
    <col min="13305" max="13305" width="22.453125" style="28" customWidth="1"/>
    <col min="13306" max="13314" width="8.81640625" style="28"/>
    <col min="13315" max="13315" width="0" style="28" hidden="1" customWidth="1"/>
    <col min="13316" max="13560" width="8.81640625" style="28"/>
    <col min="13561" max="13561" width="22.453125" style="28" customWidth="1"/>
    <col min="13562" max="13570" width="8.81640625" style="28"/>
    <col min="13571" max="13571" width="0" style="28" hidden="1" customWidth="1"/>
    <col min="13572" max="13816" width="8.81640625" style="28"/>
    <col min="13817" max="13817" width="22.453125" style="28" customWidth="1"/>
    <col min="13818" max="13826" width="8.81640625" style="28"/>
    <col min="13827" max="13827" width="0" style="28" hidden="1" customWidth="1"/>
    <col min="13828" max="14072" width="8.81640625" style="28"/>
    <col min="14073" max="14073" width="22.453125" style="28" customWidth="1"/>
    <col min="14074" max="14082" width="8.81640625" style="28"/>
    <col min="14083" max="14083" width="0" style="28" hidden="1" customWidth="1"/>
    <col min="14084" max="14328" width="8.81640625" style="28"/>
    <col min="14329" max="14329" width="22.453125" style="28" customWidth="1"/>
    <col min="14330" max="14338" width="8.81640625" style="28"/>
    <col min="14339" max="14339" width="0" style="28" hidden="1" customWidth="1"/>
    <col min="14340" max="14584" width="8.81640625" style="28"/>
    <col min="14585" max="14585" width="22.453125" style="28" customWidth="1"/>
    <col min="14586" max="14594" width="8.81640625" style="28"/>
    <col min="14595" max="14595" width="0" style="28" hidden="1" customWidth="1"/>
    <col min="14596" max="14840" width="8.81640625" style="28"/>
    <col min="14841" max="14841" width="22.453125" style="28" customWidth="1"/>
    <col min="14842" max="14850" width="8.81640625" style="28"/>
    <col min="14851" max="14851" width="0" style="28" hidden="1" customWidth="1"/>
    <col min="14852" max="15096" width="8.81640625" style="28"/>
    <col min="15097" max="15097" width="22.453125" style="28" customWidth="1"/>
    <col min="15098" max="15106" width="8.81640625" style="28"/>
    <col min="15107" max="15107" width="0" style="28" hidden="1" customWidth="1"/>
    <col min="15108" max="15352" width="8.81640625" style="28"/>
    <col min="15353" max="15353" width="22.453125" style="28" customWidth="1"/>
    <col min="15354" max="15362" width="8.81640625" style="28"/>
    <col min="15363" max="15363" width="0" style="28" hidden="1" customWidth="1"/>
    <col min="15364" max="15608" width="8.81640625" style="28"/>
    <col min="15609" max="15609" width="22.453125" style="28" customWidth="1"/>
    <col min="15610" max="15618" width="8.81640625" style="28"/>
    <col min="15619" max="15619" width="0" style="28" hidden="1" customWidth="1"/>
    <col min="15620" max="15864" width="8.81640625" style="28"/>
    <col min="15865" max="15865" width="22.453125" style="28" customWidth="1"/>
    <col min="15866" max="15874" width="8.81640625" style="28"/>
    <col min="15875" max="15875" width="0" style="28" hidden="1" customWidth="1"/>
    <col min="15876" max="16120" width="8.81640625" style="28"/>
    <col min="16121" max="16121" width="22.453125" style="28" customWidth="1"/>
    <col min="16122" max="16130" width="8.81640625" style="28"/>
    <col min="16131" max="16131" width="0" style="28" hidden="1" customWidth="1"/>
    <col min="16132" max="16384" width="8.81640625" style="28"/>
  </cols>
  <sheetData>
    <row r="1" spans="2:14" x14ac:dyDescent="0.35">
      <c r="C1" s="111"/>
      <c r="D1" s="111"/>
      <c r="E1" s="111"/>
      <c r="F1" s="111"/>
      <c r="G1" s="111"/>
      <c r="H1" s="111"/>
    </row>
    <row r="2" spans="2:14" ht="21" customHeight="1" x14ac:dyDescent="0.35">
      <c r="B2" s="112" t="s">
        <v>79</v>
      </c>
      <c r="C2" s="67"/>
      <c r="D2" s="67"/>
      <c r="E2" s="67"/>
      <c r="F2" s="67"/>
      <c r="G2" s="67"/>
      <c r="H2" s="67"/>
      <c r="I2" s="67"/>
      <c r="J2" s="67"/>
      <c r="K2" s="67"/>
      <c r="L2" s="67"/>
      <c r="M2" s="67"/>
    </row>
    <row r="3" spans="2:14" ht="15" customHeight="1" x14ac:dyDescent="0.35">
      <c r="B3" s="108"/>
      <c r="C3" s="110"/>
      <c r="D3" s="110"/>
      <c r="E3" s="110"/>
      <c r="F3" s="110"/>
      <c r="G3" s="110"/>
      <c r="H3" s="110"/>
      <c r="I3" s="110"/>
      <c r="J3" s="110"/>
      <c r="K3" s="110"/>
    </row>
    <row r="4" spans="2:14" ht="18.75" customHeight="1" x14ac:dyDescent="0.35">
      <c r="B4" s="54" t="s">
        <v>76</v>
      </c>
      <c r="C4" s="27">
        <v>2025</v>
      </c>
      <c r="D4" s="27">
        <f t="shared" ref="D4:K4" si="0">C4+1</f>
        <v>2026</v>
      </c>
      <c r="E4" s="27">
        <f t="shared" si="0"/>
        <v>2027</v>
      </c>
      <c r="F4" s="27">
        <f t="shared" si="0"/>
        <v>2028</v>
      </c>
      <c r="G4" s="27">
        <f t="shared" si="0"/>
        <v>2029</v>
      </c>
      <c r="H4" s="27">
        <f t="shared" si="0"/>
        <v>2030</v>
      </c>
      <c r="I4" s="27">
        <f t="shared" si="0"/>
        <v>2031</v>
      </c>
      <c r="J4" s="27">
        <f t="shared" si="0"/>
        <v>2032</v>
      </c>
      <c r="K4" s="27">
        <f t="shared" si="0"/>
        <v>2033</v>
      </c>
      <c r="L4" s="27">
        <f t="shared" ref="L4" si="1">K4+1</f>
        <v>2034</v>
      </c>
      <c r="M4" s="27">
        <f t="shared" ref="M4" si="2">L4+1</f>
        <v>2035</v>
      </c>
    </row>
    <row r="5" spans="2:14" ht="18.75" customHeight="1" x14ac:dyDescent="0.35">
      <c r="B5" s="109" t="s">
        <v>80</v>
      </c>
      <c r="C5" s="201">
        <f>'P &amp; L'!D53</f>
        <v>-378.52569454793104</v>
      </c>
      <c r="D5" s="201">
        <f>'P &amp; L'!E53</f>
        <v>-653.26773194079283</v>
      </c>
      <c r="E5" s="201">
        <f>'P &amp; L'!F53</f>
        <v>153.96622747931343</v>
      </c>
      <c r="F5" s="201">
        <f>'P &amp; L'!G53</f>
        <v>466.12149304397155</v>
      </c>
      <c r="G5" s="201">
        <f>'P &amp; L'!H53</f>
        <v>569.93158677141787</v>
      </c>
      <c r="H5" s="201">
        <f>'P &amp; L'!I53</f>
        <v>598.65249242147695</v>
      </c>
      <c r="I5" s="201">
        <f>'P &amp; L'!J53</f>
        <v>746.80823960645978</v>
      </c>
      <c r="J5" s="201">
        <f>'P &amp; L'!K53</f>
        <v>860.29394921675112</v>
      </c>
      <c r="K5" s="201">
        <f>'P &amp; L'!L53</f>
        <v>929.24412938171747</v>
      </c>
      <c r="L5" s="201">
        <f>'P &amp; L'!M53</f>
        <v>1050.9107996929365</v>
      </c>
      <c r="M5" s="201">
        <f>'P &amp; L'!N53</f>
        <v>1163.5661138072996</v>
      </c>
    </row>
    <row r="6" spans="2:14" x14ac:dyDescent="0.35">
      <c r="B6" s="139" t="s">
        <v>69</v>
      </c>
      <c r="C6" s="201">
        <f>'P &amp; L'!D49</f>
        <v>225.46872332526436</v>
      </c>
      <c r="D6" s="201">
        <f>'P &amp; L'!E49</f>
        <v>418.96403845271254</v>
      </c>
      <c r="E6" s="201">
        <f>'P &amp; L'!F49</f>
        <v>360.22854325665543</v>
      </c>
      <c r="F6" s="201">
        <f>'P &amp; L'!G49</f>
        <v>354.38246128282191</v>
      </c>
      <c r="G6" s="201">
        <f>'P &amp; L'!H49</f>
        <v>304.094471653597</v>
      </c>
      <c r="H6" s="201">
        <f>'P &amp; L'!I49</f>
        <v>261.06274251243593</v>
      </c>
      <c r="I6" s="201">
        <f>'P &amp; L'!J49</f>
        <v>224.22752858176119</v>
      </c>
      <c r="J6" s="201">
        <f>'P &amp; L'!K49</f>
        <v>192.68517699606861</v>
      </c>
      <c r="K6" s="201">
        <f>'P &amp; L'!L49</f>
        <v>225.6650003780727</v>
      </c>
      <c r="L6" s="201">
        <f>'P &amp; L'!M49</f>
        <v>193.50959025963476</v>
      </c>
      <c r="M6" s="201">
        <f>'P &amp; L'!N49</f>
        <v>166.00805766513523</v>
      </c>
    </row>
    <row r="7" spans="2:14" x14ac:dyDescent="0.35">
      <c r="B7" s="139" t="s">
        <v>268</v>
      </c>
      <c r="C7" s="201">
        <f>'P &amp; L'!D50</f>
        <v>22.88</v>
      </c>
      <c r="D7" s="201">
        <f>'P &amp; L'!E50</f>
        <v>68.64</v>
      </c>
      <c r="E7" s="201">
        <f>'P &amp; L'!F50</f>
        <v>68.64</v>
      </c>
      <c r="F7" s="201">
        <f>'P &amp; L'!G50</f>
        <v>68.64</v>
      </c>
      <c r="G7" s="201">
        <f>'P &amp; L'!H50</f>
        <v>68.64</v>
      </c>
      <c r="H7" s="201">
        <f>'P &amp; L'!I50</f>
        <v>45.76</v>
      </c>
      <c r="I7" s="201">
        <f>'P &amp; L'!J50</f>
        <v>0</v>
      </c>
      <c r="J7" s="201">
        <f>'P &amp; L'!K50</f>
        <v>0</v>
      </c>
      <c r="K7" s="201">
        <f>'P &amp; L'!L50</f>
        <v>0</v>
      </c>
      <c r="L7" s="201">
        <f>'P &amp; L'!M50</f>
        <v>0</v>
      </c>
      <c r="M7" s="201">
        <f>'P &amp; L'!N50</f>
        <v>0</v>
      </c>
    </row>
    <row r="8" spans="2:14" ht="18.75" customHeight="1" x14ac:dyDescent="0.35">
      <c r="B8" s="109" t="s">
        <v>216</v>
      </c>
      <c r="C8" s="201">
        <f>'P &amp; L'!D47</f>
        <v>100</v>
      </c>
      <c r="D8" s="201">
        <f>'P &amp; L'!E47</f>
        <v>300</v>
      </c>
      <c r="E8" s="201">
        <f>'P &amp; L'!F47</f>
        <v>286.97916666666663</v>
      </c>
      <c r="F8" s="201">
        <f>'P &amp; L'!G47</f>
        <v>250</v>
      </c>
      <c r="G8" s="201">
        <f>'P &amp; L'!H47</f>
        <v>212.5</v>
      </c>
      <c r="H8" s="201">
        <f>'P &amp; L'!I47</f>
        <v>175</v>
      </c>
      <c r="I8" s="201">
        <f>'P &amp; L'!J47</f>
        <v>137.5</v>
      </c>
      <c r="J8" s="201">
        <f>'P &amp; L'!K47</f>
        <v>100</v>
      </c>
      <c r="K8" s="201">
        <f>'P &amp; L'!L47</f>
        <v>62.5</v>
      </c>
      <c r="L8" s="201">
        <f>'P &amp; L'!M47</f>
        <v>25</v>
      </c>
      <c r="M8" s="201">
        <f>'P &amp; L'!N47</f>
        <v>0.52083333333333337</v>
      </c>
    </row>
    <row r="9" spans="2:14" ht="18.75" customHeight="1" x14ac:dyDescent="0.35">
      <c r="B9" s="113" t="s">
        <v>77</v>
      </c>
      <c r="C9" s="202">
        <f t="shared" ref="C9:M9" si="3">SUM(C5:C8)</f>
        <v>-30.17697122266668</v>
      </c>
      <c r="D9" s="202">
        <f t="shared" si="3"/>
        <v>134.3363065119197</v>
      </c>
      <c r="E9" s="202">
        <f t="shared" si="3"/>
        <v>869.81393740263547</v>
      </c>
      <c r="F9" s="202">
        <f t="shared" si="3"/>
        <v>1139.1439543267934</v>
      </c>
      <c r="G9" s="202">
        <f t="shared" si="3"/>
        <v>1155.1660584250149</v>
      </c>
      <c r="H9" s="202">
        <f t="shared" si="3"/>
        <v>1080.4752349339128</v>
      </c>
      <c r="I9" s="202">
        <f t="shared" si="3"/>
        <v>1108.535768188221</v>
      </c>
      <c r="J9" s="202">
        <f t="shared" si="3"/>
        <v>1152.9791262128197</v>
      </c>
      <c r="K9" s="202">
        <f t="shared" si="3"/>
        <v>1217.4091297597902</v>
      </c>
      <c r="L9" s="202">
        <f t="shared" si="3"/>
        <v>1269.4203899525712</v>
      </c>
      <c r="M9" s="202">
        <f t="shared" si="3"/>
        <v>1330.0950048057682</v>
      </c>
    </row>
    <row r="10" spans="2:14" ht="18.75" customHeight="1" x14ac:dyDescent="0.35">
      <c r="B10" s="109" t="s">
        <v>497</v>
      </c>
      <c r="C10" s="325">
        <f>C8</f>
        <v>100</v>
      </c>
      <c r="D10" s="325">
        <f t="shared" ref="D10:M10" si="4">D8</f>
        <v>300</v>
      </c>
      <c r="E10" s="325">
        <f t="shared" si="4"/>
        <v>286.97916666666663</v>
      </c>
      <c r="F10" s="325">
        <f t="shared" si="4"/>
        <v>250</v>
      </c>
      <c r="G10" s="325">
        <f t="shared" si="4"/>
        <v>212.5</v>
      </c>
      <c r="H10" s="325">
        <f t="shared" si="4"/>
        <v>175</v>
      </c>
      <c r="I10" s="325">
        <f t="shared" si="4"/>
        <v>137.5</v>
      </c>
      <c r="J10" s="325">
        <f t="shared" si="4"/>
        <v>100</v>
      </c>
      <c r="K10" s="325">
        <f t="shared" si="4"/>
        <v>62.5</v>
      </c>
      <c r="L10" s="325">
        <f t="shared" si="4"/>
        <v>25</v>
      </c>
      <c r="M10" s="325">
        <f t="shared" si="4"/>
        <v>0.52083333333333337</v>
      </c>
    </row>
    <row r="11" spans="2:14" ht="18.75" customHeight="1" x14ac:dyDescent="0.35">
      <c r="B11" s="109" t="s">
        <v>271</v>
      </c>
      <c r="C11" s="201">
        <f>'TL Schd'!D7</f>
        <v>0</v>
      </c>
      <c r="D11" s="201">
        <f>'TL Schd'!E7</f>
        <v>0</v>
      </c>
      <c r="E11" s="201">
        <f>'TL Schd'!F7</f>
        <v>312.5</v>
      </c>
      <c r="F11" s="201">
        <f>'TL Schd'!G7</f>
        <v>375</v>
      </c>
      <c r="G11" s="201">
        <f>'TL Schd'!H7</f>
        <v>375</v>
      </c>
      <c r="H11" s="201">
        <f>'TL Schd'!I7</f>
        <v>375</v>
      </c>
      <c r="I11" s="201">
        <f>'TL Schd'!J7</f>
        <v>375</v>
      </c>
      <c r="J11" s="201">
        <f>'TL Schd'!K7</f>
        <v>375</v>
      </c>
      <c r="K11" s="201">
        <f>'TL Schd'!L7</f>
        <v>375</v>
      </c>
      <c r="L11" s="201">
        <f>'TL Schd'!M7</f>
        <v>375</v>
      </c>
      <c r="M11" s="201">
        <f>'TL Schd'!N7</f>
        <v>62.5</v>
      </c>
    </row>
    <row r="12" spans="2:14" ht="18.75" customHeight="1" x14ac:dyDescent="0.35">
      <c r="B12" s="113" t="s">
        <v>77</v>
      </c>
      <c r="C12" s="202">
        <f t="shared" ref="C12:M12" si="5">SUM(C10:C11)</f>
        <v>100</v>
      </c>
      <c r="D12" s="202">
        <f t="shared" si="5"/>
        <v>300</v>
      </c>
      <c r="E12" s="202">
        <f t="shared" si="5"/>
        <v>599.47916666666663</v>
      </c>
      <c r="F12" s="202">
        <f t="shared" si="5"/>
        <v>625</v>
      </c>
      <c r="G12" s="202">
        <f t="shared" si="5"/>
        <v>587.5</v>
      </c>
      <c r="H12" s="202">
        <f t="shared" si="5"/>
        <v>550</v>
      </c>
      <c r="I12" s="202">
        <f t="shared" si="5"/>
        <v>512.5</v>
      </c>
      <c r="J12" s="202">
        <f t="shared" si="5"/>
        <v>475</v>
      </c>
      <c r="K12" s="202">
        <f t="shared" si="5"/>
        <v>437.5</v>
      </c>
      <c r="L12" s="202">
        <f t="shared" si="5"/>
        <v>400</v>
      </c>
      <c r="M12" s="202">
        <f t="shared" si="5"/>
        <v>63.020833333333336</v>
      </c>
    </row>
    <row r="13" spans="2:14" ht="18.75" customHeight="1" x14ac:dyDescent="0.35">
      <c r="B13" s="109" t="s">
        <v>78</v>
      </c>
      <c r="C13" s="203">
        <f t="shared" ref="C13:M13" si="6">C9/C12</f>
        <v>-0.30176971222666682</v>
      </c>
      <c r="D13" s="203">
        <f t="shared" si="6"/>
        <v>0.44778768837306565</v>
      </c>
      <c r="E13" s="203">
        <f t="shared" si="6"/>
        <v>1.4509494003588708</v>
      </c>
      <c r="F13" s="203">
        <f t="shared" si="6"/>
        <v>1.8226303269228694</v>
      </c>
      <c r="G13" s="203">
        <f t="shared" si="6"/>
        <v>1.9662400994468339</v>
      </c>
      <c r="H13" s="203">
        <f t="shared" si="6"/>
        <v>1.9645004271525688</v>
      </c>
      <c r="I13" s="203">
        <f t="shared" si="6"/>
        <v>2.1629966208550653</v>
      </c>
      <c r="J13" s="203">
        <f t="shared" si="6"/>
        <v>2.4273244762375152</v>
      </c>
      <c r="K13" s="324">
        <f t="shared" si="6"/>
        <v>2.7826494394509491</v>
      </c>
      <c r="L13" s="324">
        <f t="shared" si="6"/>
        <v>3.1735509748814281</v>
      </c>
      <c r="M13" s="249">
        <f t="shared" si="6"/>
        <v>21.105639745678303</v>
      </c>
    </row>
    <row r="14" spans="2:14" ht="18.75" customHeight="1" x14ac:dyDescent="0.35">
      <c r="B14" s="114" t="s">
        <v>70</v>
      </c>
      <c r="C14" s="354">
        <f>SUM(D9:L9)/SUM(D12:L12)</f>
        <v>2.0341703330203442</v>
      </c>
      <c r="D14" s="354"/>
      <c r="E14" s="354"/>
      <c r="F14" s="354"/>
      <c r="G14" s="354"/>
      <c r="H14" s="354"/>
      <c r="I14" s="354"/>
      <c r="J14" s="354"/>
      <c r="K14" s="354"/>
      <c r="L14" s="354"/>
      <c r="M14" s="354"/>
      <c r="N14" s="257" t="s">
        <v>488</v>
      </c>
    </row>
    <row r="15" spans="2:14" ht="18.75" customHeight="1" x14ac:dyDescent="0.35">
      <c r="B15" s="114" t="s">
        <v>240</v>
      </c>
      <c r="C15" s="354">
        <f>MAX(D13:L13)</f>
        <v>3.1735509748814281</v>
      </c>
      <c r="D15" s="354"/>
      <c r="E15" s="354"/>
      <c r="F15" s="354"/>
      <c r="G15" s="354"/>
      <c r="H15" s="354"/>
      <c r="I15" s="354"/>
      <c r="J15" s="354"/>
      <c r="K15" s="354"/>
      <c r="L15" s="354"/>
      <c r="M15" s="354"/>
      <c r="N15" s="257" t="s">
        <v>488</v>
      </c>
    </row>
    <row r="16" spans="2:14" x14ac:dyDescent="0.35">
      <c r="C16" s="32"/>
      <c r="D16" s="32"/>
      <c r="E16" s="32"/>
      <c r="F16" s="32"/>
      <c r="G16" s="32"/>
      <c r="H16" s="32"/>
      <c r="I16" s="32"/>
      <c r="J16" s="32"/>
      <c r="K16" s="32"/>
    </row>
    <row r="17" spans="2:5" x14ac:dyDescent="0.35">
      <c r="B17" s="6" t="s">
        <v>495</v>
      </c>
      <c r="C17" s="1" t="s">
        <v>496</v>
      </c>
    </row>
    <row r="25" spans="2:5" hidden="1" x14ac:dyDescent="0.35">
      <c r="D25" s="1">
        <v>719.64</v>
      </c>
      <c r="E25" s="1">
        <f>D25-50</f>
        <v>669.64</v>
      </c>
    </row>
    <row r="26" spans="2:5" hidden="1" x14ac:dyDescent="0.35">
      <c r="D26" s="1">
        <v>302.64</v>
      </c>
      <c r="E26" s="1">
        <f>D26-50</f>
        <v>252.64</v>
      </c>
    </row>
    <row r="27" spans="2:5" hidden="1" x14ac:dyDescent="0.35">
      <c r="D27" s="1">
        <f>D25/D26</f>
        <v>2.3778747026169706</v>
      </c>
      <c r="E27" s="32">
        <f>E25/E26</f>
        <v>2.6505699810006336</v>
      </c>
    </row>
  </sheetData>
  <customSheetViews>
    <customSheetView guid="{22475485-DA09-46DB-978D-BB94CE1E5597}" hiddenColumns="1">
      <selection activeCell="A18" sqref="A18"/>
      <pageMargins left="0.7" right="0.7" top="0.75" bottom="0.75" header="0.3" footer="0.3"/>
    </customSheetView>
  </customSheetViews>
  <mergeCells count="2">
    <mergeCell ref="C14:M14"/>
    <mergeCell ref="C15:M15"/>
  </mergeCells>
  <conditionalFormatting sqref="C13:M13">
    <cfRule type="cellIs" dxfId="1" priority="1" operator="lessThan">
      <formula>1.1</formula>
    </cfRule>
    <cfRule type="cellIs" dxfId="0" priority="2" operator="greaterThan">
      <formula>1.1</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tint="0.14999847407452621"/>
  </sheetPr>
  <dimension ref="B1:C13"/>
  <sheetViews>
    <sheetView showGridLines="0" workbookViewId="0">
      <selection activeCell="C5" sqref="C5"/>
    </sheetView>
  </sheetViews>
  <sheetFormatPr defaultColWidth="8.81640625" defaultRowHeight="14.5" x14ac:dyDescent="0.35"/>
  <cols>
    <col min="1" max="1" width="5" style="28" customWidth="1"/>
    <col min="2" max="2" width="47.26953125" style="29" customWidth="1"/>
    <col min="3" max="3" width="30.81640625" style="1" customWidth="1"/>
    <col min="4" max="4" width="9.1796875" style="28" bestFit="1" customWidth="1"/>
    <col min="5" max="16384" width="8.81640625" style="28"/>
  </cols>
  <sheetData>
    <row r="1" spans="2:3" ht="16.5" customHeight="1" x14ac:dyDescent="0.35"/>
    <row r="2" spans="2:3" ht="20.25" customHeight="1" x14ac:dyDescent="0.35">
      <c r="B2" s="72" t="s">
        <v>76</v>
      </c>
      <c r="C2" s="26" t="s">
        <v>163</v>
      </c>
    </row>
    <row r="3" spans="2:3" ht="20.25" customHeight="1" x14ac:dyDescent="0.35">
      <c r="B3" s="13" t="s">
        <v>164</v>
      </c>
      <c r="C3" s="115">
        <v>45444</v>
      </c>
    </row>
    <row r="4" spans="2:3" ht="20.25" customHeight="1" x14ac:dyDescent="0.35">
      <c r="B4" s="40" t="s">
        <v>165</v>
      </c>
      <c r="C4" s="4" t="s">
        <v>489</v>
      </c>
    </row>
    <row r="5" spans="2:3" ht="20.25" customHeight="1" x14ac:dyDescent="0.35">
      <c r="B5" s="40" t="s">
        <v>179</v>
      </c>
      <c r="C5" s="4" t="s">
        <v>491</v>
      </c>
    </row>
    <row r="6" spans="2:3" ht="20.25" customHeight="1" x14ac:dyDescent="0.35">
      <c r="B6" s="40" t="s">
        <v>166</v>
      </c>
      <c r="C6" s="115">
        <v>45627</v>
      </c>
    </row>
    <row r="7" spans="2:3" x14ac:dyDescent="0.35">
      <c r="B7" s="40" t="s">
        <v>312</v>
      </c>
      <c r="C7" s="4" t="s">
        <v>490</v>
      </c>
    </row>
    <row r="8" spans="2:3" ht="20.25" customHeight="1" x14ac:dyDescent="0.35">
      <c r="B8" s="40" t="s">
        <v>180</v>
      </c>
      <c r="C8" s="4" t="s">
        <v>492</v>
      </c>
    </row>
    <row r="9" spans="2:3" ht="20.25" customHeight="1" x14ac:dyDescent="0.35">
      <c r="B9" s="43" t="s">
        <v>167</v>
      </c>
      <c r="C9" s="18"/>
    </row>
    <row r="10" spans="2:3" ht="20.25" customHeight="1" x14ac:dyDescent="0.35">
      <c r="B10" s="13" t="s">
        <v>168</v>
      </c>
      <c r="C10" s="115">
        <v>46174</v>
      </c>
    </row>
    <row r="11" spans="2:3" ht="20.25" customHeight="1" x14ac:dyDescent="0.35">
      <c r="B11" s="13" t="s">
        <v>169</v>
      </c>
      <c r="C11" s="115">
        <v>12540</v>
      </c>
    </row>
    <row r="12" spans="2:3" ht="20.25" customHeight="1" x14ac:dyDescent="0.35">
      <c r="B12" s="13" t="s">
        <v>170</v>
      </c>
      <c r="C12" s="4" t="s">
        <v>493</v>
      </c>
    </row>
    <row r="13" spans="2:3" ht="20.25" customHeight="1" x14ac:dyDescent="0.35">
      <c r="B13" s="13" t="s">
        <v>171</v>
      </c>
      <c r="C13" s="116">
        <v>0.1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q 5 2 W M H X h 0 u l A A A A 9 g A A A B I A H A B D b 2 5 m a W c v U G F j a 2 F n Z S 5 4 b W w g o h g A K K A U A A A A A A A A A A A A A A A A A A A A A A A A A A A A h Y 9 B D o I w F E S v Q r q n L T V R Q z 5 l 4 c p E j I m J c d t g h U b 4 G F o s d 3 P h k b y C G E X d u Z w 3 b z F z v 9 4 g 7 e s q u O j W m g Y T E l F O A o 1 5 c z B Y J K R z x 3 B O U g k b l Z 9 U o Y N B R h v 3 9 p C Q 0 r l z z J j 3 n v o J b d q C C c 4 j t s 9 W 2 7 z U t S I f 2 f y X Q 4 P W K c w 1 k b B 7 j Z G C R m J K h Z h R D m y E k B n 8 C m L Y + 2 x / I C y 6 y n W t l h r D 5 R r Y G I G 9 P 8 g H U E s D B B Q A A g A I A A a u d 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G r n Z Y K I p H u A 4 A A A A R A A A A E w A c A E Z v c m 1 1 b G F z L 1 N l Y 3 R p b 2 4 x L m 0 g o h g A K K A U A A A A A A A A A A A A A A A A A A A A A A A A A A A A K 0 5 N L s n M z 1 M I h t C G 1 g B Q S w E C L Q A U A A I A C A A G r n Z Y w d e H S 6 U A A A D 2 A A A A E g A A A A A A A A A A A A A A A A A A A A A A Q 2 9 u Z m l n L 1 B h Y 2 t h Z 2 U u e G 1 s U E s B A i 0 A F A A C A A g A B q 5 2 W A / K 6 a u k A A A A 6 Q A A A B M A A A A A A A A A A A A A A A A A 8 Q A A A F t D b 2 5 0 Z W 5 0 X 1 R 5 c G V z X S 5 4 b W x Q S w E C L Q A U A A I A C A A G r n 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u X o o G 5 2 k W T I s b i J / 0 O l A A A A A A C A A A A A A A Q Z g A A A A E A A C A A A A B 4 L g 2 I 1 p Z O j G O d h C G w 6 H / F z O l Z m s 6 m / m R C I f S u j s b 4 Y w A A A A A O g A A A A A I A A C A A A A D L j T x Y C Q L U Z B q C o j A D 5 K u T l + K r v 5 y B 3 7 u B c n 5 T P 8 f z A 1 A A A A B w 1 / P X m W T 5 b v R T z K z 1 X V Y h a u Y e 2 t k m X Q / 0 J x 4 T a 2 w J / F H X Q q P I 0 w 8 L E 9 W 8 I h Z J p S w C F d 5 3 O 8 L X U n b Z t b N a e K U A t V O S c 7 8 0 b u 7 V n e t r / b C v u E A A A A C c z 1 i I K n b J B 6 H m s w E f h L r u K 6 V j I 1 1 i L Y Y P E 5 K P C W + M 4 T L V c L E i M e Z D M b s b F u C 4 3 B V N a 3 u R D Y U G r H h G 0 0 f 1 M 1 C x < / D a t a M a s h u p > 
</file>

<file path=customXml/itemProps1.xml><?xml version="1.0" encoding="utf-8"?>
<ds:datastoreItem xmlns:ds="http://schemas.openxmlformats.org/officeDocument/2006/customXml" ds:itemID="{D3A6095F-A486-4993-8BB1-A6EFC2C11E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CoP-MoF</vt:lpstr>
      <vt:lpstr>Assump</vt:lpstr>
      <vt:lpstr>P &amp; L</vt:lpstr>
      <vt:lpstr>BS</vt:lpstr>
      <vt:lpstr>Cash Flow</vt:lpstr>
      <vt:lpstr>BEP</vt:lpstr>
      <vt:lpstr>IRR</vt:lpstr>
      <vt:lpstr>DSCR</vt:lpstr>
      <vt:lpstr>Loan Assumptions</vt:lpstr>
      <vt:lpstr>TL Schd</vt:lpstr>
      <vt:lpstr>Ratio</vt:lpstr>
      <vt:lpstr>WC</vt:lpstr>
      <vt:lpstr>Depr</vt:lpstr>
      <vt:lpstr>sal &amp; wages</vt: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P Mishra</dc:creator>
  <cp:lastModifiedBy>aneesh mallick</cp:lastModifiedBy>
  <cp:lastPrinted>2022-05-12T11:22:57Z</cp:lastPrinted>
  <dcterms:created xsi:type="dcterms:W3CDTF">2015-03-21T00:42:44Z</dcterms:created>
  <dcterms:modified xsi:type="dcterms:W3CDTF">2024-06-07T08:43:10Z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{4AF292D0-B31F-47DC-AF2C-4A134CE844EB}</vt:lpwstr>
  </property>
</Properties>
</file>