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7.xml" ContentType="application/vnd.openxmlformats-officedocument.spreadsheetml.comments+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55" tabRatio="916" activeTab="8"/>
  </bookViews>
  <sheets>
    <sheet name="Final Cost Sheet NRSBF" sheetId="23" r:id="rId1"/>
    <sheet name="Revised Cost Sheet Final" sheetId="20" state="hidden" r:id="rId2"/>
    <sheet name="Revised Cost Sheet" sheetId="19" state="hidden" r:id="rId3"/>
    <sheet name="6 TPD CBG Cost sheet" sheetId="5" state="hidden" r:id="rId4"/>
    <sheet name="Input &amp; Output Calc." sheetId="3" r:id="rId5"/>
    <sheet name="TPC and MoF" sheetId="4" r:id="rId6"/>
    <sheet name="Sheet5" sheetId="25" state="hidden" r:id="rId7"/>
    <sheet name="Sheet2" sheetId="21" state="hidden" r:id="rId8"/>
    <sheet name="Common Assumption" sheetId="1" r:id="rId9"/>
    <sheet name="Revenue &amp; Expense Modelling" sheetId="2" r:id="rId10"/>
    <sheet name="Sheet3" sheetId="22" state="hidden" r:id="rId11"/>
    <sheet name="IS" sheetId="8" r:id="rId12"/>
    <sheet name="BS" sheetId="12" r:id="rId13"/>
    <sheet name="CFS" sheetId="13" r:id="rId14"/>
    <sheet name="sal &amp; wages" sheetId="7" r:id="rId15"/>
    <sheet name="Loan Schedule" sheetId="9" r:id="rId16"/>
    <sheet name="Depreciation Schedule" sheetId="10" r:id="rId17"/>
    <sheet name="Working Capital Assessment" sheetId="11" r:id="rId18"/>
    <sheet name="Sheet4" sheetId="24" state="hidden" r:id="rId19"/>
    <sheet name="Tax Calculations" sheetId="14" r:id="rId20"/>
    <sheet name="DSCR" sheetId="15" r:id="rId21"/>
    <sheet name="NPV &amp; IRR, Payback Period" sheetId="16" r:id="rId22"/>
    <sheet name="Ratio and Break Even Analysis" sheetId="17" r:id="rId23"/>
    <sheet name="Sheet1" sheetId="18" state="hidden" r:id="rId24"/>
  </sheets>
  <externalReferences>
    <externalReference r:id="rId25"/>
    <externalReference r:id="rId26"/>
  </externalReferences>
  <definedNames>
    <definedName name="Completion_date">'[1]Common Assumption'!$E$11</definedName>
    <definedName name="construction_period">'[1]Common Assumption'!$E$10</definedName>
    <definedName name="OLE_LINK1" localSheetId="3">'6 TPD CBG Cost sheet'!#REF!</definedName>
    <definedName name="_xlnm.Print_Area" localSheetId="3">'6 TPD CBG Cost sheet'!$B$1:$F$106</definedName>
    <definedName name="_xlnm.Print_Area">'[2]Cal. of Int.'!$A$5:$F$78</definedName>
    <definedName name="PRINT_AREA_MI">'[2]Cal. of Int.'!$A$5:$F$78</definedName>
    <definedName name="start_date">'[1]Common Assumption'!$E$9</definedName>
  </definedNames>
  <calcPr calcId="152511" iterate="1"/>
</workbook>
</file>

<file path=xl/calcChain.xml><?xml version="1.0" encoding="utf-8"?>
<calcChain xmlns="http://schemas.openxmlformats.org/spreadsheetml/2006/main">
  <c r="D126" i="1" l="1"/>
  <c r="D129" i="1" s="1"/>
  <c r="C11" i="17" l="1"/>
  <c r="C11" i="16"/>
  <c r="C11" i="15"/>
  <c r="C11" i="14"/>
  <c r="C11" i="11"/>
  <c r="C11" i="10"/>
  <c r="C11" i="9"/>
  <c r="C11" i="13"/>
  <c r="C11" i="12"/>
  <c r="C11" i="8"/>
  <c r="C11" i="2"/>
  <c r="E11" i="1"/>
  <c r="D9" i="17" s="1"/>
  <c r="D9" i="14" l="1"/>
  <c r="D9" i="2"/>
  <c r="D9" i="9"/>
  <c r="D9" i="15"/>
  <c r="D9" i="8"/>
  <c r="D9" i="10"/>
  <c r="D9" i="16"/>
  <c r="D9" i="13"/>
  <c r="D9" i="12"/>
  <c r="D9" i="11"/>
  <c r="D77" i="16"/>
  <c r="D76" i="16"/>
  <c r="D69" i="16"/>
  <c r="D78" i="16" l="1"/>
  <c r="D45" i="1"/>
  <c r="G82" i="2" l="1"/>
  <c r="H82" i="2" s="1"/>
  <c r="I82" i="2" s="1"/>
  <c r="J82" i="2" s="1"/>
  <c r="K82" i="2" s="1"/>
  <c r="L82" i="2" s="1"/>
  <c r="M82" i="2" s="1"/>
  <c r="N82" i="2" s="1"/>
  <c r="O82" i="2" s="1"/>
  <c r="C81" i="2"/>
  <c r="F81" i="2" s="1"/>
  <c r="G76" i="2"/>
  <c r="H76" i="2" s="1"/>
  <c r="I76" i="2" s="1"/>
  <c r="J76" i="2" s="1"/>
  <c r="K76" i="2" s="1"/>
  <c r="L76" i="2" s="1"/>
  <c r="M76" i="2" s="1"/>
  <c r="N76" i="2" s="1"/>
  <c r="O76" i="2" s="1"/>
  <c r="C75" i="2"/>
  <c r="F75" i="2" s="1"/>
  <c r="G81" i="2" l="1"/>
  <c r="H81" i="2" s="1"/>
  <c r="I81" i="2" s="1"/>
  <c r="J81" i="2" s="1"/>
  <c r="K81" i="2" s="1"/>
  <c r="L81" i="2" s="1"/>
  <c r="M81" i="2" s="1"/>
  <c r="N81" i="2" s="1"/>
  <c r="O81" i="2" s="1"/>
  <c r="G75" i="2"/>
  <c r="H75" i="2" s="1"/>
  <c r="I75" i="2" s="1"/>
  <c r="J75" i="2" s="1"/>
  <c r="K75" i="2" s="1"/>
  <c r="L75" i="2" s="1"/>
  <c r="M75" i="2" s="1"/>
  <c r="N75" i="2" s="1"/>
  <c r="O75" i="2" s="1"/>
  <c r="E13" i="9"/>
  <c r="D162" i="9"/>
  <c r="D161" i="9"/>
  <c r="C49" i="9"/>
  <c r="C48" i="9"/>
  <c r="C47" i="9"/>
  <c r="C46" i="9"/>
  <c r="C45" i="9"/>
  <c r="C44" i="9"/>
  <c r="C43" i="9"/>
  <c r="C42" i="9"/>
  <c r="C41" i="9"/>
  <c r="C40" i="9"/>
  <c r="C39" i="9"/>
  <c r="D14" i="9" l="1"/>
  <c r="J27" i="13" l="1"/>
  <c r="D29" i="13"/>
  <c r="C105" i="2"/>
  <c r="A18" i="4"/>
  <c r="A19" i="4" s="1"/>
  <c r="A20" i="4" s="1"/>
  <c r="A10" i="4"/>
  <c r="A11" i="4" s="1"/>
  <c r="A12" i="4" s="1"/>
  <c r="A13" i="4" s="1"/>
  <c r="A14" i="4" s="1"/>
  <c r="A15" i="4" s="1"/>
  <c r="A16" i="4" s="1"/>
  <c r="A17" i="4" s="1"/>
  <c r="A9" i="4"/>
  <c r="I10" i="25" l="1"/>
  <c r="I9" i="25"/>
  <c r="I8" i="25"/>
  <c r="I80" i="24" l="1"/>
  <c r="I78" i="24"/>
  <c r="I79" i="24"/>
  <c r="I77" i="24"/>
  <c r="D41" i="1" l="1"/>
  <c r="D17" i="4"/>
  <c r="D10" i="4"/>
  <c r="D13" i="4"/>
  <c r="D12" i="4"/>
  <c r="D11" i="4"/>
  <c r="D9" i="4"/>
  <c r="D14" i="4" s="1"/>
  <c r="D22" i="10" s="1"/>
  <c r="D8" i="4"/>
  <c r="E21" i="3"/>
  <c r="C19" i="3"/>
  <c r="H115" i="23" l="1"/>
  <c r="F114" i="23"/>
  <c r="B114" i="23"/>
  <c r="B115" i="23" s="1"/>
  <c r="E113" i="23"/>
  <c r="F113" i="23" s="1"/>
  <c r="B113" i="23"/>
  <c r="F112" i="23"/>
  <c r="G106" i="23"/>
  <c r="F106" i="23"/>
  <c r="F105" i="23"/>
  <c r="F104" i="23"/>
  <c r="G104" i="23" s="1"/>
  <c r="F103" i="23"/>
  <c r="F102" i="23"/>
  <c r="G102" i="23" s="1"/>
  <c r="F101" i="23"/>
  <c r="F100" i="23"/>
  <c r="G100" i="23" s="1"/>
  <c r="B100" i="23"/>
  <c r="B101" i="23" s="1"/>
  <c r="B102" i="23" s="1"/>
  <c r="B103" i="23" s="1"/>
  <c r="B104" i="23" s="1"/>
  <c r="B105" i="23" s="1"/>
  <c r="B106" i="23" s="1"/>
  <c r="F99" i="23"/>
  <c r="E99" i="23"/>
  <c r="G93" i="23"/>
  <c r="H93" i="23" s="1"/>
  <c r="G92" i="23"/>
  <c r="H92" i="23" s="1"/>
  <c r="G91" i="23"/>
  <c r="H91" i="23" s="1"/>
  <c r="F90" i="23"/>
  <c r="F89" i="23"/>
  <c r="G89" i="23" s="1"/>
  <c r="H89" i="23" s="1"/>
  <c r="G88" i="23"/>
  <c r="H88" i="23" s="1"/>
  <c r="F88" i="23"/>
  <c r="G87" i="23"/>
  <c r="H87" i="23" s="1"/>
  <c r="G86" i="23"/>
  <c r="H86" i="23" s="1"/>
  <c r="F86" i="23"/>
  <c r="F85" i="23"/>
  <c r="G85" i="23" s="1"/>
  <c r="H85" i="23" s="1"/>
  <c r="F84" i="23"/>
  <c r="F83" i="23"/>
  <c r="F82" i="23"/>
  <c r="F81" i="23"/>
  <c r="G81" i="23" s="1"/>
  <c r="H81" i="23" s="1"/>
  <c r="F80" i="23"/>
  <c r="F79" i="23"/>
  <c r="F78" i="23"/>
  <c r="H78" i="23" s="1"/>
  <c r="F77" i="23"/>
  <c r="H77" i="23" s="1"/>
  <c r="F76" i="23"/>
  <c r="G76" i="23" s="1"/>
  <c r="H76" i="23" s="1"/>
  <c r="F75" i="23"/>
  <c r="G75" i="23" s="1"/>
  <c r="H75" i="23" s="1"/>
  <c r="G74" i="23"/>
  <c r="H74" i="23" s="1"/>
  <c r="F73" i="23"/>
  <c r="G73" i="23" s="1"/>
  <c r="H73" i="23" s="1"/>
  <c r="F72" i="23"/>
  <c r="G72" i="23" s="1"/>
  <c r="H72" i="23" s="1"/>
  <c r="F71" i="23"/>
  <c r="H71" i="23" s="1"/>
  <c r="F70" i="23"/>
  <c r="H70" i="23" s="1"/>
  <c r="F69" i="23"/>
  <c r="F68" i="23"/>
  <c r="F67" i="23"/>
  <c r="G67" i="23" s="1"/>
  <c r="H67" i="23" s="1"/>
  <c r="G66" i="23"/>
  <c r="H66" i="23" s="1"/>
  <c r="F66" i="23"/>
  <c r="G60" i="23"/>
  <c r="H60" i="23" s="1"/>
  <c r="G59" i="23"/>
  <c r="H59" i="23" s="1"/>
  <c r="G58" i="23"/>
  <c r="H58" i="23" s="1"/>
  <c r="G57" i="23"/>
  <c r="H57" i="23" s="1"/>
  <c r="G56" i="23"/>
  <c r="H56" i="23" s="1"/>
  <c r="F55" i="23"/>
  <c r="F54" i="23"/>
  <c r="F53" i="23"/>
  <c r="F52" i="23"/>
  <c r="G52" i="23" s="1"/>
  <c r="F51" i="23"/>
  <c r="F50" i="23"/>
  <c r="G50" i="23" s="1"/>
  <c r="F49" i="23"/>
  <c r="F48" i="23"/>
  <c r="F47" i="23"/>
  <c r="F46" i="23"/>
  <c r="G46" i="23" s="1"/>
  <c r="F45" i="23"/>
  <c r="F44" i="23"/>
  <c r="G44" i="23" s="1"/>
  <c r="F43" i="23"/>
  <c r="F42" i="23"/>
  <c r="F41" i="23"/>
  <c r="F40" i="23"/>
  <c r="G40" i="23" s="1"/>
  <c r="F39" i="23"/>
  <c r="F38" i="23"/>
  <c r="G38" i="23" s="1"/>
  <c r="F37" i="23"/>
  <c r="F36" i="23"/>
  <c r="F35" i="23"/>
  <c r="F34" i="23"/>
  <c r="G34" i="23" s="1"/>
  <c r="B34" i="23"/>
  <c r="B35" i="23" s="1"/>
  <c r="B36" i="23" s="1"/>
  <c r="B37" i="23" s="1"/>
  <c r="B38" i="23" s="1"/>
  <c r="B39" i="23" s="1"/>
  <c r="B40" i="23" s="1"/>
  <c r="B41" i="23" s="1"/>
  <c r="B42" i="23" s="1"/>
  <c r="B43" i="23" s="1"/>
  <c r="B44" i="23" s="1"/>
  <c r="B45" i="23" s="1"/>
  <c r="B46" i="23" s="1"/>
  <c r="B47" i="23" s="1"/>
  <c r="B48" i="23" s="1"/>
  <c r="B49" i="23" s="1"/>
  <c r="B50" i="23" s="1"/>
  <c r="B51" i="23" s="1"/>
  <c r="B52" i="23" s="1"/>
  <c r="B53" i="23" s="1"/>
  <c r="B54" i="23" s="1"/>
  <c r="B55" i="23" s="1"/>
  <c r="B56" i="23" s="1"/>
  <c r="B57" i="23" s="1"/>
  <c r="B58" i="23" s="1"/>
  <c r="B59" i="23" s="1"/>
  <c r="B60" i="23" s="1"/>
  <c r="G33" i="23"/>
  <c r="F33" i="23"/>
  <c r="G30" i="23"/>
  <c r="F30" i="23"/>
  <c r="E30" i="23"/>
  <c r="D30" i="23"/>
  <c r="H29" i="23"/>
  <c r="B29" i="23"/>
  <c r="H28" i="23"/>
  <c r="H30" i="23" s="1"/>
  <c r="F28" i="23"/>
  <c r="H24" i="23"/>
  <c r="B24" i="23"/>
  <c r="H23" i="23"/>
  <c r="G22" i="23"/>
  <c r="H22" i="23" s="1"/>
  <c r="H21" i="23"/>
  <c r="H20" i="23"/>
  <c r="G20" i="23"/>
  <c r="G19" i="23"/>
  <c r="H19" i="23" s="1"/>
  <c r="G18" i="23"/>
  <c r="H18" i="23" s="1"/>
  <c r="F17" i="23"/>
  <c r="H16" i="23"/>
  <c r="H15" i="23"/>
  <c r="H14" i="23"/>
  <c r="G13" i="23"/>
  <c r="H13" i="23" s="1"/>
  <c r="G12" i="23"/>
  <c r="H12" i="23" s="1"/>
  <c r="H11" i="23"/>
  <c r="H10" i="23"/>
  <c r="H9" i="23"/>
  <c r="B9" i="23"/>
  <c r="B10" i="23" s="1"/>
  <c r="B11" i="23" s="1"/>
  <c r="B12" i="23" s="1"/>
  <c r="B13" i="23" s="1"/>
  <c r="B14" i="23" s="1"/>
  <c r="B15" i="23" s="1"/>
  <c r="B16" i="23" s="1"/>
  <c r="B17" i="23" s="1"/>
  <c r="B18" i="23" s="1"/>
  <c r="B19" i="23" s="1"/>
  <c r="B20" i="23" s="1"/>
  <c r="B21" i="23" s="1"/>
  <c r="H8" i="23"/>
  <c r="F8" i="23"/>
  <c r="G82" i="23" l="1"/>
  <c r="H82" i="23" s="1"/>
  <c r="F25" i="23"/>
  <c r="G113" i="23"/>
  <c r="H113" i="23" s="1"/>
  <c r="G90" i="23"/>
  <c r="H90" i="23" s="1"/>
  <c r="F107" i="23"/>
  <c r="G17" i="23"/>
  <c r="G25" i="23" s="1"/>
  <c r="F61" i="23"/>
  <c r="H33" i="23"/>
  <c r="G36" i="23"/>
  <c r="H36" i="23" s="1"/>
  <c r="G42" i="23"/>
  <c r="H42" i="23" s="1"/>
  <c r="G48" i="23"/>
  <c r="H48" i="23" s="1"/>
  <c r="G54" i="23"/>
  <c r="H54" i="23" s="1"/>
  <c r="G69" i="23"/>
  <c r="H69" i="23" s="1"/>
  <c r="H80" i="23"/>
  <c r="G83" i="23"/>
  <c r="H83" i="23" s="1"/>
  <c r="G99" i="23"/>
  <c r="H105" i="23"/>
  <c r="F116" i="23"/>
  <c r="H38" i="23"/>
  <c r="H44" i="23"/>
  <c r="H52" i="23"/>
  <c r="F94" i="23"/>
  <c r="G80" i="23"/>
  <c r="H84" i="23"/>
  <c r="G101" i="23"/>
  <c r="H101" i="23" s="1"/>
  <c r="G103" i="23"/>
  <c r="H103" i="23" s="1"/>
  <c r="G105" i="23"/>
  <c r="G112" i="23"/>
  <c r="H34" i="23"/>
  <c r="H40" i="23"/>
  <c r="H46" i="23"/>
  <c r="H50" i="23"/>
  <c r="H79" i="23"/>
  <c r="G79" i="23"/>
  <c r="G35" i="23"/>
  <c r="H35" i="23" s="1"/>
  <c r="G37" i="23"/>
  <c r="H37" i="23" s="1"/>
  <c r="G39" i="23"/>
  <c r="H39" i="23" s="1"/>
  <c r="G41" i="23"/>
  <c r="H41" i="23" s="1"/>
  <c r="G43" i="23"/>
  <c r="H43" i="23" s="1"/>
  <c r="G45" i="23"/>
  <c r="H45" i="23" s="1"/>
  <c r="G47" i="23"/>
  <c r="H47" i="23" s="1"/>
  <c r="G49" i="23"/>
  <c r="H49" i="23" s="1"/>
  <c r="G51" i="23"/>
  <c r="H51" i="23" s="1"/>
  <c r="G53" i="23"/>
  <c r="H53" i="23" s="1"/>
  <c r="G55" i="23"/>
  <c r="H55" i="23" s="1"/>
  <c r="G68" i="23"/>
  <c r="H68" i="23" s="1"/>
  <c r="G84" i="23"/>
  <c r="H100" i="23"/>
  <c r="H102" i="23"/>
  <c r="H104" i="23"/>
  <c r="H106" i="23"/>
  <c r="G114" i="23"/>
  <c r="H114" i="23" s="1"/>
  <c r="G116" i="23" l="1"/>
  <c r="H94" i="23"/>
  <c r="G94" i="23"/>
  <c r="F95" i="23"/>
  <c r="G61" i="23"/>
  <c r="H112" i="23"/>
  <c r="H116" i="23" s="1"/>
  <c r="F108" i="23"/>
  <c r="F109" i="23"/>
  <c r="G107" i="23"/>
  <c r="H17" i="23"/>
  <c r="H25" i="23" s="1"/>
  <c r="H61" i="23"/>
  <c r="F62" i="23"/>
  <c r="F63" i="23" s="1"/>
  <c r="H99" i="23"/>
  <c r="H107" i="23" s="1"/>
  <c r="G95" i="23" l="1"/>
  <c r="G96" i="23" s="1"/>
  <c r="G108" i="23"/>
  <c r="G109" i="23" s="1"/>
  <c r="H109" i="23" s="1"/>
  <c r="H108" i="23"/>
  <c r="G63" i="23"/>
  <c r="G62" i="23"/>
  <c r="H62" i="23" s="1"/>
  <c r="F96" i="23"/>
  <c r="F118" i="23" s="1"/>
  <c r="G118" i="23" l="1"/>
  <c r="H95" i="23"/>
  <c r="H96" i="23"/>
  <c r="H63" i="23"/>
  <c r="H118" i="23" s="1"/>
  <c r="D69" i="1" l="1"/>
  <c r="F41" i="2"/>
  <c r="F39" i="2"/>
  <c r="G39" i="2" s="1"/>
  <c r="G42" i="2"/>
  <c r="H42" i="2" s="1"/>
  <c r="I42" i="2" s="1"/>
  <c r="J42" i="2" s="1"/>
  <c r="K42" i="2" s="1"/>
  <c r="L42" i="2" s="1"/>
  <c r="M42" i="2" s="1"/>
  <c r="N42" i="2" s="1"/>
  <c r="O42" i="2" s="1"/>
  <c r="F34" i="2"/>
  <c r="F32" i="2"/>
  <c r="R21" i="22"/>
  <c r="R19" i="22"/>
  <c r="I68" i="1"/>
  <c r="G41" i="2" l="1"/>
  <c r="H41" i="2" s="1"/>
  <c r="I41" i="2" s="1"/>
  <c r="J41" i="2" s="1"/>
  <c r="K41" i="2" s="1"/>
  <c r="L41" i="2" s="1"/>
  <c r="M41" i="2" s="1"/>
  <c r="N41" i="2" s="1"/>
  <c r="O41" i="2" s="1"/>
  <c r="H39" i="2"/>
  <c r="I39" i="2" l="1"/>
  <c r="K65" i="20"/>
  <c r="K66" i="20"/>
  <c r="K68" i="20"/>
  <c r="J39" i="2" l="1"/>
  <c r="G88" i="20"/>
  <c r="H88" i="20" s="1"/>
  <c r="F108" i="20"/>
  <c r="K39" i="2" l="1"/>
  <c r="N23" i="21"/>
  <c r="L39" i="2" l="1"/>
  <c r="F15" i="2"/>
  <c r="M39" i="2" l="1"/>
  <c r="H111" i="20"/>
  <c r="F110" i="20"/>
  <c r="G110" i="20" s="1"/>
  <c r="H110" i="20" s="1"/>
  <c r="F109" i="20"/>
  <c r="G109" i="20" s="1"/>
  <c r="H109" i="20" s="1"/>
  <c r="B109" i="20"/>
  <c r="B110" i="20" s="1"/>
  <c r="B111" i="20" s="1"/>
  <c r="G108" i="20"/>
  <c r="F102" i="20"/>
  <c r="F101" i="20"/>
  <c r="F100" i="20"/>
  <c r="G100" i="20" s="1"/>
  <c r="H100" i="20" s="1"/>
  <c r="F99" i="20"/>
  <c r="G99" i="20" s="1"/>
  <c r="H99" i="20" s="1"/>
  <c r="F98" i="20"/>
  <c r="F97" i="20"/>
  <c r="F96" i="20"/>
  <c r="G96" i="20" s="1"/>
  <c r="H96" i="20" s="1"/>
  <c r="B96" i="20"/>
  <c r="B97" i="20" s="1"/>
  <c r="B98" i="20" s="1"/>
  <c r="B99" i="20" s="1"/>
  <c r="B100" i="20" s="1"/>
  <c r="B101" i="20" s="1"/>
  <c r="B102" i="20" s="1"/>
  <c r="E95" i="20"/>
  <c r="F95" i="20" s="1"/>
  <c r="G89" i="20"/>
  <c r="H89" i="20" s="1"/>
  <c r="G87" i="20"/>
  <c r="H87" i="20" s="1"/>
  <c r="F86" i="20"/>
  <c r="G86" i="20" s="1"/>
  <c r="F85" i="20"/>
  <c r="G85" i="20" s="1"/>
  <c r="H85" i="20" s="1"/>
  <c r="F84" i="20"/>
  <c r="G83" i="20"/>
  <c r="H83" i="20" s="1"/>
  <c r="F82" i="20"/>
  <c r="G82" i="20" s="1"/>
  <c r="H82" i="20" s="1"/>
  <c r="F81" i="20"/>
  <c r="G81" i="20" s="1"/>
  <c r="H81" i="20" s="1"/>
  <c r="F80" i="20"/>
  <c r="G80" i="20" s="1"/>
  <c r="H80" i="20" s="1"/>
  <c r="F79" i="20"/>
  <c r="G79" i="20" s="1"/>
  <c r="H79" i="20" s="1"/>
  <c r="F78" i="20"/>
  <c r="G78" i="20" s="1"/>
  <c r="H78" i="20" s="1"/>
  <c r="F77" i="20"/>
  <c r="G77" i="20" s="1"/>
  <c r="H77" i="20" s="1"/>
  <c r="F76" i="20"/>
  <c r="G76" i="20" s="1"/>
  <c r="H76" i="20" s="1"/>
  <c r="F75" i="20"/>
  <c r="G75" i="20" s="1"/>
  <c r="H75" i="20" s="1"/>
  <c r="F74" i="20"/>
  <c r="H74" i="20" s="1"/>
  <c r="F73" i="20"/>
  <c r="G72" i="20"/>
  <c r="H72" i="20" s="1"/>
  <c r="F71" i="20"/>
  <c r="F70" i="20"/>
  <c r="F69" i="20"/>
  <c r="H69" i="20" s="1"/>
  <c r="F68" i="20"/>
  <c r="G68" i="20" s="1"/>
  <c r="F67" i="20"/>
  <c r="B67" i="20"/>
  <c r="B68" i="20" s="1"/>
  <c r="B69" i="20" s="1"/>
  <c r="B70" i="20" s="1"/>
  <c r="B71" i="20" s="1"/>
  <c r="B72" i="20" s="1"/>
  <c r="B73" i="20" s="1"/>
  <c r="B74" i="20" s="1"/>
  <c r="B75" i="20" s="1"/>
  <c r="B76" i="20" s="1"/>
  <c r="B77" i="20" s="1"/>
  <c r="B78" i="20" s="1"/>
  <c r="B79" i="20" s="1"/>
  <c r="B80" i="20" s="1"/>
  <c r="B81" i="20" s="1"/>
  <c r="B82" i="20" s="1"/>
  <c r="B83" i="20" s="1"/>
  <c r="B84" i="20" s="1"/>
  <c r="B85" i="20" s="1"/>
  <c r="B86" i="20" s="1"/>
  <c r="B87" i="20" s="1"/>
  <c r="F66" i="20"/>
  <c r="G60" i="20"/>
  <c r="H60" i="20" s="1"/>
  <c r="G59" i="20"/>
  <c r="H59" i="20" s="1"/>
  <c r="G58" i="20"/>
  <c r="H58" i="20" s="1"/>
  <c r="G57" i="20"/>
  <c r="H57" i="20" s="1"/>
  <c r="G56" i="20"/>
  <c r="H56" i="20" s="1"/>
  <c r="G55" i="20"/>
  <c r="H55" i="20" s="1"/>
  <c r="F54" i="20"/>
  <c r="G54" i="20" s="1"/>
  <c r="H54" i="20" s="1"/>
  <c r="F53" i="20"/>
  <c r="G53" i="20" s="1"/>
  <c r="H53" i="20" s="1"/>
  <c r="F52" i="20"/>
  <c r="G52" i="20" s="1"/>
  <c r="F51" i="20"/>
  <c r="F50" i="20"/>
  <c r="G50" i="20" s="1"/>
  <c r="H50" i="20" s="1"/>
  <c r="F49" i="20"/>
  <c r="G49" i="20" s="1"/>
  <c r="H49" i="20" s="1"/>
  <c r="F48" i="20"/>
  <c r="G48" i="20" s="1"/>
  <c r="F47" i="20"/>
  <c r="F46" i="20"/>
  <c r="G46" i="20" s="1"/>
  <c r="H46" i="20" s="1"/>
  <c r="F45" i="20"/>
  <c r="G45" i="20" s="1"/>
  <c r="H45" i="20" s="1"/>
  <c r="F44" i="20"/>
  <c r="F43" i="20"/>
  <c r="F42" i="20"/>
  <c r="G42" i="20" s="1"/>
  <c r="H42" i="20" s="1"/>
  <c r="F41" i="20"/>
  <c r="G41" i="20" s="1"/>
  <c r="H41" i="20" s="1"/>
  <c r="F40" i="20"/>
  <c r="F39" i="20"/>
  <c r="F38" i="20"/>
  <c r="G38" i="20" s="1"/>
  <c r="H38" i="20" s="1"/>
  <c r="F37" i="20"/>
  <c r="G37" i="20" s="1"/>
  <c r="H37" i="20" s="1"/>
  <c r="F36" i="20"/>
  <c r="G36" i="20" s="1"/>
  <c r="F35" i="20"/>
  <c r="F34" i="20"/>
  <c r="G34" i="20" s="1"/>
  <c r="H34" i="20" s="1"/>
  <c r="F33" i="20"/>
  <c r="G33" i="20" s="1"/>
  <c r="H33" i="20" s="1"/>
  <c r="B33" i="20"/>
  <c r="B34" i="20" s="1"/>
  <c r="B35" i="20" s="1"/>
  <c r="B36" i="20" s="1"/>
  <c r="B37" i="20" s="1"/>
  <c r="B38" i="20" s="1"/>
  <c r="B39" i="20" s="1"/>
  <c r="B40" i="20" s="1"/>
  <c r="B41" i="20" s="1"/>
  <c r="B42" i="20" s="1"/>
  <c r="B43" i="20" s="1"/>
  <c r="B44" i="20" s="1"/>
  <c r="B45" i="20" s="1"/>
  <c r="B46" i="20" s="1"/>
  <c r="B47" i="20" s="1"/>
  <c r="B48" i="20" s="1"/>
  <c r="B49" i="20" s="1"/>
  <c r="B50" i="20" s="1"/>
  <c r="B51" i="20" s="1"/>
  <c r="B52" i="20" s="1"/>
  <c r="B53" i="20" s="1"/>
  <c r="B54" i="20" s="1"/>
  <c r="B55" i="20" s="1"/>
  <c r="B56" i="20" s="1"/>
  <c r="B57" i="20" s="1"/>
  <c r="B58" i="20" s="1"/>
  <c r="B59" i="20" s="1"/>
  <c r="B60" i="20" s="1"/>
  <c r="F32" i="20"/>
  <c r="G29" i="20"/>
  <c r="E29" i="20"/>
  <c r="D29" i="20"/>
  <c r="H28" i="20"/>
  <c r="B28" i="20"/>
  <c r="F27" i="20"/>
  <c r="H23" i="20"/>
  <c r="H22" i="20"/>
  <c r="H21" i="20"/>
  <c r="G19" i="20"/>
  <c r="H19" i="20" s="1"/>
  <c r="G18" i="20"/>
  <c r="H18" i="20" s="1"/>
  <c r="F17" i="20"/>
  <c r="G17" i="20" s="1"/>
  <c r="H17" i="20" s="1"/>
  <c r="H16" i="20"/>
  <c r="H15" i="20"/>
  <c r="H14" i="20"/>
  <c r="G13" i="20"/>
  <c r="H13" i="20" s="1"/>
  <c r="G12" i="20"/>
  <c r="H11" i="20"/>
  <c r="H10" i="20"/>
  <c r="H9" i="20"/>
  <c r="B9" i="20"/>
  <c r="B10" i="20" s="1"/>
  <c r="B11" i="20" s="1"/>
  <c r="B12" i="20" s="1"/>
  <c r="B13" i="20" s="1"/>
  <c r="B14" i="20" s="1"/>
  <c r="B15" i="20" s="1"/>
  <c r="B16" i="20" s="1"/>
  <c r="B17" i="20" s="1"/>
  <c r="B18" i="20" s="1"/>
  <c r="B19" i="20" s="1"/>
  <c r="B20" i="20" s="1"/>
  <c r="B21" i="20" s="1"/>
  <c r="B22" i="20" s="1"/>
  <c r="B23" i="20" s="1"/>
  <c r="F8" i="20"/>
  <c r="H8" i="20" s="1"/>
  <c r="D44" i="1"/>
  <c r="N39" i="2" l="1"/>
  <c r="H86" i="20"/>
  <c r="F112" i="20"/>
  <c r="F61" i="20"/>
  <c r="F62" i="20" s="1"/>
  <c r="G32" i="20"/>
  <c r="H32" i="20" s="1"/>
  <c r="G40" i="20"/>
  <c r="H40" i="20" s="1"/>
  <c r="G44" i="20"/>
  <c r="H44" i="20" s="1"/>
  <c r="G84" i="20"/>
  <c r="H84" i="20" s="1"/>
  <c r="G98" i="20"/>
  <c r="H98" i="20" s="1"/>
  <c r="G102" i="20"/>
  <c r="H102" i="20" s="1"/>
  <c r="G35" i="20"/>
  <c r="H35" i="20" s="1"/>
  <c r="H36" i="20"/>
  <c r="G39" i="20"/>
  <c r="H39" i="20" s="1"/>
  <c r="G43" i="20"/>
  <c r="H43" i="20" s="1"/>
  <c r="G47" i="20"/>
  <c r="H47" i="20" s="1"/>
  <c r="H48" i="20"/>
  <c r="G51" i="20"/>
  <c r="H51" i="20" s="1"/>
  <c r="H52" i="20"/>
  <c r="G66" i="20"/>
  <c r="H66" i="20" s="1"/>
  <c r="G67" i="20"/>
  <c r="H67" i="20" s="1"/>
  <c r="H68" i="20"/>
  <c r="G97" i="20"/>
  <c r="H97" i="20" s="1"/>
  <c r="G101" i="20"/>
  <c r="H101" i="20" s="1"/>
  <c r="G112" i="20"/>
  <c r="G73" i="20"/>
  <c r="H73" i="20" s="1"/>
  <c r="H12" i="20"/>
  <c r="G71" i="20"/>
  <c r="H71" i="20" s="1"/>
  <c r="F29" i="20"/>
  <c r="H27" i="20"/>
  <c r="H29" i="20" s="1"/>
  <c r="G20" i="20"/>
  <c r="H20" i="20" s="1"/>
  <c r="F90" i="20"/>
  <c r="F91" i="20" s="1"/>
  <c r="G70" i="20"/>
  <c r="G95" i="20"/>
  <c r="F103" i="20"/>
  <c r="F104" i="20" s="1"/>
  <c r="H108" i="20"/>
  <c r="E49" i="3"/>
  <c r="D49" i="3"/>
  <c r="F28" i="3"/>
  <c r="E19" i="3"/>
  <c r="D11" i="3"/>
  <c r="D12" i="3" s="1"/>
  <c r="D14" i="3" s="1"/>
  <c r="D15" i="3" s="1"/>
  <c r="J129" i="19"/>
  <c r="L165" i="19"/>
  <c r="L203" i="19"/>
  <c r="J203" i="19"/>
  <c r="L192" i="19"/>
  <c r="J192" i="19"/>
  <c r="K192" i="19" s="1"/>
  <c r="L166" i="19"/>
  <c r="J166" i="19"/>
  <c r="K166" i="19" s="1"/>
  <c r="K203" i="19"/>
  <c r="F6" i="3"/>
  <c r="H20" i="3" s="1"/>
  <c r="E51" i="3"/>
  <c r="D51" i="3"/>
  <c r="F174" i="19"/>
  <c r="E195" i="19"/>
  <c r="D35" i="12"/>
  <c r="E35" i="12"/>
  <c r="F35" i="12" s="1"/>
  <c r="D39" i="12"/>
  <c r="D26" i="13"/>
  <c r="E56" i="3"/>
  <c r="F56" i="3" s="1"/>
  <c r="G56" i="3" s="1"/>
  <c r="H56" i="3" s="1"/>
  <c r="I56" i="3" s="1"/>
  <c r="D56" i="3"/>
  <c r="E54" i="3"/>
  <c r="D54" i="3"/>
  <c r="F46" i="3"/>
  <c r="F54" i="3"/>
  <c r="G54" i="3" s="1"/>
  <c r="H54" i="3" s="1"/>
  <c r="I54" i="3" s="1"/>
  <c r="G134" i="19"/>
  <c r="E134" i="19"/>
  <c r="D134" i="19"/>
  <c r="H128" i="19"/>
  <c r="H209" i="19"/>
  <c r="F208" i="19"/>
  <c r="G208" i="19"/>
  <c r="H208" i="19"/>
  <c r="F207" i="19"/>
  <c r="F206" i="19"/>
  <c r="B207" i="19"/>
  <c r="B208" i="19"/>
  <c r="B209" i="19"/>
  <c r="J98" i="19"/>
  <c r="B196" i="19"/>
  <c r="B197" i="19"/>
  <c r="B198" i="19"/>
  <c r="B199" i="19"/>
  <c r="B200" i="19"/>
  <c r="B201" i="19"/>
  <c r="B202" i="19"/>
  <c r="G191" i="19"/>
  <c r="H191" i="19"/>
  <c r="G190" i="19"/>
  <c r="H190" i="19"/>
  <c r="G186" i="19"/>
  <c r="H186" i="19"/>
  <c r="G175" i="19"/>
  <c r="H175" i="19"/>
  <c r="G174" i="19"/>
  <c r="H174" i="19"/>
  <c r="F189" i="19"/>
  <c r="G189" i="19"/>
  <c r="H189" i="19"/>
  <c r="F188" i="19"/>
  <c r="F187" i="19"/>
  <c r="G187" i="19"/>
  <c r="F185" i="19"/>
  <c r="G185" i="19"/>
  <c r="H185" i="19"/>
  <c r="F184" i="19"/>
  <c r="F183" i="19"/>
  <c r="G183" i="19"/>
  <c r="F182" i="19"/>
  <c r="F181" i="19"/>
  <c r="G181" i="19"/>
  <c r="H181" i="19"/>
  <c r="F180" i="19"/>
  <c r="F179" i="19"/>
  <c r="F178" i="19"/>
  <c r="F177" i="19"/>
  <c r="H177" i="19"/>
  <c r="F176" i="19"/>
  <c r="F173" i="19"/>
  <c r="G173" i="19"/>
  <c r="H173" i="19"/>
  <c r="F172" i="19"/>
  <c r="H172" i="19"/>
  <c r="F171" i="19"/>
  <c r="F170" i="19"/>
  <c r="G170" i="19"/>
  <c r="F169" i="19"/>
  <c r="G169" i="19"/>
  <c r="B170" i="19"/>
  <c r="B171" i="19"/>
  <c r="B172" i="19"/>
  <c r="B173" i="19"/>
  <c r="B174" i="19"/>
  <c r="B175" i="19"/>
  <c r="B176" i="19"/>
  <c r="B177" i="19"/>
  <c r="B178" i="19"/>
  <c r="B179" i="19"/>
  <c r="B180" i="19"/>
  <c r="B181" i="19"/>
  <c r="B182" i="19"/>
  <c r="B183" i="19"/>
  <c r="B184" i="19"/>
  <c r="B185" i="19"/>
  <c r="B186" i="19"/>
  <c r="B187" i="19"/>
  <c r="B188" i="19"/>
  <c r="B189" i="19"/>
  <c r="B190" i="19"/>
  <c r="B191" i="19"/>
  <c r="G165" i="19"/>
  <c r="H165" i="19"/>
  <c r="G164" i="19"/>
  <c r="H164" i="19"/>
  <c r="G163" i="19"/>
  <c r="H163" i="19"/>
  <c r="G162" i="19"/>
  <c r="H162" i="19"/>
  <c r="G161" i="19"/>
  <c r="H161" i="19"/>
  <c r="G160" i="19"/>
  <c r="H160" i="19"/>
  <c r="F159" i="19"/>
  <c r="G159" i="19"/>
  <c r="F158" i="19"/>
  <c r="F157" i="19"/>
  <c r="F156" i="19"/>
  <c r="G156" i="19"/>
  <c r="H156" i="19"/>
  <c r="F155" i="19"/>
  <c r="G155" i="19"/>
  <c r="F154" i="19"/>
  <c r="F153" i="19"/>
  <c r="F152" i="19"/>
  <c r="G152" i="19"/>
  <c r="H152" i="19"/>
  <c r="F151" i="19"/>
  <c r="G151" i="19"/>
  <c r="F150" i="19"/>
  <c r="F149" i="19"/>
  <c r="F148" i="19"/>
  <c r="G148" i="19"/>
  <c r="H148" i="19"/>
  <c r="F147" i="19"/>
  <c r="G147" i="19"/>
  <c r="F146" i="19"/>
  <c r="F145" i="19"/>
  <c r="F144" i="19"/>
  <c r="G144" i="19"/>
  <c r="H144" i="19"/>
  <c r="F143" i="19"/>
  <c r="G143" i="19"/>
  <c r="F142" i="19"/>
  <c r="F141" i="19"/>
  <c r="F140" i="19"/>
  <c r="G140" i="19"/>
  <c r="H140" i="19"/>
  <c r="F139" i="19"/>
  <c r="G139" i="19"/>
  <c r="F138" i="19"/>
  <c r="F137" i="19"/>
  <c r="B138" i="19"/>
  <c r="B139" i="19"/>
  <c r="B140" i="19"/>
  <c r="B141" i="19"/>
  <c r="B142" i="19"/>
  <c r="B143" i="19"/>
  <c r="B144" i="19"/>
  <c r="B145" i="19"/>
  <c r="B146" i="19"/>
  <c r="B147" i="19"/>
  <c r="B148" i="19"/>
  <c r="B149" i="19"/>
  <c r="B150" i="19"/>
  <c r="B151" i="19"/>
  <c r="B152" i="19"/>
  <c r="B153" i="19"/>
  <c r="B154" i="19"/>
  <c r="B155" i="19"/>
  <c r="B156" i="19"/>
  <c r="B157" i="19"/>
  <c r="B158" i="19"/>
  <c r="B159" i="19"/>
  <c r="B160" i="19"/>
  <c r="B161" i="19"/>
  <c r="B162" i="19"/>
  <c r="B163" i="19"/>
  <c r="B164" i="19"/>
  <c r="B165" i="19"/>
  <c r="F120" i="19"/>
  <c r="F124" i="19"/>
  <c r="F166" i="19"/>
  <c r="F192" i="19"/>
  <c r="G207" i="19"/>
  <c r="H207" i="19"/>
  <c r="G206" i="19"/>
  <c r="G210" i="19"/>
  <c r="H183" i="19"/>
  <c r="H170" i="19"/>
  <c r="G179" i="19"/>
  <c r="H179" i="19"/>
  <c r="G171" i="19"/>
  <c r="G176" i="19"/>
  <c r="H176" i="19"/>
  <c r="G180" i="19"/>
  <c r="H180" i="19"/>
  <c r="G184" i="19"/>
  <c r="H184" i="19"/>
  <c r="G188" i="19"/>
  <c r="H188" i="19"/>
  <c r="H169" i="19"/>
  <c r="H187" i="19"/>
  <c r="G178" i="19"/>
  <c r="H178" i="19"/>
  <c r="G182" i="19"/>
  <c r="H182" i="19"/>
  <c r="G137" i="19"/>
  <c r="G141" i="19"/>
  <c r="H141" i="19"/>
  <c r="G145" i="19"/>
  <c r="H145" i="19"/>
  <c r="G149" i="19"/>
  <c r="H149" i="19"/>
  <c r="G153" i="19"/>
  <c r="H153" i="19"/>
  <c r="G157" i="19"/>
  <c r="H157" i="19"/>
  <c r="H159" i="19"/>
  <c r="H155" i="19"/>
  <c r="H151" i="19"/>
  <c r="H147" i="19"/>
  <c r="H143" i="19"/>
  <c r="H139" i="19"/>
  <c r="G138" i="19"/>
  <c r="H138" i="19"/>
  <c r="G142" i="19"/>
  <c r="H142" i="19"/>
  <c r="G146" i="19"/>
  <c r="H146" i="19"/>
  <c r="G150" i="19"/>
  <c r="H150" i="19"/>
  <c r="G154" i="19"/>
  <c r="H154" i="19"/>
  <c r="G158" i="19"/>
  <c r="H158" i="19"/>
  <c r="B133" i="19"/>
  <c r="H133" i="19"/>
  <c r="F132" i="19"/>
  <c r="G122" i="19"/>
  <c r="H122" i="19"/>
  <c r="G124" i="19"/>
  <c r="H124" i="19"/>
  <c r="H114" i="19"/>
  <c r="H115" i="19"/>
  <c r="H118" i="19"/>
  <c r="H119" i="19"/>
  <c r="H120" i="19"/>
  <c r="H125" i="19"/>
  <c r="F113" i="19"/>
  <c r="H113" i="19"/>
  <c r="D226" i="18"/>
  <c r="D229" i="18"/>
  <c r="D222" i="18"/>
  <c r="E223" i="18"/>
  <c r="B113" i="19"/>
  <c r="B114" i="19"/>
  <c r="B115" i="19"/>
  <c r="B116" i="19"/>
  <c r="B117" i="19"/>
  <c r="B118" i="19"/>
  <c r="B119" i="19"/>
  <c r="B120" i="19"/>
  <c r="B121" i="19"/>
  <c r="B122" i="19"/>
  <c r="B123" i="19"/>
  <c r="B124" i="19"/>
  <c r="B125" i="19"/>
  <c r="B126" i="19"/>
  <c r="B127" i="19"/>
  <c r="B128" i="19"/>
  <c r="F202" i="19"/>
  <c r="F201" i="19"/>
  <c r="F200" i="19"/>
  <c r="F199" i="19"/>
  <c r="F198" i="19"/>
  <c r="F197" i="19"/>
  <c r="F196" i="19"/>
  <c r="F195" i="19"/>
  <c r="F121" i="19"/>
  <c r="G121" i="19"/>
  <c r="G117" i="19"/>
  <c r="H117" i="19"/>
  <c r="G116" i="19"/>
  <c r="H116" i="19"/>
  <c r="F112" i="19"/>
  <c r="F203" i="19"/>
  <c r="F127" i="19"/>
  <c r="H132" i="19"/>
  <c r="F134" i="19"/>
  <c r="H137" i="19"/>
  <c r="H166" i="19"/>
  <c r="G166" i="19"/>
  <c r="H171" i="19"/>
  <c r="G192" i="19"/>
  <c r="H206" i="19"/>
  <c r="H112" i="19"/>
  <c r="G195" i="19"/>
  <c r="G199" i="19"/>
  <c r="H199" i="19"/>
  <c r="G196" i="19"/>
  <c r="H196" i="19"/>
  <c r="G200" i="19"/>
  <c r="H200" i="19"/>
  <c r="G197" i="19"/>
  <c r="H197" i="19"/>
  <c r="G201" i="19"/>
  <c r="H201" i="19"/>
  <c r="G198" i="19"/>
  <c r="H198" i="19"/>
  <c r="G202" i="19"/>
  <c r="H202" i="19"/>
  <c r="H192" i="19"/>
  <c r="H134" i="19"/>
  <c r="H121" i="19"/>
  <c r="F94" i="19"/>
  <c r="G96" i="19"/>
  <c r="F93" i="19"/>
  <c r="G95" i="19"/>
  <c r="F92" i="19"/>
  <c r="G92" i="19"/>
  <c r="F87" i="19"/>
  <c r="G87" i="19"/>
  <c r="F86" i="19"/>
  <c r="G86" i="19"/>
  <c r="F85" i="19"/>
  <c r="G85" i="19"/>
  <c r="F84" i="19"/>
  <c r="G84" i="19"/>
  <c r="F83" i="19"/>
  <c r="G83" i="19"/>
  <c r="F82" i="19"/>
  <c r="G82" i="19"/>
  <c r="F81" i="19"/>
  <c r="G81" i="19"/>
  <c r="F80" i="19"/>
  <c r="G80" i="19"/>
  <c r="G77" i="19"/>
  <c r="H77" i="19"/>
  <c r="G76" i="19"/>
  <c r="H76" i="19"/>
  <c r="F75" i="19"/>
  <c r="G75" i="19"/>
  <c r="F74" i="19"/>
  <c r="G74" i="19"/>
  <c r="H74" i="19"/>
  <c r="F73" i="19"/>
  <c r="G72" i="19"/>
  <c r="H72" i="19"/>
  <c r="F71" i="19"/>
  <c r="G71" i="19"/>
  <c r="F70" i="19"/>
  <c r="G70" i="19"/>
  <c r="F69" i="19"/>
  <c r="G69" i="19"/>
  <c r="F68" i="19"/>
  <c r="G68" i="19"/>
  <c r="F67" i="19"/>
  <c r="G67" i="19"/>
  <c r="F66" i="19"/>
  <c r="G66" i="19"/>
  <c r="F65" i="19"/>
  <c r="G65" i="19"/>
  <c r="F64" i="19"/>
  <c r="G64" i="19"/>
  <c r="F63" i="19"/>
  <c r="G63" i="19"/>
  <c r="F62" i="19"/>
  <c r="G62" i="19"/>
  <c r="G61" i="19"/>
  <c r="H61" i="19"/>
  <c r="G60" i="19"/>
  <c r="H60" i="19"/>
  <c r="F59" i="19"/>
  <c r="G59" i="19"/>
  <c r="F58" i="19"/>
  <c r="H58" i="19"/>
  <c r="F57" i="19"/>
  <c r="F56" i="19"/>
  <c r="F55" i="19"/>
  <c r="G55" i="19"/>
  <c r="H55" i="19"/>
  <c r="G52" i="19"/>
  <c r="H52" i="19"/>
  <c r="G51" i="19"/>
  <c r="H51" i="19"/>
  <c r="G50" i="19"/>
  <c r="H50" i="19"/>
  <c r="G49" i="19"/>
  <c r="H49" i="19"/>
  <c r="G48" i="19"/>
  <c r="H48" i="19"/>
  <c r="G47" i="19"/>
  <c r="H47" i="19"/>
  <c r="F46" i="19"/>
  <c r="F45" i="19"/>
  <c r="G45" i="19"/>
  <c r="F44" i="19"/>
  <c r="F43" i="19"/>
  <c r="G43" i="19"/>
  <c r="F42" i="19"/>
  <c r="F41" i="19"/>
  <c r="G41" i="19"/>
  <c r="F40" i="19"/>
  <c r="F39" i="19"/>
  <c r="G39" i="19"/>
  <c r="F38" i="19"/>
  <c r="G38" i="19"/>
  <c r="F37" i="19"/>
  <c r="G37" i="19"/>
  <c r="F36" i="19"/>
  <c r="F35" i="19"/>
  <c r="G35" i="19"/>
  <c r="F34" i="19"/>
  <c r="F33" i="19"/>
  <c r="G33" i="19"/>
  <c r="F32" i="19"/>
  <c r="G32" i="19"/>
  <c r="F31" i="19"/>
  <c r="G31" i="19"/>
  <c r="F30" i="19"/>
  <c r="G30" i="19"/>
  <c r="F29" i="19"/>
  <c r="G29" i="19"/>
  <c r="F28" i="19"/>
  <c r="F27" i="19"/>
  <c r="G27" i="19"/>
  <c r="F26" i="19"/>
  <c r="G26" i="19"/>
  <c r="F25" i="19"/>
  <c r="G25" i="19"/>
  <c r="F24" i="19"/>
  <c r="G24" i="19"/>
  <c r="G21" i="19"/>
  <c r="G20" i="19"/>
  <c r="G19" i="19"/>
  <c r="F16" i="19"/>
  <c r="G18" i="19"/>
  <c r="F13" i="19"/>
  <c r="G10" i="19"/>
  <c r="G9" i="19"/>
  <c r="F5" i="19"/>
  <c r="G203" i="19"/>
  <c r="H195" i="19"/>
  <c r="H203" i="19"/>
  <c r="H39" i="19"/>
  <c r="H35" i="19"/>
  <c r="H70" i="19"/>
  <c r="H30" i="19"/>
  <c r="H75" i="19"/>
  <c r="G42" i="19"/>
  <c r="H42" i="19"/>
  <c r="G57" i="19"/>
  <c r="H57" i="19"/>
  <c r="H31" i="19"/>
  <c r="H66" i="19"/>
  <c r="H24" i="19"/>
  <c r="H26" i="19"/>
  <c r="H32" i="19"/>
  <c r="G34" i="19"/>
  <c r="H34" i="19"/>
  <c r="H38" i="19"/>
  <c r="G40" i="19"/>
  <c r="H40" i="19"/>
  <c r="G46" i="19"/>
  <c r="H46" i="19"/>
  <c r="H43" i="19"/>
  <c r="H27" i="19"/>
  <c r="H62" i="19"/>
  <c r="F88" i="19"/>
  <c r="F89" i="19"/>
  <c r="G28" i="19"/>
  <c r="H28" i="19"/>
  <c r="G36" i="19"/>
  <c r="H36" i="19"/>
  <c r="G44" i="19"/>
  <c r="H44" i="19"/>
  <c r="G73" i="19"/>
  <c r="H73" i="19"/>
  <c r="H69" i="19"/>
  <c r="H65" i="19"/>
  <c r="G56" i="19"/>
  <c r="H56" i="19"/>
  <c r="H45" i="19"/>
  <c r="H41" i="19"/>
  <c r="H37" i="19"/>
  <c r="H33" i="19"/>
  <c r="H29" i="19"/>
  <c r="H25" i="19"/>
  <c r="H68" i="19"/>
  <c r="H64" i="19"/>
  <c r="H71" i="19"/>
  <c r="H67" i="19"/>
  <c r="H63" i="19"/>
  <c r="H59" i="19"/>
  <c r="H23" i="19"/>
  <c r="H54" i="19"/>
  <c r="G89" i="19"/>
  <c r="G101" i="19"/>
  <c r="F100" i="19"/>
  <c r="F101" i="19"/>
  <c r="G103" i="19"/>
  <c r="H99" i="19"/>
  <c r="O12" i="18"/>
  <c r="M12" i="18"/>
  <c r="N12" i="18"/>
  <c r="P32" i="18"/>
  <c r="F43" i="18"/>
  <c r="C61" i="18"/>
  <c r="F36" i="5"/>
  <c r="F38" i="5"/>
  <c r="F39" i="5"/>
  <c r="M42" i="5"/>
  <c r="D50" i="1"/>
  <c r="F54" i="2"/>
  <c r="C9" i="18"/>
  <c r="C7" i="18"/>
  <c r="D23" i="9"/>
  <c r="C46" i="2"/>
  <c r="G26" i="2"/>
  <c r="H26" i="2" s="1"/>
  <c r="I26" i="2" s="1"/>
  <c r="J26" i="2" s="1"/>
  <c r="K26" i="2" s="1"/>
  <c r="L26" i="2" s="1"/>
  <c r="M26" i="2" s="1"/>
  <c r="N26" i="2" s="1"/>
  <c r="O26" i="2" s="1"/>
  <c r="F25" i="2"/>
  <c r="D113" i="1"/>
  <c r="C13" i="14" s="1"/>
  <c r="F30" i="17"/>
  <c r="G10" i="17"/>
  <c r="B4" i="17"/>
  <c r="B2" i="17" s="1"/>
  <c r="F41" i="16"/>
  <c r="G18" i="16"/>
  <c r="E76" i="11"/>
  <c r="E17" i="16"/>
  <c r="D76" i="11"/>
  <c r="D17" i="16"/>
  <c r="E13" i="16"/>
  <c r="E14" i="16"/>
  <c r="E15" i="16"/>
  <c r="E16" i="16" s="1"/>
  <c r="D15" i="16"/>
  <c r="D14" i="16"/>
  <c r="D16" i="16" s="1"/>
  <c r="D13" i="16"/>
  <c r="G10" i="16"/>
  <c r="H10" i="16"/>
  <c r="I10" i="16"/>
  <c r="J10" i="16"/>
  <c r="K10" i="16"/>
  <c r="L10" i="16"/>
  <c r="M10" i="16"/>
  <c r="N10" i="16"/>
  <c r="O10" i="16"/>
  <c r="O41" i="16"/>
  <c r="B4" i="16"/>
  <c r="B2" i="16" s="1"/>
  <c r="F14" i="9"/>
  <c r="F19" i="15"/>
  <c r="G10" i="15"/>
  <c r="H10" i="15"/>
  <c r="I10" i="15"/>
  <c r="J10" i="15"/>
  <c r="K10" i="15"/>
  <c r="L10" i="15"/>
  <c r="M10" i="15"/>
  <c r="N10" i="15"/>
  <c r="O10" i="15"/>
  <c r="B4" i="15"/>
  <c r="B2" i="15" s="1"/>
  <c r="K41" i="16"/>
  <c r="N41" i="16"/>
  <c r="G41" i="16"/>
  <c r="J41" i="16"/>
  <c r="M41" i="16"/>
  <c r="I41" i="16"/>
  <c r="L41" i="16"/>
  <c r="H41" i="16"/>
  <c r="H10" i="17"/>
  <c r="I10" i="17"/>
  <c r="J10" i="17"/>
  <c r="K10" i="17"/>
  <c r="L10" i="17"/>
  <c r="M10" i="17"/>
  <c r="N10" i="17"/>
  <c r="O10" i="17"/>
  <c r="F39" i="14"/>
  <c r="F23" i="14"/>
  <c r="F22" i="14"/>
  <c r="G10" i="14"/>
  <c r="H10" i="14"/>
  <c r="I10" i="14"/>
  <c r="J10" i="14"/>
  <c r="K10" i="14"/>
  <c r="L10" i="14"/>
  <c r="M10" i="14"/>
  <c r="N10" i="14"/>
  <c r="O10" i="14"/>
  <c r="B4" i="14"/>
  <c r="B2" i="14" s="1"/>
  <c r="E19" i="12"/>
  <c r="E14" i="9"/>
  <c r="D19" i="12"/>
  <c r="E15" i="13"/>
  <c r="E13" i="13"/>
  <c r="D13" i="13"/>
  <c r="D31" i="13"/>
  <c r="E39" i="12"/>
  <c r="E24" i="13"/>
  <c r="F24" i="13"/>
  <c r="F51" i="8"/>
  <c r="E26" i="13"/>
  <c r="E18" i="13"/>
  <c r="K18" i="13"/>
  <c r="L18" i="13"/>
  <c r="M18" i="13"/>
  <c r="N18" i="13"/>
  <c r="O18" i="13"/>
  <c r="D18" i="13"/>
  <c r="E17" i="13"/>
  <c r="D17" i="13"/>
  <c r="E38" i="12"/>
  <c r="D38" i="12"/>
  <c r="E25" i="13" s="1"/>
  <c r="D25" i="13"/>
  <c r="D33" i="12"/>
  <c r="E33" i="12" s="1"/>
  <c r="D16" i="12"/>
  <c r="E16" i="12" s="1"/>
  <c r="F16" i="12" s="1"/>
  <c r="G16" i="12" s="1"/>
  <c r="H16" i="12" s="1"/>
  <c r="I16" i="12" s="1"/>
  <c r="J16" i="12" s="1"/>
  <c r="K16" i="12" s="1"/>
  <c r="L16" i="12" s="1"/>
  <c r="M16" i="12" s="1"/>
  <c r="N16" i="12" s="1"/>
  <c r="O16" i="12" s="1"/>
  <c r="O19" i="12"/>
  <c r="F15" i="13"/>
  <c r="G15" i="13"/>
  <c r="H15" i="13"/>
  <c r="I15" i="13"/>
  <c r="J15" i="13"/>
  <c r="K15" i="13"/>
  <c r="L15" i="13"/>
  <c r="M15" i="13"/>
  <c r="N15" i="13"/>
  <c r="O15" i="13"/>
  <c r="D30" i="4"/>
  <c r="F16" i="13"/>
  <c r="F20" i="12" s="1"/>
  <c r="G20" i="12" s="1"/>
  <c r="H20" i="12" s="1"/>
  <c r="I20" i="12" s="1"/>
  <c r="J20" i="12" s="1"/>
  <c r="K20" i="12" s="1"/>
  <c r="L20" i="12" s="1"/>
  <c r="M20" i="12" s="1"/>
  <c r="N20" i="12" s="1"/>
  <c r="O20" i="12" s="1"/>
  <c r="G10" i="13"/>
  <c r="H10" i="13"/>
  <c r="I10" i="13"/>
  <c r="J10" i="13"/>
  <c r="K10" i="13"/>
  <c r="L10" i="13"/>
  <c r="M10" i="13"/>
  <c r="N10" i="13"/>
  <c r="O10" i="13"/>
  <c r="B4" i="13"/>
  <c r="B2" i="13" s="1"/>
  <c r="G10" i="12"/>
  <c r="H10" i="12"/>
  <c r="I10" i="12"/>
  <c r="J10" i="12"/>
  <c r="K10" i="12"/>
  <c r="L10" i="12"/>
  <c r="M10" i="12"/>
  <c r="N10" i="12"/>
  <c r="O10" i="12"/>
  <c r="B4" i="12"/>
  <c r="B2" i="12" s="1"/>
  <c r="K49" i="8"/>
  <c r="L49" i="8"/>
  <c r="M49" i="8"/>
  <c r="N49" i="8"/>
  <c r="O49" i="8"/>
  <c r="D19" i="11"/>
  <c r="F45" i="11" s="1"/>
  <c r="G45" i="11" s="1"/>
  <c r="H45" i="11" s="1"/>
  <c r="I45" i="11" s="1"/>
  <c r="J45" i="11" s="1"/>
  <c r="K45" i="11" s="1"/>
  <c r="L45" i="11" s="1"/>
  <c r="M45" i="11" s="1"/>
  <c r="N45" i="11" s="1"/>
  <c r="O45" i="11" s="1"/>
  <c r="C103" i="2"/>
  <c r="C104" i="2"/>
  <c r="F29" i="8"/>
  <c r="F25" i="8"/>
  <c r="D118" i="1"/>
  <c r="C14" i="14" s="1"/>
  <c r="F73" i="11"/>
  <c r="G73" i="11" s="1"/>
  <c r="H73" i="11" s="1"/>
  <c r="I73" i="11" s="1"/>
  <c r="J73" i="11" s="1"/>
  <c r="K73" i="11" s="1"/>
  <c r="L73" i="11" s="1"/>
  <c r="M73" i="11" s="1"/>
  <c r="N73" i="11" s="1"/>
  <c r="O73" i="11" s="1"/>
  <c r="G72" i="11"/>
  <c r="H72" i="11"/>
  <c r="I72" i="11"/>
  <c r="J72" i="11"/>
  <c r="K72" i="11"/>
  <c r="L72" i="11"/>
  <c r="M72" i="11"/>
  <c r="N72" i="11"/>
  <c r="O72" i="11"/>
  <c r="B60" i="11"/>
  <c r="D18" i="11"/>
  <c r="F40" i="11" s="1"/>
  <c r="G40" i="11" s="1"/>
  <c r="H40" i="11" s="1"/>
  <c r="I40" i="11" s="1"/>
  <c r="J40" i="11" s="1"/>
  <c r="K40" i="11" s="1"/>
  <c r="L40" i="11" s="1"/>
  <c r="M40" i="11" s="1"/>
  <c r="N40" i="11" s="1"/>
  <c r="O40" i="11" s="1"/>
  <c r="D20" i="11"/>
  <c r="F54" i="11" s="1"/>
  <c r="G54" i="11" s="1"/>
  <c r="H54" i="11" s="1"/>
  <c r="I54" i="11" s="1"/>
  <c r="J54" i="11" s="1"/>
  <c r="K54" i="11" s="1"/>
  <c r="L54" i="11" s="1"/>
  <c r="M54" i="11" s="1"/>
  <c r="N54" i="11" s="1"/>
  <c r="O54" i="11" s="1"/>
  <c r="D21" i="11"/>
  <c r="F56" i="11" s="1"/>
  <c r="G56" i="11" s="1"/>
  <c r="H56" i="11" s="1"/>
  <c r="I56" i="11" s="1"/>
  <c r="J56" i="11" s="1"/>
  <c r="K56" i="11" s="1"/>
  <c r="L56" i="11" s="1"/>
  <c r="M56" i="11" s="1"/>
  <c r="N56" i="11" s="1"/>
  <c r="O56" i="11" s="1"/>
  <c r="D22" i="11"/>
  <c r="F52" i="11" s="1"/>
  <c r="G52" i="11" s="1"/>
  <c r="H52" i="11" s="1"/>
  <c r="I52" i="11" s="1"/>
  <c r="J52" i="11" s="1"/>
  <c r="K52" i="11" s="1"/>
  <c r="L52" i="11" s="1"/>
  <c r="M52" i="11" s="1"/>
  <c r="N52" i="11" s="1"/>
  <c r="O52" i="11" s="1"/>
  <c r="D23" i="11"/>
  <c r="F61" i="11" s="1"/>
  <c r="G61" i="11" s="1"/>
  <c r="H61" i="11" s="1"/>
  <c r="I61" i="11" s="1"/>
  <c r="J61" i="11" s="1"/>
  <c r="K61" i="11" s="1"/>
  <c r="L61" i="11" s="1"/>
  <c r="M61" i="11" s="1"/>
  <c r="N61" i="11" s="1"/>
  <c r="O61" i="11" s="1"/>
  <c r="E17" i="11"/>
  <c r="E18" i="11"/>
  <c r="E19" i="11"/>
  <c r="E20" i="11"/>
  <c r="E21" i="11"/>
  <c r="E22" i="11"/>
  <c r="E23" i="11"/>
  <c r="D17" i="11"/>
  <c r="F35" i="11" s="1"/>
  <c r="G35" i="11" s="1"/>
  <c r="H35" i="11" s="1"/>
  <c r="I35" i="11" s="1"/>
  <c r="J35" i="11" s="1"/>
  <c r="K35" i="11" s="1"/>
  <c r="L35" i="11" s="1"/>
  <c r="M35" i="11" s="1"/>
  <c r="N35" i="11" s="1"/>
  <c r="O35" i="11" s="1"/>
  <c r="G10" i="11"/>
  <c r="H10" i="11"/>
  <c r="I10" i="11"/>
  <c r="J10" i="11"/>
  <c r="K10" i="11"/>
  <c r="L10" i="11"/>
  <c r="M10" i="11"/>
  <c r="N10" i="11"/>
  <c r="O10" i="11"/>
  <c r="B4" i="11"/>
  <c r="B2" i="11" s="1"/>
  <c r="B64" i="10"/>
  <c r="B63" i="10"/>
  <c r="B61" i="10"/>
  <c r="B60" i="10"/>
  <c r="B58" i="10"/>
  <c r="B57" i="10"/>
  <c r="B55" i="10"/>
  <c r="B54" i="10"/>
  <c r="B52" i="10"/>
  <c r="B51" i="10"/>
  <c r="B49" i="10"/>
  <c r="B48" i="10"/>
  <c r="L39" i="10"/>
  <c r="M39" i="10"/>
  <c r="N39" i="10"/>
  <c r="O39" i="10"/>
  <c r="G29" i="10"/>
  <c r="H29" i="10"/>
  <c r="I29" i="10"/>
  <c r="J29" i="10" s="1"/>
  <c r="K29" i="10" s="1"/>
  <c r="L29" i="10" s="1"/>
  <c r="M29" i="10" s="1"/>
  <c r="N29" i="10" s="1"/>
  <c r="O29" i="10" s="1"/>
  <c r="B39" i="10"/>
  <c r="B37" i="10"/>
  <c r="B35" i="10"/>
  <c r="B33" i="10"/>
  <c r="B31" i="10"/>
  <c r="B17" i="10"/>
  <c r="B18" i="10"/>
  <c r="B19" i="10"/>
  <c r="B20" i="10"/>
  <c r="B21" i="10"/>
  <c r="B16" i="10"/>
  <c r="G10" i="10"/>
  <c r="H10" i="10"/>
  <c r="I10" i="10"/>
  <c r="J10" i="10" s="1"/>
  <c r="K10" i="10" s="1"/>
  <c r="L10" i="10" s="1"/>
  <c r="M10" i="10" s="1"/>
  <c r="N10" i="10" s="1"/>
  <c r="O10" i="10" s="1"/>
  <c r="B4" i="10"/>
  <c r="B2" i="10" s="1"/>
  <c r="D24" i="13"/>
  <c r="D12" i="9"/>
  <c r="C30" i="9"/>
  <c r="C23" i="9"/>
  <c r="G10" i="9"/>
  <c r="H10" i="9"/>
  <c r="I10" i="9"/>
  <c r="J10" i="9"/>
  <c r="K10" i="9"/>
  <c r="L10" i="9"/>
  <c r="M10" i="9"/>
  <c r="N10" i="9"/>
  <c r="O10" i="9"/>
  <c r="B4" i="9"/>
  <c r="B2" i="9" s="1"/>
  <c r="G10" i="8"/>
  <c r="H10" i="8" s="1"/>
  <c r="I10" i="8" s="1"/>
  <c r="J10" i="8" s="1"/>
  <c r="K10" i="8" s="1"/>
  <c r="L10" i="8" s="1"/>
  <c r="M10" i="8" s="1"/>
  <c r="N10" i="8" s="1"/>
  <c r="O10" i="8" s="1"/>
  <c r="B4" i="8"/>
  <c r="B2" i="8" s="1"/>
  <c r="C97" i="2"/>
  <c r="C123" i="2"/>
  <c r="H123" i="2" s="1"/>
  <c r="H124" i="2" s="1"/>
  <c r="C119" i="2"/>
  <c r="C115" i="2"/>
  <c r="C111" i="2"/>
  <c r="C101" i="2"/>
  <c r="C102" i="2"/>
  <c r="C100" i="2"/>
  <c r="G107" i="2"/>
  <c r="H107" i="2" s="1"/>
  <c r="I107" i="2" s="1"/>
  <c r="J107" i="2" s="1"/>
  <c r="K107" i="2" s="1"/>
  <c r="L107" i="2" s="1"/>
  <c r="M107" i="2" s="1"/>
  <c r="N107" i="2" s="1"/>
  <c r="O107" i="2" s="1"/>
  <c r="B83" i="1"/>
  <c r="B104" i="2" s="1"/>
  <c r="B82" i="1"/>
  <c r="B103" i="2" s="1"/>
  <c r="B81" i="1"/>
  <c r="B102" i="2" s="1"/>
  <c r="C93" i="2"/>
  <c r="G88" i="2"/>
  <c r="H88" i="2" s="1"/>
  <c r="I88" i="2" s="1"/>
  <c r="J88" i="2" s="1"/>
  <c r="K88" i="2" s="1"/>
  <c r="L88" i="2" s="1"/>
  <c r="M88" i="2" s="1"/>
  <c r="N88" i="2" s="1"/>
  <c r="O88" i="2" s="1"/>
  <c r="C87" i="2"/>
  <c r="F87" i="2" s="1"/>
  <c r="F7" i="7"/>
  <c r="F10" i="7" s="1"/>
  <c r="F19" i="7" s="1"/>
  <c r="F8" i="7"/>
  <c r="F9" i="7"/>
  <c r="F13" i="7"/>
  <c r="F14" i="7"/>
  <c r="F15" i="7"/>
  <c r="F18" i="7" s="1"/>
  <c r="F16" i="7"/>
  <c r="F17" i="7"/>
  <c r="F21" i="7"/>
  <c r="F22" i="7"/>
  <c r="F23" i="7"/>
  <c r="F24" i="7"/>
  <c r="F25" i="7"/>
  <c r="F61" i="2"/>
  <c r="G61" i="2" s="1"/>
  <c r="H61" i="2" s="1"/>
  <c r="I61" i="2" s="1"/>
  <c r="J61" i="2" s="1"/>
  <c r="K61" i="2" s="1"/>
  <c r="L61" i="2" s="1"/>
  <c r="M61" i="2" s="1"/>
  <c r="C26" i="7"/>
  <c r="C18" i="7"/>
  <c r="C19" i="7" s="1"/>
  <c r="C10" i="7"/>
  <c r="E30" i="9"/>
  <c r="J123" i="2"/>
  <c r="J124" i="2" s="1"/>
  <c r="F30" i="9"/>
  <c r="G64" i="2"/>
  <c r="H64" i="2" s="1"/>
  <c r="I64" i="2" s="1"/>
  <c r="J64" i="2" s="1"/>
  <c r="K64" i="2" s="1"/>
  <c r="L64" i="2" s="1"/>
  <c r="M64" i="2" s="1"/>
  <c r="N64" i="2" s="1"/>
  <c r="O64" i="2" s="1"/>
  <c r="F63" i="2"/>
  <c r="D167" i="5"/>
  <c r="D168" i="5"/>
  <c r="C177" i="5"/>
  <c r="D177" i="5" s="1"/>
  <c r="D21" i="10"/>
  <c r="D143" i="5"/>
  <c r="D144" i="5"/>
  <c r="G125" i="5"/>
  <c r="C125" i="5"/>
  <c r="C127" i="5"/>
  <c r="H124" i="5"/>
  <c r="F124" i="5"/>
  <c r="I124" i="5"/>
  <c r="H123" i="5"/>
  <c r="F123" i="5"/>
  <c r="I123" i="5"/>
  <c r="H122" i="5"/>
  <c r="H121" i="5"/>
  <c r="F121" i="5"/>
  <c r="I121" i="5"/>
  <c r="H120" i="5"/>
  <c r="F120" i="5"/>
  <c r="I120" i="5"/>
  <c r="H119" i="5"/>
  <c r="F119" i="5"/>
  <c r="I119" i="5"/>
  <c r="H118" i="5"/>
  <c r="H117" i="5"/>
  <c r="H116" i="5"/>
  <c r="H115" i="5"/>
  <c r="H114" i="5"/>
  <c r="H113" i="5"/>
  <c r="F113" i="5"/>
  <c r="G100" i="5"/>
  <c r="H101" i="5"/>
  <c r="F81" i="5"/>
  <c r="F82" i="5"/>
  <c r="F83" i="5"/>
  <c r="F84" i="5"/>
  <c r="F85" i="5"/>
  <c r="G86" i="5"/>
  <c r="G82" i="5"/>
  <c r="G87" i="5"/>
  <c r="M81" i="5"/>
  <c r="F78" i="5"/>
  <c r="F77" i="5"/>
  <c r="F74" i="5"/>
  <c r="F73" i="5"/>
  <c r="F72" i="5"/>
  <c r="F71" i="5"/>
  <c r="F65" i="5"/>
  <c r="F64" i="5"/>
  <c r="F63" i="5"/>
  <c r="F62" i="5"/>
  <c r="F60" i="5"/>
  <c r="F59" i="5"/>
  <c r="F58" i="5"/>
  <c r="F57" i="5"/>
  <c r="F56" i="5"/>
  <c r="F55" i="5"/>
  <c r="F54" i="5"/>
  <c r="F53" i="5"/>
  <c r="F52" i="5"/>
  <c r="F49" i="5"/>
  <c r="F48" i="5"/>
  <c r="F47" i="5"/>
  <c r="F46" i="5"/>
  <c r="F45" i="5"/>
  <c r="M21" i="5"/>
  <c r="F4" i="5"/>
  <c r="D166" i="5"/>
  <c r="C178" i="5"/>
  <c r="D178" i="5"/>
  <c r="M71" i="5"/>
  <c r="F118" i="5"/>
  <c r="I118" i="5"/>
  <c r="H125" i="5"/>
  <c r="F115" i="5"/>
  <c r="I115" i="5"/>
  <c r="I113" i="5"/>
  <c r="D169" i="5"/>
  <c r="M45" i="5"/>
  <c r="N45" i="5"/>
  <c r="F88" i="5"/>
  <c r="F89" i="5"/>
  <c r="F116" i="5"/>
  <c r="I116" i="5"/>
  <c r="F114" i="5"/>
  <c r="I114" i="5"/>
  <c r="G89" i="5"/>
  <c r="F117" i="5"/>
  <c r="I117" i="5"/>
  <c r="M29" i="5"/>
  <c r="G88" i="5"/>
  <c r="G102" i="5"/>
  <c r="H102" i="5"/>
  <c r="K102" i="5"/>
  <c r="L102" i="5"/>
  <c r="G95" i="5"/>
  <c r="F122" i="5"/>
  <c r="F102" i="5"/>
  <c r="G106" i="5"/>
  <c r="G104" i="5"/>
  <c r="F127" i="5"/>
  <c r="I122" i="5"/>
  <c r="F125" i="5"/>
  <c r="I125" i="5"/>
  <c r="B4" i="4"/>
  <c r="B2" i="4" s="1"/>
  <c r="G55" i="2"/>
  <c r="F52" i="2"/>
  <c r="G52" i="2" s="1"/>
  <c r="G35" i="2"/>
  <c r="H35" i="2" s="1"/>
  <c r="I35" i="2" s="1"/>
  <c r="J35" i="2" s="1"/>
  <c r="K35" i="2" s="1"/>
  <c r="L35" i="2" s="1"/>
  <c r="M35" i="2" s="1"/>
  <c r="N35" i="2" s="1"/>
  <c r="O35" i="2" s="1"/>
  <c r="G32" i="2"/>
  <c r="F19" i="2"/>
  <c r="B4" i="2"/>
  <c r="B2" i="2" s="1"/>
  <c r="G10" i="2"/>
  <c r="H10" i="2" s="1"/>
  <c r="I10" i="2" s="1"/>
  <c r="J10" i="2" s="1"/>
  <c r="K10" i="2" s="1"/>
  <c r="L10" i="2" s="1"/>
  <c r="M10" i="2" s="1"/>
  <c r="N10" i="2" s="1"/>
  <c r="O10" i="2" s="1"/>
  <c r="G70" i="2"/>
  <c r="H70" i="2" s="1"/>
  <c r="I70" i="2" s="1"/>
  <c r="J70" i="2" s="1"/>
  <c r="K70" i="2" s="1"/>
  <c r="L70" i="2" s="1"/>
  <c r="M70" i="2" s="1"/>
  <c r="N70" i="2" s="1"/>
  <c r="O70" i="2" s="1"/>
  <c r="F12" i="11"/>
  <c r="G12" i="11" s="1"/>
  <c r="H12" i="11" s="1"/>
  <c r="I12" i="11" s="1"/>
  <c r="J12" i="11" s="1"/>
  <c r="K12" i="11" s="1"/>
  <c r="L12" i="11" s="1"/>
  <c r="M12" i="11" s="1"/>
  <c r="N12" i="11" s="1"/>
  <c r="O12" i="11" s="1"/>
  <c r="D11" i="13"/>
  <c r="E11" i="13" s="1"/>
  <c r="B2" i="1"/>
  <c r="G127" i="19"/>
  <c r="H127" i="19"/>
  <c r="F210" i="19"/>
  <c r="H210" i="19"/>
  <c r="G123" i="19"/>
  <c r="H123" i="19"/>
  <c r="G129" i="19"/>
  <c r="G212" i="19"/>
  <c r="H126" i="19"/>
  <c r="F129" i="19"/>
  <c r="F212" i="19"/>
  <c r="H129" i="19"/>
  <c r="H212" i="19"/>
  <c r="G35" i="12" l="1"/>
  <c r="F28" i="13"/>
  <c r="E28" i="13"/>
  <c r="F26" i="7"/>
  <c r="F28" i="7" s="1"/>
  <c r="D57" i="1" s="1"/>
  <c r="F68" i="2" s="1"/>
  <c r="G68" i="2" s="1"/>
  <c r="H68" i="2" s="1"/>
  <c r="I68" i="2" s="1"/>
  <c r="O39" i="2"/>
  <c r="L123" i="2"/>
  <c r="L124" i="2" s="1"/>
  <c r="F123" i="2"/>
  <c r="F124" i="2" s="1"/>
  <c r="N123" i="2"/>
  <c r="N124" i="2" s="1"/>
  <c r="I123" i="2"/>
  <c r="I124" i="2" s="1"/>
  <c r="G123" i="2"/>
  <c r="G124" i="2" s="1"/>
  <c r="M123" i="2"/>
  <c r="M124" i="2" s="1"/>
  <c r="K123" i="2"/>
  <c r="K124" i="2" s="1"/>
  <c r="G25" i="2"/>
  <c r="H25" i="2" s="1"/>
  <c r="D11" i="8"/>
  <c r="E11" i="8" s="1"/>
  <c r="D11" i="11"/>
  <c r="E11" i="11" s="1"/>
  <c r="D11" i="15"/>
  <c r="E11" i="15" s="1"/>
  <c r="D11" i="12"/>
  <c r="E11" i="12" s="1"/>
  <c r="D11" i="16"/>
  <c r="E11" i="16" s="1"/>
  <c r="E13" i="1"/>
  <c r="D11" i="2"/>
  <c r="E11" i="2" s="1"/>
  <c r="D11" i="9"/>
  <c r="E11" i="9" s="1"/>
  <c r="D11" i="17"/>
  <c r="E11" i="17" s="1"/>
  <c r="D11" i="14"/>
  <c r="E11" i="14" s="1"/>
  <c r="H112" i="20"/>
  <c r="D20" i="10"/>
  <c r="D16" i="10"/>
  <c r="O123" i="2"/>
  <c r="O124" i="2" s="1"/>
  <c r="F63" i="20"/>
  <c r="H61" i="20"/>
  <c r="G61" i="20"/>
  <c r="G90" i="20"/>
  <c r="H70" i="20"/>
  <c r="H90" i="20" s="1"/>
  <c r="G103" i="20"/>
  <c r="H95" i="20"/>
  <c r="H103" i="20" s="1"/>
  <c r="G63" i="2"/>
  <c r="H63" i="2" s="1"/>
  <c r="I63" i="2" s="1"/>
  <c r="J63" i="2" s="1"/>
  <c r="K63" i="2" s="1"/>
  <c r="L63" i="2" s="1"/>
  <c r="M63" i="2" s="1"/>
  <c r="N63" i="2" s="1"/>
  <c r="O63" i="2" s="1"/>
  <c r="N61" i="2"/>
  <c r="G87" i="2"/>
  <c r="H32" i="2"/>
  <c r="G19" i="2"/>
  <c r="F13" i="11"/>
  <c r="F12" i="10"/>
  <c r="H55" i="2"/>
  <c r="I55" i="2" s="1"/>
  <c r="J55" i="2" s="1"/>
  <c r="K55" i="2" s="1"/>
  <c r="L55" i="2" s="1"/>
  <c r="M55" i="2" s="1"/>
  <c r="N55" i="2" s="1"/>
  <c r="O55" i="2" s="1"/>
  <c r="G54" i="2"/>
  <c r="G34" i="2"/>
  <c r="H34" i="2" s="1"/>
  <c r="H52" i="2"/>
  <c r="F51" i="3"/>
  <c r="G51" i="3" s="1"/>
  <c r="H51" i="3" s="1"/>
  <c r="I51" i="3" s="1"/>
  <c r="H18" i="3"/>
  <c r="E20" i="3"/>
  <c r="G28" i="13" l="1"/>
  <c r="H35" i="12"/>
  <c r="F16" i="10"/>
  <c r="F28" i="10" s="1"/>
  <c r="D28" i="10" s="1"/>
  <c r="D25" i="12" s="1"/>
  <c r="D27" i="1"/>
  <c r="D27" i="10"/>
  <c r="D46" i="10"/>
  <c r="D11" i="10"/>
  <c r="E11" i="10" s="1"/>
  <c r="E9" i="17"/>
  <c r="F9" i="17" s="1"/>
  <c r="E9" i="14"/>
  <c r="F9" i="14" s="1"/>
  <c r="E9" i="9"/>
  <c r="F9" i="9" s="1"/>
  <c r="E9" i="8"/>
  <c r="F9" i="8" s="1"/>
  <c r="E9" i="13"/>
  <c r="F9" i="13" s="1"/>
  <c r="E9" i="11"/>
  <c r="F9" i="11" s="1"/>
  <c r="E9" i="16"/>
  <c r="F9" i="16" s="1"/>
  <c r="E9" i="15"/>
  <c r="F9" i="15" s="1"/>
  <c r="E9" i="12"/>
  <c r="F9" i="12" s="1"/>
  <c r="E14" i="1"/>
  <c r="E16" i="1" s="1"/>
  <c r="E9" i="2"/>
  <c r="F9" i="2" s="1"/>
  <c r="E9" i="10"/>
  <c r="F25" i="12"/>
  <c r="G28" i="10"/>
  <c r="G25" i="12" s="1"/>
  <c r="E28" i="10"/>
  <c r="E25" i="12" s="1"/>
  <c r="F47" i="10"/>
  <c r="D26" i="1"/>
  <c r="H28" i="10"/>
  <c r="G104" i="20"/>
  <c r="H104" i="20" s="1"/>
  <c r="F105" i="20"/>
  <c r="G91" i="20"/>
  <c r="G92" i="20" s="1"/>
  <c r="F92" i="20"/>
  <c r="G62" i="20"/>
  <c r="H62" i="20" s="1"/>
  <c r="G24" i="20"/>
  <c r="F24" i="20"/>
  <c r="H19" i="2"/>
  <c r="G13" i="11"/>
  <c r="G12" i="10"/>
  <c r="H54" i="2"/>
  <c r="I54" i="2" s="1"/>
  <c r="J54" i="2" s="1"/>
  <c r="K54" i="2" s="1"/>
  <c r="L54" i="2" s="1"/>
  <c r="M54" i="2" s="1"/>
  <c r="N54" i="2" s="1"/>
  <c r="O54" i="2" s="1"/>
  <c r="I32" i="2"/>
  <c r="J68" i="2"/>
  <c r="H87" i="2"/>
  <c r="O61" i="2"/>
  <c r="I25" i="2"/>
  <c r="I52" i="2"/>
  <c r="I34" i="2"/>
  <c r="I18" i="3"/>
  <c r="I19" i="3" s="1"/>
  <c r="I24" i="3" s="1"/>
  <c r="E22" i="3"/>
  <c r="I35" i="12" l="1"/>
  <c r="H28" i="13"/>
  <c r="D28" i="1"/>
  <c r="D31" i="1" s="1"/>
  <c r="F23" i="2" s="1"/>
  <c r="G23" i="2" s="1"/>
  <c r="H23" i="2" s="1"/>
  <c r="I23" i="2" s="1"/>
  <c r="J23" i="2" s="1"/>
  <c r="K23" i="2" s="1"/>
  <c r="L23" i="2" s="1"/>
  <c r="M23" i="2" s="1"/>
  <c r="E23" i="3"/>
  <c r="F17" i="2"/>
  <c r="G17" i="2" s="1"/>
  <c r="H17" i="2" s="1"/>
  <c r="I17" i="2" s="1"/>
  <c r="J17" i="2" s="1"/>
  <c r="K17" i="2" s="1"/>
  <c r="L17" i="2" s="1"/>
  <c r="M17" i="2" s="1"/>
  <c r="N17" i="2" s="1"/>
  <c r="O17" i="2" s="1"/>
  <c r="F16" i="2"/>
  <c r="F11" i="12"/>
  <c r="G9" i="12"/>
  <c r="F11" i="13"/>
  <c r="G9" i="13"/>
  <c r="F11" i="17"/>
  <c r="G9" i="17"/>
  <c r="E46" i="10"/>
  <c r="E27" i="10"/>
  <c r="F9" i="10"/>
  <c r="G9" i="15"/>
  <c r="F11" i="15"/>
  <c r="G9" i="8"/>
  <c r="F11" i="8"/>
  <c r="G9" i="2"/>
  <c r="F11" i="2"/>
  <c r="F11" i="16"/>
  <c r="F27" i="16" s="1"/>
  <c r="G9" i="16"/>
  <c r="F11" i="9"/>
  <c r="G9" i="9"/>
  <c r="G9" i="11"/>
  <c r="F11" i="11"/>
  <c r="F11" i="14"/>
  <c r="G9" i="14"/>
  <c r="H91" i="20"/>
  <c r="G105" i="20"/>
  <c r="H105" i="20" s="1"/>
  <c r="F114" i="20"/>
  <c r="I28" i="10"/>
  <c r="H25" i="12"/>
  <c r="G63" i="20"/>
  <c r="H63" i="20" s="1"/>
  <c r="H92" i="20"/>
  <c r="H24" i="20"/>
  <c r="J32" i="2"/>
  <c r="H13" i="11"/>
  <c r="H12" i="10"/>
  <c r="I19" i="2"/>
  <c r="I87" i="2"/>
  <c r="K68" i="2"/>
  <c r="J25" i="2"/>
  <c r="J52" i="2"/>
  <c r="J34" i="2"/>
  <c r="I20" i="3"/>
  <c r="D25" i="1" s="1"/>
  <c r="J35" i="12" l="1"/>
  <c r="I28" i="13"/>
  <c r="F18" i="2"/>
  <c r="G11" i="2"/>
  <c r="H9" i="2"/>
  <c r="G11" i="11"/>
  <c r="H9" i="11"/>
  <c r="G11" i="16"/>
  <c r="H9" i="16"/>
  <c r="G11" i="15"/>
  <c r="H9" i="15"/>
  <c r="G11" i="17"/>
  <c r="H9" i="17"/>
  <c r="G11" i="12"/>
  <c r="H9" i="12"/>
  <c r="G11" i="14"/>
  <c r="H9" i="14"/>
  <c r="H9" i="9"/>
  <c r="G11" i="9"/>
  <c r="G27" i="16"/>
  <c r="F27" i="10"/>
  <c r="F11" i="10"/>
  <c r="F48" i="10" s="1"/>
  <c r="F49" i="10" s="1"/>
  <c r="G47" i="10" s="1"/>
  <c r="F46" i="10"/>
  <c r="G9" i="10"/>
  <c r="F69" i="2"/>
  <c r="F71" i="2" s="1"/>
  <c r="F17" i="8" s="1"/>
  <c r="F20" i="2"/>
  <c r="F40" i="2" s="1"/>
  <c r="G11" i="8"/>
  <c r="H9" i="8"/>
  <c r="H9" i="13"/>
  <c r="G11" i="13"/>
  <c r="D17" i="10"/>
  <c r="C174" i="5"/>
  <c r="D174" i="5" s="1"/>
  <c r="D19" i="10"/>
  <c r="C176" i="5"/>
  <c r="D176" i="5" s="1"/>
  <c r="G114" i="20"/>
  <c r="C175" i="5"/>
  <c r="D175" i="5" s="1"/>
  <c r="D18" i="10"/>
  <c r="H114" i="20"/>
  <c r="J28" i="10"/>
  <c r="I25" i="12"/>
  <c r="K32" i="2"/>
  <c r="N23" i="2"/>
  <c r="J87" i="2"/>
  <c r="I12" i="10"/>
  <c r="J19" i="2"/>
  <c r="I13" i="11"/>
  <c r="L68" i="2"/>
  <c r="K25" i="2"/>
  <c r="K52" i="2"/>
  <c r="K34" i="2"/>
  <c r="I21" i="3"/>
  <c r="G15" i="2"/>
  <c r="H15" i="2" s="1"/>
  <c r="I15" i="2" s="1"/>
  <c r="J15" i="2" s="1"/>
  <c r="K15" i="2" s="1"/>
  <c r="L15" i="2" s="1"/>
  <c r="M15" i="2" s="1"/>
  <c r="N15" i="2" s="1"/>
  <c r="O15" i="2" s="1"/>
  <c r="F43" i="2" l="1"/>
  <c r="F74" i="2"/>
  <c r="F77" i="2" s="1"/>
  <c r="F18" i="8" s="1"/>
  <c r="K35" i="12"/>
  <c r="J28" i="13"/>
  <c r="D23" i="10"/>
  <c r="F62" i="2"/>
  <c r="F65" i="2" s="1"/>
  <c r="F16" i="8" s="1"/>
  <c r="F28" i="11" s="1"/>
  <c r="F53" i="2"/>
  <c r="F56" i="2" s="1"/>
  <c r="F58" i="2" s="1"/>
  <c r="F33" i="2"/>
  <c r="F24" i="2"/>
  <c r="F27" i="2" s="1"/>
  <c r="F29" i="2" s="1"/>
  <c r="F14" i="11"/>
  <c r="F74" i="11" s="1"/>
  <c r="F39" i="8" s="1"/>
  <c r="F13" i="10"/>
  <c r="I9" i="13"/>
  <c r="H11" i="13"/>
  <c r="I9" i="9"/>
  <c r="H11" i="9"/>
  <c r="I9" i="8"/>
  <c r="H11" i="8"/>
  <c r="H27" i="16"/>
  <c r="I9" i="17"/>
  <c r="H11" i="17"/>
  <c r="I9" i="16"/>
  <c r="H11" i="16"/>
  <c r="I9" i="2"/>
  <c r="H11" i="2"/>
  <c r="G46" i="10"/>
  <c r="G27" i="10"/>
  <c r="G11" i="10"/>
  <c r="G48" i="10" s="1"/>
  <c r="G49" i="10" s="1"/>
  <c r="H47" i="10" s="1"/>
  <c r="H9" i="10"/>
  <c r="H11" i="14"/>
  <c r="I9" i="14"/>
  <c r="G20" i="2"/>
  <c r="G69" i="2"/>
  <c r="G71" i="2" s="1"/>
  <c r="G17" i="8" s="1"/>
  <c r="I9" i="12"/>
  <c r="H11" i="12"/>
  <c r="I9" i="15"/>
  <c r="H11" i="15"/>
  <c r="H11" i="11"/>
  <c r="I9" i="11"/>
  <c r="D179" i="5"/>
  <c r="D43" i="12"/>
  <c r="H34" i="8"/>
  <c r="J34" i="8"/>
  <c r="I34" i="8"/>
  <c r="G34" i="8"/>
  <c r="F34" i="8"/>
  <c r="J25" i="12"/>
  <c r="K28" i="10"/>
  <c r="M68" i="2"/>
  <c r="K19" i="2"/>
  <c r="J13" i="11"/>
  <c r="J12" i="10"/>
  <c r="O23" i="2"/>
  <c r="K87" i="2"/>
  <c r="L32" i="2"/>
  <c r="L25" i="2"/>
  <c r="L52" i="2"/>
  <c r="L34" i="2"/>
  <c r="G16" i="2"/>
  <c r="G18" i="2" s="1"/>
  <c r="F86" i="2" l="1"/>
  <c r="F80" i="2"/>
  <c r="F83" i="2" s="1"/>
  <c r="L35" i="12"/>
  <c r="K28" i="13"/>
  <c r="G40" i="2"/>
  <c r="G53" i="2"/>
  <c r="J9" i="12"/>
  <c r="I11" i="12"/>
  <c r="J9" i="14"/>
  <c r="I11" i="14"/>
  <c r="I27" i="16"/>
  <c r="J9" i="16"/>
  <c r="I11" i="16"/>
  <c r="I11" i="9"/>
  <c r="J9" i="9"/>
  <c r="F36" i="2"/>
  <c r="F89" i="2"/>
  <c r="I11" i="15"/>
  <c r="J9" i="15"/>
  <c r="H11" i="10"/>
  <c r="H48" i="10" s="1"/>
  <c r="H49" i="10" s="1"/>
  <c r="I47" i="10" s="1"/>
  <c r="H46" i="10"/>
  <c r="H27" i="10"/>
  <c r="I9" i="10"/>
  <c r="H69" i="2"/>
  <c r="H71" i="2" s="1"/>
  <c r="H17" i="8" s="1"/>
  <c r="H20" i="2"/>
  <c r="F15" i="8"/>
  <c r="I11" i="11"/>
  <c r="J9" i="11"/>
  <c r="G14" i="11"/>
  <c r="G74" i="11" s="1"/>
  <c r="G39" i="8" s="1"/>
  <c r="G33" i="2"/>
  <c r="G80" i="2" s="1"/>
  <c r="G83" i="2" s="1"/>
  <c r="G13" i="10"/>
  <c r="G62" i="2"/>
  <c r="G65" i="2" s="1"/>
  <c r="G16" i="8" s="1"/>
  <c r="G28" i="11" s="1"/>
  <c r="G56" i="2"/>
  <c r="G58" i="2" s="1"/>
  <c r="G24" i="2"/>
  <c r="G27" i="2" s="1"/>
  <c r="G29" i="2" s="1"/>
  <c r="J9" i="2"/>
  <c r="I11" i="2"/>
  <c r="I11" i="17"/>
  <c r="J9" i="17"/>
  <c r="I11" i="8"/>
  <c r="J9" i="8"/>
  <c r="I11" i="13"/>
  <c r="J9" i="13"/>
  <c r="F18" i="15"/>
  <c r="F15" i="15"/>
  <c r="F53" i="11"/>
  <c r="E43" i="12"/>
  <c r="F43" i="12" s="1"/>
  <c r="G43" i="12" s="1"/>
  <c r="H43" i="12" s="1"/>
  <c r="I43" i="12" s="1"/>
  <c r="J43" i="12" s="1"/>
  <c r="K43" i="12" s="1"/>
  <c r="L43" i="12" s="1"/>
  <c r="M43" i="12" s="1"/>
  <c r="N43" i="12" s="1"/>
  <c r="O43" i="12" s="1"/>
  <c r="I49" i="8"/>
  <c r="I18" i="13"/>
  <c r="J18" i="13"/>
  <c r="J49" i="8"/>
  <c r="F18" i="13"/>
  <c r="F49" i="8"/>
  <c r="G18" i="13"/>
  <c r="G49" i="8"/>
  <c r="H18" i="13"/>
  <c r="H49" i="8"/>
  <c r="K25" i="12"/>
  <c r="L28" i="10"/>
  <c r="M32" i="2"/>
  <c r="L19" i="2"/>
  <c r="K13" i="11"/>
  <c r="K12" i="10"/>
  <c r="L87" i="2"/>
  <c r="N68" i="2"/>
  <c r="M25" i="2"/>
  <c r="M52" i="2"/>
  <c r="M34" i="2"/>
  <c r="H16" i="2"/>
  <c r="H18" i="2" s="1"/>
  <c r="F19" i="8" l="1"/>
  <c r="F14" i="17" s="1"/>
  <c r="G19" i="8"/>
  <c r="G43" i="2"/>
  <c r="G74" i="2"/>
  <c r="G77" i="2" s="1"/>
  <c r="G18" i="8" s="1"/>
  <c r="G86" i="2"/>
  <c r="M35" i="12"/>
  <c r="L28" i="13"/>
  <c r="F45" i="2"/>
  <c r="F46" i="2" s="1"/>
  <c r="H40" i="2"/>
  <c r="H53" i="2"/>
  <c r="G53" i="11"/>
  <c r="J11" i="13"/>
  <c r="K9" i="13"/>
  <c r="J11" i="17"/>
  <c r="K9" i="17"/>
  <c r="G15" i="8"/>
  <c r="J9" i="10"/>
  <c r="I27" i="10"/>
  <c r="I11" i="10"/>
  <c r="I48" i="10" s="1"/>
  <c r="I49" i="10" s="1"/>
  <c r="J47" i="10" s="1"/>
  <c r="I46" i="10"/>
  <c r="J11" i="15"/>
  <c r="K9" i="15"/>
  <c r="J11" i="9"/>
  <c r="K9" i="9"/>
  <c r="J11" i="14"/>
  <c r="K9" i="14"/>
  <c r="J11" i="8"/>
  <c r="K9" i="8"/>
  <c r="I20" i="2"/>
  <c r="I69" i="2"/>
  <c r="I71" i="2" s="1"/>
  <c r="I17" i="8" s="1"/>
  <c r="G89" i="2"/>
  <c r="G36" i="2"/>
  <c r="F27" i="11"/>
  <c r="J11" i="2"/>
  <c r="K9" i="2"/>
  <c r="G15" i="15"/>
  <c r="G18" i="15"/>
  <c r="H62" i="2"/>
  <c r="H65" i="2" s="1"/>
  <c r="H16" i="8" s="1"/>
  <c r="H28" i="11" s="1"/>
  <c r="H13" i="10"/>
  <c r="H33" i="2"/>
  <c r="H24" i="2"/>
  <c r="H27" i="2" s="1"/>
  <c r="H29" i="2" s="1"/>
  <c r="H56" i="2"/>
  <c r="H58" i="2" s="1"/>
  <c r="H14" i="11"/>
  <c r="H74" i="11" s="1"/>
  <c r="H39" i="8" s="1"/>
  <c r="J27" i="16"/>
  <c r="J11" i="12"/>
  <c r="K9" i="12"/>
  <c r="J11" i="11"/>
  <c r="K9" i="11"/>
  <c r="K9" i="16"/>
  <c r="J11" i="16"/>
  <c r="M28" i="10"/>
  <c r="L25" i="12"/>
  <c r="N32" i="2"/>
  <c r="O68" i="2"/>
  <c r="L13" i="11"/>
  <c r="L12" i="10"/>
  <c r="M19" i="2"/>
  <c r="M87" i="2"/>
  <c r="N25" i="2"/>
  <c r="N52" i="2"/>
  <c r="N34" i="2"/>
  <c r="I16" i="2"/>
  <c r="I18" i="2" s="1"/>
  <c r="G14" i="17" l="1"/>
  <c r="H86" i="2"/>
  <c r="H80" i="2"/>
  <c r="H83" i="2" s="1"/>
  <c r="H43" i="2"/>
  <c r="H74" i="2"/>
  <c r="H77" i="2" s="1"/>
  <c r="H18" i="8" s="1"/>
  <c r="G45" i="2"/>
  <c r="F48" i="2"/>
  <c r="F92" i="2" s="1"/>
  <c r="F93" i="2" s="1"/>
  <c r="F94" i="2" s="1"/>
  <c r="F41" i="12"/>
  <c r="F27" i="13"/>
  <c r="N35" i="12"/>
  <c r="M28" i="13"/>
  <c r="I40" i="2"/>
  <c r="I53" i="2"/>
  <c r="I56" i="2" s="1"/>
  <c r="I58" i="2" s="1"/>
  <c r="G46" i="2"/>
  <c r="H53" i="11"/>
  <c r="H15" i="8"/>
  <c r="H27" i="11" s="1"/>
  <c r="K11" i="11"/>
  <c r="L9" i="11"/>
  <c r="H18" i="15"/>
  <c r="H15" i="15"/>
  <c r="F39" i="11"/>
  <c r="F51" i="11"/>
  <c r="F41" i="11"/>
  <c r="F27" i="8" s="1"/>
  <c r="G25" i="8" s="1"/>
  <c r="F34" i="11"/>
  <c r="F36" i="11" s="1"/>
  <c r="L9" i="14"/>
  <c r="K11" i="14"/>
  <c r="K11" i="15"/>
  <c r="L9" i="15"/>
  <c r="K27" i="16"/>
  <c r="I33" i="2"/>
  <c r="I80" i="2" s="1"/>
  <c r="I83" i="2" s="1"/>
  <c r="I14" i="11"/>
  <c r="I74" i="11" s="1"/>
  <c r="I39" i="8" s="1"/>
  <c r="I62" i="2"/>
  <c r="I65" i="2" s="1"/>
  <c r="I16" i="8" s="1"/>
  <c r="I28" i="11" s="1"/>
  <c r="I13" i="10"/>
  <c r="I24" i="2"/>
  <c r="I27" i="2" s="1"/>
  <c r="I29" i="2" s="1"/>
  <c r="J46" i="10"/>
  <c r="J11" i="10"/>
  <c r="J48" i="10" s="1"/>
  <c r="J49" i="10" s="1"/>
  <c r="K47" i="10" s="1"/>
  <c r="K9" i="10"/>
  <c r="J27" i="10"/>
  <c r="K11" i="13"/>
  <c r="L9" i="13"/>
  <c r="L9" i="16"/>
  <c r="K11" i="16"/>
  <c r="L9" i="2"/>
  <c r="K11" i="2"/>
  <c r="K11" i="8"/>
  <c r="L9" i="8"/>
  <c r="L9" i="9"/>
  <c r="K11" i="9"/>
  <c r="G27" i="11"/>
  <c r="K11" i="12"/>
  <c r="L9" i="12"/>
  <c r="H89" i="2"/>
  <c r="H36" i="2"/>
  <c r="J20" i="2"/>
  <c r="J69" i="2"/>
  <c r="J71" i="2" s="1"/>
  <c r="J17" i="8" s="1"/>
  <c r="K11" i="17"/>
  <c r="L9" i="17"/>
  <c r="M25" i="12"/>
  <c r="N28" i="10"/>
  <c r="O32" i="2"/>
  <c r="M12" i="10"/>
  <c r="N19" i="2"/>
  <c r="M13" i="11"/>
  <c r="N87" i="2"/>
  <c r="O25" i="2"/>
  <c r="O52" i="2"/>
  <c r="O34" i="2"/>
  <c r="J16" i="2"/>
  <c r="J18" i="2" s="1"/>
  <c r="H19" i="8" l="1"/>
  <c r="H14" i="17" s="1"/>
  <c r="I19" i="8"/>
  <c r="H45" i="2"/>
  <c r="I43" i="2"/>
  <c r="I74" i="2"/>
  <c r="I77" i="2" s="1"/>
  <c r="I18" i="8" s="1"/>
  <c r="F97" i="2"/>
  <c r="F119" i="2"/>
  <c r="F120" i="2" s="1"/>
  <c r="F111" i="2"/>
  <c r="F112" i="2" s="1"/>
  <c r="F13" i="8"/>
  <c r="F57" i="8" s="1"/>
  <c r="G41" i="12"/>
  <c r="G48" i="2"/>
  <c r="G27" i="13"/>
  <c r="O35" i="12"/>
  <c r="O28" i="13" s="1"/>
  <c r="N28" i="13"/>
  <c r="J40" i="2"/>
  <c r="J53" i="2"/>
  <c r="J56" i="2" s="1"/>
  <c r="J58" i="2" s="1"/>
  <c r="I86" i="2"/>
  <c r="I89" i="2" s="1"/>
  <c r="I15" i="8"/>
  <c r="I27" i="11" s="1"/>
  <c r="M9" i="12"/>
  <c r="L11" i="12"/>
  <c r="K20" i="2"/>
  <c r="K69" i="2"/>
  <c r="K71" i="2" s="1"/>
  <c r="K17" i="8" s="1"/>
  <c r="M9" i="16"/>
  <c r="L11" i="16"/>
  <c r="K27" i="10"/>
  <c r="K11" i="10"/>
  <c r="K48" i="10" s="1"/>
  <c r="K49" i="10" s="1"/>
  <c r="L47" i="10" s="1"/>
  <c r="L9" i="10"/>
  <c r="K46" i="10"/>
  <c r="I53" i="11"/>
  <c r="J14" i="11"/>
  <c r="J74" i="11" s="1"/>
  <c r="J39" i="8" s="1"/>
  <c r="J33" i="2"/>
  <c r="J80" i="2" s="1"/>
  <c r="J83" i="2" s="1"/>
  <c r="J13" i="10"/>
  <c r="J62" i="2"/>
  <c r="J65" i="2" s="1"/>
  <c r="J16" i="8" s="1"/>
  <c r="J28" i="11" s="1"/>
  <c r="J24" i="2"/>
  <c r="J27" i="2" s="1"/>
  <c r="J29" i="2" s="1"/>
  <c r="M9" i="9"/>
  <c r="L11" i="9"/>
  <c r="M9" i="2"/>
  <c r="L11" i="2"/>
  <c r="M9" i="13"/>
  <c r="L11" i="13"/>
  <c r="I18" i="15"/>
  <c r="I15" i="15"/>
  <c r="L11" i="11"/>
  <c r="M9" i="11"/>
  <c r="L11" i="17"/>
  <c r="M9" i="17"/>
  <c r="L11" i="8"/>
  <c r="M9" i="8"/>
  <c r="I36" i="2"/>
  <c r="L27" i="16"/>
  <c r="M9" i="14"/>
  <c r="L11" i="14"/>
  <c r="G41" i="11"/>
  <c r="G27" i="8" s="1"/>
  <c r="H25" i="8" s="1"/>
  <c r="G34" i="11"/>
  <c r="G36" i="11" s="1"/>
  <c r="G51" i="11"/>
  <c r="G39" i="11"/>
  <c r="H51" i="11"/>
  <c r="H41" i="11"/>
  <c r="H27" i="8" s="1"/>
  <c r="I25" i="8" s="1"/>
  <c r="H34" i="11"/>
  <c r="H36" i="11" s="1"/>
  <c r="H39" i="11"/>
  <c r="M9" i="15"/>
  <c r="L11" i="15"/>
  <c r="O28" i="10"/>
  <c r="O25" i="12" s="1"/>
  <c r="N25" i="12"/>
  <c r="O19" i="2"/>
  <c r="N13" i="11"/>
  <c r="N12" i="10"/>
  <c r="O87" i="2"/>
  <c r="K16" i="2"/>
  <c r="K18" i="2" s="1"/>
  <c r="I45" i="2" l="1"/>
  <c r="I14" i="17"/>
  <c r="J19" i="8"/>
  <c r="J43" i="2"/>
  <c r="J74" i="2"/>
  <c r="J77" i="2" s="1"/>
  <c r="J18" i="8" s="1"/>
  <c r="F33" i="8"/>
  <c r="J86" i="2"/>
  <c r="J89" i="2" s="1"/>
  <c r="F13" i="17"/>
  <c r="F15" i="17" s="1"/>
  <c r="F18" i="17" s="1"/>
  <c r="F26" i="11"/>
  <c r="F60" i="11" s="1"/>
  <c r="F62" i="11" s="1"/>
  <c r="F38" i="12" s="1"/>
  <c r="F25" i="13" s="1"/>
  <c r="G92" i="2"/>
  <c r="G93" i="2" s="1"/>
  <c r="G94" i="2" s="1"/>
  <c r="G13" i="8"/>
  <c r="G97" i="2"/>
  <c r="G111" i="2"/>
  <c r="G112" i="2" s="1"/>
  <c r="G119" i="2"/>
  <c r="G120" i="2" s="1"/>
  <c r="K40" i="2"/>
  <c r="K53" i="2"/>
  <c r="K56" i="2" s="1"/>
  <c r="K58" i="2" s="1"/>
  <c r="N9" i="15"/>
  <c r="M11" i="15"/>
  <c r="M11" i="8"/>
  <c r="N9" i="8"/>
  <c r="M11" i="11"/>
  <c r="N9" i="11"/>
  <c r="J53" i="11"/>
  <c r="J15" i="8"/>
  <c r="L46" i="10"/>
  <c r="L27" i="10"/>
  <c r="M9" i="10"/>
  <c r="L11" i="10"/>
  <c r="L48" i="10" s="1"/>
  <c r="L49" i="10" s="1"/>
  <c r="M47" i="10" s="1"/>
  <c r="N9" i="16"/>
  <c r="M11" i="16"/>
  <c r="I34" i="11"/>
  <c r="I36" i="11" s="1"/>
  <c r="I39" i="11"/>
  <c r="I41" i="11"/>
  <c r="I27" i="8" s="1"/>
  <c r="J25" i="8" s="1"/>
  <c r="I51" i="11"/>
  <c r="M11" i="13"/>
  <c r="N9" i="13"/>
  <c r="M11" i="9"/>
  <c r="N9" i="9"/>
  <c r="J18" i="15"/>
  <c r="J15" i="15"/>
  <c r="N9" i="12"/>
  <c r="M11" i="12"/>
  <c r="N9" i="14"/>
  <c r="M11" i="14"/>
  <c r="M11" i="17"/>
  <c r="N9" i="17"/>
  <c r="L20" i="2"/>
  <c r="L69" i="2"/>
  <c r="L71" i="2" s="1"/>
  <c r="L17" i="8" s="1"/>
  <c r="M27" i="16"/>
  <c r="H46" i="2"/>
  <c r="N9" i="2"/>
  <c r="M11" i="2"/>
  <c r="J36" i="2"/>
  <c r="K14" i="11"/>
  <c r="K74" i="11" s="1"/>
  <c r="K39" i="8" s="1"/>
  <c r="K33" i="2"/>
  <c r="K80" i="2" s="1"/>
  <c r="K83" i="2" s="1"/>
  <c r="K62" i="2"/>
  <c r="K65" i="2" s="1"/>
  <c r="K16" i="8" s="1"/>
  <c r="K28" i="11" s="1"/>
  <c r="K24" i="2"/>
  <c r="K27" i="2" s="1"/>
  <c r="K29" i="2" s="1"/>
  <c r="K13" i="10"/>
  <c r="O13" i="11"/>
  <c r="O12" i="10"/>
  <c r="L16" i="2"/>
  <c r="L18" i="2" s="1"/>
  <c r="J45" i="2" l="1"/>
  <c r="J48" i="2" s="1"/>
  <c r="J14" i="17"/>
  <c r="K19" i="8"/>
  <c r="K43" i="2"/>
  <c r="K74" i="2"/>
  <c r="K77" i="2" s="1"/>
  <c r="K18" i="8" s="1"/>
  <c r="K86" i="2"/>
  <c r="K89" i="2" s="1"/>
  <c r="G33" i="8"/>
  <c r="H27" i="13"/>
  <c r="H41" i="12"/>
  <c r="G13" i="17"/>
  <c r="G15" i="17" s="1"/>
  <c r="G18" i="17" s="1"/>
  <c r="G57" i="8"/>
  <c r="G68" i="8" s="1"/>
  <c r="G30" i="17" s="1"/>
  <c r="G26" i="11"/>
  <c r="G60" i="11" s="1"/>
  <c r="G62" i="11" s="1"/>
  <c r="G38" i="12" s="1"/>
  <c r="G25" i="13" s="1"/>
  <c r="L40" i="2"/>
  <c r="L53" i="2"/>
  <c r="L56" i="2" s="1"/>
  <c r="I46" i="2"/>
  <c r="H48" i="2"/>
  <c r="H97" i="2" s="1"/>
  <c r="K15" i="8"/>
  <c r="K53" i="11"/>
  <c r="O9" i="2"/>
  <c r="O11" i="2" s="1"/>
  <c r="N11" i="2"/>
  <c r="N27" i="16"/>
  <c r="M11" i="10"/>
  <c r="M48" i="10" s="1"/>
  <c r="M49" i="10" s="1"/>
  <c r="N47" i="10" s="1"/>
  <c r="N9" i="10"/>
  <c r="M46" i="10"/>
  <c r="M27" i="10"/>
  <c r="N11" i="9"/>
  <c r="O9" i="9"/>
  <c r="O11" i="9" s="1"/>
  <c r="N11" i="11"/>
  <c r="O9" i="11"/>
  <c r="O11" i="11" s="1"/>
  <c r="K36" i="2"/>
  <c r="L14" i="11"/>
  <c r="L74" i="11" s="1"/>
  <c r="L39" i="8" s="1"/>
  <c r="L33" i="2"/>
  <c r="L80" i="2" s="1"/>
  <c r="L83" i="2" s="1"/>
  <c r="L62" i="2"/>
  <c r="L65" i="2" s="1"/>
  <c r="L16" i="8" s="1"/>
  <c r="L28" i="11" s="1"/>
  <c r="L24" i="2"/>
  <c r="L27" i="2" s="1"/>
  <c r="L29" i="2" s="1"/>
  <c r="L13" i="10"/>
  <c r="O9" i="12"/>
  <c r="O11" i="12" s="1"/>
  <c r="N11" i="12"/>
  <c r="N11" i="16"/>
  <c r="O9" i="16"/>
  <c r="N11" i="15"/>
  <c r="O9" i="15"/>
  <c r="O11" i="15" s="1"/>
  <c r="K18" i="15"/>
  <c r="K15" i="15"/>
  <c r="M20" i="2"/>
  <c r="M69" i="2"/>
  <c r="M71" i="2" s="1"/>
  <c r="M17" i="8" s="1"/>
  <c r="O9" i="17"/>
  <c r="O11" i="17" s="1"/>
  <c r="N11" i="17"/>
  <c r="N11" i="14"/>
  <c r="O9" i="14"/>
  <c r="O11" i="14" s="1"/>
  <c r="N11" i="13"/>
  <c r="O9" i="13"/>
  <c r="O11" i="13" s="1"/>
  <c r="J27" i="11"/>
  <c r="O9" i="8"/>
  <c r="O11" i="8" s="1"/>
  <c r="N11" i="8"/>
  <c r="M16" i="2"/>
  <c r="M18" i="2" s="1"/>
  <c r="K45" i="2" l="1"/>
  <c r="K48" i="2" s="1"/>
  <c r="K13" i="8" s="1"/>
  <c r="K14" i="17"/>
  <c r="L19" i="8"/>
  <c r="L43" i="2"/>
  <c r="L74" i="2"/>
  <c r="L77" i="2" s="1"/>
  <c r="L18" i="8" s="1"/>
  <c r="L86" i="2"/>
  <c r="L89" i="2" s="1"/>
  <c r="I48" i="2"/>
  <c r="I27" i="13"/>
  <c r="I41" i="12"/>
  <c r="J41" i="12" s="1"/>
  <c r="K41" i="12" s="1"/>
  <c r="L41" i="12" s="1"/>
  <c r="M41" i="12" s="1"/>
  <c r="N41" i="12" s="1"/>
  <c r="O41" i="12" s="1"/>
  <c r="M40" i="2"/>
  <c r="M53" i="2"/>
  <c r="M56" i="2" s="1"/>
  <c r="M58" i="2" s="1"/>
  <c r="L58" i="2"/>
  <c r="L15" i="8" s="1"/>
  <c r="H119" i="2"/>
  <c r="H120" i="2" s="1"/>
  <c r="H13" i="8"/>
  <c r="H26" i="11" s="1"/>
  <c r="H60" i="11" s="1"/>
  <c r="H62" i="11" s="1"/>
  <c r="H38" i="12" s="1"/>
  <c r="H25" i="13" s="1"/>
  <c r="H92" i="2"/>
  <c r="H93" i="2" s="1"/>
  <c r="H94" i="2" s="1"/>
  <c r="H111" i="2"/>
  <c r="H112" i="2" s="1"/>
  <c r="M14" i="11"/>
  <c r="M74" i="11" s="1"/>
  <c r="M39" i="8" s="1"/>
  <c r="M62" i="2"/>
  <c r="M65" i="2" s="1"/>
  <c r="M16" i="8" s="1"/>
  <c r="M28" i="11" s="1"/>
  <c r="M33" i="2"/>
  <c r="M80" i="2" s="1"/>
  <c r="M83" i="2" s="1"/>
  <c r="M24" i="2"/>
  <c r="M27" i="2" s="1"/>
  <c r="M29" i="2" s="1"/>
  <c r="M13" i="10"/>
  <c r="O11" i="16"/>
  <c r="B50" i="16" a="1"/>
  <c r="L53" i="11"/>
  <c r="O27" i="16"/>
  <c r="L36" i="2"/>
  <c r="K27" i="11"/>
  <c r="L15" i="15"/>
  <c r="L18" i="15"/>
  <c r="N46" i="10"/>
  <c r="N27" i="10"/>
  <c r="O9" i="10"/>
  <c r="N11" i="10"/>
  <c r="N48" i="10" s="1"/>
  <c r="N49" i="10" s="1"/>
  <c r="O47" i="10" s="1"/>
  <c r="N20" i="2"/>
  <c r="N69" i="2"/>
  <c r="N71" i="2" s="1"/>
  <c r="N17" i="8" s="1"/>
  <c r="J51" i="11"/>
  <c r="J34" i="11"/>
  <c r="J36" i="11" s="1"/>
  <c r="J41" i="11"/>
  <c r="J27" i="8" s="1"/>
  <c r="K25" i="8" s="1"/>
  <c r="J39" i="11"/>
  <c r="O69" i="2"/>
  <c r="O71" i="2" s="1"/>
  <c r="O17" i="8" s="1"/>
  <c r="O20" i="2"/>
  <c r="N16" i="2"/>
  <c r="N18" i="2" s="1"/>
  <c r="K111" i="2" l="1"/>
  <c r="K112" i="2" s="1"/>
  <c r="K97" i="2"/>
  <c r="K92" i="2"/>
  <c r="K93" i="2" s="1"/>
  <c r="K94" i="2" s="1"/>
  <c r="K33" i="8" s="1"/>
  <c r="K119" i="2"/>
  <c r="K120" i="2" s="1"/>
  <c r="L45" i="2"/>
  <c r="L48" i="2" s="1"/>
  <c r="L119" i="2" s="1"/>
  <c r="L120" i="2" s="1"/>
  <c r="L14" i="17"/>
  <c r="M19" i="8"/>
  <c r="M43" i="2"/>
  <c r="M74" i="2"/>
  <c r="M77" i="2" s="1"/>
  <c r="M18" i="8" s="1"/>
  <c r="M86" i="2"/>
  <c r="M89" i="2" s="1"/>
  <c r="N40" i="2"/>
  <c r="N53" i="2"/>
  <c r="N56" i="2" s="1"/>
  <c r="N58" i="2" s="1"/>
  <c r="O40" i="2"/>
  <c r="O53" i="2"/>
  <c r="O56" i="2" s="1"/>
  <c r="H13" i="17"/>
  <c r="H15" i="17" s="1"/>
  <c r="H18" i="17" s="1"/>
  <c r="H33" i="8"/>
  <c r="L27" i="11"/>
  <c r="L51" i="11" s="1"/>
  <c r="H57" i="8"/>
  <c r="H68" i="8" s="1"/>
  <c r="H30" i="17" s="1"/>
  <c r="K13" i="17"/>
  <c r="K15" i="17" s="1"/>
  <c r="K18" i="17" s="1"/>
  <c r="K26" i="11"/>
  <c r="K60" i="11" s="1"/>
  <c r="K62" i="11" s="1"/>
  <c r="K38" i="12" s="1"/>
  <c r="K57" i="8"/>
  <c r="O27" i="10"/>
  <c r="O46" i="10"/>
  <c r="O11" i="10"/>
  <c r="O48" i="10" s="1"/>
  <c r="O49" i="10" s="1"/>
  <c r="B57" i="16"/>
  <c r="B56" i="16"/>
  <c r="B53" i="16"/>
  <c r="B59" i="16"/>
  <c r="B51" i="16"/>
  <c r="B52" i="16"/>
  <c r="B58" i="16"/>
  <c r="B50" i="16"/>
  <c r="B54" i="16"/>
  <c r="B55" i="16"/>
  <c r="M53" i="11"/>
  <c r="M18" i="15"/>
  <c r="M15" i="15"/>
  <c r="N13" i="10"/>
  <c r="N33" i="2"/>
  <c r="N62" i="2"/>
  <c r="N65" i="2" s="1"/>
  <c r="N16" i="8" s="1"/>
  <c r="N28" i="11" s="1"/>
  <c r="N24" i="2"/>
  <c r="N27" i="2" s="1"/>
  <c r="N29" i="2" s="1"/>
  <c r="N14" i="11"/>
  <c r="N74" i="11" s="1"/>
  <c r="N39" i="8" s="1"/>
  <c r="K51" i="11"/>
  <c r="K41" i="11"/>
  <c r="K27" i="8" s="1"/>
  <c r="L25" i="8" s="1"/>
  <c r="K39" i="11"/>
  <c r="K34" i="11"/>
  <c r="K36" i="11" s="1"/>
  <c r="M15" i="8"/>
  <c r="O62" i="2"/>
  <c r="O65" i="2" s="1"/>
  <c r="O16" i="8" s="1"/>
  <c r="O28" i="11" s="1"/>
  <c r="O24" i="2"/>
  <c r="O27" i="2" s="1"/>
  <c r="O29" i="2" s="1"/>
  <c r="O13" i="10"/>
  <c r="O14" i="11"/>
  <c r="O74" i="11" s="1"/>
  <c r="O39" i="8" s="1"/>
  <c r="O33" i="2"/>
  <c r="M36" i="2"/>
  <c r="M45" i="2" s="1"/>
  <c r="M48" i="2" s="1"/>
  <c r="O16" i="2"/>
  <c r="O18" i="2" s="1"/>
  <c r="L111" i="2" l="1"/>
  <c r="L112" i="2" s="1"/>
  <c r="M14" i="17"/>
  <c r="N86" i="2"/>
  <c r="N80" i="2"/>
  <c r="N83" i="2" s="1"/>
  <c r="O43" i="2"/>
  <c r="O74" i="2"/>
  <c r="O77" i="2" s="1"/>
  <c r="O18" i="8" s="1"/>
  <c r="N43" i="2"/>
  <c r="N74" i="2"/>
  <c r="N77" i="2" s="1"/>
  <c r="N18" i="8" s="1"/>
  <c r="O86" i="2"/>
  <c r="O89" i="2" s="1"/>
  <c r="O80" i="2"/>
  <c r="O83" i="2" s="1"/>
  <c r="L39" i="11"/>
  <c r="L97" i="2"/>
  <c r="L13" i="8"/>
  <c r="L57" i="8" s="1"/>
  <c r="L68" i="8" s="1"/>
  <c r="L30" i="17" s="1"/>
  <c r="L92" i="2"/>
  <c r="L93" i="2" s="1"/>
  <c r="L94" i="2" s="1"/>
  <c r="L34" i="11"/>
  <c r="L36" i="11" s="1"/>
  <c r="L41" i="11"/>
  <c r="L27" i="8" s="1"/>
  <c r="M25" i="8" s="1"/>
  <c r="O58" i="2"/>
  <c r="O15" i="8" s="1"/>
  <c r="N53" i="11"/>
  <c r="O53" i="11"/>
  <c r="O36" i="2"/>
  <c r="M27" i="11"/>
  <c r="N15" i="15"/>
  <c r="N18" i="15"/>
  <c r="N15" i="8"/>
  <c r="O18" i="15"/>
  <c r="O15" i="15"/>
  <c r="N89" i="2"/>
  <c r="N36" i="2"/>
  <c r="N45" i="2" l="1"/>
  <c r="N48" i="2" s="1"/>
  <c r="O19" i="8"/>
  <c r="O14" i="17" s="1"/>
  <c r="N19" i="8"/>
  <c r="N14" i="17" s="1"/>
  <c r="O45" i="2"/>
  <c r="O48" i="2" s="1"/>
  <c r="O92" i="2" s="1"/>
  <c r="O93" i="2" s="1"/>
  <c r="O94" i="2" s="1"/>
  <c r="L26" i="11"/>
  <c r="L60" i="11" s="1"/>
  <c r="L62" i="11" s="1"/>
  <c r="L38" i="12" s="1"/>
  <c r="L25" i="13" s="1"/>
  <c r="L13" i="17"/>
  <c r="L15" i="17" s="1"/>
  <c r="L18" i="17" s="1"/>
  <c r="L33" i="8"/>
  <c r="O27" i="11"/>
  <c r="N97" i="2"/>
  <c r="M41" i="11"/>
  <c r="M27" i="8" s="1"/>
  <c r="N25" i="8" s="1"/>
  <c r="M51" i="11"/>
  <c r="M39" i="11"/>
  <c r="M34" i="11"/>
  <c r="M36" i="11" s="1"/>
  <c r="M97" i="2"/>
  <c r="M13" i="8"/>
  <c r="M119" i="2"/>
  <c r="M120" i="2" s="1"/>
  <c r="M92" i="2"/>
  <c r="M93" i="2" s="1"/>
  <c r="M94" i="2" s="1"/>
  <c r="M111" i="2"/>
  <c r="M112" i="2" s="1"/>
  <c r="N27" i="11"/>
  <c r="O39" i="11" l="1"/>
  <c r="O34" i="11"/>
  <c r="O36" i="11" s="1"/>
  <c r="O41" i="11"/>
  <c r="O27" i="8" s="1"/>
  <c r="O51" i="11"/>
  <c r="O13" i="8"/>
  <c r="O57" i="8" s="1"/>
  <c r="O97" i="2"/>
  <c r="O111" i="2"/>
  <c r="O112" i="2" s="1"/>
  <c r="M33" i="8"/>
  <c r="N13" i="8"/>
  <c r="N57" i="8" s="1"/>
  <c r="N92" i="2"/>
  <c r="N93" i="2" s="1"/>
  <c r="N94" i="2" s="1"/>
  <c r="O119" i="2"/>
  <c r="O120" i="2" s="1"/>
  <c r="N119" i="2"/>
  <c r="N120" i="2" s="1"/>
  <c r="N111" i="2"/>
  <c r="N112" i="2" s="1"/>
  <c r="N41" i="11"/>
  <c r="N27" i="8" s="1"/>
  <c r="N51" i="11"/>
  <c r="N39" i="11"/>
  <c r="N34" i="11"/>
  <c r="N36" i="11" s="1"/>
  <c r="M57" i="8"/>
  <c r="M68" i="8" s="1"/>
  <c r="M13" i="17"/>
  <c r="M15" i="17" s="1"/>
  <c r="M26" i="11"/>
  <c r="M60" i="11" s="1"/>
  <c r="M62" i="11" s="1"/>
  <c r="M38" i="12" s="1"/>
  <c r="N13" i="17" l="1"/>
  <c r="N15" i="17" s="1"/>
  <c r="N18" i="17" s="1"/>
  <c r="O26" i="11"/>
  <c r="O60" i="11" s="1"/>
  <c r="O62" i="11" s="1"/>
  <c r="O38" i="12" s="1"/>
  <c r="N26" i="11"/>
  <c r="N60" i="11" s="1"/>
  <c r="N62" i="11" s="1"/>
  <c r="N38" i="12" s="1"/>
  <c r="N25" i="13" s="1"/>
  <c r="O13" i="17"/>
  <c r="O15" i="17" s="1"/>
  <c r="O18" i="17" s="1"/>
  <c r="O33" i="8"/>
  <c r="N33" i="8"/>
  <c r="M30" i="17"/>
  <c r="O68" i="8"/>
  <c r="O30" i="17" s="1"/>
  <c r="M25" i="13"/>
  <c r="N68" i="8"/>
  <c r="N30" i="17" s="1"/>
  <c r="M18" i="17"/>
  <c r="O25" i="8"/>
  <c r="O25" i="13" l="1"/>
  <c r="J13" i="8"/>
  <c r="J26" i="11" s="1"/>
  <c r="J60" i="11" s="1"/>
  <c r="J62" i="11" s="1"/>
  <c r="J38" i="12" s="1"/>
  <c r="J97" i="2"/>
  <c r="J111" i="2"/>
  <c r="J112" i="2" s="1"/>
  <c r="J119" i="2"/>
  <c r="J120" i="2" s="1"/>
  <c r="K25" i="13" l="1"/>
  <c r="J92" i="2"/>
  <c r="J93" i="2" s="1"/>
  <c r="J94" i="2" s="1"/>
  <c r="J57" i="8"/>
  <c r="J13" i="17"/>
  <c r="J15" i="17" s="1"/>
  <c r="J33" i="8" l="1"/>
  <c r="J18" i="17"/>
  <c r="K68" i="8"/>
  <c r="K30" i="17" s="1"/>
  <c r="D41" i="12"/>
  <c r="E41" i="12" s="1"/>
  <c r="O27" i="13" s="1"/>
  <c r="I13" i="8"/>
  <c r="I26" i="11" s="1"/>
  <c r="I60" i="11" s="1"/>
  <c r="I62" i="11" s="1"/>
  <c r="I38" i="12" s="1"/>
  <c r="I97" i="2"/>
  <c r="N27" i="13" l="1"/>
  <c r="M27" i="13"/>
  <c r="L27" i="13"/>
  <c r="I25" i="13"/>
  <c r="J25" i="13"/>
  <c r="I111" i="2"/>
  <c r="I112" i="2" s="1"/>
  <c r="I119" i="2"/>
  <c r="I120" i="2" s="1"/>
  <c r="I92" i="2"/>
  <c r="I93" i="2" s="1"/>
  <c r="I94" i="2" s="1"/>
  <c r="I57" i="8"/>
  <c r="I13" i="17"/>
  <c r="I15" i="17" s="1"/>
  <c r="K27" i="13"/>
  <c r="I18" i="17" l="1"/>
  <c r="I68" i="8"/>
  <c r="J68" i="8"/>
  <c r="J30" i="17" s="1"/>
  <c r="I33" i="8"/>
  <c r="F69" i="8" l="1"/>
  <c r="I30" i="17"/>
  <c r="F31" i="17" s="1"/>
  <c r="L14" i="9"/>
  <c r="C22" i="9"/>
  <c r="D52" i="9" s="1"/>
  <c r="D68" i="9"/>
  <c r="D69" i="9"/>
  <c r="D70" i="9"/>
  <c r="D71" i="9"/>
  <c r="D72" i="9"/>
  <c r="D73" i="9"/>
  <c r="D74" i="9"/>
  <c r="D75" i="9"/>
  <c r="D76" i="9"/>
  <c r="D78" i="9"/>
  <c r="I14" i="9" s="1"/>
  <c r="D79" i="9"/>
  <c r="D80" i="9"/>
  <c r="D81" i="9"/>
  <c r="D82" i="9"/>
  <c r="D83" i="9"/>
  <c r="D84" i="9"/>
  <c r="D85" i="9"/>
  <c r="D86" i="9"/>
  <c r="D87" i="9"/>
  <c r="D88" i="9"/>
  <c r="D89" i="9"/>
  <c r="D91" i="9"/>
  <c r="J14" i="9" s="1"/>
  <c r="D92" i="9"/>
  <c r="D93" i="9"/>
  <c r="D94" i="9"/>
  <c r="D95" i="9"/>
  <c r="D96" i="9"/>
  <c r="D97" i="9"/>
  <c r="D98" i="9"/>
  <c r="D99" i="9"/>
  <c r="D100" i="9"/>
  <c r="D101" i="9"/>
  <c r="D102" i="9"/>
  <c r="D104" i="9"/>
  <c r="K14" i="9" s="1"/>
  <c r="D105" i="9"/>
  <c r="D106" i="9"/>
  <c r="D107" i="9"/>
  <c r="D108" i="9"/>
  <c r="D109" i="9"/>
  <c r="D110" i="9"/>
  <c r="D111" i="9"/>
  <c r="D112" i="9"/>
  <c r="D113" i="9"/>
  <c r="D114" i="9"/>
  <c r="D115" i="9"/>
  <c r="D117" i="9"/>
  <c r="D118" i="9"/>
  <c r="D119" i="9"/>
  <c r="D120" i="9"/>
  <c r="D121" i="9"/>
  <c r="D122" i="9"/>
  <c r="D123" i="9"/>
  <c r="D124" i="9"/>
  <c r="D125" i="9"/>
  <c r="D126" i="9"/>
  <c r="D127" i="9"/>
  <c r="D128" i="9"/>
  <c r="D130" i="9"/>
  <c r="D131" i="9"/>
  <c r="D132" i="9"/>
  <c r="D133" i="9"/>
  <c r="D134" i="9"/>
  <c r="D135" i="9"/>
  <c r="D136" i="9"/>
  <c r="D137" i="9"/>
  <c r="D138" i="9"/>
  <c r="D139" i="9"/>
  <c r="D140" i="9"/>
  <c r="D141" i="9"/>
  <c r="D143" i="9"/>
  <c r="D144" i="9"/>
  <c r="D145" i="9"/>
  <c r="D146" i="9"/>
  <c r="D147" i="9"/>
  <c r="D148" i="9"/>
  <c r="D149" i="9"/>
  <c r="D150" i="9"/>
  <c r="D151" i="9"/>
  <c r="D152" i="9"/>
  <c r="D153" i="9"/>
  <c r="D154" i="9"/>
  <c r="D156" i="9"/>
  <c r="D157" i="9"/>
  <c r="D158" i="9"/>
  <c r="D159" i="9"/>
  <c r="D160" i="9"/>
  <c r="D31" i="4"/>
  <c r="M14" i="9" l="1"/>
  <c r="M19" i="15" s="1"/>
  <c r="N14" i="9"/>
  <c r="M19" i="12" s="1"/>
  <c r="J19" i="12"/>
  <c r="K19" i="15"/>
  <c r="K24" i="13"/>
  <c r="K51" i="8" s="1"/>
  <c r="J19" i="15"/>
  <c r="J24" i="13"/>
  <c r="J51" i="8" s="1"/>
  <c r="I19" i="12"/>
  <c r="I19" i="15"/>
  <c r="I24" i="13"/>
  <c r="I51" i="8" s="1"/>
  <c r="H19" i="12"/>
  <c r="L24" i="13"/>
  <c r="L51" i="8" s="1"/>
  <c r="K19" i="12"/>
  <c r="L19" i="15"/>
  <c r="C31" i="9"/>
  <c r="D67" i="9"/>
  <c r="D66" i="9"/>
  <c r="D65" i="9"/>
  <c r="H14" i="9" s="1"/>
  <c r="D63" i="9"/>
  <c r="D62" i="9"/>
  <c r="D61" i="9"/>
  <c r="D60" i="9"/>
  <c r="D59" i="9"/>
  <c r="D58" i="9"/>
  <c r="D57" i="9"/>
  <c r="D56" i="9"/>
  <c r="D55" i="9"/>
  <c r="D54" i="9"/>
  <c r="D53" i="9"/>
  <c r="G14" i="9" s="1"/>
  <c r="L19" i="12" l="1"/>
  <c r="M24" i="13"/>
  <c r="M51" i="8" s="1"/>
  <c r="N24" i="13"/>
  <c r="N51" i="8" s="1"/>
  <c r="N19" i="15"/>
  <c r="F19" i="12"/>
  <c r="G19" i="15"/>
  <c r="G24" i="13"/>
  <c r="H24" i="13"/>
  <c r="H51" i="8" s="1"/>
  <c r="G19" i="12"/>
  <c r="H19" i="15"/>
  <c r="F31" i="9"/>
  <c r="E31" i="9"/>
  <c r="C32" i="9" s="1"/>
  <c r="G51" i="8" l="1"/>
  <c r="E32" i="9"/>
  <c r="C33" i="9" s="1"/>
  <c r="E33" i="9" l="1"/>
  <c r="C34" i="9" s="1"/>
  <c r="F33" i="9"/>
  <c r="F32" i="9"/>
  <c r="E34" i="9" l="1"/>
  <c r="C35" i="9" s="1"/>
  <c r="F34" i="9"/>
  <c r="E35" i="9" l="1"/>
  <c r="C36" i="9" s="1"/>
  <c r="F35" i="9" l="1"/>
  <c r="E36" i="9"/>
  <c r="C37" i="9" s="1"/>
  <c r="F36" i="9"/>
  <c r="D13" i="9" l="1"/>
  <c r="E37" i="9"/>
  <c r="F37" i="9"/>
  <c r="D16" i="9" s="1"/>
  <c r="D17" i="9" l="1"/>
  <c r="E39" i="9"/>
  <c r="F39" i="9"/>
  <c r="D15" i="13"/>
  <c r="D15" i="12" s="1"/>
  <c r="E15" i="12" s="1"/>
  <c r="F15" i="12" s="1"/>
  <c r="D15" i="9"/>
  <c r="E12" i="9" s="1"/>
  <c r="E15" i="9" s="1"/>
  <c r="F12" i="9" s="1"/>
  <c r="F15" i="9" s="1"/>
  <c r="G12" i="9" s="1"/>
  <c r="G15" i="9" s="1"/>
  <c r="H12" i="9" s="1"/>
  <c r="H15" i="9" s="1"/>
  <c r="I12" i="9" s="1"/>
  <c r="I15" i="9" s="1"/>
  <c r="J12" i="9" s="1"/>
  <c r="J15" i="9" s="1"/>
  <c r="K12" i="9" s="1"/>
  <c r="K15" i="9" s="1"/>
  <c r="L12" i="9" s="1"/>
  <c r="L15" i="9" s="1"/>
  <c r="M12" i="9" s="1"/>
  <c r="M15" i="9" s="1"/>
  <c r="N12" i="9" s="1"/>
  <c r="N15" i="9" s="1"/>
  <c r="O12" i="9" s="1"/>
  <c r="E40" i="9" l="1"/>
  <c r="G15" i="12"/>
  <c r="D18" i="9"/>
  <c r="E41" i="9" l="1"/>
  <c r="H15" i="12"/>
  <c r="F40" i="9"/>
  <c r="F41" i="9" l="1"/>
  <c r="I15" i="12"/>
  <c r="E42" i="9"/>
  <c r="F42" i="9" l="1"/>
  <c r="E43" i="9"/>
  <c r="J15" i="12"/>
  <c r="K15" i="12" l="1"/>
  <c r="F43" i="9"/>
  <c r="E44" i="9"/>
  <c r="E45" i="9" l="1"/>
  <c r="F44" i="9"/>
  <c r="E16" i="9" s="1"/>
  <c r="L15" i="12"/>
  <c r="F45" i="9" l="1"/>
  <c r="E17" i="9"/>
  <c r="D15" i="4" s="1"/>
  <c r="M15" i="12"/>
  <c r="E46" i="9"/>
  <c r="E18" i="9" l="1"/>
  <c r="F46" i="9"/>
  <c r="E47" i="9"/>
  <c r="E17" i="10"/>
  <c r="E19" i="10"/>
  <c r="F19" i="10" s="1"/>
  <c r="E21" i="10"/>
  <c r="F21" i="10" s="1"/>
  <c r="E18" i="10"/>
  <c r="F18" i="10" s="1"/>
  <c r="E20" i="10"/>
  <c r="F20" i="10" s="1"/>
  <c r="E22" i="10"/>
  <c r="F22" i="10" s="1"/>
  <c r="D16" i="4"/>
  <c r="D18" i="4" s="1"/>
  <c r="F47" i="9" l="1"/>
  <c r="E23" i="10"/>
  <c r="F17" i="10"/>
  <c r="D40" i="10"/>
  <c r="F65" i="10"/>
  <c r="F105" i="2"/>
  <c r="G105" i="2" s="1"/>
  <c r="H105" i="2" s="1"/>
  <c r="I105" i="2" s="1"/>
  <c r="J105" i="2" s="1"/>
  <c r="K105" i="2" s="1"/>
  <c r="L105" i="2" s="1"/>
  <c r="M105" i="2" s="1"/>
  <c r="N105" i="2" s="1"/>
  <c r="O105" i="2" s="1"/>
  <c r="F59" i="10"/>
  <c r="D36" i="10"/>
  <c r="F36" i="10"/>
  <c r="F103" i="2"/>
  <c r="G103" i="2" s="1"/>
  <c r="H103" i="2" s="1"/>
  <c r="I103" i="2" s="1"/>
  <c r="J103" i="2" s="1"/>
  <c r="K103" i="2" s="1"/>
  <c r="L103" i="2" s="1"/>
  <c r="M103" i="2" s="1"/>
  <c r="N103" i="2" s="1"/>
  <c r="O103" i="2" s="1"/>
  <c r="D32" i="10"/>
  <c r="D53" i="10"/>
  <c r="E53" i="10" s="1"/>
  <c r="F53" i="10" s="1"/>
  <c r="F101" i="2"/>
  <c r="G101" i="2" s="1"/>
  <c r="H101" i="2" s="1"/>
  <c r="I101" i="2" s="1"/>
  <c r="J101" i="2" s="1"/>
  <c r="K101" i="2" s="1"/>
  <c r="L101" i="2" s="1"/>
  <c r="M101" i="2" s="1"/>
  <c r="N101" i="2" s="1"/>
  <c r="O101" i="2" s="1"/>
  <c r="E48" i="9"/>
  <c r="F34" i="10"/>
  <c r="F56" i="10"/>
  <c r="D34" i="10"/>
  <c r="F102" i="2"/>
  <c r="G102" i="2" s="1"/>
  <c r="H102" i="2" s="1"/>
  <c r="I102" i="2" s="1"/>
  <c r="J102" i="2" s="1"/>
  <c r="K102" i="2" s="1"/>
  <c r="L102" i="2" s="1"/>
  <c r="M102" i="2" s="1"/>
  <c r="N102" i="2" s="1"/>
  <c r="O102" i="2" s="1"/>
  <c r="F38" i="10"/>
  <c r="D38" i="10"/>
  <c r="F62" i="10"/>
  <c r="F104" i="2"/>
  <c r="G104" i="2" s="1"/>
  <c r="H104" i="2" s="1"/>
  <c r="I104" i="2" s="1"/>
  <c r="J104" i="2" s="1"/>
  <c r="K104" i="2" s="1"/>
  <c r="L104" i="2" s="1"/>
  <c r="M104" i="2" s="1"/>
  <c r="N104" i="2" s="1"/>
  <c r="O104" i="2" s="1"/>
  <c r="F48" i="9" l="1"/>
  <c r="F54" i="10"/>
  <c r="F55" i="10" s="1"/>
  <c r="G53" i="10" s="1"/>
  <c r="E40" i="10"/>
  <c r="D31" i="12"/>
  <c r="F63" i="10"/>
  <c r="F64" i="10" s="1"/>
  <c r="G62" i="10" s="1"/>
  <c r="E49" i="9"/>
  <c r="C50" i="9" s="1"/>
  <c r="E32" i="10"/>
  <c r="E27" i="12" s="1"/>
  <c r="F32" i="10"/>
  <c r="F60" i="10"/>
  <c r="F61" i="10" s="1"/>
  <c r="G59" i="10" s="1"/>
  <c r="F50" i="10"/>
  <c r="F30" i="10"/>
  <c r="F23" i="10"/>
  <c r="D30" i="10"/>
  <c r="F100" i="2"/>
  <c r="F28" i="12"/>
  <c r="G34" i="10"/>
  <c r="F35" i="10"/>
  <c r="E36" i="10"/>
  <c r="E29" i="12" s="1"/>
  <c r="D29" i="12"/>
  <c r="D30" i="12"/>
  <c r="E38" i="10"/>
  <c r="E30" i="12" s="1"/>
  <c r="E34" i="10"/>
  <c r="E28" i="12" s="1"/>
  <c r="D28" i="12"/>
  <c r="F30" i="12"/>
  <c r="G38" i="10"/>
  <c r="F39" i="10"/>
  <c r="F57" i="10"/>
  <c r="F58" i="10" s="1"/>
  <c r="G56" i="10" s="1"/>
  <c r="G36" i="10"/>
  <c r="F29" i="12"/>
  <c r="F37" i="10"/>
  <c r="F66" i="10"/>
  <c r="F67" i="10" s="1"/>
  <c r="G65" i="10" s="1"/>
  <c r="F49" i="9" l="1"/>
  <c r="G54" i="10"/>
  <c r="G55" i="10" s="1"/>
  <c r="H53" i="10" s="1"/>
  <c r="G57" i="10"/>
  <c r="G58" i="10" s="1"/>
  <c r="H56" i="10" s="1"/>
  <c r="G35" i="10"/>
  <c r="G28" i="12"/>
  <c r="H34" i="10"/>
  <c r="G60" i="10"/>
  <c r="G61" i="10" s="1"/>
  <c r="H59" i="10" s="1"/>
  <c r="F26" i="12"/>
  <c r="G30" i="10"/>
  <c r="F31" i="10"/>
  <c r="G32" i="10"/>
  <c r="F27" i="12"/>
  <c r="F33" i="10"/>
  <c r="E50" i="9"/>
  <c r="C52" i="9" s="1"/>
  <c r="E31" i="12"/>
  <c r="F40" i="10"/>
  <c r="G66" i="10"/>
  <c r="G67" i="10" s="1"/>
  <c r="H65" i="10" s="1"/>
  <c r="F106" i="2"/>
  <c r="F108" i="2" s="1"/>
  <c r="G100" i="2"/>
  <c r="F51" i="10"/>
  <c r="F69" i="10" s="1"/>
  <c r="F20" i="14" s="1"/>
  <c r="G63" i="10"/>
  <c r="G64" i="10" s="1"/>
  <c r="H62" i="10" s="1"/>
  <c r="H36" i="10"/>
  <c r="G29" i="12"/>
  <c r="G37" i="10"/>
  <c r="G30" i="12"/>
  <c r="H38" i="10"/>
  <c r="G39" i="10"/>
  <c r="E30" i="10"/>
  <c r="E26" i="12" s="1"/>
  <c r="D26" i="12"/>
  <c r="E32" i="12" l="1"/>
  <c r="F52" i="10"/>
  <c r="G50" i="10" s="1"/>
  <c r="H63" i="10"/>
  <c r="H64" i="10" s="1"/>
  <c r="I62" i="10" s="1"/>
  <c r="H54" i="10"/>
  <c r="H55" i="10" s="1"/>
  <c r="I53" i="10" s="1"/>
  <c r="I36" i="10"/>
  <c r="H37" i="10"/>
  <c r="H29" i="12"/>
  <c r="E52" i="9"/>
  <c r="C53" i="9" s="1"/>
  <c r="H57" i="10"/>
  <c r="H58" i="10" s="1"/>
  <c r="I56" i="10" s="1"/>
  <c r="H100" i="2"/>
  <c r="G106" i="2"/>
  <c r="G108" i="2" s="1"/>
  <c r="F41" i="10"/>
  <c r="F42" i="10" s="1"/>
  <c r="F31" i="12"/>
  <c r="F32" i="12" s="1"/>
  <c r="G40" i="10"/>
  <c r="G31" i="10"/>
  <c r="G26" i="12"/>
  <c r="H30" i="10"/>
  <c r="I34" i="10"/>
  <c r="H35" i="10"/>
  <c r="H28" i="12"/>
  <c r="H66" i="10"/>
  <c r="H67" i="10" s="1"/>
  <c r="I65" i="10" s="1"/>
  <c r="H60" i="10"/>
  <c r="H61" i="10" s="1"/>
  <c r="I59" i="10" s="1"/>
  <c r="F20" i="8"/>
  <c r="H39" i="10"/>
  <c r="H30" i="12"/>
  <c r="I38" i="10"/>
  <c r="E34" i="12"/>
  <c r="E36" i="12" s="1"/>
  <c r="F50" i="9"/>
  <c r="F16" i="9" s="1"/>
  <c r="F18" i="9" s="1"/>
  <c r="F38" i="8" s="1"/>
  <c r="H32" i="10"/>
  <c r="G27" i="12"/>
  <c r="G33" i="10"/>
  <c r="F52" i="9" l="1"/>
  <c r="F68" i="10"/>
  <c r="F23" i="13"/>
  <c r="I63" i="10"/>
  <c r="I64" i="10" s="1"/>
  <c r="J62" i="10" s="1"/>
  <c r="F14" i="15"/>
  <c r="F17" i="15"/>
  <c r="F20" i="15" s="1"/>
  <c r="F40" i="8"/>
  <c r="I30" i="12"/>
  <c r="J38" i="10"/>
  <c r="I39" i="10"/>
  <c r="I28" i="12"/>
  <c r="J34" i="10"/>
  <c r="I35" i="10"/>
  <c r="I57" i="10"/>
  <c r="I58" i="10" s="1"/>
  <c r="J56" i="10" s="1"/>
  <c r="I30" i="10"/>
  <c r="H31" i="10"/>
  <c r="H26" i="12"/>
  <c r="I66" i="10"/>
  <c r="I67" i="10" s="1"/>
  <c r="J65" i="10" s="1"/>
  <c r="H40" i="10"/>
  <c r="G41" i="10"/>
  <c r="G42" i="10" s="1"/>
  <c r="G31" i="12"/>
  <c r="G32" i="12" s="1"/>
  <c r="I54" i="10"/>
  <c r="I55" i="10" s="1"/>
  <c r="J53" i="10" s="1"/>
  <c r="I60" i="10"/>
  <c r="I61" i="10" s="1"/>
  <c r="J59" i="10" s="1"/>
  <c r="E53" i="9"/>
  <c r="C54" i="9" s="1"/>
  <c r="I100" i="2"/>
  <c r="H106" i="2"/>
  <c r="H108" i="2" s="1"/>
  <c r="G51" i="10"/>
  <c r="G69" i="10" s="1"/>
  <c r="G20" i="14" s="1"/>
  <c r="I32" i="10"/>
  <c r="H27" i="12"/>
  <c r="H33" i="10"/>
  <c r="F22" i="8"/>
  <c r="F19" i="14"/>
  <c r="G20" i="8"/>
  <c r="I29" i="12"/>
  <c r="I37" i="10"/>
  <c r="J36" i="10"/>
  <c r="F53" i="9" l="1"/>
  <c r="J57" i="10"/>
  <c r="J58" i="10" s="1"/>
  <c r="K56" i="10" s="1"/>
  <c r="J63" i="10"/>
  <c r="J64" i="10" s="1"/>
  <c r="K62" i="10" s="1"/>
  <c r="J54" i="10"/>
  <c r="J55" i="10" s="1"/>
  <c r="K53" i="10" s="1"/>
  <c r="K36" i="10"/>
  <c r="J29" i="12"/>
  <c r="J37" i="10"/>
  <c r="J66" i="10"/>
  <c r="J67" i="10" s="1"/>
  <c r="K65" i="10" s="1"/>
  <c r="G22" i="8"/>
  <c r="G19" i="14"/>
  <c r="G52" i="10"/>
  <c r="J60" i="10"/>
  <c r="J61" i="10" s="1"/>
  <c r="K59" i="10" s="1"/>
  <c r="H20" i="8"/>
  <c r="I26" i="12"/>
  <c r="J30" i="10"/>
  <c r="I31" i="10"/>
  <c r="J28" i="12"/>
  <c r="K34" i="10"/>
  <c r="J35" i="10"/>
  <c r="E54" i="9"/>
  <c r="C55" i="9" s="1"/>
  <c r="I27" i="12"/>
  <c r="I33" i="10"/>
  <c r="J32" i="10"/>
  <c r="F17" i="13"/>
  <c r="F15" i="16"/>
  <c r="F33" i="12"/>
  <c r="F48" i="8"/>
  <c r="I106" i="2"/>
  <c r="I108" i="2" s="1"/>
  <c r="J100" i="2"/>
  <c r="I40" i="10"/>
  <c r="H41" i="10"/>
  <c r="H42" i="10" s="1"/>
  <c r="H31" i="12"/>
  <c r="H32" i="12" s="1"/>
  <c r="J30" i="12"/>
  <c r="K38" i="10"/>
  <c r="J39" i="10"/>
  <c r="F18" i="16"/>
  <c r="F54" i="9" l="1"/>
  <c r="H23" i="13"/>
  <c r="K54" i="10"/>
  <c r="K55" i="10" s="1"/>
  <c r="L53" i="10" s="1"/>
  <c r="K63" i="10"/>
  <c r="K64" i="10" s="1"/>
  <c r="L62" i="10" s="1"/>
  <c r="K66" i="10"/>
  <c r="K67" i="10" s="1"/>
  <c r="L65" i="10" s="1"/>
  <c r="H22" i="8"/>
  <c r="H19" i="14"/>
  <c r="I20" i="8"/>
  <c r="K60" i="10"/>
  <c r="K61" i="10" s="1"/>
  <c r="L59" i="10" s="1"/>
  <c r="K32" i="10"/>
  <c r="J27" i="12"/>
  <c r="J33" i="10"/>
  <c r="E55" i="9"/>
  <c r="C56" i="9" s="1"/>
  <c r="H50" i="10"/>
  <c r="G68" i="10"/>
  <c r="K57" i="10"/>
  <c r="K58" i="10" s="1"/>
  <c r="L56" i="10" s="1"/>
  <c r="L36" i="10"/>
  <c r="K29" i="12"/>
  <c r="K37" i="10"/>
  <c r="K30" i="12"/>
  <c r="L38" i="10"/>
  <c r="K39" i="10"/>
  <c r="I31" i="12"/>
  <c r="I32" i="12" s="1"/>
  <c r="J40" i="10"/>
  <c r="I41" i="10"/>
  <c r="I42" i="10" s="1"/>
  <c r="G33" i="12"/>
  <c r="F34" i="12"/>
  <c r="J26" i="12"/>
  <c r="K30" i="10"/>
  <c r="J31" i="10"/>
  <c r="J106" i="2"/>
  <c r="J108" i="2" s="1"/>
  <c r="K100" i="2"/>
  <c r="K35" i="10"/>
  <c r="K28" i="12"/>
  <c r="L34" i="10"/>
  <c r="G17" i="13"/>
  <c r="G15" i="16"/>
  <c r="G48" i="8"/>
  <c r="F55" i="9" l="1"/>
  <c r="I22" i="8"/>
  <c r="I19" i="14"/>
  <c r="L57" i="10"/>
  <c r="L58" i="10" s="1"/>
  <c r="M56" i="10" s="1"/>
  <c r="L54" i="10"/>
  <c r="L55" i="10" s="1"/>
  <c r="M53" i="10" s="1"/>
  <c r="L66" i="10"/>
  <c r="L67" i="10" s="1"/>
  <c r="M65" i="10" s="1"/>
  <c r="L32" i="10"/>
  <c r="K27" i="12"/>
  <c r="K33" i="10"/>
  <c r="I23" i="13"/>
  <c r="K106" i="2"/>
  <c r="K108" i="2" s="1"/>
  <c r="L100" i="2"/>
  <c r="J41" i="10"/>
  <c r="J42" i="10" s="1"/>
  <c r="J31" i="12"/>
  <c r="J32" i="12" s="1"/>
  <c r="K40" i="10"/>
  <c r="E56" i="9"/>
  <c r="C57" i="9" s="1"/>
  <c r="K31" i="10"/>
  <c r="K26" i="12"/>
  <c r="L30" i="10"/>
  <c r="M36" i="10"/>
  <c r="L29" i="12"/>
  <c r="L37" i="10"/>
  <c r="J20" i="8"/>
  <c r="L60" i="10"/>
  <c r="L61" i="10" s="1"/>
  <c r="M59" i="10" s="1"/>
  <c r="L63" i="10"/>
  <c r="L64" i="10" s="1"/>
  <c r="M62" i="10" s="1"/>
  <c r="H18" i="16"/>
  <c r="M38" i="10"/>
  <c r="L30" i="12"/>
  <c r="M34" i="10"/>
  <c r="L35" i="10"/>
  <c r="L28" i="12"/>
  <c r="F36" i="12"/>
  <c r="F42" i="17"/>
  <c r="F115" i="2"/>
  <c r="F116" i="2" s="1"/>
  <c r="F29" i="11" s="1"/>
  <c r="H51" i="10"/>
  <c r="H69" i="10" s="1"/>
  <c r="H20" i="14" s="1"/>
  <c r="H33" i="12"/>
  <c r="G34" i="12"/>
  <c r="H17" i="13"/>
  <c r="H48" i="8"/>
  <c r="H15" i="16"/>
  <c r="M57" i="10" l="1"/>
  <c r="M58" i="10" s="1"/>
  <c r="N56" i="10" s="1"/>
  <c r="M60" i="10"/>
  <c r="M61" i="10" s="1"/>
  <c r="N59" i="10" s="1"/>
  <c r="M63" i="10"/>
  <c r="M64" i="10" s="1"/>
  <c r="N62" i="10" s="1"/>
  <c r="M30" i="10"/>
  <c r="L31" i="10"/>
  <c r="L26" i="12"/>
  <c r="J23" i="13"/>
  <c r="M66" i="10"/>
  <c r="M67" i="10" s="1"/>
  <c r="N65" i="10" s="1"/>
  <c r="H52" i="10"/>
  <c r="L40" i="10"/>
  <c r="K41" i="10"/>
  <c r="K42" i="10" s="1"/>
  <c r="K31" i="12"/>
  <c r="K32" i="12" s="1"/>
  <c r="M100" i="2"/>
  <c r="L106" i="2"/>
  <c r="L108" i="2" s="1"/>
  <c r="M28" i="12"/>
  <c r="N34" i="10"/>
  <c r="M35" i="10"/>
  <c r="I18" i="16"/>
  <c r="G36" i="12"/>
  <c r="G42" i="17"/>
  <c r="G115" i="2"/>
  <c r="G116" i="2" s="1"/>
  <c r="G29" i="11" s="1"/>
  <c r="K20" i="8"/>
  <c r="M54" i="10"/>
  <c r="M55" i="10" s="1"/>
  <c r="N53" i="10" s="1"/>
  <c r="J22" i="8"/>
  <c r="J19" i="14"/>
  <c r="M30" i="12"/>
  <c r="N38" i="10"/>
  <c r="E57" i="9"/>
  <c r="C58" i="9" s="1"/>
  <c r="I33" i="12"/>
  <c r="H34" i="12"/>
  <c r="F21" i="8"/>
  <c r="F55" i="11"/>
  <c r="F57" i="11" s="1"/>
  <c r="M29" i="12"/>
  <c r="M37" i="10"/>
  <c r="N36" i="10"/>
  <c r="F56" i="9"/>
  <c r="M32" i="10"/>
  <c r="L27" i="12"/>
  <c r="L33" i="10"/>
  <c r="I15" i="16"/>
  <c r="I48" i="8"/>
  <c r="I17" i="13"/>
  <c r="F57" i="9" l="1"/>
  <c r="N66" i="10"/>
  <c r="N67" i="10" s="1"/>
  <c r="O65" i="10" s="1"/>
  <c r="N63" i="10"/>
  <c r="N64" i="10" s="1"/>
  <c r="O62" i="10" s="1"/>
  <c r="N60" i="10"/>
  <c r="N61" i="10" s="1"/>
  <c r="O59" i="10" s="1"/>
  <c r="N57" i="10"/>
  <c r="N58" i="10" s="1"/>
  <c r="O56" i="10" s="1"/>
  <c r="N30" i="12"/>
  <c r="O38" i="10"/>
  <c r="O30" i="12" s="1"/>
  <c r="K22" i="8"/>
  <c r="K19" i="14"/>
  <c r="M27" i="12"/>
  <c r="M33" i="10"/>
  <c r="N32" i="10"/>
  <c r="J33" i="12"/>
  <c r="I34" i="12"/>
  <c r="G21" i="8"/>
  <c r="G55" i="11"/>
  <c r="G57" i="11" s="1"/>
  <c r="N28" i="12"/>
  <c r="O34" i="10"/>
  <c r="N35" i="10"/>
  <c r="M26" i="12"/>
  <c r="N30" i="10"/>
  <c r="M31" i="10"/>
  <c r="H68" i="10"/>
  <c r="I50" i="10"/>
  <c r="J18" i="16"/>
  <c r="F18" i="12"/>
  <c r="F67" i="11"/>
  <c r="O36" i="10"/>
  <c r="O29" i="12" s="1"/>
  <c r="N29" i="12"/>
  <c r="N37" i="10"/>
  <c r="F23" i="8"/>
  <c r="F26" i="8" s="1"/>
  <c r="F28" i="8" s="1"/>
  <c r="F30" i="8" s="1"/>
  <c r="F16" i="17"/>
  <c r="E58" i="9"/>
  <c r="C59" i="9" s="1"/>
  <c r="J17" i="13"/>
  <c r="J15" i="16"/>
  <c r="J48" i="8"/>
  <c r="L20" i="8"/>
  <c r="M40" i="10"/>
  <c r="L41" i="10"/>
  <c r="L42" i="10" s="1"/>
  <c r="L31" i="12"/>
  <c r="L32" i="12" s="1"/>
  <c r="H36" i="12"/>
  <c r="H42" i="17"/>
  <c r="H115" i="2"/>
  <c r="H116" i="2" s="1"/>
  <c r="H29" i="11" s="1"/>
  <c r="N54" i="10"/>
  <c r="N55" i="10" s="1"/>
  <c r="O53" i="10" s="1"/>
  <c r="M106" i="2"/>
  <c r="M108" i="2" s="1"/>
  <c r="N100" i="2"/>
  <c r="K23" i="13"/>
  <c r="F58" i="9" l="1"/>
  <c r="O63" i="10"/>
  <c r="O64" i="10" s="1"/>
  <c r="M20" i="8"/>
  <c r="F19" i="17"/>
  <c r="F20" i="17" s="1"/>
  <c r="F17" i="17"/>
  <c r="N26" i="12"/>
  <c r="O30" i="10"/>
  <c r="N31" i="10"/>
  <c r="K18" i="16"/>
  <c r="M31" i="12"/>
  <c r="N40" i="10"/>
  <c r="M41" i="10"/>
  <c r="M42" i="10" s="1"/>
  <c r="I51" i="10"/>
  <c r="I69" i="10" s="1"/>
  <c r="I20" i="14" s="1"/>
  <c r="M32" i="12"/>
  <c r="G18" i="12"/>
  <c r="G67" i="11"/>
  <c r="O32" i="10"/>
  <c r="N27" i="12"/>
  <c r="N33" i="10"/>
  <c r="K17" i="13"/>
  <c r="K15" i="16"/>
  <c r="K48" i="8"/>
  <c r="O54" i="10"/>
  <c r="O55" i="10" s="1"/>
  <c r="L23" i="13"/>
  <c r="F19" i="13"/>
  <c r="G16" i="17"/>
  <c r="G23" i="8"/>
  <c r="G26" i="8" s="1"/>
  <c r="G28" i="8" s="1"/>
  <c r="N106" i="2"/>
  <c r="N108" i="2" s="1"/>
  <c r="O100" i="2"/>
  <c r="O106" i="2" s="1"/>
  <c r="O108" i="2" s="1"/>
  <c r="H21" i="8"/>
  <c r="H55" i="11"/>
  <c r="H57" i="11" s="1"/>
  <c r="E59" i="9"/>
  <c r="C60" i="9" s="1"/>
  <c r="O35" i="10"/>
  <c r="O28" i="12"/>
  <c r="I36" i="12"/>
  <c r="I42" i="17"/>
  <c r="I115" i="2"/>
  <c r="I116" i="2" s="1"/>
  <c r="I29" i="11" s="1"/>
  <c r="L22" i="8"/>
  <c r="L19" i="14"/>
  <c r="K33" i="12"/>
  <c r="J34" i="12"/>
  <c r="O57" i="10"/>
  <c r="O58" i="10" s="1"/>
  <c r="O60" i="10"/>
  <c r="O61" i="10" s="1"/>
  <c r="O66" i="10"/>
  <c r="O67" i="10" s="1"/>
  <c r="I52" i="10" l="1"/>
  <c r="I68" i="10" s="1"/>
  <c r="N20" i="8"/>
  <c r="G19" i="13"/>
  <c r="O31" i="10"/>
  <c r="O26" i="12"/>
  <c r="F59" i="9"/>
  <c r="H18" i="12"/>
  <c r="H67" i="11"/>
  <c r="L18" i="16"/>
  <c r="M23" i="13"/>
  <c r="G17" i="17"/>
  <c r="G19" i="17"/>
  <c r="G20" i="17" s="1"/>
  <c r="L33" i="12"/>
  <c r="K34" i="12"/>
  <c r="L17" i="13"/>
  <c r="L48" i="8"/>
  <c r="L15" i="16"/>
  <c r="E60" i="9"/>
  <c r="C61" i="9" s="1"/>
  <c r="H23" i="8"/>
  <c r="H26" i="8" s="1"/>
  <c r="H28" i="8" s="1"/>
  <c r="H16" i="17"/>
  <c r="O27" i="12"/>
  <c r="O33" i="10"/>
  <c r="N41" i="10"/>
  <c r="N42" i="10" s="1"/>
  <c r="N31" i="12"/>
  <c r="N32" i="12" s="1"/>
  <c r="O40" i="10"/>
  <c r="J36" i="12"/>
  <c r="J42" i="17"/>
  <c r="J115" i="2"/>
  <c r="J116" i="2" s="1"/>
  <c r="J29" i="11" s="1"/>
  <c r="I21" i="8"/>
  <c r="I55" i="11"/>
  <c r="I57" i="11" s="1"/>
  <c r="O20" i="8"/>
  <c r="M22" i="8"/>
  <c r="M19" i="14"/>
  <c r="J50" i="10" l="1"/>
  <c r="F60" i="9"/>
  <c r="N23" i="13"/>
  <c r="M15" i="16"/>
  <c r="M48" i="8"/>
  <c r="M17" i="13"/>
  <c r="N22" i="8"/>
  <c r="N19" i="14"/>
  <c r="I23" i="8"/>
  <c r="I26" i="8" s="1"/>
  <c r="I28" i="8" s="1"/>
  <c r="I16" i="17"/>
  <c r="O41" i="10"/>
  <c r="O31" i="12"/>
  <c r="O32" i="12" s="1"/>
  <c r="J51" i="10"/>
  <c r="J69" i="10" s="1"/>
  <c r="J20" i="14" s="1"/>
  <c r="I18" i="12"/>
  <c r="I67" i="11"/>
  <c r="J21" i="8"/>
  <c r="J55" i="11"/>
  <c r="J57" i="11" s="1"/>
  <c r="E61" i="9"/>
  <c r="C62" i="9" s="1"/>
  <c r="K36" i="12"/>
  <c r="K42" i="17"/>
  <c r="K115" i="2"/>
  <c r="K116" i="2" s="1"/>
  <c r="K29" i="11" s="1"/>
  <c r="M18" i="16"/>
  <c r="H17" i="17"/>
  <c r="H19" i="17"/>
  <c r="H20" i="17" s="1"/>
  <c r="M33" i="12"/>
  <c r="L34" i="12"/>
  <c r="H19" i="13"/>
  <c r="O42" i="10"/>
  <c r="L36" i="12" l="1"/>
  <c r="L42" i="17"/>
  <c r="L115" i="2"/>
  <c r="L116" i="2" s="1"/>
  <c r="L29" i="11" s="1"/>
  <c r="O22" i="8"/>
  <c r="O19" i="14"/>
  <c r="N33" i="12"/>
  <c r="M34" i="12"/>
  <c r="O23" i="13"/>
  <c r="J52" i="10"/>
  <c r="I19" i="13"/>
  <c r="F61" i="9"/>
  <c r="J18" i="12"/>
  <c r="J67" i="11"/>
  <c r="N17" i="13"/>
  <c r="N15" i="16"/>
  <c r="N48" i="8"/>
  <c r="K21" i="8"/>
  <c r="K55" i="11"/>
  <c r="K57" i="11" s="1"/>
  <c r="E62" i="9"/>
  <c r="C63" i="9" s="1"/>
  <c r="J16" i="17"/>
  <c r="J23" i="8"/>
  <c r="J26" i="8" s="1"/>
  <c r="J28" i="8" s="1"/>
  <c r="I19" i="17"/>
  <c r="I20" i="17" s="1"/>
  <c r="I17" i="17"/>
  <c r="N18" i="16"/>
  <c r="E63" i="9" l="1"/>
  <c r="C65" i="9" s="1"/>
  <c r="J19" i="17"/>
  <c r="J20" i="17" s="1"/>
  <c r="J17" i="17"/>
  <c r="K23" i="8"/>
  <c r="K26" i="8" s="1"/>
  <c r="K28" i="8" s="1"/>
  <c r="K16" i="17"/>
  <c r="O18" i="16"/>
  <c r="F62" i="9"/>
  <c r="J19" i="13"/>
  <c r="O17" i="13"/>
  <c r="O15" i="16"/>
  <c r="O48" i="8"/>
  <c r="M36" i="12"/>
  <c r="M42" i="17"/>
  <c r="F43" i="17" s="1"/>
  <c r="M115" i="2"/>
  <c r="M116" i="2" s="1"/>
  <c r="M29" i="11" s="1"/>
  <c r="L21" i="8"/>
  <c r="L55" i="11"/>
  <c r="L57" i="11" s="1"/>
  <c r="K18" i="12"/>
  <c r="K67" i="11"/>
  <c r="K50" i="10"/>
  <c r="J68" i="10"/>
  <c r="O33" i="12"/>
  <c r="O34" i="12" s="1"/>
  <c r="N34" i="12"/>
  <c r="L18" i="12" l="1"/>
  <c r="L67" i="11"/>
  <c r="N36" i="12"/>
  <c r="N115" i="2"/>
  <c r="N116" i="2" s="1"/>
  <c r="N29" i="11" s="1"/>
  <c r="K51" i="10"/>
  <c r="K69" i="10" s="1"/>
  <c r="K20" i="14" s="1"/>
  <c r="L16" i="17"/>
  <c r="L23" i="8"/>
  <c r="L26" i="8" s="1"/>
  <c r="L28" i="8" s="1"/>
  <c r="O36" i="12"/>
  <c r="O115" i="2"/>
  <c r="O116" i="2" s="1"/>
  <c r="O29" i="11" s="1"/>
  <c r="K19" i="13"/>
  <c r="M21" i="8"/>
  <c r="M55" i="11"/>
  <c r="M57" i="11" s="1"/>
  <c r="K17" i="17"/>
  <c r="K19" i="17"/>
  <c r="K20" i="17" s="1"/>
  <c r="F63" i="9"/>
  <c r="G16" i="9" s="1"/>
  <c r="G18" i="9" s="1"/>
  <c r="G38" i="8" s="1"/>
  <c r="E65" i="9"/>
  <c r="C66" i="9" s="1"/>
  <c r="F65" i="9" l="1"/>
  <c r="E66" i="9"/>
  <c r="C67" i="9" s="1"/>
  <c r="L17" i="17"/>
  <c r="L19" i="17"/>
  <c r="L20" i="17" s="1"/>
  <c r="M18" i="12"/>
  <c r="M67" i="11"/>
  <c r="O21" i="8"/>
  <c r="O55" i="11"/>
  <c r="O57" i="11" s="1"/>
  <c r="G14" i="15"/>
  <c r="G17" i="15"/>
  <c r="G20" i="15" s="1"/>
  <c r="G40" i="8"/>
  <c r="M23" i="8"/>
  <c r="M26" i="8" s="1"/>
  <c r="M28" i="8" s="1"/>
  <c r="M16" i="17"/>
  <c r="K52" i="10"/>
  <c r="N21" i="8"/>
  <c r="N55" i="11"/>
  <c r="N57" i="11" s="1"/>
  <c r="L19" i="13"/>
  <c r="F66" i="9" l="1"/>
  <c r="N16" i="17"/>
  <c r="N23" i="8"/>
  <c r="N26" i="8" s="1"/>
  <c r="N28" i="8" s="1"/>
  <c r="N18" i="12"/>
  <c r="N19" i="13" s="1"/>
  <c r="N67" i="11"/>
  <c r="M19" i="17"/>
  <c r="M20" i="17" s="1"/>
  <c r="M17" i="17"/>
  <c r="M19" i="13"/>
  <c r="O18" i="12"/>
  <c r="O67" i="11"/>
  <c r="E67" i="9"/>
  <c r="C68" i="9" s="1"/>
  <c r="L50" i="10"/>
  <c r="K68" i="10"/>
  <c r="O23" i="8"/>
  <c r="O26" i="8" s="1"/>
  <c r="O28" i="8" s="1"/>
  <c r="O16" i="17"/>
  <c r="O19" i="13" l="1"/>
  <c r="L51" i="10"/>
  <c r="L69" i="10" s="1"/>
  <c r="L20" i="14" s="1"/>
  <c r="E68" i="9"/>
  <c r="C69" i="9" s="1"/>
  <c r="O17" i="17"/>
  <c r="O19" i="17"/>
  <c r="O20" i="17" s="1"/>
  <c r="F67" i="9"/>
  <c r="N19" i="17"/>
  <c r="N20" i="17" s="1"/>
  <c r="N17" i="17"/>
  <c r="F68" i="9" l="1"/>
  <c r="E69" i="9"/>
  <c r="C70" i="9" s="1"/>
  <c r="L52" i="10"/>
  <c r="E70" i="9" l="1"/>
  <c r="C71" i="9" s="1"/>
  <c r="L68" i="10"/>
  <c r="M50" i="10"/>
  <c r="F69" i="9"/>
  <c r="E71" i="9" l="1"/>
  <c r="C72" i="9" s="1"/>
  <c r="M51" i="10"/>
  <c r="M69" i="10" s="1"/>
  <c r="M20" i="14" s="1"/>
  <c r="F70" i="9"/>
  <c r="M52" i="10" l="1"/>
  <c r="N50" i="10" s="1"/>
  <c r="F71" i="9"/>
  <c r="E72" i="9"/>
  <c r="C73" i="9" s="1"/>
  <c r="M68" i="10" l="1"/>
  <c r="F72" i="9"/>
  <c r="N51" i="10"/>
  <c r="N69" i="10" s="1"/>
  <c r="N20" i="14" s="1"/>
  <c r="E73" i="9"/>
  <c r="C74" i="9" s="1"/>
  <c r="F73" i="9" l="1"/>
  <c r="E74" i="9"/>
  <c r="C75" i="9" s="1"/>
  <c r="N52" i="10"/>
  <c r="F74" i="9" l="1"/>
  <c r="O50" i="10"/>
  <c r="N68" i="10"/>
  <c r="E75" i="9"/>
  <c r="C76" i="9" s="1"/>
  <c r="F75" i="9" l="1"/>
  <c r="E76" i="9"/>
  <c r="C78" i="9" s="1"/>
  <c r="O51" i="10"/>
  <c r="O69" i="10" s="1"/>
  <c r="O20" i="14" s="1"/>
  <c r="F76" i="9" l="1"/>
  <c r="H16" i="9" s="1"/>
  <c r="H18" i="9" s="1"/>
  <c r="H38" i="8" s="1"/>
  <c r="H14" i="15" s="1"/>
  <c r="O52" i="10"/>
  <c r="O68" i="10" s="1"/>
  <c r="E78" i="9"/>
  <c r="C79" i="9" s="1"/>
  <c r="H40" i="8" l="1"/>
  <c r="H17" i="15"/>
  <c r="H20" i="15" s="1"/>
  <c r="F78" i="9"/>
  <c r="E79" i="9"/>
  <c r="C80" i="9" s="1"/>
  <c r="E80" i="9" l="1"/>
  <c r="C81" i="9" s="1"/>
  <c r="F79" i="9"/>
  <c r="F80" i="9" l="1"/>
  <c r="E81" i="9"/>
  <c r="C82" i="9" s="1"/>
  <c r="F81" i="9" l="1"/>
  <c r="E82" i="9"/>
  <c r="C83" i="9" s="1"/>
  <c r="E83" i="9" l="1"/>
  <c r="C84" i="9" s="1"/>
  <c r="F82" i="9"/>
  <c r="F83" i="9" l="1"/>
  <c r="E84" i="9"/>
  <c r="C85" i="9" s="1"/>
  <c r="F84" i="9" l="1"/>
  <c r="E85" i="9"/>
  <c r="C86" i="9" s="1"/>
  <c r="F85" i="9" l="1"/>
  <c r="E86" i="9"/>
  <c r="C87" i="9" s="1"/>
  <c r="E87" i="9" l="1"/>
  <c r="C88" i="9" s="1"/>
  <c r="F86" i="9"/>
  <c r="E88" i="9" l="1"/>
  <c r="C89" i="9" s="1"/>
  <c r="F87" i="9"/>
  <c r="F88" i="9" l="1"/>
  <c r="E89" i="9"/>
  <c r="C91" i="9" s="1"/>
  <c r="E91" i="9" l="1"/>
  <c r="C92" i="9" s="1"/>
  <c r="F89" i="9"/>
  <c r="I16" i="9" s="1"/>
  <c r="I18" i="9" s="1"/>
  <c r="I38" i="8" s="1"/>
  <c r="E92" i="9" l="1"/>
  <c r="C93" i="9" s="1"/>
  <c r="I14" i="15"/>
  <c r="I17" i="15"/>
  <c r="I20" i="15" s="1"/>
  <c r="I40" i="8"/>
  <c r="F91" i="9"/>
  <c r="E93" i="9" l="1"/>
  <c r="C94" i="9" s="1"/>
  <c r="F92" i="9"/>
  <c r="F93" i="9" l="1"/>
  <c r="E94" i="9"/>
  <c r="C95" i="9" s="1"/>
  <c r="F94" i="9" l="1"/>
  <c r="E95" i="9"/>
  <c r="C96" i="9" s="1"/>
  <c r="F95" i="9" l="1"/>
  <c r="E96" i="9"/>
  <c r="C97" i="9" s="1"/>
  <c r="F96" i="9" l="1"/>
  <c r="E97" i="9"/>
  <c r="C98" i="9" s="1"/>
  <c r="F97" i="9" l="1"/>
  <c r="E98" i="9"/>
  <c r="C99" i="9" s="1"/>
  <c r="F98" i="9" l="1"/>
  <c r="E99" i="9"/>
  <c r="C100" i="9" s="1"/>
  <c r="E100" i="9" l="1"/>
  <c r="C101" i="9" s="1"/>
  <c r="F99" i="9"/>
  <c r="F100" i="9" l="1"/>
  <c r="E101" i="9"/>
  <c r="C102" i="9" s="1"/>
  <c r="F101" i="9" l="1"/>
  <c r="E102" i="9"/>
  <c r="C104" i="9" s="1"/>
  <c r="F102" i="9" l="1"/>
  <c r="J16" i="9" s="1"/>
  <c r="J18" i="9" s="1"/>
  <c r="J38" i="8" s="1"/>
  <c r="J14" i="15" s="1"/>
  <c r="E104" i="9"/>
  <c r="C105" i="9" s="1"/>
  <c r="J40" i="8" l="1"/>
  <c r="J17" i="15"/>
  <c r="J20" i="15" s="1"/>
  <c r="E105" i="9"/>
  <c r="C106" i="9" s="1"/>
  <c r="F104" i="9"/>
  <c r="F105" i="9" l="1"/>
  <c r="E106" i="9"/>
  <c r="C107" i="9" s="1"/>
  <c r="F106" i="9"/>
  <c r="E107" i="9" l="1"/>
  <c r="C108" i="9" s="1"/>
  <c r="F107" i="9"/>
  <c r="E108" i="9" l="1"/>
  <c r="C109" i="9" s="1"/>
  <c r="F108" i="9" l="1"/>
  <c r="E109" i="9"/>
  <c r="C110" i="9" s="1"/>
  <c r="F109" i="9" l="1"/>
  <c r="E110" i="9"/>
  <c r="C111" i="9" s="1"/>
  <c r="F110" i="9" l="1"/>
  <c r="E111" i="9"/>
  <c r="C112" i="9" s="1"/>
  <c r="F111" i="9" l="1"/>
  <c r="E112" i="9"/>
  <c r="C113" i="9" s="1"/>
  <c r="F112" i="9"/>
  <c r="E113" i="9" l="1"/>
  <c r="C114" i="9" s="1"/>
  <c r="F113" i="9" l="1"/>
  <c r="E114" i="9"/>
  <c r="C115" i="9" s="1"/>
  <c r="F114" i="9" l="1"/>
  <c r="E115" i="9"/>
  <c r="C117" i="9" s="1"/>
  <c r="F115" i="9" l="1"/>
  <c r="K16" i="9" s="1"/>
  <c r="K18" i="9" s="1"/>
  <c r="K38" i="8" s="1"/>
  <c r="K17" i="15" s="1"/>
  <c r="K20" i="15" s="1"/>
  <c r="E117" i="9"/>
  <c r="C118" i="9" s="1"/>
  <c r="K40" i="8" l="1"/>
  <c r="K14" i="15"/>
  <c r="E118" i="9"/>
  <c r="C119" i="9" s="1"/>
  <c r="F117" i="9"/>
  <c r="F118" i="9" l="1"/>
  <c r="E119" i="9"/>
  <c r="C120" i="9" s="1"/>
  <c r="F119" i="9" l="1"/>
  <c r="E120" i="9"/>
  <c r="C121" i="9" s="1"/>
  <c r="F120" i="9" l="1"/>
  <c r="E121" i="9"/>
  <c r="C122" i="9" s="1"/>
  <c r="F121" i="9" l="1"/>
  <c r="E122" i="9"/>
  <c r="C123" i="9" s="1"/>
  <c r="F122" i="9" l="1"/>
  <c r="E123" i="9"/>
  <c r="C124" i="9" s="1"/>
  <c r="F123" i="9" l="1"/>
  <c r="E124" i="9"/>
  <c r="C125" i="9" s="1"/>
  <c r="F124" i="9" l="1"/>
  <c r="E125" i="9"/>
  <c r="C126" i="9" s="1"/>
  <c r="F125" i="9" l="1"/>
  <c r="E126" i="9"/>
  <c r="C127" i="9" s="1"/>
  <c r="F126" i="9" l="1"/>
  <c r="E127" i="9"/>
  <c r="C128" i="9" s="1"/>
  <c r="F127" i="9" l="1"/>
  <c r="E128" i="9"/>
  <c r="C130" i="9" s="1"/>
  <c r="F128" i="9" l="1"/>
  <c r="L16" i="9" s="1"/>
  <c r="L18" i="9" s="1"/>
  <c r="L38" i="8" s="1"/>
  <c r="L14" i="15" s="1"/>
  <c r="E130" i="9"/>
  <c r="C131" i="9" s="1"/>
  <c r="L40" i="8" l="1"/>
  <c r="L17" i="15"/>
  <c r="L20" i="15" s="1"/>
  <c r="E131" i="9"/>
  <c r="C132" i="9" s="1"/>
  <c r="F130" i="9"/>
  <c r="F131" i="9" l="1"/>
  <c r="E132" i="9"/>
  <c r="C133" i="9" s="1"/>
  <c r="F132" i="9" l="1"/>
  <c r="E133" i="9"/>
  <c r="C134" i="9" s="1"/>
  <c r="F133" i="9" l="1"/>
  <c r="E134" i="9"/>
  <c r="C135" i="9" s="1"/>
  <c r="F134" i="9" l="1"/>
  <c r="E135" i="9"/>
  <c r="C136" i="9" s="1"/>
  <c r="F135" i="9" l="1"/>
  <c r="E136" i="9"/>
  <c r="C137" i="9" s="1"/>
  <c r="F136" i="9" l="1"/>
  <c r="E137" i="9"/>
  <c r="C138" i="9" s="1"/>
  <c r="F137" i="9" l="1"/>
  <c r="E138" i="9"/>
  <c r="C139" i="9" s="1"/>
  <c r="F138" i="9" l="1"/>
  <c r="E139" i="9"/>
  <c r="C140" i="9" s="1"/>
  <c r="F139" i="9" l="1"/>
  <c r="E140" i="9"/>
  <c r="C141" i="9" s="1"/>
  <c r="F140" i="9" l="1"/>
  <c r="E141" i="9"/>
  <c r="C143" i="9" s="1"/>
  <c r="F141" i="9" l="1"/>
  <c r="M16" i="9" s="1"/>
  <c r="M18" i="9" s="1"/>
  <c r="M38" i="8" s="1"/>
  <c r="M14" i="15" s="1"/>
  <c r="E143" i="9"/>
  <c r="C144" i="9" s="1"/>
  <c r="M40" i="8" l="1"/>
  <c r="M17" i="15"/>
  <c r="M20" i="15" s="1"/>
  <c r="E144" i="9"/>
  <c r="C145" i="9" s="1"/>
  <c r="F143" i="9"/>
  <c r="F144" i="9" l="1"/>
  <c r="E145" i="9"/>
  <c r="C146" i="9" s="1"/>
  <c r="F145" i="9" l="1"/>
  <c r="E146" i="9"/>
  <c r="C147" i="9" s="1"/>
  <c r="F146" i="9" l="1"/>
  <c r="E147" i="9"/>
  <c r="C148" i="9" s="1"/>
  <c r="F147" i="9" l="1"/>
  <c r="E148" i="9"/>
  <c r="C149" i="9" s="1"/>
  <c r="F148" i="9" l="1"/>
  <c r="E149" i="9"/>
  <c r="C150" i="9" s="1"/>
  <c r="F149" i="9"/>
  <c r="E150" i="9" l="1"/>
  <c r="C151" i="9" s="1"/>
  <c r="F150" i="9" l="1"/>
  <c r="E151" i="9"/>
  <c r="C152" i="9" s="1"/>
  <c r="F151" i="9" l="1"/>
  <c r="E152" i="9"/>
  <c r="C153" i="9" s="1"/>
  <c r="F152" i="9" l="1"/>
  <c r="E153" i="9"/>
  <c r="C154" i="9" s="1"/>
  <c r="F153" i="9" l="1"/>
  <c r="E154" i="9"/>
  <c r="C156" i="9" s="1"/>
  <c r="F154" i="9" l="1"/>
  <c r="N16" i="9" s="1"/>
  <c r="N18" i="9" s="1"/>
  <c r="N38" i="8" s="1"/>
  <c r="N14" i="15" s="1"/>
  <c r="E156" i="9"/>
  <c r="C157" i="9" s="1"/>
  <c r="N17" i="15" l="1"/>
  <c r="N20" i="15" s="1"/>
  <c r="N40" i="8"/>
  <c r="E157" i="9"/>
  <c r="C158" i="9" s="1"/>
  <c r="F156" i="9"/>
  <c r="F157" i="9" l="1"/>
  <c r="E158" i="9"/>
  <c r="C159" i="9" s="1"/>
  <c r="F158" i="9" l="1"/>
  <c r="E159" i="9"/>
  <c r="C160" i="9" s="1"/>
  <c r="F159" i="9" l="1"/>
  <c r="E160" i="9"/>
  <c r="C161" i="9" s="1"/>
  <c r="F160" i="9" l="1"/>
  <c r="E161" i="9"/>
  <c r="C162" i="9" s="1"/>
  <c r="F161" i="9" l="1"/>
  <c r="E162" i="9"/>
  <c r="C163" i="9" s="1"/>
  <c r="D163" i="9" s="1"/>
  <c r="F162" i="9" l="1"/>
  <c r="E163" i="9"/>
  <c r="C164" i="9" s="1"/>
  <c r="D164" i="9" s="1"/>
  <c r="E164" i="9" l="1"/>
  <c r="C165" i="9" s="1"/>
  <c r="D165" i="9" s="1"/>
  <c r="F163" i="9"/>
  <c r="F164" i="9" l="1"/>
  <c r="E165" i="9"/>
  <c r="C166" i="9" s="1"/>
  <c r="D166" i="9" s="1"/>
  <c r="F165" i="9" l="1"/>
  <c r="E166" i="9"/>
  <c r="C167" i="9" s="1"/>
  <c r="D167" i="9" s="1"/>
  <c r="F166" i="9" l="1"/>
  <c r="E167" i="9"/>
  <c r="F167" i="9" s="1"/>
  <c r="F168" i="9" l="1"/>
  <c r="O16" i="9"/>
  <c r="O18" i="9" s="1"/>
  <c r="O38" i="8" s="1"/>
  <c r="O14" i="9"/>
  <c r="D168" i="9"/>
  <c r="N19" i="12" l="1"/>
  <c r="N15" i="12" s="1"/>
  <c r="O19" i="15"/>
  <c r="O24" i="13"/>
  <c r="O15" i="9"/>
  <c r="O14" i="15"/>
  <c r="O17" i="15"/>
  <c r="O20" i="15" s="1"/>
  <c r="O40" i="8"/>
  <c r="O51" i="8" l="1"/>
  <c r="O15" i="12"/>
  <c r="D13" i="12" l="1"/>
  <c r="E13" i="12"/>
  <c r="F13" i="12"/>
  <c r="G13" i="12"/>
  <c r="H13" i="12"/>
  <c r="I13" i="12"/>
  <c r="J13" i="12"/>
  <c r="K13" i="12"/>
  <c r="L13" i="12"/>
  <c r="M13" i="12"/>
  <c r="N13" i="12"/>
  <c r="O13" i="12"/>
  <c r="F14" i="12"/>
  <c r="G14" i="12"/>
  <c r="H14" i="12"/>
  <c r="I14" i="12"/>
  <c r="J14" i="12"/>
  <c r="K14" i="12"/>
  <c r="L14" i="12"/>
  <c r="M14" i="12"/>
  <c r="N14" i="12"/>
  <c r="O14" i="12"/>
  <c r="F22" i="12"/>
  <c r="G22" i="12"/>
  <c r="H22" i="12"/>
  <c r="I22" i="12"/>
  <c r="J22" i="12"/>
  <c r="K22" i="12"/>
  <c r="L22" i="12"/>
  <c r="M22" i="12"/>
  <c r="N22" i="12"/>
  <c r="O22" i="12"/>
  <c r="D23" i="12"/>
  <c r="E23" i="12"/>
  <c r="F23" i="12"/>
  <c r="G23" i="12"/>
  <c r="H23" i="12"/>
  <c r="I23" i="12"/>
  <c r="J23" i="12"/>
  <c r="K23" i="12"/>
  <c r="L23" i="12"/>
  <c r="M23" i="12"/>
  <c r="N23" i="12"/>
  <c r="O23" i="12"/>
  <c r="D27" i="12"/>
  <c r="D32" i="12"/>
  <c r="D34" i="12"/>
  <c r="D36" i="12"/>
  <c r="F39" i="12"/>
  <c r="G39" i="12"/>
  <c r="H39" i="12"/>
  <c r="I39" i="12"/>
  <c r="J39" i="12"/>
  <c r="K39" i="12"/>
  <c r="L39" i="12"/>
  <c r="M39" i="12"/>
  <c r="N39" i="12"/>
  <c r="O39" i="12"/>
  <c r="D40" i="12"/>
  <c r="E40" i="12"/>
  <c r="F40" i="12"/>
  <c r="G40" i="12"/>
  <c r="H40" i="12"/>
  <c r="I40" i="12"/>
  <c r="J40" i="12"/>
  <c r="K40" i="12"/>
  <c r="L40" i="12"/>
  <c r="M40" i="12"/>
  <c r="N40" i="12"/>
  <c r="O40" i="12"/>
  <c r="D42" i="12"/>
  <c r="E42" i="12"/>
  <c r="F42" i="12"/>
  <c r="G42" i="12"/>
  <c r="H42" i="12"/>
  <c r="I42" i="12"/>
  <c r="J42" i="12"/>
  <c r="K42" i="12"/>
  <c r="L42" i="12"/>
  <c r="M42" i="12"/>
  <c r="N42" i="12"/>
  <c r="O42" i="12"/>
  <c r="F44" i="12"/>
  <c r="G44" i="12"/>
  <c r="H44" i="12"/>
  <c r="I44" i="12"/>
  <c r="J44" i="12"/>
  <c r="K44" i="12"/>
  <c r="L44" i="12"/>
  <c r="M44" i="12"/>
  <c r="N44" i="12"/>
  <c r="O44" i="12"/>
  <c r="D45" i="12"/>
  <c r="E45" i="12"/>
  <c r="F45" i="12"/>
  <c r="G45" i="12"/>
  <c r="H45" i="12"/>
  <c r="I45" i="12"/>
  <c r="J45" i="12"/>
  <c r="K45" i="12"/>
  <c r="L45" i="12"/>
  <c r="M45" i="12"/>
  <c r="N45" i="12"/>
  <c r="O45" i="12"/>
  <c r="D47" i="12"/>
  <c r="E47" i="12"/>
  <c r="F47" i="12"/>
  <c r="G47" i="12"/>
  <c r="H47" i="12"/>
  <c r="I47" i="12"/>
  <c r="J47" i="12"/>
  <c r="K47" i="12"/>
  <c r="L47" i="12"/>
  <c r="M47" i="12"/>
  <c r="N47" i="12"/>
  <c r="O47" i="12"/>
  <c r="F13" i="13"/>
  <c r="G13" i="13"/>
  <c r="H13" i="13"/>
  <c r="I13" i="13"/>
  <c r="J13" i="13"/>
  <c r="K13" i="13"/>
  <c r="L13" i="13"/>
  <c r="M13" i="13"/>
  <c r="N13" i="13"/>
  <c r="O13" i="13"/>
  <c r="D14" i="13"/>
  <c r="E14" i="13"/>
  <c r="F14" i="13"/>
  <c r="G14" i="13"/>
  <c r="H14" i="13"/>
  <c r="I14" i="13"/>
  <c r="J14" i="13"/>
  <c r="K14" i="13"/>
  <c r="L14" i="13"/>
  <c r="M14" i="13"/>
  <c r="N14" i="13"/>
  <c r="O14" i="13"/>
  <c r="D20" i="13"/>
  <c r="E20" i="13"/>
  <c r="F20" i="13"/>
  <c r="G20" i="13"/>
  <c r="H20" i="13"/>
  <c r="I20" i="13"/>
  <c r="J20" i="13"/>
  <c r="K20" i="13"/>
  <c r="L20" i="13"/>
  <c r="M20" i="13"/>
  <c r="N20" i="13"/>
  <c r="O20" i="13"/>
  <c r="D23" i="13"/>
  <c r="E23" i="13"/>
  <c r="F26" i="13"/>
  <c r="G26" i="13"/>
  <c r="H26" i="13"/>
  <c r="I26" i="13"/>
  <c r="J26" i="13"/>
  <c r="K26" i="13"/>
  <c r="L26" i="13"/>
  <c r="M26" i="13"/>
  <c r="N26" i="13"/>
  <c r="O26" i="13"/>
  <c r="D30" i="13"/>
  <c r="E30" i="13"/>
  <c r="F30" i="13"/>
  <c r="G30" i="13"/>
  <c r="H30" i="13"/>
  <c r="I30" i="13"/>
  <c r="J30" i="13"/>
  <c r="K30" i="13"/>
  <c r="L30" i="13"/>
  <c r="M30" i="13"/>
  <c r="N30" i="13"/>
  <c r="O30" i="13"/>
  <c r="E31" i="13"/>
  <c r="F31" i="13"/>
  <c r="G31" i="13"/>
  <c r="H31" i="13"/>
  <c r="I31" i="13"/>
  <c r="J31" i="13"/>
  <c r="K31" i="13"/>
  <c r="L31" i="13"/>
  <c r="M31" i="13"/>
  <c r="N31" i="13"/>
  <c r="O31" i="13"/>
  <c r="D32" i="13"/>
  <c r="E32" i="13"/>
  <c r="F32" i="13"/>
  <c r="G32" i="13"/>
  <c r="H32" i="13"/>
  <c r="I32" i="13"/>
  <c r="J32" i="13"/>
  <c r="K32" i="13"/>
  <c r="L32" i="13"/>
  <c r="M32" i="13"/>
  <c r="N32" i="13"/>
  <c r="O32" i="13"/>
  <c r="D33" i="13"/>
  <c r="E33" i="13"/>
  <c r="F33" i="13"/>
  <c r="G33" i="13"/>
  <c r="H33" i="13"/>
  <c r="I33" i="13"/>
  <c r="J33" i="13"/>
  <c r="K33" i="13"/>
  <c r="L33" i="13"/>
  <c r="M33" i="13"/>
  <c r="N33" i="13"/>
  <c r="O33" i="13"/>
  <c r="F13" i="15"/>
  <c r="G13" i="15"/>
  <c r="H13" i="15"/>
  <c r="I13" i="15"/>
  <c r="J13" i="15"/>
  <c r="K13" i="15"/>
  <c r="L13" i="15"/>
  <c r="M13" i="15"/>
  <c r="N13" i="15"/>
  <c r="O13" i="15"/>
  <c r="F16" i="15"/>
  <c r="G16" i="15"/>
  <c r="H16" i="15"/>
  <c r="I16" i="15"/>
  <c r="J16" i="15"/>
  <c r="K16" i="15"/>
  <c r="L16" i="15"/>
  <c r="M16" i="15"/>
  <c r="N16" i="15"/>
  <c r="O16" i="15"/>
  <c r="F21" i="15"/>
  <c r="G21" i="15"/>
  <c r="H21" i="15"/>
  <c r="I21" i="15"/>
  <c r="J21" i="15"/>
  <c r="K21" i="15"/>
  <c r="L21" i="15"/>
  <c r="M21" i="15"/>
  <c r="N21" i="15"/>
  <c r="O21" i="15"/>
  <c r="F22" i="15"/>
  <c r="F23" i="15"/>
  <c r="G29" i="8"/>
  <c r="H29" i="8"/>
  <c r="I29" i="8"/>
  <c r="J29" i="8"/>
  <c r="K29" i="8"/>
  <c r="L29" i="8"/>
  <c r="M29" i="8"/>
  <c r="N29" i="8"/>
  <c r="O29" i="8"/>
  <c r="G30" i="8"/>
  <c r="H30" i="8"/>
  <c r="I30" i="8"/>
  <c r="J30" i="8"/>
  <c r="K30" i="8"/>
  <c r="L30" i="8"/>
  <c r="M30" i="8"/>
  <c r="N30" i="8"/>
  <c r="O30" i="8"/>
  <c r="F31" i="8"/>
  <c r="G31" i="8"/>
  <c r="H31" i="8"/>
  <c r="I31" i="8"/>
  <c r="J31" i="8"/>
  <c r="K31" i="8"/>
  <c r="L31" i="8"/>
  <c r="M31" i="8"/>
  <c r="N31" i="8"/>
  <c r="O31" i="8"/>
  <c r="F32" i="8"/>
  <c r="G32" i="8"/>
  <c r="H32" i="8"/>
  <c r="I32" i="8"/>
  <c r="J32" i="8"/>
  <c r="K32" i="8"/>
  <c r="L32" i="8"/>
  <c r="M32" i="8"/>
  <c r="N32" i="8"/>
  <c r="O32" i="8"/>
  <c r="F35" i="8"/>
  <c r="G35" i="8"/>
  <c r="H35" i="8"/>
  <c r="I35" i="8"/>
  <c r="J35" i="8"/>
  <c r="K35" i="8"/>
  <c r="L35" i="8"/>
  <c r="M35" i="8"/>
  <c r="N35" i="8"/>
  <c r="O35" i="8"/>
  <c r="F36" i="8"/>
  <c r="G36" i="8"/>
  <c r="H36" i="8"/>
  <c r="I36" i="8"/>
  <c r="J36" i="8"/>
  <c r="K36" i="8"/>
  <c r="L36" i="8"/>
  <c r="M36" i="8"/>
  <c r="N36" i="8"/>
  <c r="O36" i="8"/>
  <c r="F41" i="8"/>
  <c r="G41" i="8"/>
  <c r="H41" i="8"/>
  <c r="I41" i="8"/>
  <c r="J41" i="8"/>
  <c r="K41" i="8"/>
  <c r="L41" i="8"/>
  <c r="M41" i="8"/>
  <c r="N41" i="8"/>
  <c r="O41" i="8"/>
  <c r="F42" i="8"/>
  <c r="G42" i="8"/>
  <c r="H42" i="8"/>
  <c r="I42" i="8"/>
  <c r="J42" i="8"/>
  <c r="K42" i="8"/>
  <c r="L42" i="8"/>
  <c r="M42" i="8"/>
  <c r="N42" i="8"/>
  <c r="O42" i="8"/>
  <c r="F43" i="8"/>
  <c r="G43" i="8"/>
  <c r="H43" i="8"/>
  <c r="I43" i="8"/>
  <c r="J43" i="8"/>
  <c r="K43" i="8"/>
  <c r="L43" i="8"/>
  <c r="M43" i="8"/>
  <c r="N43" i="8"/>
  <c r="O43" i="8"/>
  <c r="F47" i="8"/>
  <c r="G47" i="8"/>
  <c r="H47" i="8"/>
  <c r="I47" i="8"/>
  <c r="J47" i="8"/>
  <c r="K47" i="8"/>
  <c r="L47" i="8"/>
  <c r="M47" i="8"/>
  <c r="N47" i="8"/>
  <c r="O47" i="8"/>
  <c r="F50" i="8"/>
  <c r="G50" i="8"/>
  <c r="H50" i="8"/>
  <c r="I50" i="8"/>
  <c r="J50" i="8"/>
  <c r="K50" i="8"/>
  <c r="L50" i="8"/>
  <c r="M50" i="8"/>
  <c r="N50" i="8"/>
  <c r="O50" i="8"/>
  <c r="F52" i="8"/>
  <c r="G52" i="8"/>
  <c r="H52" i="8"/>
  <c r="I52" i="8"/>
  <c r="J52" i="8"/>
  <c r="K52" i="8"/>
  <c r="L52" i="8"/>
  <c r="M52" i="8"/>
  <c r="N52" i="8"/>
  <c r="O52" i="8"/>
  <c r="F53" i="8"/>
  <c r="G53" i="8"/>
  <c r="H53" i="8"/>
  <c r="I53" i="8"/>
  <c r="J53" i="8"/>
  <c r="K53" i="8"/>
  <c r="L53" i="8"/>
  <c r="M53" i="8"/>
  <c r="N53" i="8"/>
  <c r="O53" i="8"/>
  <c r="F58" i="8"/>
  <c r="G58" i="8"/>
  <c r="H58" i="8"/>
  <c r="I58" i="8"/>
  <c r="J58" i="8"/>
  <c r="K58" i="8"/>
  <c r="L58" i="8"/>
  <c r="M58" i="8"/>
  <c r="N58" i="8"/>
  <c r="O58" i="8"/>
  <c r="F59" i="8"/>
  <c r="G59" i="8"/>
  <c r="H59" i="8"/>
  <c r="I59" i="8"/>
  <c r="J59" i="8"/>
  <c r="K59" i="8"/>
  <c r="L59" i="8"/>
  <c r="M59" i="8"/>
  <c r="N59" i="8"/>
  <c r="O59" i="8"/>
  <c r="F60" i="8"/>
  <c r="G60" i="8"/>
  <c r="H60" i="8"/>
  <c r="I60" i="8"/>
  <c r="J60" i="8"/>
  <c r="K60" i="8"/>
  <c r="L60" i="8"/>
  <c r="M60" i="8"/>
  <c r="N60" i="8"/>
  <c r="O60" i="8"/>
  <c r="F62" i="8"/>
  <c r="G62" i="8"/>
  <c r="H62" i="8"/>
  <c r="I62" i="8"/>
  <c r="J62" i="8"/>
  <c r="K62" i="8"/>
  <c r="L62" i="8"/>
  <c r="M62" i="8"/>
  <c r="N62" i="8"/>
  <c r="O62" i="8"/>
  <c r="F63" i="8"/>
  <c r="F64" i="8"/>
  <c r="G64" i="8"/>
  <c r="H64" i="8"/>
  <c r="I64" i="8"/>
  <c r="J64" i="8"/>
  <c r="K64" i="8"/>
  <c r="L64" i="8"/>
  <c r="M64" i="8"/>
  <c r="N64" i="8"/>
  <c r="O64" i="8"/>
  <c r="F65" i="8"/>
  <c r="F66" i="8"/>
  <c r="G66" i="8"/>
  <c r="H66" i="8"/>
  <c r="I66" i="8"/>
  <c r="J66" i="8"/>
  <c r="K66" i="8"/>
  <c r="L66" i="8"/>
  <c r="M66" i="8"/>
  <c r="N66" i="8"/>
  <c r="O66" i="8"/>
  <c r="F67" i="8"/>
  <c r="F13" i="16"/>
  <c r="G13" i="16"/>
  <c r="H13" i="16"/>
  <c r="I13" i="16"/>
  <c r="J13" i="16"/>
  <c r="K13" i="16"/>
  <c r="L13" i="16"/>
  <c r="M13" i="16"/>
  <c r="N13" i="16"/>
  <c r="O13" i="16"/>
  <c r="F14" i="16"/>
  <c r="G14" i="16"/>
  <c r="H14" i="16"/>
  <c r="I14" i="16"/>
  <c r="J14" i="16"/>
  <c r="K14" i="16"/>
  <c r="L14" i="16"/>
  <c r="M14" i="16"/>
  <c r="N14" i="16"/>
  <c r="O14" i="16"/>
  <c r="F16" i="16"/>
  <c r="G16" i="16"/>
  <c r="H16" i="16"/>
  <c r="I16" i="16"/>
  <c r="J16" i="16"/>
  <c r="K16" i="16"/>
  <c r="L16" i="16"/>
  <c r="M16" i="16"/>
  <c r="N16" i="16"/>
  <c r="O16" i="16"/>
  <c r="F17" i="16"/>
  <c r="G17" i="16"/>
  <c r="H17" i="16"/>
  <c r="I17" i="16"/>
  <c r="J17" i="16"/>
  <c r="K17" i="16"/>
  <c r="L17" i="16"/>
  <c r="M17" i="16"/>
  <c r="N17" i="16"/>
  <c r="O17" i="16"/>
  <c r="D18" i="16"/>
  <c r="E18" i="16"/>
  <c r="D19" i="16"/>
  <c r="E19" i="16"/>
  <c r="F19" i="16"/>
  <c r="G19" i="16"/>
  <c r="H19" i="16"/>
  <c r="I19" i="16"/>
  <c r="J19" i="16"/>
  <c r="K19" i="16"/>
  <c r="L19" i="16"/>
  <c r="M19" i="16"/>
  <c r="N19" i="16"/>
  <c r="O19" i="16"/>
  <c r="D22" i="16"/>
  <c r="D24" i="16"/>
  <c r="E28" i="16"/>
  <c r="F28" i="16"/>
  <c r="G28" i="16"/>
  <c r="H28" i="16"/>
  <c r="I28" i="16"/>
  <c r="J28" i="16"/>
  <c r="K28" i="16"/>
  <c r="L28" i="16"/>
  <c r="M28" i="16"/>
  <c r="N28" i="16"/>
  <c r="O28" i="16"/>
  <c r="E29" i="16"/>
  <c r="F29" i="16"/>
  <c r="G29" i="16"/>
  <c r="H29" i="16"/>
  <c r="I29" i="16"/>
  <c r="J29" i="16"/>
  <c r="K29" i="16"/>
  <c r="L29" i="16"/>
  <c r="M29" i="16"/>
  <c r="N29" i="16"/>
  <c r="O29" i="16"/>
  <c r="O30" i="16"/>
  <c r="O31" i="16"/>
  <c r="E32" i="16"/>
  <c r="F32" i="16"/>
  <c r="G32" i="16"/>
  <c r="H32" i="16"/>
  <c r="I32" i="16"/>
  <c r="J32" i="16"/>
  <c r="K32" i="16"/>
  <c r="L32" i="16"/>
  <c r="M32" i="16"/>
  <c r="N32" i="16"/>
  <c r="O32" i="16"/>
  <c r="E33" i="16"/>
  <c r="F33" i="16"/>
  <c r="G33" i="16"/>
  <c r="H33" i="16"/>
  <c r="I33" i="16"/>
  <c r="J33" i="16"/>
  <c r="K33" i="16"/>
  <c r="L33" i="16"/>
  <c r="M33" i="16"/>
  <c r="N33" i="16"/>
  <c r="O33" i="16"/>
  <c r="D35" i="16"/>
  <c r="D37" i="16"/>
  <c r="F42" i="16"/>
  <c r="G42" i="16"/>
  <c r="H42" i="16"/>
  <c r="I42" i="16"/>
  <c r="J42" i="16"/>
  <c r="K42" i="16"/>
  <c r="L42" i="16"/>
  <c r="M42" i="16"/>
  <c r="N42" i="16"/>
  <c r="O42" i="16"/>
  <c r="F43" i="16"/>
  <c r="G43" i="16"/>
  <c r="H43" i="16"/>
  <c r="I43" i="16"/>
  <c r="J43" i="16"/>
  <c r="K43" i="16"/>
  <c r="L43" i="16"/>
  <c r="M43" i="16"/>
  <c r="N43" i="16"/>
  <c r="O43" i="16"/>
  <c r="F44" i="16"/>
  <c r="F45" i="16"/>
  <c r="D50" i="16" a="1"/>
  <c r="D50" i="16"/>
  <c r="E50" i="16"/>
  <c r="D51" i="16"/>
  <c r="E51" i="16"/>
  <c r="D52" i="16"/>
  <c r="E52" i="16"/>
  <c r="D53" i="16"/>
  <c r="E53" i="16"/>
  <c r="D54" i="16"/>
  <c r="E54" i="16"/>
  <c r="D55" i="16"/>
  <c r="E55" i="16"/>
  <c r="D56" i="16"/>
  <c r="E56" i="16"/>
  <c r="D57" i="16"/>
  <c r="E57" i="16"/>
  <c r="D58" i="16"/>
  <c r="E58" i="16"/>
  <c r="D59" i="16"/>
  <c r="E59" i="16"/>
  <c r="D60" i="16"/>
  <c r="D61" i="16"/>
  <c r="D62" i="16"/>
  <c r="D70" i="16"/>
  <c r="D71" i="16"/>
  <c r="D73" i="16"/>
  <c r="D74" i="16"/>
  <c r="D82" i="16"/>
  <c r="F24" i="17"/>
  <c r="G24" i="17"/>
  <c r="H24" i="17"/>
  <c r="I24" i="17"/>
  <c r="J24" i="17"/>
  <c r="K24" i="17"/>
  <c r="L24" i="17"/>
  <c r="M24" i="17"/>
  <c r="N24" i="17"/>
  <c r="O24" i="17"/>
  <c r="F25" i="17"/>
  <c r="F26" i="17"/>
  <c r="G26" i="17"/>
  <c r="H26" i="17"/>
  <c r="I26" i="17"/>
  <c r="J26" i="17"/>
  <c r="K26" i="17"/>
  <c r="L26" i="17"/>
  <c r="M26" i="17"/>
  <c r="N26" i="17"/>
  <c r="O26" i="17"/>
  <c r="F27" i="17"/>
  <c r="F28" i="17"/>
  <c r="G28" i="17"/>
  <c r="H28" i="17"/>
  <c r="I28" i="17"/>
  <c r="J28" i="17"/>
  <c r="K28" i="17"/>
  <c r="L28" i="17"/>
  <c r="M28" i="17"/>
  <c r="N28" i="17"/>
  <c r="O28" i="17"/>
  <c r="F29" i="17"/>
  <c r="F32" i="17"/>
  <c r="G32" i="17"/>
  <c r="H32" i="17"/>
  <c r="I32" i="17"/>
  <c r="J32" i="17"/>
  <c r="K32" i="17"/>
  <c r="L32" i="17"/>
  <c r="M32" i="17"/>
  <c r="N32" i="17"/>
  <c r="O32" i="17"/>
  <c r="F33" i="17"/>
  <c r="F34" i="17"/>
  <c r="G34" i="17"/>
  <c r="H34" i="17"/>
  <c r="I34" i="17"/>
  <c r="J34" i="17"/>
  <c r="K34" i="17"/>
  <c r="L34" i="17"/>
  <c r="M34" i="17"/>
  <c r="N34" i="17"/>
  <c r="O34" i="17"/>
  <c r="F35" i="17"/>
  <c r="F36" i="17"/>
  <c r="G36" i="17"/>
  <c r="H36" i="17"/>
  <c r="I36" i="17"/>
  <c r="J36" i="17"/>
  <c r="K36" i="17"/>
  <c r="L36" i="17"/>
  <c r="M36" i="17"/>
  <c r="N36" i="17"/>
  <c r="O36" i="17"/>
  <c r="F37" i="17"/>
  <c r="F38" i="17"/>
  <c r="G38" i="17"/>
  <c r="H38" i="17"/>
  <c r="I38" i="17"/>
  <c r="J38" i="17"/>
  <c r="K38" i="17"/>
  <c r="L38" i="17"/>
  <c r="M38" i="17"/>
  <c r="N38" i="17"/>
  <c r="O38" i="17"/>
  <c r="F39" i="17"/>
  <c r="F40" i="17"/>
  <c r="G40" i="17"/>
  <c r="H40" i="17"/>
  <c r="I40" i="17"/>
  <c r="J40" i="17"/>
  <c r="K40" i="17"/>
  <c r="L40" i="17"/>
  <c r="M40" i="17"/>
  <c r="N40" i="17"/>
  <c r="O40" i="17"/>
  <c r="F41" i="17"/>
  <c r="F44" i="17"/>
  <c r="G44" i="17"/>
  <c r="H44" i="17"/>
  <c r="I44" i="17"/>
  <c r="J44" i="17"/>
  <c r="K44" i="17"/>
  <c r="L44" i="17"/>
  <c r="M44" i="17"/>
  <c r="N44" i="17"/>
  <c r="O44" i="17"/>
  <c r="F45" i="17"/>
  <c r="F46" i="17"/>
  <c r="G46" i="17"/>
  <c r="H46" i="17"/>
  <c r="I46" i="17"/>
  <c r="J46" i="17"/>
  <c r="K46" i="17"/>
  <c r="L46" i="17"/>
  <c r="M46" i="17"/>
  <c r="N46" i="17"/>
  <c r="O46" i="17"/>
  <c r="F47" i="17"/>
  <c r="F48" i="17"/>
  <c r="G48" i="17"/>
  <c r="H48" i="17"/>
  <c r="I48" i="17"/>
  <c r="J48" i="17"/>
  <c r="K48" i="17"/>
  <c r="L48" i="17"/>
  <c r="M48" i="17"/>
  <c r="N48" i="17"/>
  <c r="O48" i="17"/>
  <c r="F49" i="17"/>
  <c r="F16" i="14"/>
  <c r="G16" i="14"/>
  <c r="H16" i="14"/>
  <c r="I16" i="14"/>
  <c r="J16" i="14"/>
  <c r="K16" i="14"/>
  <c r="L16" i="14"/>
  <c r="M16" i="14"/>
  <c r="N16" i="14"/>
  <c r="O16" i="14"/>
  <c r="F21" i="14"/>
  <c r="G21" i="14"/>
  <c r="H21" i="14"/>
  <c r="I21" i="14"/>
  <c r="J21" i="14"/>
  <c r="K21" i="14"/>
  <c r="L21" i="14"/>
  <c r="M21" i="14"/>
  <c r="N21" i="14"/>
  <c r="O21" i="14"/>
  <c r="G22" i="14"/>
  <c r="H22" i="14"/>
  <c r="I22" i="14"/>
  <c r="J22" i="14"/>
  <c r="K22" i="14"/>
  <c r="L22" i="14"/>
  <c r="M22" i="14"/>
  <c r="N22" i="14"/>
  <c r="O22" i="14"/>
  <c r="G23" i="14"/>
  <c r="H23" i="14"/>
  <c r="I23" i="14"/>
  <c r="J23" i="14"/>
  <c r="K23" i="14"/>
  <c r="L23" i="14"/>
  <c r="M23" i="14"/>
  <c r="N23" i="14"/>
  <c r="O23" i="14"/>
  <c r="F24" i="14"/>
  <c r="G24" i="14"/>
  <c r="H24" i="14"/>
  <c r="I24" i="14"/>
  <c r="J24" i="14"/>
  <c r="K24" i="14"/>
  <c r="L24" i="14"/>
  <c r="M24" i="14"/>
  <c r="N24" i="14"/>
  <c r="O24" i="14"/>
  <c r="F25" i="14"/>
  <c r="G25" i="14"/>
  <c r="H25" i="14"/>
  <c r="I25" i="14"/>
  <c r="J25" i="14"/>
  <c r="K25" i="14"/>
  <c r="L25" i="14"/>
  <c r="M25" i="14"/>
  <c r="N25" i="14"/>
  <c r="O25" i="14"/>
  <c r="F26" i="14"/>
  <c r="G26" i="14"/>
  <c r="H26" i="14"/>
  <c r="I26" i="14"/>
  <c r="J26" i="14"/>
  <c r="K26" i="14"/>
  <c r="L26" i="14"/>
  <c r="M26" i="14"/>
  <c r="N26" i="14"/>
  <c r="O26" i="14"/>
  <c r="F28" i="14"/>
  <c r="G28" i="14"/>
  <c r="H28" i="14"/>
  <c r="I28" i="14"/>
  <c r="J28" i="14"/>
  <c r="K28" i="14"/>
  <c r="L28" i="14"/>
  <c r="M28" i="14"/>
  <c r="N28" i="14"/>
  <c r="O28" i="14"/>
  <c r="F32" i="14"/>
  <c r="G32" i="14"/>
  <c r="H32" i="14"/>
  <c r="I32" i="14"/>
  <c r="J32" i="14"/>
  <c r="K32" i="14"/>
  <c r="L32" i="14"/>
  <c r="M32" i="14"/>
  <c r="N32" i="14"/>
  <c r="O32" i="14"/>
  <c r="K33" i="14"/>
  <c r="L33" i="14"/>
  <c r="M33" i="14"/>
  <c r="N33" i="14"/>
  <c r="O33" i="14"/>
  <c r="F35" i="14"/>
  <c r="G35" i="14"/>
  <c r="H35" i="14"/>
  <c r="I35" i="14"/>
  <c r="J35" i="14"/>
  <c r="K35" i="14"/>
  <c r="L35" i="14"/>
  <c r="M35" i="14"/>
  <c r="N35" i="14"/>
  <c r="O35" i="14"/>
  <c r="F36" i="14"/>
  <c r="G36" i="14"/>
  <c r="H36" i="14"/>
  <c r="I36" i="14"/>
  <c r="J36" i="14"/>
  <c r="K36" i="14"/>
  <c r="L36" i="14"/>
  <c r="M36" i="14"/>
  <c r="N36" i="14"/>
  <c r="O36" i="14"/>
  <c r="F37" i="14"/>
  <c r="G37" i="14"/>
  <c r="H37" i="14"/>
  <c r="I37" i="14"/>
  <c r="J37" i="14"/>
  <c r="K37" i="14"/>
  <c r="L37" i="14"/>
  <c r="M37" i="14"/>
  <c r="N37" i="14"/>
  <c r="O37" i="14"/>
  <c r="G39" i="14"/>
  <c r="H39" i="14"/>
  <c r="I39" i="14"/>
  <c r="J39" i="14"/>
  <c r="K39" i="14"/>
  <c r="L39" i="14"/>
  <c r="M39" i="14"/>
  <c r="N39" i="14"/>
  <c r="O39" i="14"/>
  <c r="F40" i="14"/>
  <c r="G40" i="14"/>
  <c r="H40" i="14"/>
  <c r="I40" i="14"/>
  <c r="J40" i="14"/>
  <c r="K40" i="14"/>
  <c r="L40" i="14"/>
  <c r="M40" i="14"/>
  <c r="N40" i="14"/>
  <c r="O40" i="14"/>
  <c r="F41" i="14"/>
  <c r="G41" i="14"/>
  <c r="H41" i="14"/>
  <c r="I41" i="14"/>
  <c r="J41" i="14"/>
  <c r="K41" i="14"/>
  <c r="L41" i="14"/>
  <c r="M41" i="14"/>
  <c r="N41" i="14"/>
  <c r="O41" i="14"/>
  <c r="F42" i="14"/>
  <c r="G42" i="14"/>
  <c r="H42" i="14"/>
  <c r="I42" i="14"/>
  <c r="J42" i="14"/>
  <c r="K42" i="14"/>
  <c r="L42" i="14"/>
  <c r="M42" i="14"/>
  <c r="N42" i="14"/>
  <c r="O42" i="14"/>
  <c r="G10" i="4"/>
  <c r="D19" i="4"/>
  <c r="D20" i="4"/>
  <c r="G20" i="4"/>
  <c r="D24" i="4"/>
  <c r="D26" i="4"/>
  <c r="D28" i="4"/>
  <c r="E28" i="4"/>
  <c r="G28" i="4"/>
  <c r="F44" i="11"/>
  <c r="G44" i="11"/>
  <c r="H44" i="11"/>
  <c r="I44" i="11"/>
  <c r="J44" i="11"/>
  <c r="K44" i="11"/>
  <c r="L44" i="11"/>
  <c r="M44" i="11"/>
  <c r="N44" i="11"/>
  <c r="O44" i="11"/>
  <c r="F46" i="11"/>
  <c r="G46" i="11"/>
  <c r="H46" i="11"/>
  <c r="I46" i="11"/>
  <c r="J46" i="11"/>
  <c r="K46" i="11"/>
  <c r="L46" i="11"/>
  <c r="M46" i="11"/>
  <c r="N46" i="11"/>
  <c r="O46" i="11"/>
  <c r="F48" i="11"/>
  <c r="G48" i="11"/>
  <c r="H48" i="11"/>
  <c r="I48" i="11"/>
  <c r="J48" i="11"/>
  <c r="K48" i="11"/>
  <c r="L48" i="11"/>
  <c r="M48" i="11"/>
  <c r="N48" i="11"/>
  <c r="O48" i="11"/>
  <c r="F66" i="11"/>
  <c r="G66" i="11"/>
  <c r="H66" i="11"/>
  <c r="I66" i="11"/>
  <c r="J66" i="11"/>
  <c r="K66" i="11"/>
  <c r="L66" i="11"/>
  <c r="M66" i="11"/>
  <c r="N66" i="11"/>
  <c r="O66" i="11"/>
  <c r="F68" i="11"/>
  <c r="G68" i="11"/>
  <c r="H68" i="11"/>
  <c r="I68" i="11"/>
  <c r="J68" i="11"/>
  <c r="K68" i="11"/>
  <c r="L68" i="11"/>
  <c r="M68" i="11"/>
  <c r="N68" i="11"/>
  <c r="O68" i="11"/>
  <c r="F70" i="11"/>
  <c r="G70" i="11"/>
  <c r="H70" i="11"/>
  <c r="I70" i="11"/>
  <c r="J70" i="11"/>
  <c r="K70" i="11"/>
  <c r="L70" i="11"/>
  <c r="M70" i="11"/>
  <c r="N70" i="11"/>
  <c r="O70" i="11"/>
  <c r="F71" i="11"/>
  <c r="G71" i="11"/>
  <c r="H71" i="11"/>
  <c r="I71" i="11"/>
  <c r="J71" i="11"/>
  <c r="K71" i="11"/>
  <c r="L71" i="11"/>
  <c r="M71" i="11"/>
  <c r="N71" i="11"/>
  <c r="O71" i="11"/>
  <c r="F76" i="11"/>
  <c r="G76" i="11"/>
  <c r="H76" i="11"/>
  <c r="I76" i="11"/>
  <c r="J76" i="11"/>
  <c r="K76" i="11"/>
  <c r="L76" i="11"/>
  <c r="M76" i="11"/>
  <c r="N76" i="11"/>
  <c r="O76" i="11"/>
</calcChain>
</file>

<file path=xl/comments1.xml><?xml version="1.0" encoding="utf-8"?>
<comments xmlns="http://schemas.openxmlformats.org/spreadsheetml/2006/main">
  <authors>
    <author>Author</author>
  </authors>
  <commentList>
    <comment ref="F16" authorId="0" shapeId="0">
      <text>
        <r>
          <rPr>
            <b/>
            <sz val="9"/>
            <color indexed="81"/>
            <rFont val="Tahoma"/>
            <family val="2"/>
          </rPr>
          <t>Author:</t>
        </r>
        <r>
          <rPr>
            <sz val="9"/>
            <color indexed="81"/>
            <rFont val="Tahoma"/>
            <family val="2"/>
          </rPr>
          <t xml:space="preserve">
As per shared electricity demand note</t>
        </r>
      </text>
    </comment>
    <comment ref="F20" authorId="0" shapeId="0">
      <text>
        <r>
          <rPr>
            <b/>
            <sz val="9"/>
            <color indexed="81"/>
            <rFont val="Tahoma"/>
            <family val="2"/>
          </rPr>
          <t>Author:</t>
        </r>
        <r>
          <rPr>
            <sz val="9"/>
            <color indexed="81"/>
            <rFont val="Tahoma"/>
            <family val="2"/>
          </rPr>
          <t xml:space="preserve">
Legal Charges for IREDA from for Dhir &amp; Dhir as reference purpose @ 21.41 Lacs
Other 3rd Party Agencies charges appointed by IREDA – LI &amp; ALF (Inspection &amp; Audit Agency) @ apox 3 Lacs</t>
        </r>
      </text>
    </comment>
  </commentList>
</comments>
</file>

<file path=xl/comments2.xml><?xml version="1.0" encoding="utf-8"?>
<comments xmlns="http://schemas.openxmlformats.org/spreadsheetml/2006/main">
  <authors>
    <author>Author</author>
  </authors>
  <commentList>
    <comment ref="F16" authorId="0" shapeId="0">
      <text>
        <r>
          <rPr>
            <b/>
            <sz val="9"/>
            <color indexed="81"/>
            <rFont val="Tahoma"/>
            <family val="2"/>
          </rPr>
          <t>Author:</t>
        </r>
        <r>
          <rPr>
            <sz val="9"/>
            <color indexed="81"/>
            <rFont val="Tahoma"/>
            <family val="2"/>
          </rPr>
          <t xml:space="preserve">
As per shared electricity demand note</t>
        </r>
      </text>
    </comment>
    <comment ref="F20" authorId="0" shapeId="0">
      <text>
        <r>
          <rPr>
            <b/>
            <sz val="9"/>
            <color indexed="81"/>
            <rFont val="Tahoma"/>
            <family val="2"/>
          </rPr>
          <t>Author:</t>
        </r>
        <r>
          <rPr>
            <sz val="9"/>
            <color indexed="81"/>
            <rFont val="Tahoma"/>
            <family val="2"/>
          </rPr>
          <t xml:space="preserve">
Legal Charges for IREDA from for Dhir &amp; Dhir as reference purpose @ 21.41 Lacs
Other 3rd Party Agencies charges appointed by IREDA – LI &amp; ALF (Inspection &amp; Audit Agency) @ apox 3 Lacs</t>
        </r>
      </text>
    </comment>
  </commentList>
</comments>
</file>

<file path=xl/comments3.xml><?xml version="1.0" encoding="utf-8"?>
<comments xmlns="http://schemas.openxmlformats.org/spreadsheetml/2006/main">
  <authors>
    <author>Author</author>
  </authors>
  <commentList>
    <comment ref="F113" authorId="0" shapeId="0">
      <text>
        <r>
          <rPr>
            <b/>
            <sz val="9"/>
            <color indexed="81"/>
            <rFont val="Tahoma"/>
            <family val="2"/>
          </rPr>
          <t>Author:</t>
        </r>
        <r>
          <rPr>
            <sz val="9"/>
            <color indexed="81"/>
            <rFont val="Tahoma"/>
            <family val="2"/>
          </rPr>
          <t xml:space="preserve">
As informed by client, ROC Fee on Authorize Capital of 12 Cr @ Rs. 22.80 Lacs.
First year NSDL Joining Fee on DMAT Yearly Charges @ Rs. 75000/
CA &amp; NUVAMA Professional Charges @ Rs. 25000/</t>
        </r>
      </text>
    </comment>
    <comment ref="F117" authorId="0" shapeId="0">
      <text>
        <r>
          <rPr>
            <b/>
            <sz val="9"/>
            <color indexed="81"/>
            <rFont val="Tahoma"/>
            <family val="2"/>
          </rPr>
          <t>Author:</t>
        </r>
        <r>
          <rPr>
            <sz val="9"/>
            <color indexed="81"/>
            <rFont val="Tahoma"/>
            <family val="2"/>
          </rPr>
          <t xml:space="preserve">
As informed by client
</t>
        </r>
      </text>
    </comment>
    <comment ref="F118" authorId="0" shapeId="0">
      <text>
        <r>
          <rPr>
            <b/>
            <sz val="9"/>
            <color indexed="81"/>
            <rFont val="Tahoma"/>
            <family val="2"/>
          </rPr>
          <t>Author:</t>
        </r>
        <r>
          <rPr>
            <sz val="9"/>
            <color indexed="81"/>
            <rFont val="Tahoma"/>
            <family val="2"/>
          </rPr>
          <t xml:space="preserve">
As per Bank Reciept shared by client</t>
        </r>
      </text>
    </comment>
    <comment ref="F119" authorId="0" shapeId="0">
      <text>
        <r>
          <rPr>
            <b/>
            <sz val="9"/>
            <color indexed="81"/>
            <rFont val="Tahoma"/>
            <family val="2"/>
          </rPr>
          <t>Author:</t>
        </r>
        <r>
          <rPr>
            <sz val="9"/>
            <color indexed="81"/>
            <rFont val="Tahoma"/>
            <family val="2"/>
          </rPr>
          <t xml:space="preserve">
As per the data/information provided by the client
Receipt of INR 7 Lakhs of Property Valuation + Stamp Papers + Insurance Expenses.
Property Valuation @ 1 Lacs
Stamp Paper as per IREDA @ Rs. 2.0 Lac + 50000/  = Rs. 2.50 lacs
Our Project Insurance of Rs. 34 Cr @ Rs. 3.50 Lacs (Ref. Premium of Rs. 1,84 Lacs for 24 Cr policy from ICICI)</t>
        </r>
      </text>
    </comment>
    <comment ref="F120" authorId="0" shapeId="0">
      <text>
        <r>
          <rPr>
            <b/>
            <sz val="9"/>
            <color indexed="81"/>
            <rFont val="Tahoma"/>
            <family val="2"/>
          </rPr>
          <t>Author:</t>
        </r>
        <r>
          <rPr>
            <sz val="9"/>
            <color indexed="81"/>
            <rFont val="Tahoma"/>
            <family val="2"/>
          </rPr>
          <t xml:space="preserve">
As per shared electricity demand note</t>
        </r>
      </text>
    </comment>
    <comment ref="F121" authorId="0" shapeId="0">
      <text>
        <r>
          <rPr>
            <b/>
            <sz val="9"/>
            <color indexed="81"/>
            <rFont val="Tahoma"/>
            <family val="2"/>
          </rPr>
          <t>Author:</t>
        </r>
        <r>
          <rPr>
            <sz val="9"/>
            <color indexed="81"/>
            <rFont val="Tahoma"/>
            <family val="2"/>
          </rPr>
          <t xml:space="preserve">
As informed by client estimated cost of tubewell at sie</t>
        </r>
      </text>
    </comment>
    <comment ref="F124" authorId="0" shapeId="0">
      <text>
        <r>
          <rPr>
            <b/>
            <sz val="9"/>
            <color indexed="81"/>
            <rFont val="Tahoma"/>
            <family val="2"/>
          </rPr>
          <t>Author:</t>
        </r>
        <r>
          <rPr>
            <sz val="9"/>
            <color indexed="81"/>
            <rFont val="Tahoma"/>
            <family val="2"/>
          </rPr>
          <t xml:space="preserve">
Legal Charges for IREDA from for Dhir &amp; Dhir as reference purpose @ 21.41 Lacs
Other 3rd Party Agencies charges appointed by IREDA – LI &amp; ALF (Inspection &amp; Audit Agency) @ apox 3 Lacs</t>
        </r>
      </text>
    </comment>
    <comment ref="F126" authorId="0" shapeId="0">
      <text>
        <r>
          <rPr>
            <b/>
            <sz val="9"/>
            <color indexed="81"/>
            <rFont val="Tahoma"/>
            <family val="2"/>
          </rPr>
          <t>Author:</t>
        </r>
        <r>
          <rPr>
            <sz val="9"/>
            <color indexed="81"/>
            <rFont val="Tahoma"/>
            <family val="2"/>
          </rPr>
          <t xml:space="preserve">
IREDA CHARGES OF DOCUMENTATION TO MNRE AND UPNEDA FOR FINANCIAL ASSISTANCE</t>
        </r>
      </text>
    </comment>
    <comment ref="E172" authorId="0" shapeId="0">
      <text>
        <r>
          <rPr>
            <b/>
            <sz val="9"/>
            <color indexed="81"/>
            <rFont val="Tahoma"/>
            <family val="2"/>
          </rPr>
          <t>Author:</t>
        </r>
        <r>
          <rPr>
            <sz val="9"/>
            <color indexed="81"/>
            <rFont val="Tahoma"/>
            <family val="2"/>
          </rPr>
          <t xml:space="preserve">
~51,500 EURO
1 EURO=90 INR</t>
        </r>
      </text>
    </comment>
    <comment ref="F175" authorId="0" shapeId="0">
      <text>
        <r>
          <rPr>
            <b/>
            <sz val="9"/>
            <color indexed="81"/>
            <rFont val="Tahoma"/>
            <family val="2"/>
          </rPr>
          <t>Author:</t>
        </r>
        <r>
          <rPr>
            <sz val="9"/>
            <color indexed="81"/>
            <rFont val="Tahoma"/>
            <family val="2"/>
          </rPr>
          <t xml:space="preserve">
Quatiaon will be shared foe 12 lakh water tank+
shared quotations of 62lakhs  heat exchanger </t>
        </r>
      </text>
    </comment>
    <comment ref="E177" authorId="0" shapeId="0">
      <text>
        <r>
          <rPr>
            <b/>
            <sz val="9"/>
            <color indexed="81"/>
            <rFont val="Tahoma"/>
            <family val="2"/>
          </rPr>
          <t>Author:</t>
        </r>
        <r>
          <rPr>
            <sz val="9"/>
            <color indexed="81"/>
            <rFont val="Tahoma"/>
            <family val="2"/>
          </rPr>
          <t xml:space="preserve">
As per revised quotation shared by client</t>
        </r>
      </text>
    </comment>
    <comment ref="E182" authorId="0" shapeId="0">
      <text>
        <r>
          <rPr>
            <b/>
            <sz val="9"/>
            <color indexed="81"/>
            <rFont val="Tahoma"/>
            <family val="2"/>
          </rPr>
          <t>Author:</t>
        </r>
        <r>
          <rPr>
            <sz val="9"/>
            <color indexed="81"/>
            <rFont val="Tahoma"/>
            <family val="2"/>
          </rPr>
          <t xml:space="preserve">
Quotation will come</t>
        </r>
      </text>
    </comment>
    <comment ref="E184" authorId="0" shapeId="0">
      <text>
        <r>
          <rPr>
            <b/>
            <sz val="9"/>
            <color indexed="81"/>
            <rFont val="Tahoma"/>
            <family val="2"/>
          </rPr>
          <t>Author:</t>
        </r>
        <r>
          <rPr>
            <sz val="9"/>
            <color indexed="81"/>
            <rFont val="Tahoma"/>
            <family val="2"/>
          </rPr>
          <t xml:space="preserve">
Customization + 9650000 quotations</t>
        </r>
      </text>
    </comment>
    <comment ref="E185" authorId="0" shapeId="0">
      <text>
        <r>
          <rPr>
            <b/>
            <sz val="9"/>
            <color indexed="81"/>
            <rFont val="Tahoma"/>
            <family val="2"/>
          </rPr>
          <t>Author:</t>
        </r>
        <r>
          <rPr>
            <sz val="9"/>
            <color indexed="81"/>
            <rFont val="Tahoma"/>
            <family val="2"/>
          </rPr>
          <t xml:space="preserve">
As per quotation shared by the client</t>
        </r>
      </text>
    </comment>
    <comment ref="F186" authorId="0" shapeId="0">
      <text>
        <r>
          <rPr>
            <b/>
            <sz val="9"/>
            <color indexed="81"/>
            <rFont val="Tahoma"/>
            <family val="2"/>
          </rPr>
          <t>Author:</t>
        </r>
        <r>
          <rPr>
            <sz val="9"/>
            <color indexed="81"/>
            <rFont val="Tahoma"/>
            <family val="2"/>
          </rPr>
          <t xml:space="preserve">
As per the shared Quotations</t>
        </r>
      </text>
    </comment>
    <comment ref="E187" authorId="0" shapeId="0">
      <text>
        <r>
          <rPr>
            <b/>
            <sz val="9"/>
            <color indexed="81"/>
            <rFont val="Tahoma"/>
            <family val="2"/>
          </rPr>
          <t>Author:</t>
        </r>
        <r>
          <rPr>
            <sz val="9"/>
            <color indexed="81"/>
            <rFont val="Tahoma"/>
            <family val="2"/>
          </rPr>
          <t xml:space="preserve">
As per quotation shared by the client</t>
        </r>
      </text>
    </comment>
    <comment ref="E195" authorId="0" shapeId="0">
      <text>
        <r>
          <rPr>
            <b/>
            <sz val="9"/>
            <color indexed="81"/>
            <rFont val="Tahoma"/>
            <family val="2"/>
          </rPr>
          <t>Author:</t>
        </r>
        <r>
          <rPr>
            <sz val="9"/>
            <color indexed="81"/>
            <rFont val="Tahoma"/>
            <family val="2"/>
          </rPr>
          <t xml:space="preserve">
As per qoutation 11 LKHS + 3 ACCESSORIES &amp; INSTALLATION</t>
        </r>
      </text>
    </comment>
    <comment ref="E207" authorId="0" shapeId="0">
      <text>
        <r>
          <rPr>
            <b/>
            <sz val="9"/>
            <color indexed="81"/>
            <rFont val="Tahoma"/>
            <family val="2"/>
          </rPr>
          <t>Author:</t>
        </r>
        <r>
          <rPr>
            <sz val="9"/>
            <color indexed="81"/>
            <rFont val="Tahoma"/>
            <family val="2"/>
          </rPr>
          <t xml:space="preserve">
As pervidhata quotation</t>
        </r>
      </text>
    </comment>
    <comment ref="E208" authorId="0" shapeId="0">
      <text>
        <r>
          <rPr>
            <b/>
            <sz val="9"/>
            <color indexed="81"/>
            <rFont val="Tahoma"/>
            <family val="2"/>
          </rPr>
          <t>Author:</t>
        </r>
        <r>
          <rPr>
            <sz val="9"/>
            <color indexed="81"/>
            <rFont val="Tahoma"/>
            <family val="2"/>
          </rPr>
          <t xml:space="preserve">
As per Quotation INR 9.10 LAKHS
</t>
        </r>
      </text>
    </comment>
  </commentList>
</comments>
</file>

<file path=xl/comments4.xml><?xml version="1.0" encoding="utf-8"?>
<comments xmlns="http://schemas.openxmlformats.org/spreadsheetml/2006/main">
  <authors>
    <author>Author</author>
  </authors>
  <commentList>
    <comment ref="E20" authorId="0" shapeId="0">
      <text>
        <r>
          <rPr>
            <b/>
            <sz val="9"/>
            <color indexed="81"/>
            <rFont val="Tahoma"/>
            <family val="2"/>
          </rPr>
          <t>Author:</t>
        </r>
        <r>
          <rPr>
            <sz val="9"/>
            <color indexed="81"/>
            <rFont val="Tahoma"/>
            <family val="2"/>
          </rPr>
          <t xml:space="preserve">
1.5 meter should be kept empty for gas zone</t>
        </r>
      </text>
    </comment>
  </commentList>
</comments>
</file>

<file path=xl/comments5.xml><?xml version="1.0" encoding="utf-8"?>
<comments xmlns="http://schemas.openxmlformats.org/spreadsheetml/2006/main">
  <authors>
    <author>Author</author>
  </authors>
  <commentList>
    <comment ref="D8" authorId="0" shapeId="0">
      <text>
        <r>
          <rPr>
            <b/>
            <sz val="9"/>
            <color indexed="81"/>
            <rFont val="Tahoma"/>
            <family val="2"/>
          </rPr>
          <t>Author:</t>
        </r>
        <r>
          <rPr>
            <sz val="9"/>
            <color indexed="81"/>
            <rFont val="Tahoma"/>
            <family val="2"/>
          </rPr>
          <t xml:space="preserve">
As per sale deed INR 4.24 Crore land cost
              +
INR 10 LAKHS has been considered as CLU </t>
        </r>
      </text>
    </comment>
    <comment ref="D9" authorId="0" shapeId="0">
      <text>
        <r>
          <rPr>
            <b/>
            <sz val="9"/>
            <color indexed="81"/>
            <rFont val="Tahoma"/>
            <family val="2"/>
          </rPr>
          <t>Author:</t>
        </r>
        <r>
          <rPr>
            <sz val="9"/>
            <color indexed="81"/>
            <rFont val="Tahoma"/>
            <family val="2"/>
          </rPr>
          <t xml:space="preserve">
As per EPC contract shared  by the client</t>
        </r>
      </text>
    </comment>
    <comment ref="D10" authorId="0" shapeId="0">
      <text>
        <r>
          <rPr>
            <b/>
            <sz val="9"/>
            <color indexed="81"/>
            <rFont val="Tahoma"/>
            <family val="2"/>
          </rPr>
          <t>Author:</t>
        </r>
        <r>
          <rPr>
            <sz val="9"/>
            <color indexed="81"/>
            <rFont val="Tahoma"/>
            <family val="2"/>
          </rPr>
          <t xml:space="preserve">
Machenical Equipment cost INR 14.80 Cr., Napier Grass Cutter Machine (10 TPH) INR 32 lakhs and Weighbridge - 80 Ton INR 12 lakhs</t>
        </r>
      </text>
    </comment>
    <comment ref="D11" authorId="0" shapeId="0">
      <text>
        <r>
          <rPr>
            <b/>
            <sz val="9"/>
            <color indexed="81"/>
            <rFont val="Tahoma"/>
            <family val="2"/>
          </rPr>
          <t>Author:</t>
        </r>
        <r>
          <rPr>
            <sz val="9"/>
            <color indexed="81"/>
            <rFont val="Tahoma"/>
            <family val="2"/>
          </rPr>
          <t xml:space="preserve">
Electrical, Instrumentation, PLC, data collection</t>
        </r>
      </text>
    </comment>
    <comment ref="D12" authorId="0" shapeId="0">
      <text>
        <r>
          <rPr>
            <b/>
            <sz val="9"/>
            <color indexed="81"/>
            <rFont val="Tahoma"/>
            <family val="2"/>
          </rPr>
          <t>Author:</t>
        </r>
        <r>
          <rPr>
            <sz val="9"/>
            <color indexed="81"/>
            <rFont val="Tahoma"/>
            <family val="2"/>
          </rPr>
          <t xml:space="preserve">
Tractor Mounted Pay loaders, Trollies &amp; Others INR 15 lakhs
+
Tankers (3 Nos &amp; 02 Trolies) INR 15 lakhs
+
Project Vehicles / Mahindra INR 12 lakhs</t>
        </r>
      </text>
    </comment>
    <comment ref="D13" authorId="0" shapeId="0">
      <text>
        <r>
          <rPr>
            <b/>
            <sz val="9"/>
            <color indexed="81"/>
            <rFont val="Tahoma"/>
            <family val="2"/>
          </rPr>
          <t>Author:</t>
        </r>
        <r>
          <rPr>
            <sz val="9"/>
            <color indexed="81"/>
            <rFont val="Tahoma"/>
            <family val="2"/>
          </rPr>
          <t xml:space="preserve">
Computer &amp; Furniture etc INR 15 lakhs</t>
        </r>
      </text>
    </comment>
    <comment ref="D19" authorId="0" shapeId="0">
      <text>
        <r>
          <rPr>
            <b/>
            <sz val="9"/>
            <color indexed="81"/>
            <rFont val="Tahoma"/>
            <family val="2"/>
          </rPr>
          <t>Author:</t>
        </r>
        <r>
          <rPr>
            <sz val="9"/>
            <color indexed="81"/>
            <rFont val="Tahoma"/>
            <family val="2"/>
          </rPr>
          <t xml:space="preserve">
As per the working capital assessment
</t>
        </r>
      </text>
    </comment>
    <comment ref="D25" authorId="0" shapeId="0">
      <text>
        <r>
          <rPr>
            <b/>
            <sz val="9"/>
            <color indexed="81"/>
            <rFont val="Tahoma"/>
            <family val="2"/>
          </rPr>
          <t>Author:</t>
        </r>
        <r>
          <rPr>
            <sz val="9"/>
            <color indexed="81"/>
            <rFont val="Tahoma"/>
            <family val="2"/>
          </rPr>
          <t xml:space="preserve">
including Any BG being given to UPNEDA, OMC's</t>
        </r>
      </text>
    </comment>
  </commentList>
</comments>
</file>

<file path=xl/comments6.xml><?xml version="1.0" encoding="utf-8"?>
<comments xmlns="http://schemas.openxmlformats.org/spreadsheetml/2006/main">
  <authors>
    <author>Author</author>
  </authors>
  <commentList>
    <comment ref="D36" authorId="0" shapeId="0">
      <text>
        <r>
          <rPr>
            <b/>
            <sz val="9"/>
            <color indexed="81"/>
            <rFont val="Tahoma"/>
            <charset val="1"/>
          </rPr>
          <t>Author:</t>
        </r>
        <r>
          <rPr>
            <sz val="9"/>
            <color indexed="81"/>
            <rFont val="Tahoma"/>
            <charset val="1"/>
          </rPr>
          <t xml:space="preserve">
https://www.v3cars.com/uttar-pradesh/cng-price-in-saharanpur
CNG PRICE IN SAHRANPUR IS INR 93.96 PER KG AS ON 9 AUG 2023</t>
        </r>
      </text>
    </comment>
    <comment ref="D39" authorId="0" shapeId="0">
      <text>
        <r>
          <rPr>
            <b/>
            <sz val="9"/>
            <color indexed="81"/>
            <rFont val="Tahoma"/>
            <family val="2"/>
          </rPr>
          <t>Author:</t>
        </r>
        <r>
          <rPr>
            <sz val="9"/>
            <color indexed="81"/>
            <rFont val="Tahoma"/>
            <family val="2"/>
          </rPr>
          <t xml:space="preserve">
https://economictimes.indiatimes.com/news/economy/indicators/rbi-monetary-policy-live-rbi-leaves-inflation-projection-for-fy25-unchanged-at-4-5/articleshow/109052915.cms</t>
        </r>
      </text>
    </comment>
    <comment ref="D44" authorId="0" shapeId="0">
      <text>
        <r>
          <rPr>
            <b/>
            <sz val="9"/>
            <color indexed="81"/>
            <rFont val="Tahoma"/>
            <family val="2"/>
          </rPr>
          <t>Author:</t>
        </r>
        <r>
          <rPr>
            <sz val="9"/>
            <color indexed="81"/>
            <rFont val="Tahoma"/>
            <family val="2"/>
          </rPr>
          <t xml:space="preserve">
biomass residue (stubble, paddy straw)</t>
        </r>
      </text>
    </comment>
    <comment ref="D45" authorId="0" shapeId="0">
      <text>
        <r>
          <rPr>
            <b/>
            <sz val="9"/>
            <color indexed="81"/>
            <rFont val="Tahoma"/>
            <family val="2"/>
          </rPr>
          <t>Author:</t>
        </r>
        <r>
          <rPr>
            <sz val="9"/>
            <color indexed="81"/>
            <rFont val="Tahoma"/>
            <family val="2"/>
          </rPr>
          <t xml:space="preserve">
as per agreement shared by the client INCLUDING FPO COMMISSION DIESEL CHARGES AND 100/Quintal Agri residue charges</t>
        </r>
      </text>
    </comment>
    <comment ref="D46" authorId="0" shapeId="0">
      <text>
        <r>
          <rPr>
            <b/>
            <sz val="9"/>
            <color indexed="81"/>
            <rFont val="Tahoma"/>
            <family val="2"/>
          </rPr>
          <t>Author:</t>
        </r>
        <r>
          <rPr>
            <sz val="9"/>
            <color indexed="81"/>
            <rFont val="Tahoma"/>
            <family val="2"/>
          </rPr>
          <t xml:space="preserve">
https://economictimes.indiatimes.com/news/economy/indicators/rbi-monetary-policy-live-rbi-leaves-inflation-projection-for-fy25-unchanged-at-4-5/articleshow/109052915.cms</t>
        </r>
      </text>
    </comment>
    <comment ref="B48" authorId="0" shapeId="0">
      <text>
        <r>
          <rPr>
            <b/>
            <sz val="9"/>
            <color indexed="81"/>
            <rFont val="Tahoma"/>
            <family val="2"/>
          </rPr>
          <t>Author:</t>
        </r>
        <r>
          <rPr>
            <sz val="9"/>
            <color indexed="81"/>
            <rFont val="Tahoma"/>
            <family val="2"/>
          </rPr>
          <t xml:space="preserve">
It is a tentative calculation
Actual power load connection will be provide to bank by client
</t>
        </r>
      </text>
    </comment>
    <comment ref="D53" authorId="0" shapeId="0">
      <text>
        <r>
          <rPr>
            <b/>
            <sz val="9"/>
            <color indexed="81"/>
            <rFont val="Tahoma"/>
            <family val="2"/>
          </rPr>
          <t>Author:</t>
        </r>
        <r>
          <rPr>
            <sz val="9"/>
            <color indexed="81"/>
            <rFont val="Tahoma"/>
            <family val="2"/>
          </rPr>
          <t xml:space="preserve">
AS per tarrif of up govt.</t>
        </r>
      </text>
    </comment>
    <comment ref="D54" authorId="0" shapeId="0">
      <text>
        <r>
          <rPr>
            <b/>
            <sz val="9"/>
            <color indexed="81"/>
            <rFont val="Tahoma"/>
            <family val="2"/>
          </rPr>
          <t>Author:</t>
        </r>
        <r>
          <rPr>
            <sz val="9"/>
            <color indexed="81"/>
            <rFont val="Tahoma"/>
            <family val="2"/>
          </rPr>
          <t xml:space="preserve">
https://economictimes.indiatimes.com/news/economy/indicators/rbi-monetary-policy-live-rbi-leaves-inflation-projection-for-fy25-unchanged-at-4-5/articleshow/109052915.cms</t>
        </r>
      </text>
    </comment>
    <comment ref="D62" authorId="0" shapeId="0">
      <text>
        <r>
          <rPr>
            <b/>
            <sz val="9"/>
            <color indexed="81"/>
            <rFont val="Tahoma"/>
            <family val="2"/>
          </rPr>
          <t>Author:</t>
        </r>
        <r>
          <rPr>
            <sz val="9"/>
            <color indexed="81"/>
            <rFont val="Tahoma"/>
            <family val="2"/>
          </rPr>
          <t xml:space="preserve">
https://economictimes.indiatimes.com/news/economy/indicators/rbi-monetary-policy-live-rbi-leaves-inflation-projection-for-fy25-unchanged-at-4-5/articleshow/109052915.cms</t>
        </r>
      </text>
    </comment>
    <comment ref="D66" authorId="0" shapeId="0">
      <text>
        <r>
          <rPr>
            <b/>
            <sz val="9"/>
            <color indexed="81"/>
            <rFont val="Tahoma"/>
            <family val="2"/>
          </rPr>
          <t>Author:</t>
        </r>
        <r>
          <rPr>
            <sz val="9"/>
            <color indexed="81"/>
            <rFont val="Tahoma"/>
            <family val="2"/>
          </rPr>
          <t xml:space="preserve">
https://economictimes.indiatimes.com/news/economy/indicators/rbi-monetary-policy-live-rbi-leaves-inflation-projection-for-fy25-unchanged-at-4-5/articleshow/109052915.cms</t>
        </r>
      </text>
    </comment>
    <comment ref="D69" authorId="0" shapeId="0">
      <text>
        <r>
          <rPr>
            <b/>
            <sz val="9"/>
            <color indexed="81"/>
            <rFont val="Tahoma"/>
            <family val="2"/>
          </rPr>
          <t>Author:</t>
        </r>
        <r>
          <rPr>
            <sz val="9"/>
            <color indexed="81"/>
            <rFont val="Tahoma"/>
            <family val="2"/>
          </rPr>
          <t xml:space="preserve">
20 rs per bag of 50 kg</t>
        </r>
      </text>
    </comment>
    <comment ref="D70" authorId="0" shapeId="0">
      <text>
        <r>
          <rPr>
            <b/>
            <sz val="9"/>
            <color indexed="81"/>
            <rFont val="Tahoma"/>
            <family val="2"/>
          </rPr>
          <t>Author:</t>
        </r>
        <r>
          <rPr>
            <sz val="9"/>
            <color indexed="81"/>
            <rFont val="Tahoma"/>
            <family val="2"/>
          </rPr>
          <t xml:space="preserve">
https://economictimes.indiatimes.com/news/economy/indicators/rbi-monetary-policy-live-rbi-leaves-inflation-projection-for-fy25-unchanged-at-4-5/articleshow/109052915.cms</t>
        </r>
      </text>
    </comment>
    <comment ref="D85" authorId="0" shapeId="0">
      <text>
        <r>
          <rPr>
            <b/>
            <sz val="9"/>
            <color indexed="81"/>
            <rFont val="Tahoma"/>
            <family val="2"/>
          </rPr>
          <t>Author:</t>
        </r>
        <r>
          <rPr>
            <sz val="9"/>
            <color indexed="81"/>
            <rFont val="Tahoma"/>
            <family val="2"/>
          </rPr>
          <t xml:space="preserve">
https://economictimes.indiatimes.com/news/economy/indicators/rbi-monetary-policy-live-rbi-leaves-inflation-projection-for-fy25-unchanged-at-4-5/articleshow/109052915.cms</t>
        </r>
      </text>
    </comment>
    <comment ref="D105" authorId="0" shapeId="0">
      <text>
        <r>
          <rPr>
            <b/>
            <sz val="9"/>
            <color indexed="81"/>
            <rFont val="Tahoma"/>
            <family val="2"/>
          </rPr>
          <t>Author:</t>
        </r>
        <r>
          <rPr>
            <sz val="9"/>
            <color indexed="81"/>
            <rFont val="Tahoma"/>
            <family val="2"/>
          </rPr>
          <t xml:space="preserve">
Sensitivity at 2% higher finance cost</t>
        </r>
      </text>
    </comment>
    <comment ref="D106" authorId="0" shapeId="0">
      <text>
        <r>
          <rPr>
            <b/>
            <sz val="9"/>
            <color indexed="81"/>
            <rFont val="Tahoma"/>
            <family val="2"/>
          </rPr>
          <t>Author:</t>
        </r>
        <r>
          <rPr>
            <sz val="9"/>
            <color indexed="81"/>
            <rFont val="Tahoma"/>
            <family val="2"/>
          </rPr>
          <t xml:space="preserve">
Sensitivity at 2% higher finance cost</t>
        </r>
      </text>
    </comment>
    <comment ref="D107" authorId="0" shapeId="0">
      <text>
        <r>
          <rPr>
            <b/>
            <sz val="9"/>
            <color indexed="81"/>
            <rFont val="Tahoma"/>
            <family val="2"/>
          </rPr>
          <t>Author:</t>
        </r>
        <r>
          <rPr>
            <sz val="9"/>
            <color indexed="81"/>
            <rFont val="Tahoma"/>
            <family val="2"/>
          </rPr>
          <t xml:space="preserve">
Sensitivity at 2% higher finance cost</t>
        </r>
      </text>
    </comment>
    <comment ref="D113" authorId="0" shapeId="0">
      <text>
        <r>
          <rPr>
            <b/>
            <sz val="9"/>
            <color indexed="81"/>
            <rFont val="Tahoma"/>
            <family val="2"/>
          </rPr>
          <t>Author:</t>
        </r>
        <r>
          <rPr>
            <sz val="9"/>
            <color indexed="81"/>
            <rFont val="Tahoma"/>
            <family val="2"/>
          </rPr>
          <t xml:space="preserve">
https://scripbox.com/tax/section-80jja-income-tax-act/</t>
        </r>
      </text>
    </comment>
  </commentList>
</comments>
</file>

<file path=xl/comments7.xml><?xml version="1.0" encoding="utf-8"?>
<comments xmlns="http://schemas.openxmlformats.org/spreadsheetml/2006/main">
  <authors>
    <author>Author</author>
  </authors>
  <commentList>
    <comment ref="G15" authorId="0" shapeId="0">
      <text>
        <r>
          <rPr>
            <b/>
            <sz val="9"/>
            <color indexed="81"/>
            <rFont val="Tahoma"/>
            <family val="2"/>
          </rPr>
          <t>Author:</t>
        </r>
        <r>
          <rPr>
            <sz val="9"/>
            <color indexed="81"/>
            <rFont val="Tahoma"/>
            <family val="2"/>
          </rPr>
          <t xml:space="preserve">
https://taxadda.com/depreciation-rates-as-per-companies-act-2013/</t>
        </r>
      </text>
    </comment>
    <comment ref="H15" authorId="0" shapeId="0">
      <text>
        <r>
          <rPr>
            <b/>
            <sz val="9"/>
            <color indexed="81"/>
            <rFont val="Tahoma"/>
            <family val="2"/>
          </rPr>
          <t>Author:</t>
        </r>
        <r>
          <rPr>
            <sz val="9"/>
            <color indexed="81"/>
            <rFont val="Tahoma"/>
            <family val="2"/>
          </rPr>
          <t xml:space="preserve">
https://taxadda.com/deferred-tax-asset-deferred-tax-liability-dta-dtl/</t>
        </r>
      </text>
    </comment>
  </commentList>
</comments>
</file>

<file path=xl/comments8.xml><?xml version="1.0" encoding="utf-8"?>
<comments xmlns="http://schemas.openxmlformats.org/spreadsheetml/2006/main">
  <authors>
    <author>Author</author>
  </authors>
  <commentList>
    <comment ref="D22" authorId="0" shapeId="0">
      <text>
        <r>
          <rPr>
            <b/>
            <i/>
            <sz val="9"/>
            <color indexed="81"/>
            <rFont val="Tahoma"/>
            <family val="2"/>
          </rPr>
          <t>Author:</t>
        </r>
        <r>
          <rPr>
            <i/>
            <sz val="9"/>
            <color indexed="81"/>
            <rFont val="Tahoma"/>
            <family val="2"/>
          </rPr>
          <t xml:space="preserve">
https://kunaldesai.blog/nifty-50-cagr-last-20-years/
Nifty fifty 20-year CAGR is cosidered as Required rate of return from the project</t>
        </r>
      </text>
    </comment>
    <comment ref="D80" authorId="0" shapeId="0">
      <text>
        <r>
          <rPr>
            <b/>
            <sz val="9"/>
            <color indexed="81"/>
            <rFont val="Tahoma"/>
            <family val="2"/>
          </rPr>
          <t>Author:</t>
        </r>
        <r>
          <rPr>
            <sz val="9"/>
            <color indexed="81"/>
            <rFont val="Tahoma"/>
            <family val="2"/>
          </rPr>
          <t xml:space="preserve">
Nifty 50 10 year CAGR</t>
        </r>
      </text>
    </comment>
  </commentList>
</comments>
</file>

<file path=xl/sharedStrings.xml><?xml version="1.0" encoding="utf-8"?>
<sst xmlns="http://schemas.openxmlformats.org/spreadsheetml/2006/main" count="2130" uniqueCount="1051">
  <si>
    <t>(Common Assumption)</t>
  </si>
  <si>
    <t>General Assumptions</t>
  </si>
  <si>
    <t>Particular</t>
  </si>
  <si>
    <t>Input</t>
  </si>
  <si>
    <t>Date of Assessment</t>
  </si>
  <si>
    <t>Assessment_Date</t>
  </si>
  <si>
    <t>Start of Construction</t>
  </si>
  <si>
    <t>start_date</t>
  </si>
  <si>
    <t>Construction Period</t>
  </si>
  <si>
    <t>construction_period</t>
  </si>
  <si>
    <t>Completion Date</t>
  </si>
  <si>
    <t>Completion_date</t>
  </si>
  <si>
    <t>SCOD</t>
  </si>
  <si>
    <t>commerical</t>
  </si>
  <si>
    <t>Total Analysis Period</t>
  </si>
  <si>
    <t>Projection</t>
  </si>
  <si>
    <t>Model End Date</t>
  </si>
  <si>
    <t>end_date</t>
  </si>
  <si>
    <t>Operating  Assumptions</t>
  </si>
  <si>
    <t>Value</t>
  </si>
  <si>
    <t>Unit</t>
  </si>
  <si>
    <t>No. of daily Operation Hours</t>
  </si>
  <si>
    <t>hours</t>
  </si>
  <si>
    <t>No. of days per Annum</t>
  </si>
  <si>
    <t xml:space="preserve">No. of Working days Per Annum </t>
  </si>
  <si>
    <t>Key Products</t>
  </si>
  <si>
    <t>Selling Price</t>
  </si>
  <si>
    <t>Escalation on Selling Price</t>
  </si>
  <si>
    <t>Escalation on RM Cost</t>
  </si>
  <si>
    <t>Process cost, material and consumables</t>
  </si>
  <si>
    <t>Salary &amp; Wages</t>
  </si>
  <si>
    <t>Packaging Cost for DDGS</t>
  </si>
  <si>
    <t>Marketing, Selling and distribution Expenses</t>
  </si>
  <si>
    <t>Maintenance on Plant (% of Gross Block)</t>
  </si>
  <si>
    <t>Civil</t>
  </si>
  <si>
    <t>P&amp;M</t>
  </si>
  <si>
    <t>Plant and Administrative Overhead Expenses</t>
  </si>
  <si>
    <t>Insurance Expenses</t>
  </si>
  <si>
    <t>Other Manufacturing Expenses</t>
  </si>
  <si>
    <t>Expenses for Occupational Health and Safety</t>
  </si>
  <si>
    <t>Escalation on Salaries &amp; Wages</t>
  </si>
  <si>
    <t>WC Holding Periods Distillery</t>
  </si>
  <si>
    <t>Raw Materials</t>
  </si>
  <si>
    <t>WIP</t>
  </si>
  <si>
    <t>Finished Goods</t>
  </si>
  <si>
    <t>Loan Schedule</t>
  </si>
  <si>
    <t xml:space="preserve">Interest on WC </t>
  </si>
  <si>
    <t xml:space="preserve">Interest on TL </t>
  </si>
  <si>
    <t>Door to Door Tenure</t>
  </si>
  <si>
    <t>Moratorium before after SCOD</t>
  </si>
  <si>
    <t>Moratorium period after SCOD</t>
  </si>
  <si>
    <t>(Revenue &amp; Expense Modelling)</t>
  </si>
  <si>
    <t>Operational Years</t>
  </si>
  <si>
    <t>Year Ending (INR Crore)</t>
  </si>
  <si>
    <t>FY</t>
  </si>
  <si>
    <t>Year Counter</t>
  </si>
  <si>
    <t>Months Counter</t>
  </si>
  <si>
    <t>Technical Calculations for design of Digestros of 6 TPD CBG Plant</t>
  </si>
  <si>
    <t>Nos</t>
  </si>
  <si>
    <t>Size in CuM</t>
  </si>
  <si>
    <t>Size of RCC Digester (30 MTRS X 11 MTRS)</t>
  </si>
  <si>
    <t>Raw Materials for Plant</t>
  </si>
  <si>
    <t>Total Raw Mataerial need / day for Feed</t>
  </si>
  <si>
    <t>Adding 100% Water to maintaine TS @ 10% Max</t>
  </si>
  <si>
    <t>CuM</t>
  </si>
  <si>
    <t>Yield</t>
  </si>
  <si>
    <t>Output (Kg)</t>
  </si>
  <si>
    <t>Input (Kg)</t>
  </si>
  <si>
    <t>Total Output</t>
  </si>
  <si>
    <t>leakage factor</t>
  </si>
  <si>
    <t>Net Output</t>
  </si>
  <si>
    <t>Leakages</t>
  </si>
  <si>
    <t>Sub-Total (Total input / day in both Digestors)</t>
  </si>
  <si>
    <t>Revenue Modelling</t>
  </si>
  <si>
    <t>No. of working days (projected)</t>
  </si>
  <si>
    <t>Escalation in Selling price</t>
  </si>
  <si>
    <t>2-5 mm chopped</t>
  </si>
  <si>
    <t>kg</t>
  </si>
  <si>
    <t>ng</t>
  </si>
  <si>
    <t>pm</t>
  </si>
  <si>
    <t>m3</t>
  </si>
  <si>
    <t>litre</t>
  </si>
  <si>
    <t>density</t>
  </si>
  <si>
    <t>KGPD</t>
  </si>
  <si>
    <t>Installed Capacity(KLD)</t>
  </si>
  <si>
    <t>Running Capacity</t>
  </si>
  <si>
    <t>%</t>
  </si>
  <si>
    <t>Intalled Capacity (KGPD)</t>
  </si>
  <si>
    <t>Running Capacity (KGPD)</t>
  </si>
  <si>
    <t>Yearly Production Of CBG (KG)</t>
  </si>
  <si>
    <t>INR/KG</t>
  </si>
  <si>
    <t>Selling Price of CBG (INR/KG)</t>
  </si>
  <si>
    <t>Total Revenue</t>
  </si>
  <si>
    <t>Expense Modelling</t>
  </si>
  <si>
    <t>Raw Material Cost</t>
  </si>
  <si>
    <t>Escalation in Cost of grain</t>
  </si>
  <si>
    <t>kg/day</t>
  </si>
  <si>
    <t>Raw Material Requirement</t>
  </si>
  <si>
    <t>Yearly Consumption (KG)</t>
  </si>
  <si>
    <t>Cost (INR/KG)</t>
  </si>
  <si>
    <t>Napier Grass Cost</t>
  </si>
  <si>
    <t>Total Raw Material Cost</t>
  </si>
  <si>
    <t>Total Project Cost</t>
  </si>
  <si>
    <t>Amount INR Crore</t>
  </si>
  <si>
    <t>Sub Total</t>
  </si>
  <si>
    <t>Means of Finance</t>
  </si>
  <si>
    <t>Land Cost</t>
  </si>
  <si>
    <t>Building &amp; Civil Works</t>
  </si>
  <si>
    <t>Plant &amp; Machinery</t>
  </si>
  <si>
    <t>Electricity Connection &amp; Infrastructure</t>
  </si>
  <si>
    <t>Vehicles</t>
  </si>
  <si>
    <t>Office equipment</t>
  </si>
  <si>
    <t>Interest During Construction (IDC)</t>
  </si>
  <si>
    <t>Associated Additional Cost</t>
  </si>
  <si>
    <t>Grand Total (TPC)</t>
  </si>
  <si>
    <t>Add: GST Input</t>
  </si>
  <si>
    <t>Working Capital Margin @ 25% of WC Gap</t>
  </si>
  <si>
    <t>Net Revenue</t>
  </si>
  <si>
    <t xml:space="preserve">Estimated Cost of 14500 CuM Biogas Plant (6 TPD CBG) </t>
  </si>
  <si>
    <t>Sr No</t>
  </si>
  <si>
    <t>Particulars of unit required</t>
  </si>
  <si>
    <t>Unit Price</t>
  </si>
  <si>
    <t>Rate</t>
  </si>
  <si>
    <t>Amount</t>
  </si>
  <si>
    <t>1)</t>
  </si>
  <si>
    <t>Pre-Operational Expenses (Before Loan Disbursal)</t>
  </si>
  <si>
    <t>i)</t>
  </si>
  <si>
    <t>Formation of New Company, Obtaining MSME Registration and Registration with concerned authorities and cost of website Development and Logo Designing</t>
  </si>
  <si>
    <t>INR</t>
  </si>
  <si>
    <t>L/S</t>
  </si>
  <si>
    <t>ii)</t>
  </si>
  <si>
    <t>ROC Fee for Paid-up Capital and Company Share Demat Charges on NSDL</t>
  </si>
  <si>
    <t>iii)</t>
  </si>
  <si>
    <t>CA Fee + Transport Cost</t>
  </si>
  <si>
    <t>iv)</t>
  </si>
  <si>
    <t>Expenses for NOC's (PESO + Pollution + Ground Water + Local Panchayat)</t>
  </si>
  <si>
    <t>v)</t>
  </si>
  <si>
    <t>Project Report Charges - Tech Consultant</t>
  </si>
  <si>
    <t>vi)</t>
  </si>
  <si>
    <t>Documentation for Project Approval from IOCL / GAIL and State Nodal Agency</t>
  </si>
  <si>
    <t>vii)</t>
  </si>
  <si>
    <t>Bank Guarantee for IOCL / GAIL for signing of CBG Sale Agreement for 15 Yrs.</t>
  </si>
  <si>
    <t>viii)</t>
  </si>
  <si>
    <t xml:space="preserve">Property Valuation + Legal &amp; Insurance Expenses </t>
  </si>
  <si>
    <t>2)</t>
  </si>
  <si>
    <t>Project Finance</t>
  </si>
  <si>
    <t>Loan Application Fee</t>
  </si>
  <si>
    <t xml:space="preserve">Loan Processing Fee @ 0.75% on loan amount (apox 29 Cr) </t>
  </si>
  <si>
    <t xml:space="preserve">Third Party Agency Charges + Legal Charges </t>
  </si>
  <si>
    <t>Electricity Connection for Project Construction</t>
  </si>
  <si>
    <t xml:space="preserve">Project Finance + Stamp Papers + Project Insurance </t>
  </si>
  <si>
    <t>3)</t>
  </si>
  <si>
    <t xml:space="preserve">CIVIL WORKS - Site Development </t>
  </si>
  <si>
    <t xml:space="preserve">i) </t>
  </si>
  <si>
    <t xml:space="preserve">Soil Testing + Back Filling + Boundary Wall Fencing + Main Gate + Security &amp; Weighbridge Room </t>
  </si>
  <si>
    <t>Road + Development of Green Area</t>
  </si>
  <si>
    <t>Office Block + Labor Room + Toilet Block + Kitchen  (2000 Sq Ft)</t>
  </si>
  <si>
    <t>Shade for Gas Purification (12 X 36 Meters)</t>
  </si>
  <si>
    <t xml:space="preserve">Shade for Fertilizer Zone (6 X 10 Meters) </t>
  </si>
  <si>
    <t>CCTV + Street Lights</t>
  </si>
  <si>
    <t>3A)</t>
  </si>
  <si>
    <t>CIVIL WORKS -  Feed Preparation Pits + Slurry Pit + Digesters</t>
  </si>
  <si>
    <t>Soil Cutting for Mixing Pits (03 Nos &amp; Slurry Pit (8 Mtrs X 4 Mtrs)</t>
  </si>
  <si>
    <t>Soil Cutting for Digesters (02 Nos) - 30 Mtrs X 10 Mtrs</t>
  </si>
  <si>
    <t>Pilling &amp; PCC Const of Mixing Pits (03 Nos + 01 Slurry Pit (8 Mtrs X 4 Mtrs)</t>
  </si>
  <si>
    <t>Pilling &amp; RCC of Digesters (02 No) - 30 Mtrs X 10 Mtrs</t>
  </si>
  <si>
    <t>Digester monitoring ladder &amp; crow’s nest</t>
  </si>
  <si>
    <t xml:space="preserve">Center Pillars for Digesters (02 No) </t>
  </si>
  <si>
    <t>Epoxy &amp; Insulation on Digester</t>
  </si>
  <si>
    <t>Pilling &amp; Foundation of Purification Shades (12 X 30 Meters) - 3900 Sq Ft</t>
  </si>
  <si>
    <t>ix)</t>
  </si>
  <si>
    <t xml:space="preserve">Fertilizer Zone Shades (6 X 10 Meters) </t>
  </si>
  <si>
    <t>x)</t>
  </si>
  <si>
    <t>Piling &amp; Foundation of Weighbridge (250 mm) - 4.5 x 16 Mtr</t>
  </si>
  <si>
    <t>xi)</t>
  </si>
  <si>
    <t xml:space="preserve">DG Foundation &amp; Panel + Store Room (600 Ft) </t>
  </si>
  <si>
    <t>xii)</t>
  </si>
  <si>
    <t>Feed Preparation Area &amp; Ramp</t>
  </si>
  <si>
    <t>xiii)</t>
  </si>
  <si>
    <t xml:space="preserve">Construction of Water Treatment Area &amp; Water Storage </t>
  </si>
  <si>
    <t>xiv)</t>
  </si>
  <si>
    <t>Parking Area</t>
  </si>
  <si>
    <t>4)</t>
  </si>
  <si>
    <t>Mechanical Equipments</t>
  </si>
  <si>
    <t xml:space="preserve">Mixers of 11 Kva for Mixing Pits &amp; Slurry Pit (04 Nos) with Accessories </t>
  </si>
  <si>
    <t xml:space="preserve">Submersible Pumps of 7.5 KVA for transferring the Slurry with Accessories </t>
  </si>
  <si>
    <t>Installation of Pumps &amp; Mixers in Mixing &amp; Slurry Pits</t>
  </si>
  <si>
    <t xml:space="preserve">iv) </t>
  </si>
  <si>
    <t xml:space="preserve">vi) </t>
  </si>
  <si>
    <t>Heating System</t>
  </si>
  <si>
    <t xml:space="preserve">Double Membrane Raw Gas holder of 3300 CuM (Fabric - EU Origin) including all accessories and safety valve and observation window </t>
  </si>
  <si>
    <t>VPSA Biogas Purification Plant (Sonitech-100 Cum/ hr) + H2S Desulphurization Tower (Filled with Catalyst) + Chiller + Automatic Control Panel with PLC + CO2 Gas Dryer</t>
  </si>
  <si>
    <t xml:space="preserve">PSA Absorber Towers - Filled with Molecular Sieves (P140 + 4A + Booster Chemical) - Made in France </t>
  </si>
  <si>
    <t xml:space="preserve">Biogas burner / Flare                         </t>
  </si>
  <si>
    <t>Condensate and Sediment trap (VS-5) for removing the Moisture</t>
  </si>
  <si>
    <t>Online Biogas Analyzer for (Ch4, H2S + Co2 + Moisture)</t>
  </si>
  <si>
    <t xml:space="preserve">Over / Under Gas Pressure Relief Valve ((Hydraulic - OUPV) </t>
  </si>
  <si>
    <t>Biogas Compressor (JYOTECH) of capacity 650 Nm3/hr with discharge pressure 250 Kg/cm2g for bottling of CNG into Cascades</t>
  </si>
  <si>
    <t xml:space="preserve">CNG Cylinder Cascade (4500 WL of 75 Cylinders) with Tubing Sandvik, Parker / Swagelok / Jindal Fittings </t>
  </si>
  <si>
    <t>Cascades Safety Valves, Tubing SS 316 connecting System with 4 Nos of Output for Cascades filling, Pressure Gauge, Safety Valves, Seal Excel Ratnamani / Sandvik</t>
  </si>
  <si>
    <t>L/s</t>
  </si>
  <si>
    <t>LCV Post with Mass Flow Meter, GIC Gauge Manifold with QRC &amp; Connected 5 Meters Hose, QRC and Vent Line</t>
  </si>
  <si>
    <t>Solid Liquid Separators with Platform</t>
  </si>
  <si>
    <t>xv)</t>
  </si>
  <si>
    <t>Conversion of Liquid Fertilizers into Sloid Bio Fertilizer</t>
  </si>
  <si>
    <t>xvi)</t>
  </si>
  <si>
    <t>WTP / ETP &amp; Rain Water Harvesting System</t>
  </si>
  <si>
    <t>xvii)</t>
  </si>
  <si>
    <t>Conveyor Belt for Solid Liquid Separators &amp; Packing</t>
  </si>
  <si>
    <t>xviii)</t>
  </si>
  <si>
    <t xml:space="preserve">Bio Coal - Pallets Machine (2.5 ton / hr) </t>
  </si>
  <si>
    <t>xvix)</t>
  </si>
  <si>
    <t>Lab setup for monitoring of digestion process stability.</t>
  </si>
  <si>
    <t>5)</t>
  </si>
  <si>
    <t xml:space="preserve">Electrical, Instrumentation, PLC, data collection  </t>
  </si>
  <si>
    <t>Grid OLTC Transformer 100 KWA with Cables</t>
  </si>
  <si>
    <t>Electrical Panels</t>
  </si>
  <si>
    <t>CT-PT, GO-DO Set, Lighting Arrestors, Servo, Earthing, ACB Panel with Power Factor (400 KVAR ADFC with 1600 AMP ACB), VCB and Cable for HT &amp; LT</t>
  </si>
  <si>
    <t xml:space="preserve">SCADA - Schneider /  Honeywell Process Solutions with Control Panel with Switches </t>
  </si>
  <si>
    <t>Cables &amp; Fittings</t>
  </si>
  <si>
    <t>Genset (Diesel) - 350 KVA</t>
  </si>
  <si>
    <t>Fire Fighting System</t>
  </si>
  <si>
    <t>Lighting &amp; UPS</t>
  </si>
  <si>
    <t>6)</t>
  </si>
  <si>
    <t xml:space="preserve">Off-site Facilities </t>
  </si>
  <si>
    <t>Tractor Mounted Pay loaders, Trollies &amp; Others</t>
  </si>
  <si>
    <t>Tankers (3 Nos &amp; 02 Trolies)</t>
  </si>
  <si>
    <t>Napier Grass Cutter Machine (10 TPH)</t>
  </si>
  <si>
    <t xml:space="preserve">Project Vehicles / Mahindra </t>
  </si>
  <si>
    <t>Weighbridge - 80 Ton</t>
  </si>
  <si>
    <t>Computer &amp; Furniture etc</t>
  </si>
  <si>
    <t xml:space="preserve">Sub-Total </t>
  </si>
  <si>
    <t>7)</t>
  </si>
  <si>
    <t>EPC Contractor Charges @ 5%</t>
  </si>
  <si>
    <t>8)</t>
  </si>
  <si>
    <t xml:space="preserve">Cost of 5 Acres of Agriculture Land </t>
  </si>
  <si>
    <t>Expenses for Land Use conversion (CLU)</t>
  </si>
  <si>
    <t>Bank Guarantee for availing the 100% Stamp Duty</t>
  </si>
  <si>
    <t>Transport Cost</t>
  </si>
  <si>
    <t>Electricity Connection Charges</t>
  </si>
  <si>
    <t xml:space="preserve">Contingencies </t>
  </si>
  <si>
    <t>Working Capital</t>
  </si>
  <si>
    <t>Margin for Working capital &amp; Advance for Raw Material</t>
  </si>
  <si>
    <t>IDC on term loan</t>
  </si>
  <si>
    <t>Adjustable GST</t>
  </si>
  <si>
    <t>PROJECT COST IN INR</t>
  </si>
  <si>
    <r>
      <t xml:space="preserve">Govt Subsidies on Plant - </t>
    </r>
    <r>
      <rPr>
        <sz val="8.5"/>
        <color theme="1"/>
        <rFont val="Arial"/>
        <family val="2"/>
      </rPr>
      <t>Rs. 80 Lac / Ton from GOI + 75 Lac/ Ton from UPNEDA + Carbon Credit @ Rs. 30 Lac / Yr</t>
    </r>
  </si>
  <si>
    <t>*Proposed Collateral of 3.0 Cr for IREDA @ 10% of Loan amount (Bank need min 40% Collateral Security)</t>
  </si>
  <si>
    <t>*Proposed BG Limit against Collateral of 1.35 Cr for UPNEDA @ 3% of Project Cost</t>
  </si>
  <si>
    <t>Land</t>
  </si>
  <si>
    <t>Pre OP Exp</t>
  </si>
  <si>
    <t>Mach</t>
  </si>
  <si>
    <t>Elec</t>
  </si>
  <si>
    <t>Veh</t>
  </si>
  <si>
    <t>Furni</t>
  </si>
  <si>
    <t>IDC</t>
  </si>
  <si>
    <t>Contgn.</t>
  </si>
  <si>
    <t>EPC</t>
  </si>
  <si>
    <t>Other site</t>
  </si>
  <si>
    <t>Land cost</t>
  </si>
  <si>
    <t>Electricals</t>
  </si>
  <si>
    <t>Pre-Operatives</t>
  </si>
  <si>
    <t>Interest During Construction</t>
  </si>
  <si>
    <t>Contingencies at 2% of Civil works, P&amp;M, Electricals</t>
  </si>
  <si>
    <t>Project Management Charges</t>
  </si>
  <si>
    <t>pre operative</t>
  </si>
  <si>
    <t>cr</t>
  </si>
  <si>
    <t>epc contractor charges</t>
  </si>
  <si>
    <t>1+2</t>
  </si>
  <si>
    <t>lakh</t>
  </si>
  <si>
    <t>electricity connection</t>
  </si>
  <si>
    <t>transportation</t>
  </si>
  <si>
    <t>GST Calculation</t>
  </si>
  <si>
    <t>Total</t>
  </si>
  <si>
    <t>part of contingent liability in TPC</t>
  </si>
  <si>
    <t xml:space="preserve">Equity </t>
  </si>
  <si>
    <t>Unsecured Loans</t>
  </si>
  <si>
    <t>Loan from Banks</t>
  </si>
  <si>
    <t>CC Loan</t>
  </si>
  <si>
    <t>Total Loan Amount</t>
  </si>
  <si>
    <r>
      <t>Parasitic Consumption of Power (Tentative)</t>
    </r>
    <r>
      <rPr>
        <b/>
        <sz val="11"/>
        <color rgb="FFC00000"/>
        <rFont val="Calibri"/>
        <family val="2"/>
      </rPr>
      <t>*</t>
    </r>
  </si>
  <si>
    <t>INR/KWh</t>
  </si>
  <si>
    <t>Electricity tarrif</t>
  </si>
  <si>
    <t>Running Hours Max (In intervals)</t>
  </si>
  <si>
    <t>Power &amp; Utilities</t>
  </si>
  <si>
    <t>Escalation in Cost</t>
  </si>
  <si>
    <t>Annual Consumption of Power (Kwh)</t>
  </si>
  <si>
    <t>Tarrif (INR/Kwh)</t>
  </si>
  <si>
    <t>Electricity expenses</t>
  </si>
  <si>
    <t>Salary &amp; Wages Per Annum</t>
  </si>
  <si>
    <t>Projected Salary</t>
  </si>
  <si>
    <t xml:space="preserve">Salary &amp; Wages </t>
  </si>
  <si>
    <t>SCHEDULE OF SALARIES AND WAGES</t>
  </si>
  <si>
    <t>I. FACTORY WAGES &amp; SUPERVISION</t>
  </si>
  <si>
    <t xml:space="preserve">a) Workers Wages </t>
  </si>
  <si>
    <t>COST (INR)</t>
  </si>
  <si>
    <t xml:space="preserve">Category </t>
  </si>
  <si>
    <t xml:space="preserve">Number </t>
  </si>
  <si>
    <t xml:space="preserve">Average Monthly Salary </t>
  </si>
  <si>
    <t>No. of months/ year</t>
  </si>
  <si>
    <t xml:space="preserve">Total Annual Salary </t>
  </si>
  <si>
    <t xml:space="preserve">Skilled Workers </t>
  </si>
  <si>
    <t xml:space="preserve">Semi-Skilled Workers </t>
  </si>
  <si>
    <t>Un-Skilled Worker</t>
  </si>
  <si>
    <t xml:space="preserve">Sub Total </t>
  </si>
  <si>
    <t xml:space="preserve">b) Factory Supervision </t>
  </si>
  <si>
    <t xml:space="preserve">Shift Supervisor </t>
  </si>
  <si>
    <t xml:space="preserve">Field Officer </t>
  </si>
  <si>
    <t>Store In-Charge</t>
  </si>
  <si>
    <t>Store Assistant</t>
  </si>
  <si>
    <t xml:space="preserve">Chemist </t>
  </si>
  <si>
    <t xml:space="preserve">Total Wages &amp; Salaries </t>
  </si>
  <si>
    <t>II. OFFICE STAFF</t>
  </si>
  <si>
    <t xml:space="preserve">General Manager </t>
  </si>
  <si>
    <t>Accounts Manager</t>
  </si>
  <si>
    <t xml:space="preserve">Accounts Assistant </t>
  </si>
  <si>
    <t>Office Assistant -Marketing</t>
  </si>
  <si>
    <t>Office boy</t>
  </si>
  <si>
    <t>Total for Office Staff</t>
  </si>
  <si>
    <t>Total Salary expenses</t>
  </si>
  <si>
    <t>Escalation on Power Cost</t>
  </si>
  <si>
    <t>Total Power load Connection</t>
  </si>
  <si>
    <t>kWA</t>
  </si>
  <si>
    <t xml:space="preserve">Power consumption </t>
  </si>
  <si>
    <t>kWH/Day</t>
  </si>
  <si>
    <t>Power Consumption per day</t>
  </si>
  <si>
    <t>INR/annum</t>
  </si>
  <si>
    <t>Days</t>
  </si>
  <si>
    <t>Yearly</t>
  </si>
  <si>
    <t>Packaging Cost for Fermented organic solid manure</t>
  </si>
  <si>
    <t>Packaging cost per kg</t>
  </si>
  <si>
    <t>INR/kg</t>
  </si>
  <si>
    <t>Escalation on Packaging Cost</t>
  </si>
  <si>
    <t>Transportation Cost</t>
  </si>
  <si>
    <t>Total revenue</t>
  </si>
  <si>
    <t xml:space="preserve">Transportation cost </t>
  </si>
  <si>
    <t>of Revenue</t>
  </si>
  <si>
    <t>Marketing, Selling and distribution Expense</t>
  </si>
  <si>
    <t>% of Gross Block</t>
  </si>
  <si>
    <t>Total Maintenance expense</t>
  </si>
  <si>
    <t>Escalation rate</t>
  </si>
  <si>
    <t xml:space="preserve">Overhead expenses </t>
  </si>
  <si>
    <t>Insurance Expenses @ 0.25% of net block</t>
  </si>
  <si>
    <t>Insurance expenses</t>
  </si>
  <si>
    <t>of Net Block</t>
  </si>
  <si>
    <t>Other manufacturing Expenses</t>
  </si>
  <si>
    <t>Other Manufacturing expenses</t>
  </si>
  <si>
    <t>Total Cost</t>
  </si>
  <si>
    <t>INR lakhs/annum</t>
  </si>
  <si>
    <t>Overhead expenses @ 1.5% of revenue</t>
  </si>
  <si>
    <t>(Profit &amp; Loss Account)</t>
  </si>
  <si>
    <t>Revenue</t>
  </si>
  <si>
    <t>Cost of Sales</t>
  </si>
  <si>
    <t>Raw Material</t>
  </si>
  <si>
    <t>Power &amp; Fuel</t>
  </si>
  <si>
    <t>Repair &amp; Maintenance</t>
  </si>
  <si>
    <t>Depreciation</t>
  </si>
  <si>
    <t>Cost of production</t>
  </si>
  <si>
    <t>Add: Opening Stock in Process</t>
  </si>
  <si>
    <t>Sub-Total</t>
  </si>
  <si>
    <t>Less: Closing Stock in Process</t>
  </si>
  <si>
    <t>Add: Opening Stocks of Finished Goods</t>
  </si>
  <si>
    <t>Less: Closing stocks of Finished Goods</t>
  </si>
  <si>
    <t>Total Cost of Sales</t>
  </si>
  <si>
    <t>Selling, General &amp; administration Expenses</t>
  </si>
  <si>
    <t>Preliminary Expenses written off</t>
  </si>
  <si>
    <t>EBIT</t>
  </si>
  <si>
    <t>Interest expenses</t>
  </si>
  <si>
    <t>Interest on term loan</t>
  </si>
  <si>
    <t>Interest on working capital</t>
  </si>
  <si>
    <t>Total Interest Expenses</t>
  </si>
  <si>
    <t>Profit before Taxes (PBT)</t>
  </si>
  <si>
    <t>Tax</t>
  </si>
  <si>
    <t>Profit after Taxes (PAT)</t>
  </si>
  <si>
    <t>(Loan Schedule)</t>
  </si>
  <si>
    <t>Opening Bal</t>
  </si>
  <si>
    <t>Disbursement</t>
  </si>
  <si>
    <t>Repayment</t>
  </si>
  <si>
    <t>Closing Principal o/s</t>
  </si>
  <si>
    <t>Interest</t>
  </si>
  <si>
    <t>TL Interest</t>
  </si>
  <si>
    <t>Loan Amount</t>
  </si>
  <si>
    <t>INR Crore</t>
  </si>
  <si>
    <t>Rep Year</t>
  </si>
  <si>
    <t>Interest Rate</t>
  </si>
  <si>
    <t>Qrtrly Pay</t>
  </si>
  <si>
    <t>Bulleted</t>
  </si>
  <si>
    <t>Op. Bal</t>
  </si>
  <si>
    <t>Repay</t>
  </si>
  <si>
    <t>Cl. Bal</t>
  </si>
  <si>
    <t>Assumption</t>
  </si>
  <si>
    <t xml:space="preserve">Disbursement % </t>
  </si>
  <si>
    <t xml:space="preserve">Repayment % </t>
  </si>
  <si>
    <t>XXXXXX</t>
  </si>
  <si>
    <t>2024-25</t>
  </si>
  <si>
    <t>Apr</t>
  </si>
  <si>
    <t>May</t>
  </si>
  <si>
    <t>June</t>
  </si>
  <si>
    <t>July</t>
  </si>
  <si>
    <t>Aug</t>
  </si>
  <si>
    <t>Construction Starts</t>
  </si>
  <si>
    <t>Sept</t>
  </si>
  <si>
    <t>Oct</t>
  </si>
  <si>
    <t>Nov</t>
  </si>
  <si>
    <t>Dec</t>
  </si>
  <si>
    <t>Jan</t>
  </si>
  <si>
    <t>Feb</t>
  </si>
  <si>
    <t>Mar</t>
  </si>
  <si>
    <t>2025-26</t>
  </si>
  <si>
    <t>C.O.D</t>
  </si>
  <si>
    <t>2026-27</t>
  </si>
  <si>
    <t>Moratorium Ends</t>
  </si>
  <si>
    <t>2027-28</t>
  </si>
  <si>
    <t>2028-29</t>
  </si>
  <si>
    <t>2029-30</t>
  </si>
  <si>
    <t>2030-31</t>
  </si>
  <si>
    <t>2031-32</t>
  </si>
  <si>
    <t>2032-33</t>
  </si>
  <si>
    <t>2033-34</t>
  </si>
  <si>
    <t>2034-35</t>
  </si>
  <si>
    <t>Repayment Starts</t>
  </si>
  <si>
    <t>(Depreciation Schedule)</t>
  </si>
  <si>
    <t>No. of days per annum</t>
  </si>
  <si>
    <t>Particulars (INR Crore)</t>
  </si>
  <si>
    <t xml:space="preserve">Amt </t>
  </si>
  <si>
    <t>Total CoP</t>
  </si>
  <si>
    <t>SLM Rate</t>
  </si>
  <si>
    <t>WDV rate</t>
  </si>
  <si>
    <t>Depreciation Schedule as per Company's Act, 2013 (INR Crore)</t>
  </si>
  <si>
    <t>SLM Depreciation - Land</t>
  </si>
  <si>
    <t xml:space="preserve">Total SLM Depreciation </t>
  </si>
  <si>
    <t>Life
Years</t>
  </si>
  <si>
    <t>Depreciation Schedule as per Income Tax Act (INR Crore)</t>
  </si>
  <si>
    <t>Total WDV</t>
  </si>
  <si>
    <t xml:space="preserve">Total WDV Depreciation </t>
  </si>
  <si>
    <t>(Working Capital Assessment)</t>
  </si>
  <si>
    <t>No. of operating days per annum</t>
  </si>
  <si>
    <t>No. of  days per annum</t>
  </si>
  <si>
    <t>WC Holding Periods Assumption</t>
  </si>
  <si>
    <t xml:space="preserve">Sales </t>
  </si>
  <si>
    <t xml:space="preserve">Power </t>
  </si>
  <si>
    <t xml:space="preserve">Overheads </t>
  </si>
  <si>
    <t>Inventory</t>
  </si>
  <si>
    <t>Power</t>
  </si>
  <si>
    <t>Overheads</t>
  </si>
  <si>
    <t>Percentage</t>
  </si>
  <si>
    <t>Years</t>
  </si>
  <si>
    <t>months</t>
  </si>
  <si>
    <t>Trade Paybles</t>
  </si>
  <si>
    <t>(days)</t>
  </si>
  <si>
    <t>Trade Payable</t>
  </si>
  <si>
    <t>Trade Recievable</t>
  </si>
  <si>
    <t>Total Trade Payables</t>
  </si>
  <si>
    <t>Trade Recievables</t>
  </si>
  <si>
    <t>Raw Material + Consumables</t>
  </si>
  <si>
    <t>Finished Good</t>
  </si>
  <si>
    <t>Finsished Goods</t>
  </si>
  <si>
    <t>Total Expenses</t>
  </si>
  <si>
    <t>Total Trade Recievables</t>
  </si>
  <si>
    <t>Current Assets</t>
  </si>
  <si>
    <t>Current Liabilities</t>
  </si>
  <si>
    <t>Working Capital Margin @25%</t>
  </si>
  <si>
    <t>Working Capital gap</t>
  </si>
  <si>
    <t>Intrest on CC loan</t>
  </si>
  <si>
    <t>years</t>
  </si>
  <si>
    <t>U/S 80 JAA</t>
  </si>
  <si>
    <t>Taxation</t>
  </si>
  <si>
    <t>After 5 Year</t>
  </si>
  <si>
    <t>Surcharge</t>
  </si>
  <si>
    <t>Cess</t>
  </si>
  <si>
    <t>Applicable Tax Rate (%)</t>
  </si>
  <si>
    <t>Total Repair and Maintenance expensed</t>
  </si>
  <si>
    <t>CC Limit</t>
  </si>
  <si>
    <t>Cash Accrual</t>
  </si>
  <si>
    <t>PAT</t>
  </si>
  <si>
    <t>Add: Dep &amp; Am</t>
  </si>
  <si>
    <t xml:space="preserve">Repayment Obligations </t>
  </si>
  <si>
    <t>Net cash accrual</t>
  </si>
  <si>
    <t xml:space="preserve">Cumulative Internal Accruals  </t>
  </si>
  <si>
    <t>Margins of the Company</t>
  </si>
  <si>
    <t>EBITDA</t>
  </si>
  <si>
    <t>EBITDA Margin %</t>
  </si>
  <si>
    <t>EBIT Margin %</t>
  </si>
  <si>
    <t>PAT Margin %</t>
  </si>
  <si>
    <t>Revenue growth rate Y-o-Y (%)</t>
  </si>
  <si>
    <t>(Proforma Balance Sheet)</t>
  </si>
  <si>
    <t>(Cash Flow Statement)</t>
  </si>
  <si>
    <t>Preliminary &amp; Preoperative</t>
  </si>
  <si>
    <t xml:space="preserve">LIABILITIES </t>
  </si>
  <si>
    <t>Equity</t>
  </si>
  <si>
    <t>Reserve &amp; Surplus</t>
  </si>
  <si>
    <t>Secured Loan</t>
  </si>
  <si>
    <t xml:space="preserve">Term liabilities payable within one year </t>
  </si>
  <si>
    <t>Other Current Liabilities</t>
  </si>
  <si>
    <t xml:space="preserve">TOTAL </t>
  </si>
  <si>
    <t>Total Gross Block</t>
  </si>
  <si>
    <t>CURRENT ASSETS</t>
  </si>
  <si>
    <t>Trade Receivables</t>
  </si>
  <si>
    <t>Inventories</t>
  </si>
  <si>
    <t>Other Current Assets</t>
  </si>
  <si>
    <t>Other Non Current Assets</t>
  </si>
  <si>
    <t>Net Block</t>
  </si>
  <si>
    <t>Cash &amp; Cash Equivalent</t>
  </si>
  <si>
    <t>Building &amp; Civil works</t>
  </si>
  <si>
    <t>Electricals &amp; Fittings</t>
  </si>
  <si>
    <t>Office equipments</t>
  </si>
  <si>
    <t xml:space="preserve">A. SOURCE OF FUND </t>
  </si>
  <si>
    <t xml:space="preserve">Net Profit </t>
  </si>
  <si>
    <t>Increase in Equity / Share Capital/USL</t>
  </si>
  <si>
    <t>Increase in TL</t>
  </si>
  <si>
    <t>Increase in CC Limit</t>
  </si>
  <si>
    <t xml:space="preserve">Depreciation </t>
  </si>
  <si>
    <t>Prelm Exps w/off</t>
  </si>
  <si>
    <t>Trade paybles</t>
  </si>
  <si>
    <t xml:space="preserve">B. APPLICATION OF FUNDS </t>
  </si>
  <si>
    <t xml:space="preserve">Capital Expenses </t>
  </si>
  <si>
    <t xml:space="preserve">Decrease in Term Loan </t>
  </si>
  <si>
    <t>Trade Receivable</t>
  </si>
  <si>
    <t xml:space="preserve">Inventory </t>
  </si>
  <si>
    <t>Opening Balance</t>
  </si>
  <si>
    <t>Net Surplus/ Deficit</t>
  </si>
  <si>
    <t xml:space="preserve">Cumulative Balance </t>
  </si>
  <si>
    <t>Total Current Assets</t>
  </si>
  <si>
    <t>Assets</t>
  </si>
  <si>
    <t>Total Non-Current Assets</t>
  </si>
  <si>
    <t>Difference</t>
  </si>
  <si>
    <t>Prelm Expenses</t>
  </si>
  <si>
    <t>PRELIMINARY EXPENSES W/off</t>
  </si>
  <si>
    <t>Profit before taxes</t>
  </si>
  <si>
    <t>Add: Exceptional items</t>
  </si>
  <si>
    <t>Add: Provision for foreign exchange fluctuations</t>
  </si>
  <si>
    <t>Add: Dep.as per Co Act</t>
  </si>
  <si>
    <t>Less: Dep. as per IT Act</t>
  </si>
  <si>
    <t>Adjusted PBT</t>
  </si>
  <si>
    <t>Losses B/F</t>
  </si>
  <si>
    <t>Unabsorbed Depreciation B/F</t>
  </si>
  <si>
    <t>Taxable Profits</t>
  </si>
  <si>
    <t>Losses C/F</t>
  </si>
  <si>
    <t>Unabsorbed Depreciation C/F</t>
  </si>
  <si>
    <t>MAT Rate</t>
  </si>
  <si>
    <t>Normal Tax rate</t>
  </si>
  <si>
    <t>Tax Liability as per normal provisions</t>
  </si>
  <si>
    <t>Tax Rate Business Income</t>
  </si>
  <si>
    <t>MAT Liability on book profits</t>
  </si>
  <si>
    <t>Tax Liability higher of two</t>
  </si>
  <si>
    <t>Less: Mat Credit set off</t>
  </si>
  <si>
    <t>Tax paid</t>
  </si>
  <si>
    <t>Opening</t>
  </si>
  <si>
    <t>Additions</t>
  </si>
  <si>
    <t>Utilized</t>
  </si>
  <si>
    <t>Cumulative MAT Credit</t>
  </si>
  <si>
    <t xml:space="preserve">Corporate Tax Rate </t>
  </si>
  <si>
    <t>(Tax Calculation)</t>
  </si>
  <si>
    <t>(DSCR)</t>
  </si>
  <si>
    <t>Cash accrual</t>
  </si>
  <si>
    <t>Interest on WC</t>
  </si>
  <si>
    <t>Subtotal</t>
  </si>
  <si>
    <t>Loan Repayent</t>
  </si>
  <si>
    <t>DSCR</t>
  </si>
  <si>
    <t>Average DSCR</t>
  </si>
  <si>
    <t>Maximum DSCR</t>
  </si>
  <si>
    <t>Less: Taxes</t>
  </si>
  <si>
    <t>Add: Depreciation &amp; Amortisation</t>
  </si>
  <si>
    <t>NOPAT</t>
  </si>
  <si>
    <t>Increase/(Decrease) in working capital</t>
  </si>
  <si>
    <t>Capex</t>
  </si>
  <si>
    <t>Free Cash Flow to Firm (FCFF)</t>
  </si>
  <si>
    <t>WCC</t>
  </si>
  <si>
    <t>Required rate of return</t>
  </si>
  <si>
    <t>Project Risk premium</t>
  </si>
  <si>
    <t>Discount rate</t>
  </si>
  <si>
    <t>Expected growth rate(Terminal)</t>
  </si>
  <si>
    <t>Discount Period</t>
  </si>
  <si>
    <t>Discount Factor</t>
  </si>
  <si>
    <t>PV of FCFF</t>
  </si>
  <si>
    <t>Terminal Value of the project</t>
  </si>
  <si>
    <t>PV of Terminal Value</t>
  </si>
  <si>
    <t>PV of FCF+ PV of Terminal Value</t>
  </si>
  <si>
    <t>NPV</t>
  </si>
  <si>
    <t>IRR</t>
  </si>
  <si>
    <t>Payback Perid</t>
  </si>
  <si>
    <t>No. Of Years</t>
  </si>
  <si>
    <t>Accumulated Cash Accrual</t>
  </si>
  <si>
    <t>TPC</t>
  </si>
  <si>
    <t>Payback Period</t>
  </si>
  <si>
    <t>(Ratio and Break Even Analysis)</t>
  </si>
  <si>
    <t>Sales</t>
  </si>
  <si>
    <t>Variable Expenses</t>
  </si>
  <si>
    <t>Contribution</t>
  </si>
  <si>
    <t>Fixed Expenses</t>
  </si>
  <si>
    <t>Profit / PBT</t>
  </si>
  <si>
    <t>PV RATIO (Contr / Sales)</t>
  </si>
  <si>
    <t>BEP  Sales (Fix Exps / Contr * Sales)</t>
  </si>
  <si>
    <t>BEP% (BEP Sales / sales)</t>
  </si>
  <si>
    <t>Ratio Analysis:</t>
  </si>
  <si>
    <t>Average</t>
  </si>
  <si>
    <t>Return on Capital employed (%)</t>
  </si>
  <si>
    <t>Return on Investment (%)</t>
  </si>
  <si>
    <t>Return on Net Worth</t>
  </si>
  <si>
    <t>ISCR</t>
  </si>
  <si>
    <t>Fixed Asset Coverage Ratio</t>
  </si>
  <si>
    <t>Current Ratio</t>
  </si>
  <si>
    <t>TOL/TNW</t>
  </si>
  <si>
    <t>Debt to Equity Ratio</t>
  </si>
  <si>
    <t>MAT</t>
  </si>
  <si>
    <t>MAT Credit Entitlement</t>
  </si>
  <si>
    <t>Provision for taxes</t>
  </si>
  <si>
    <t>Revenue from Bio CBG</t>
  </si>
  <si>
    <t>Total Revenue from Bio CBG</t>
  </si>
  <si>
    <t>GST Input</t>
  </si>
  <si>
    <t>Cost @ 3% of Revenue</t>
  </si>
  <si>
    <t>M/S SUPERIOR AGRO VENTURES PVT LTD E/2479, AMBA VIHAR, SAHARANPUR BYPASS ROAD, GANGOH, NAKUR, SAHARANPUR 247341 UP</t>
  </si>
  <si>
    <t>Khata No, 208, 42, Khasra No 161/1, 160, Vill- Reda Harsana, Tehsil - Un, Dist- Shamli - 247778 (UP),Reda Harsana, SHAMLI, Taluka: UN, District: SHAMLI, State: Uttar Pradesh, Pin : 247778.</t>
  </si>
  <si>
    <t>Mrs. Jaivil Rana and Mrs. Mini Panwar</t>
  </si>
  <si>
    <t>procurement and quality control, Documentation for Grain Export from India to EU / Gulf Countries.</t>
  </si>
  <si>
    <t>Taxation and corporate consultancy,</t>
  </si>
  <si>
    <t xml:space="preserve"> Italian Sequential Gas Mixing System and Thermophiles Therminibe Technology (NIBE, India)</t>
  </si>
  <si>
    <t>the mixing by gas bubbling from the bottom</t>
  </si>
  <si>
    <t>Mapro - Sequential Gas Mixing System with Technology (Italian) - 55 HP</t>
  </si>
  <si>
    <t>Gas Mixing System - Peso approved flame proof 1000 RPM Motor, Cyclone Separator for removal of oil from the gas, Compressor mounted Indian Instrumentation &amp; gauges, Suction Filter, Sound Reducing Canopy, Control Panel with soft Starter, HDP &amp; SS Pipes, Valves, PLC Panel for Operation of the pneumatic valves, Control Panel for air compressor, blower etc., Gravel filter 1100 NM3/hr. with other accessories &amp; Installations</t>
  </si>
  <si>
    <t>*****Technology changes to gas mixture</t>
  </si>
  <si>
    <t>Checking &amp; Correction in DESIGN ENGINEERING, Supervision of CIVIL Work, ERECTION, COMMISSIONING &amp; TESTING as per proposal</t>
  </si>
  <si>
    <t>Running load</t>
  </si>
  <si>
    <t>STAR PROJECTS RENEWABLE RESOURCCES PRIVATE LIMITED</t>
  </si>
  <si>
    <t>M/s Superior Agro Ventures Private Limited</t>
  </si>
  <si>
    <t>Non-government company</t>
  </si>
  <si>
    <t>The objects to be persued by the company on its incorporation was</t>
  </si>
  <si>
    <t>F. No.</t>
  </si>
  <si>
    <t>NAME OF</t>
  </si>
  <si>
    <t>SHAREHOLDERS</t>
  </si>
  <si>
    <t>FATHER'S</t>
  </si>
  <si>
    <t>NAME</t>
  </si>
  <si>
    <t>ADDRESS</t>
  </si>
  <si>
    <t>TYPE OF</t>
  </si>
  <si>
    <t>SHARES</t>
  </si>
  <si>
    <t>NO. OF</t>
  </si>
  <si>
    <t>AMOUNT PER</t>
  </si>
  <si>
    <t>SHARE</t>
  </si>
  <si>
    <t>Jaivil Rana</t>
  </si>
  <si>
    <t>Magan Pal Singh</t>
  </si>
  <si>
    <t>506, Tower-1, Arcadia Hillocks, Mussoorie Diversion Road, Kutthal Gaon, Dehradun, Uttarakhand-248009</t>
  </si>
  <si>
    <t>EQUIRTY</t>
  </si>
  <si>
    <t>Mini Panwar</t>
  </si>
  <si>
    <t>Ramesh Tomar</t>
  </si>
  <si>
    <t>Plot No. 16, Upper Ground Floor, Block-B1, Nangal Dewat, Vasant Kunj, Delhi-110070</t>
  </si>
  <si>
    <t>TOTAL</t>
  </si>
  <si>
    <t>Mrs. Jaivil Ranais an Agriculturist</t>
  </si>
  <si>
    <t>Post Graduation</t>
  </si>
  <si>
    <t>Euro Motors Pvt. Ltd. New Delhi – (2005 – 2009)</t>
  </si>
  <si>
    <t>Miracle Adventures and Hospitality Pvt. Ltd., New Delhi (2010 - 2016)</t>
  </si>
  <si>
    <t>Financial Year</t>
  </si>
  <si>
    <t>land at  Khata No, 208, 42, 226 Khasra No. 161/1, 160, 157 Village- Reda Harsana, Tehsil - Un, District- Shamli 247778</t>
  </si>
  <si>
    <t>5.048 Acre (2.043 Hectare)</t>
  </si>
  <si>
    <t>Gogar sugar mill, Sugar Mill Rd, Gaagor, Shamali Shamla, Uttar Pradesh 247778</t>
  </si>
  <si>
    <t>Wave sugar mill bidvi birwi saharanpur, Sugar Mill Rd, Gaagor, Lawa Daudpur, Uttar Pradesh 247778</t>
  </si>
  <si>
    <t>Karnal Cooperative Sugar Mill, Meerut Rd, Suraj Nagar, Karan Vihar, Karnal, Haryana 132001</t>
  </si>
  <si>
    <t>Indira Gandhi International Airport</t>
  </si>
  <si>
    <t>29°36'11.6"N 77°12'41.3"E</t>
  </si>
  <si>
    <t xml:space="preserve">30M x 60M will be required for PURIFICATION PLANT COMPRESSOR ROOM CBG FILLING UNIT </t>
  </si>
  <si>
    <t>Training and Plant Manual</t>
  </si>
  <si>
    <t>Electricity Infrastructure</t>
  </si>
  <si>
    <t>Application Number: SHML1123NIN0034</t>
  </si>
  <si>
    <t>The Proposed Well</t>
  </si>
  <si>
    <t>Connected Load (Kwh)</t>
  </si>
  <si>
    <t>Units</t>
  </si>
  <si>
    <t>No of hours of operation</t>
  </si>
  <si>
    <t>Feed Pre-Treatment Unit</t>
  </si>
  <si>
    <t>Submersible Pumps for Feeding</t>
  </si>
  <si>
    <t>Compressors for Balloon &amp; Pneumatic valves</t>
  </si>
  <si>
    <t>Feeding system</t>
  </si>
  <si>
    <t>Liquid Gas Mix system</t>
  </si>
  <si>
    <t xml:space="preserve">Solid Liquid Separators </t>
  </si>
  <si>
    <t>Pressure boosting system</t>
  </si>
  <si>
    <t>H2S scrubber</t>
  </si>
  <si>
    <t>CO2 removal &amp; purification system</t>
  </si>
  <si>
    <t>Compressors</t>
  </si>
  <si>
    <t>Instrumentation and biogas piping and electric panels</t>
  </si>
  <si>
    <t>Organic fertiliser plant</t>
  </si>
  <si>
    <t>Miscellaneous</t>
  </si>
  <si>
    <t>Awareness of Bio Fertilizer in Farmers and Marketing of Organic Fertilizer</t>
  </si>
  <si>
    <t>Sequential Gas Mixing System</t>
  </si>
  <si>
    <t>Sequential Gas Mixing System with Technology (Italian)</t>
  </si>
  <si>
    <t>company needs to obtain Change of land use (CLU) on this agricultural land, to use the land for commercial/industrial purpose by setting up the proposed Bio-CNG plant. Thus the total cost of the land would be INR ~4.34 Crore including INR 10 lakhs CLU and other charges.</t>
  </si>
  <si>
    <t xml:space="preserve">the estimated cost of the Building &amp; Civil works is ~INR 781.31 lakhs excluding 18% applicable GST. Cost of the Building &amp; Civil works has been considered on the basis of shared quotations provided to us by the client.
It is to be noted here that the cost vetting of the proposed project is out of scope of this report. However, as a TEV consultant, the estimated Building &amp; Civil works cost has been verified independently by us, which we found reasonable &amp; in the permissible range also the cost may change as per specifications &amp; material brand
</t>
  </si>
  <si>
    <t xml:space="preserve">as per shared invited quotations provided by the client, the estimated cost for plant &amp; machinery will be ~INR 15.24 crores excluding 12% applicable GST. The estimated cost of the Plant &amp; Machinery has been provided to us by the client. It is to be noted here that the cost vetting of the proposed project cost is out of scope of this report. 
However, as a TEV consultant, the cost of major plant &amp; machinery has been verified by us independently, which we found reasonable &amp; in the permissible range although the cost may change as per specifications &amp; brand.
</t>
  </si>
  <si>
    <t>the cost of miscellaneous fixed asset is estimated as INR 2.67 Crore excluding applicable GST. The estimated cost of the miscellaneous fixed asset has been provided to us by the client based on the invited quotation.</t>
  </si>
  <si>
    <t>U15490PB2022PTC056613</t>
  </si>
  <si>
    <t>https://localbodydata.com/gram-panchayat-harsana-81675</t>
  </si>
  <si>
    <t>Uttar Pradesh Fire and Emergency Services, Government Of Uttar Pradesh</t>
  </si>
  <si>
    <t>Ground water department (Namami Gange &amp; Rural Water supply department), Ministry of Jal Shakti, Government of Uttara Pradesh on 13th November 2023 (Application Number: SHML1123NIN0034)</t>
  </si>
  <si>
    <t>Ministry of Commerce &amp; Industry Government of India</t>
  </si>
  <si>
    <t>A/G/HO/UP/05/623 &amp;A/G/HO/UP/06/602 (G124605)</t>
  </si>
  <si>
    <t>No Objection Certificate (NOC) for ground water abstraction</t>
  </si>
  <si>
    <t>(Application Number: SHML1123NIN0034)</t>
  </si>
  <si>
    <t>Validity Period :21/10/2023 To 20/10/2028</t>
  </si>
  <si>
    <t>Ref No. - 193603/UPPCB/Circle3(UPPCBHO)/CTE/SHAMLI/2023</t>
  </si>
  <si>
    <t>FCFF+TV</t>
  </si>
  <si>
    <t>1 Napier Grass / Agriculture Residue Between 80 - 100</t>
  </si>
  <si>
    <t>2 Sugarcane Pressmud Between 40 - 50</t>
  </si>
  <si>
    <t>Superior Food Grains (P) Ltd., (Rana Group) Sugar Mill, Village - Gogar, Tehsil – Un, Uttar Pradesh 247778</t>
  </si>
  <si>
    <t>Bajaj Hindusthan Sugar Ltd., Vill. Thanabhawan, Shamli, UP</t>
  </si>
  <si>
    <t>Long Term Raw Material supply with M/s. Anagram Development and Farmer Producer Company Limited (FPO)</t>
  </si>
  <si>
    <t>U01403UP2015PTC073940</t>
  </si>
  <si>
    <t>Anagram Development &amp; Farmer Producer Company Limited is a Private incorporated on 19 October 2015</t>
  </si>
  <si>
    <t>It is classified as Non-govt company and is registered at Registrar of Companies, Kanpur.</t>
  </si>
  <si>
    <t>Agricultural and animal husbandry service activities, except veterinary activities.</t>
  </si>
  <si>
    <t>Napier Grass is an ideal substrate for biogas Production. Napier grass and cattle slurry-based biogas production application that could be applied more cost-effectively more sustainable production biogas.</t>
  </si>
  <si>
    <t>Sugar Cane Pressmud is available from Nov. to May</t>
  </si>
  <si>
    <t>Pressmud is considered as backup Raw material source</t>
  </si>
  <si>
    <t>and Napier Grass will be used as major feed stock.</t>
  </si>
  <si>
    <t>Studies have shown that Napier Grass has a high methane yield due to higher cellulose and crude protein, making it an efficient source of Bio-CNG with the potential for significant energy output.</t>
  </si>
  <si>
    <t>With an energy output-to-input ratio of approximately 25:1, it emerges as one of the most promising energy crop</t>
  </si>
  <si>
    <t>Napier grass, also known as elephant grass, is a productive and versatile forage grass native to Africa and southeast Asia.</t>
  </si>
  <si>
    <t xml:space="preserve">This fast-growing perennial grass can reach a height of 10-15 feet and can be harvested 5-6 times annually. </t>
  </si>
  <si>
    <t xml:space="preserve">In India, the reported annual production yield of Napier grass ranges from 150-200 tonnes per acre per year, which is significantly higher (25-35 tonnes per hectare) compared to other energy grasses like miscanthus and switchgrass. </t>
  </si>
  <si>
    <t>120-150</t>
  </si>
  <si>
    <t>Parameters, % Fresh, % Dry Matter, %</t>
  </si>
  <si>
    <t>Crude Protein, % 1.21 8.12</t>
  </si>
  <si>
    <t>Crude Fiber, % 5.37 36.02</t>
  </si>
  <si>
    <t>Crude Fat, % 10.12 67.87</t>
  </si>
  <si>
    <t>Moisture, % 85.09 -</t>
  </si>
  <si>
    <t>Ash, % 1.01 6.77</t>
  </si>
  <si>
    <t>Neutral Detergent Fiber, % 10.2 68.41</t>
  </si>
  <si>
    <t>Chemical Analysis of Super Napier grass</t>
  </si>
  <si>
    <t xml:space="preserve">Parameters, % </t>
  </si>
  <si>
    <t xml:space="preserve">Fresh, % </t>
  </si>
  <si>
    <t>Dry Matter, %</t>
  </si>
  <si>
    <t xml:space="preserve">Crude Protein, % </t>
  </si>
  <si>
    <t>Crude Fiber, %</t>
  </si>
  <si>
    <t>Crude Fat, %</t>
  </si>
  <si>
    <t xml:space="preserve">Moisture, % </t>
  </si>
  <si>
    <t>-</t>
  </si>
  <si>
    <t xml:space="preserve">Ash, % </t>
  </si>
  <si>
    <t xml:space="preserve">Neutral Detergent Fiber, % </t>
  </si>
  <si>
    <t>S. No.</t>
  </si>
  <si>
    <t>Solid loading (%)</t>
  </si>
  <si>
    <t>HRT (days)</t>
  </si>
  <si>
    <t>Inoculum (%)</t>
  </si>
  <si>
    <t xml:space="preserve">Bio methane production (L/kg VS) </t>
  </si>
  <si>
    <t>Bio methane Potential of Napier Grass</t>
  </si>
  <si>
    <t>Sequential Gas Mixing (SGM) ensures anaerobic digesters are mixed continuously to without thermal layering and accumulation of volatile fatty acid (VFA) pockets</t>
  </si>
  <si>
    <t>Mapro International S.p.A</t>
  </si>
  <si>
    <t>a three-dimensional CFD (Computational Fluid Dynamics) model</t>
  </si>
  <si>
    <t>CFD analysis comparison</t>
  </si>
  <si>
    <t>Professor Viccione of Salerno University applied a three-dimensional CFD (Computational Fluid Dynamics) model in order to verify the mixing efficiency of a gas mixing system in comparison with mechanical mixing systems on a WWTP. The study showed that the gas injection system gives better results than mechanical mixing systems both in terms of maximum sludge speed (3 m/s versus 1 m/s), kinetic energy (0.24 m2/s2 versus 0.001 m2/s2) and dead zones (5% versus 50%) with the same energy consumption, equal to 140 kWh for both systems. In particular, as can be easily seen from the following figures, the system mixed by means of gas recirculation, made it possible to reach linear speeds between 1 and 2 m/s while in the case of mixing with mixers, values &gt; 0.5 m/s were not reached.
In terms of kinetic energy density, it is noted that in the case of mixing with gas lances, turbulent kinetic energies between 0.05 and 0.2 m2/s2 were observed while in the case of mixing with mechanical mixers, values &lt;0.05 m2/s2 were observed (Bergamo et al., 2020). Concerning the distribution of dead zones (see the following figure), the effectiveness of the mixing system with gas lances is
observed with even greater evidence, clearly superior to that obtained with mechanical mixing systems.</t>
  </si>
  <si>
    <t>Anaerobic digester technology has thus seen several innovations in the last few years which assists project developers to implement a scalable, viable bio-CNG plant with improved process efficiency at a lesser cost.</t>
  </si>
  <si>
    <t>While several conventional anaerobic digester technologies exist – Continuous stirred tank reactor (CSTR), KVIC models and more, recent innovations in technologies such as plug and play digester models ensure improved efficiency and automation of the process compared to conventional technologies</t>
  </si>
  <si>
    <t>https://www.v3cars.com/haryana/cng-price-in-yamunanagar</t>
  </si>
  <si>
    <t>Company has already signed a LOI with Indian Oil Corporation Ltd on 3rd November 2023. (Ref No. - Indian Oil/SATAT/01/3589). However purchase agreement between IOCL &amp; company is in the process</t>
  </si>
  <si>
    <t>As informed by the client, company has planned to sell its Bio CNG at two Retail Outlets of IOCL at Panipat and Yamuna Nagar in Haryana. The current retail selling price of CNG at OMC outlets in Panipat and Yamuna Nagar is around INR 80.40 per kg on 28th May 2024. (https://www.v3cars.com/haryana/cng-price-in-yamunanagar), however the procurement price of Bio-CNG at Indian Oil as per the SATAT Scheme falls under the slab of INR 62.86 per kg without GST.</t>
  </si>
  <si>
    <t>2. As per the sale deed executed on 6th March 2024, promoters of the Company has purchased a 5.048 Acre (2.043 Hectare) agricultural land at  Khata No, 208, 42, 226 Khasra No. 161/1, 160, 157 Village- Reda Harsana, Tehsil - Un, District- Shamli U.P 247778 in INR 4.24 Crore. Total cost of the land would be INR ~4.34 Crore including INR 10 lakhs for Change of land use (CLU) and other charges.</t>
  </si>
  <si>
    <t>3. Estimated cost of the Building &amp; Civil works is ~INR 7.81 Cr. excluding 18% applicable GST, which has been considered on the basis of invited quotations provided to us by the client. As a TEV consultant, the estimated Building &amp; Civil works cost has been verified independently by us, which we found reasonable &amp; in the permissible range also the cost may change as per specifications &amp; material brand</t>
  </si>
  <si>
    <t>4. As per invited quotations provided by the client, estimated cost for plant &amp; machinery will be ~INR 15.24 crores excluding 12% applicable GST. As a TEV consultant, the cost of major plant &amp; machinery has been verified by us independently, which we found reasonable &amp; in the permissible range although the cost may change as per specifications &amp; brand.</t>
  </si>
  <si>
    <t>5. The cost of miscellaneous fixed asset such as Electricity Infrastructure (Electrical, Instrumentation, PLC, and data collection), Vehicles and Office equipment is estimated as INR 2.67 Crore excluding applicable GST. The estimated cost of the miscellaneous fixed asset has been provided to us by the client based on the invited quotation.</t>
  </si>
  <si>
    <t>6. As per the data/information provided by the client, applicable Interest during Construction (IDC) is 11.50%. As per the proposed Loan repayment schedule, company is required to pay INR 2.66 Crore as IDC from September 2024 to September 2025 (13 months).</t>
  </si>
  <si>
    <t>7. Preliminary &amp; Pre-Operative Expenses has been considered based on the estimate of company’s resources involvement as INR 3.50 Crore (without GST) including EPC contractor fees, electricity connection &amp; transportation charges. However, Company did not provide us any invoices/bills against these tentative costs considered. We recommend that the bank/financial institutions advice the company to submit actual cost based on the final quotations/invoices/bills. This will help validate the assertion of different costs considered by the client.</t>
  </si>
  <si>
    <t>8. Contingency cost of INR 1.73 Crore (~4% of TPC) has been considered based on general assumption and professional experience.</t>
  </si>
  <si>
    <t>9. As per the data/information provided by the client, associated additional cost of INR 4.21 Crore is including the GST of INR 4 Crore need to be paid on building, plant &amp; machinery and other components to commission the proposed plant and INR ~22 lakhs Bank Guarantee for availing the 100% Stamp Duty.</t>
  </si>
  <si>
    <t>https://cdn.cseindia.org/attachments/0.11235300_1687759489_cse---overview-and-current-status-of--cbg-in-india.pdf</t>
  </si>
  <si>
    <t xml:space="preserve">
As sugar mill owners have now recognised its potential for revenue generation. This realisation has resulted in a substantial increase in press mud prices over the last two years, rising from INR 100 per tonne to INR 500-600 per tonne including transportation. Thus, the sugarcane press mud generated by the sugar mill can made available to the project @ INR 600/ Ton. We have considered the inflation adjusted cost as INR 650 per ton initially during the forecasted period.  
Ref:(https://www.downtoearth.org.in/news/renewable-energy/sugarcane-byproduct-pressmud-can-be-a-sweet-spot-for-india-s-compressed-biogas-sector-93022#:~:text=This%20realisation%20has%20resulted%20in,as%20fuel%20in%20brick%20kilns).
</t>
  </si>
  <si>
    <t xml:space="preserve">As per the data/information provided by the client, company has made a long term raw material supply agreement with M/s. Anagram Development and Farmer Producer Company Limited (FPO) on 22nd March 2024. According to the terms &amp; conditions stated in the agreement, M/s. Anagram Development and Farmer Producer Company Limited (FPO) will supply 90-100 ton per day Napier grass  and 40-50 ton per day Sugarcane press mud to M/s Superior Agro Ventures Private Limited as per the specifications and in the manner as mutually agreed between the parties. However, Sugarcane press mud supply is depending on the availability. In case of non-availability of press mud supplier will be free to supply ~120-130 ton per day Napier grass through their registered farmers.  
</t>
  </si>
  <si>
    <t>10. The project is proposed to be funded through a term loan of INR 30.00 crores and promoter’s margin of INR 12.65 crores. Further, as per the working capital assessment, the working capital will require as INR 2.21 Crore, which will be funded through WC loan of INR 1.50 Cr. and promoter’s margin of INR 50 lakhs (~25% of required WC).</t>
  </si>
  <si>
    <t>ISO 9001 certified</t>
  </si>
  <si>
    <t>and setting up 6 TPD Bio CNG Plant in Saharanpur district under the name of Sevozone Energies and Fertilizers Pvt. Ltd.</t>
  </si>
  <si>
    <t>Advisor &amp;amp; Execution of Biogas Plants, Transformation with new technologies, interaction with Farmers, Cooperatives, SHG and FPO with a knack for uncovering unique
opportunities in both the market place and within the organization.</t>
  </si>
  <si>
    <t xml:space="preserve">Government of Uttar Pradesh is providing the subsidy of INR 75 lac / Ton under the provision of UP Bio Energy Policy 2022 and Benefit up to INR 2.0 Cr from Agriculture Infrastructure Fund (AIF) – Circular dated 27th Oct. 2020. Market Development Assistance (MDA) for Promotion of Organic Fertilizers @ Rs. 1500 / Ton to CBG Plants
</t>
  </si>
  <si>
    <t>The EPC Contractor undertakes to supply 15500 CuM Compressed Bio Gas &amp; Bio-Fertilizer &amp; Biomass Pellets Plant.</t>
  </si>
  <si>
    <t>CBG or Compressed Bio Gas consist of mainly methane (more than 90%) and other gasses like carbon dioxide (less than 4%), etc. CBG is produced by anaerobic digestion of biomass and waste sources like agricultural residue, cattle dung, sugarcane press mud, municipal solid waste, sewage treatment plant waste, etc. This Biogas can be purified to remove hydrogen sulphide (H2S), carbon dioxide (CO2), water vapor and when this purified biogas (methane content more than 90%) is compressed to maximum 250 bar and filled up in cascades (group of high pressure cyllinderical vessels) it is called Compressed Bio Gas or CBG.</t>
  </si>
  <si>
    <t>CBG has properties almost similar to CNG and hence a vehicle running on CNG can straightway be filled with CBG without any modification in the vehicle. Ministry of Road Transport and Highways, Government of India, vide Gazette Notification no. 395 dated 16.6.2015 has permitted usage of CBG for motor vehicles as an alternate of CNG. BIS has issued IS 16087 2016 standards on CBG which is similar to BIS specifications IS 15958:2012 for CNG.</t>
  </si>
  <si>
    <t xml:space="preserve">The rates are adopted from CPWD schedule of rates of 2021. Cost verification of some structure is not done due to unavailability of quantity of same
</t>
  </si>
  <si>
    <t>The Cost verification of Plant &amp; Machinery of Compressed Bio-gas plant is done by the Benchmark cost of similar kind of Industry.</t>
  </si>
  <si>
    <t xml:space="preserve">
As a TEV consultant, we have conducted a general assessment based on the updated details provided by the client to determine the construction cost for building &amp; civil works. There is a difference in cost assessed by us primarily due to the limited information available of the Bill of Quantity (BOQ) and estimate, the assessment is done based on updated details provided by the client’s representative and few particulars were not assessed due to unavailability of details/quantity of it. Financial Institution is suggested to advise the company to provide updated cost estimation along with actual Bill of Quantity (BOQ) to validate the cost as per EPC contract.
</t>
  </si>
  <si>
    <t xml:space="preserve">e. </t>
  </si>
  <si>
    <t>GST%</t>
  </si>
  <si>
    <t>A)</t>
  </si>
  <si>
    <t xml:space="preserve">Property Valuation + Stamp Papers + Insurance Expenses </t>
  </si>
  <si>
    <t>Cost of 5 Acres of Agriculture Land @ Rs. 85 Lac / Acres</t>
  </si>
  <si>
    <t>Tube Well</t>
  </si>
  <si>
    <t xml:space="preserve">Loan Processing Fee @ 0.75% on loan amount (apox 27.0 Cr) </t>
  </si>
  <si>
    <t>Third Party Agency Charges + Legal Charges</t>
  </si>
  <si>
    <t>Project Insurance + Electricity Connection for Project Construction</t>
  </si>
  <si>
    <t xml:space="preserve">Documentation for MNRE / UPNEDA &amp; Project Finance Charges </t>
  </si>
  <si>
    <t>B)</t>
  </si>
  <si>
    <t>CIVIL WORKS -   Site Development + Feed Preparation &amp; Slurry Pits + Digesters</t>
  </si>
  <si>
    <t>Excavation in M3 (Mixing Pits (03 Nos &amp; Slurry Pit (8 Mtrs X 4 Mtrs) and Digestors (02 Nos) - 30 Mtrs X 10 Mtrs</t>
  </si>
  <si>
    <t>Soil filling in M3</t>
  </si>
  <si>
    <t>Boundry Wall in RMT (upto 1 Mtr height) - 5 Acres of Plot Size (Wall Fencing with Structure Support &amp; Main Gate</t>
  </si>
  <si>
    <t xml:space="preserve">Pilling of Digesters (02 No) - 30 Mtrs Dia X 12.50 Mtrs height (Pilling in Nos) </t>
  </si>
  <si>
    <t>RCC / PCC of Mixing &amp; Slurry Pits (03 No) - (8 Mtrs Dia X 4.5 Mtrs height (M30) in M3</t>
  </si>
  <si>
    <t>RCC of Digesters (02 No) - 30 Mtrs Dia X 12.50 Mtrs height (M30) in M3 including Center Pillars for Digesters (02 No) od 13 mtr height with 800 mm dia</t>
  </si>
  <si>
    <t>Transformer &amp; Genset Platform - 2 Nos (1.8 mtr X 2 Mtrs) in M3</t>
  </si>
  <si>
    <t>Civil Work for Purification Shed (15 M X 50 M)</t>
  </si>
  <si>
    <t>Fabrication Work for Purification Shed (15 M X 50 M) in Sq mtrs</t>
  </si>
  <si>
    <t>Civil Work for Solid Liquid Seprators (6 M X 9 M)</t>
  </si>
  <si>
    <t>Fabrication Work for Solid Liquid Seprators (6 M X 9 M)</t>
  </si>
  <si>
    <t>Civil Work for storage of Liquid Slurry (20 Mrs X 20 Mtr)</t>
  </si>
  <si>
    <t>Civil Work for Pre-Treatment of Raw Material (Shreeder Unit (6 M X 9 M X 7 M ht)</t>
  </si>
  <si>
    <t>Fabrication Work for Pre-Treatment of Raw Material (Shreeder Unit (6 M X 9 M X 7 M ht)</t>
  </si>
  <si>
    <t>Road - GSB in M3</t>
  </si>
  <si>
    <t>Road - PCC in M3</t>
  </si>
  <si>
    <t>VCB Room in Sq Mtrs</t>
  </si>
  <si>
    <t>Staff Quarters in Sq Mtrs</t>
  </si>
  <si>
    <t>Guard Room (4 m X 6 M)</t>
  </si>
  <si>
    <t>Office + PLC Room + Store (4 m X 6 M) in M3</t>
  </si>
  <si>
    <t>Labour Quarters (6 M X 15 M)</t>
  </si>
  <si>
    <t>Retaining Wall - RCC Wall (122 Mtr X 4 Mtr)</t>
  </si>
  <si>
    <t xml:space="preserve">Total Steel in Ton for project inclung  handling lifting + wastage + local cartage + binding Wire </t>
  </si>
  <si>
    <t>Soil Testing &amp; Horticulture Work</t>
  </si>
  <si>
    <t>C)</t>
  </si>
  <si>
    <t>Mapro - Sequential Gas Mixing System with Technology (Italian) - 55 HP with Accessories</t>
  </si>
  <si>
    <t>Mixing System - Piping (HDPE / SS / Heat Resitance Gas Pipes &amp; Valves</t>
  </si>
  <si>
    <t xml:space="preserve">Heating System </t>
  </si>
  <si>
    <t xml:space="preserve">EU Origin Double Membrane Roof (3300 CuM each), outer shell PVC coated Polyester fabric, inner shell PVC/PE, belts from wall to Centre pillar Polyester fabric, Safety net &amp; border rope, incl. valve &amp; coupling, Air blower with hosepipes, flanges, deflation flap, Over-/Under pressure valve for membrane gas roof mechanical gas level indicator. </t>
  </si>
  <si>
    <t>VPSA Biogas Purification Plant (Sonitech-850 m3/hr) + H2S Desulphurization Tower (Filled with Catalyst) + Chiller + Automatic Control Panel with PLC + CO2 Gas Dryer - (Output Pressure 0.2-0.4 Bar) with Control panel + Metane Recovery Unit</t>
  </si>
  <si>
    <t>Piping &amp; Valves</t>
  </si>
  <si>
    <t xml:space="preserve">Honeywell Biogas chromatograph analyzer + Online Biogas Analyzer for (Ch4, H2S + Co2 + Moisture) </t>
  </si>
  <si>
    <t>Biogas Compressor (JYOTECH) of capacity 550 Nm3/hr with discharge pressure 250 Kg/cm2g for bottling of CNG into Cascades with Suction Pressure :1.05 to 1.3 Bar</t>
  </si>
  <si>
    <t>CNG Cylinder Cascade with Capacity- 4500 litre (75L X 60 Nos)  with Tubing Sandvik, Parker / Swagelok / Jindal Fittings - Seamless Alloy Steel &amp; PESO approved</t>
  </si>
  <si>
    <t>Solid Liquid Separators with Platform &amp; Conveyor</t>
  </si>
  <si>
    <t>D)</t>
  </si>
  <si>
    <t>Genset (Diesel) - 250 KVA</t>
  </si>
  <si>
    <t>E)</t>
  </si>
  <si>
    <t>Sub-Total (A to D)</t>
  </si>
  <si>
    <t>F)</t>
  </si>
  <si>
    <t>EPC Contractor Charges @ 8%</t>
  </si>
  <si>
    <t>G)</t>
  </si>
  <si>
    <t>Tractor Mounted Pay loaders, Trollies &amp; Tankers (3 Nos &amp; 02 Trolies)</t>
  </si>
  <si>
    <t>Sub-Total (E to G)</t>
  </si>
  <si>
    <t>TOTAL PROJECT COST IN INR</t>
  </si>
  <si>
    <t xml:space="preserve">Per Ton </t>
  </si>
  <si>
    <t>RKA ROJECT COST</t>
  </si>
  <si>
    <t>Applicable GST%</t>
  </si>
  <si>
    <t>Amount Including GST</t>
  </si>
  <si>
    <t xml:space="preserve">Amount </t>
  </si>
  <si>
    <t>Estimated Cost of 14500 CuM Biogas Plant (6 TPD CBG) (INR Lakhs)</t>
  </si>
  <si>
    <t xml:space="preserve">Land </t>
  </si>
  <si>
    <t xml:space="preserve">Cost of 5.05 Acres of Agriculture Land </t>
  </si>
  <si>
    <t>(Lakhs)</t>
  </si>
  <si>
    <t xml:space="preserve">Loan Processing Fee @ 1% on loan amount </t>
  </si>
  <si>
    <t xml:space="preserve">Unit </t>
  </si>
  <si>
    <t>Plant &amp; Machinery and Mechanical Equipments</t>
  </si>
  <si>
    <t>Grand Total</t>
  </si>
  <si>
    <t>EPC Contractor Charges @ 10%</t>
  </si>
  <si>
    <t>Office equipment &amp; Furniture</t>
  </si>
  <si>
    <t>Transportation</t>
  </si>
  <si>
    <t>Plant Size - 14500 CuM</t>
  </si>
  <si>
    <t>CBG @ 6 TPD</t>
  </si>
  <si>
    <t>Design</t>
  </si>
  <si>
    <t>Digetor Size (30 X 10.50) = 315</t>
  </si>
  <si>
    <t>Feed Stock</t>
  </si>
  <si>
    <t>Qty</t>
  </si>
  <si>
    <t xml:space="preserve">Yeild </t>
  </si>
  <si>
    <t>Vol in CuM</t>
  </si>
  <si>
    <t>100% Water</t>
  </si>
  <si>
    <t>HRT in Days</t>
  </si>
  <si>
    <t>VOL</t>
  </si>
  <si>
    <t>Pressmud @ 3.5%</t>
  </si>
  <si>
    <t>Napier Grass @ 5.75%</t>
  </si>
  <si>
    <t>GST Amount (TPC)</t>
  </si>
  <si>
    <t xml:space="preserve">Note: Collateral Security for availing the loan facilty and bank gaurantee against the stamp duty examption will be bourne by promoter additionallyother than promoter contribution of 30% of TPC </t>
  </si>
  <si>
    <t>Weighbridge - 100 Ton</t>
  </si>
  <si>
    <t>Documentation for MNRE / UPNEDA &amp; Project Finance Charges  2.25% of project loan and other misc charges</t>
  </si>
  <si>
    <t>100 Ton / Day</t>
  </si>
  <si>
    <t>100 Ton</t>
  </si>
  <si>
    <t>Agri Residues / Napier Grass @ 6.10%</t>
  </si>
  <si>
    <t>hydraulic retention time HRT Time @ 28 Days</t>
  </si>
  <si>
    <t>Design Digetor Size (30 X 10.30) MTRS</t>
  </si>
  <si>
    <t>Operational (After 1.30 mtr Gas Zone) Digetor Size (30 X 9.0) MTRS</t>
  </si>
  <si>
    <t>Volume</t>
  </si>
  <si>
    <t>Leakage</t>
  </si>
  <si>
    <t>Producion per day</t>
  </si>
  <si>
    <t>the Net worth of Sakshi Goel as on 01.07.2024 is</t>
  </si>
  <si>
    <t>SHML1123NIN0034</t>
  </si>
  <si>
    <t>Yields 180 to 200 tonnes per acre per annum. A high yielding Napier grass race in Asia.
The longest leaf length. The leaves (6 - 8 cm) are broad.
Growing up to a high height (400 - 500 cm).
 It has high 400 to 450 leaves/pitch.It has high 400 to 450 leaves/pitch.
It has high crisp leaves.
High leaf stem rate
Durers (25 - 30 punches) and tilted.
Crop harvesting is eight times a year
High yields are made in a short period of time.
Very high yields on low ground.
Roots around the nodes can quickly grow.</t>
  </si>
  <si>
    <t xml:space="preserve">Operational and Under construction using Napier Grass as Raw material </t>
  </si>
  <si>
    <t xml:space="preserve">Maruti Suzuki India Limited, Manesar Unit – Food waste or Napier Grass as Raw Material, APSS Adarsh Bio Agro Pvt. Ltd, Wardha, Maharashtra (EPC partner – Gruner Renewable Energy (GRE)) – 50 TPD of Napier grass, producing an output of 3 TPD of Bio-CNG per day, GPS Renewable – Multiple Bio-CNG projects with 150 TPD Agri-residue including paddy straw, Napier grass for Reliance Industries, producing an output of 18 to 20 TPD of Bio-CNG per day and Gruner Renewable Energy – Multiple Bio-CNG projects worth of Rs. 1500 Cr on Agri-residue including paddy straw, Napier grass.
</t>
  </si>
  <si>
    <t xml:space="preserve">• . 
• Storage: The FPC has a pre-established space for storage capacity of 3000 MT at its premise which would be utilized for storing wheat grains and milled wheat. The same Space can be used by its farmers. The FPC would not bear the rental cost for storage. 
• Seed Processing Unit: The FPC is done for establishing a 200 MT seed processing unit. The unit would be operational by the end of financial year 2024. 
• Small Food processing Unit: The FPC having the small food processing unit like Oil expeller with filter press, Dall mill &amp; wheat dalia making machines. FPC processes the mustard oil, Wheat Dalia &amp; different grams and packaging in own brand for further marketing.
</t>
  </si>
  <si>
    <t>Agriculture Resudue (Rice Stubble, Napier Grass etc)</t>
  </si>
  <si>
    <t>Agriculture Resudue (Rice Stubble, Napier Grass etc) Costing</t>
  </si>
  <si>
    <t>Agriculture Resudue (Rice Stubble, Napier Grass etc) (Yeild@ 6.10%)</t>
  </si>
  <si>
    <t>Grass Cutter Machine (10 TPH)</t>
  </si>
  <si>
    <t>RKA PROJECT COST</t>
  </si>
  <si>
    <t xml:space="preserve">Estimated Cost of 14500 CuM Biogas Plant (6 TPD CBG) in Muzaffarabad, Tehsil - Behat, District - Saharanpur, UP - NRS Bio Fuel Energies LLP (INR Lakhs) </t>
  </si>
  <si>
    <t>Company Share Demat Charges on NSDL</t>
  </si>
  <si>
    <t>Loan Processing Fee @ 0.75% on loan amount of 31 Cr</t>
  </si>
  <si>
    <t>Documentation for MNRE / UPNEDA and other misc charges</t>
  </si>
  <si>
    <t>VPSA Biogas Purification Plant + H2S Desulphurization Tower (Filled with Catalyst) + Chiller + Automatic Control Panel with PLC + CO2 Gas Dryer - (Output Pressure 0.2-0.4 Bar) with Control panel + Metane Recovery Unit</t>
  </si>
  <si>
    <t>PROM Plant (150 TPD)</t>
  </si>
  <si>
    <t>Biomass Pallat Plant (2 TPH)</t>
  </si>
  <si>
    <t>EPC Contractor fee @8%</t>
  </si>
  <si>
    <t>Proposed 6000 KGPD CBG plant set up M/s. NRS BIO FUEL ENERGIES LLP</t>
  </si>
  <si>
    <t>House No-81, ATS Heavenly Foothills, Sahastradhara Road, Kulhan, Karanpur, Dehradun, Dehradun, Uttarakhand, India, 248001</t>
  </si>
  <si>
    <t>Location?</t>
  </si>
  <si>
    <t xml:space="preserve">M/S NRSBIOFUEL ENERGIES LLP, REG. ADDRESS - HOUSE NO-81, ATS HEAVENLY FOOTHILLS, SAHASTRADHARA ROAD, KULHAN, KARANPUR, DEHRADUN, UTTARAKHAND, INDIA, 248001 </t>
  </si>
  <si>
    <t>Khasra No, 725, 728, 727 &amp; 729, Village - Faizabad, Pargana - Faizabad, Tehsil- Behat, Dist. - Saharanpur Uttar Pradesh, 247122.</t>
  </si>
  <si>
    <t>pursuant to section 12(1) of the Limited Liability Partnership Act 2008.</t>
  </si>
  <si>
    <t xml:space="preserve">M/s NRS Biofuels Energies LLP, established on 11th March 2024 pursuant to section 12(1) of the Limited Liability Partnership Act 2008 as per the certificate of incorporation shared by the client </t>
  </si>
  <si>
    <t xml:space="preserve">Supply of 06 TPD of CBG on IOCL' RO  </t>
  </si>
  <si>
    <t>Supply of 06 TPD of CBG @ Rs. 70.48/ kg without GST</t>
  </si>
  <si>
    <t>Salable Products</t>
  </si>
  <si>
    <t>Produced PROM (Phosphate Rich Organic Manure)</t>
  </si>
  <si>
    <t>Biomass Pallets</t>
  </si>
  <si>
    <t>Details of Manpower in CBG Plants</t>
  </si>
  <si>
    <t>Particulars</t>
  </si>
  <si>
    <t>Min. Qualification</t>
  </si>
  <si>
    <t>Salary</t>
  </si>
  <si>
    <t>Plant Manager</t>
  </si>
  <si>
    <t>BE / Btech</t>
  </si>
  <si>
    <t>Fire cum Security &amp; Safety Officer</t>
  </si>
  <si>
    <t>Graduate / Diploma</t>
  </si>
  <si>
    <t>Shift Supervisors cum Lab Technician</t>
  </si>
  <si>
    <t>ITI / Diploma</t>
  </si>
  <si>
    <t>Accountant / Store In-charge</t>
  </si>
  <si>
    <t>Bcom / Mcom</t>
  </si>
  <si>
    <t>Multi Technician and PLC &amp; CCTV Operator</t>
  </si>
  <si>
    <t>Security / Weigh Bridge Operator</t>
  </si>
  <si>
    <t xml:space="preserve">12th </t>
  </si>
  <si>
    <t>Office Boy / Cook</t>
  </si>
  <si>
    <t xml:space="preserve">10th </t>
  </si>
  <si>
    <t>House Keeping</t>
  </si>
  <si>
    <t xml:space="preserve">8th </t>
  </si>
  <si>
    <t>Gardner</t>
  </si>
  <si>
    <t>Drivers</t>
  </si>
  <si>
    <t>8th with Comm. DL</t>
  </si>
  <si>
    <t>Labour</t>
  </si>
  <si>
    <t>Total / Month in INR</t>
  </si>
  <si>
    <t>Promoters' Equity</t>
  </si>
  <si>
    <t xml:space="preserve">Supply of 06 TPD of CBG on IOCL' RO </t>
  </si>
  <si>
    <t>Revenue from PROM</t>
  </si>
  <si>
    <t>Produced PROM (Phosphate Rich Organic Manure) (KGPD)</t>
  </si>
  <si>
    <t>Yearly Produced PROM (KG)</t>
  </si>
  <si>
    <t>Selling Price of Produced PROM (INR/KG)</t>
  </si>
  <si>
    <t>Revenue from Produced PROM</t>
  </si>
  <si>
    <t>Revenue from BIO CBG</t>
  </si>
  <si>
    <t>Revenue from Biomass Pallets</t>
  </si>
  <si>
    <t>Biomass Pallets (KGPD)</t>
  </si>
  <si>
    <t>Yearly Produced Biomass Pallets (KG)</t>
  </si>
  <si>
    <t>Selling Price of Biomass Pallets (INR/KG)</t>
  </si>
  <si>
    <t>Agriculture Resudue (Rice Stubble, Napier Grass etc) requirement KGPD</t>
  </si>
  <si>
    <t>Yearly PROM &amp; Biomass Pellet (kg)</t>
  </si>
  <si>
    <t>Cost @ 1.40/kg of manure</t>
  </si>
  <si>
    <t>Marketing, Selling and distribution Expenses @ 1.50% of revenue</t>
  </si>
  <si>
    <t>RKA PROJECT COST - NRS Biofuel Energies LLP</t>
  </si>
  <si>
    <t>Loan Processing Fee @ 0.50% on loan amount of 30 Cr</t>
  </si>
  <si>
    <t>Feed Stock Recepe formulation Charges</t>
  </si>
  <si>
    <t>Boundry Wall in RMT (upto 1 Mtr height) - 5 Acres of Plot Size Wall RCC Plat Fancing with Structure Support &amp; Main Gate in Ss fts</t>
  </si>
  <si>
    <t xml:space="preserve">Pilling of Digesters (02 No) - 32 Mtrs Dia X 11 Mtrs height (Pilling in Nos) </t>
  </si>
  <si>
    <t>RCC / PCC of Mixing &amp; Slurry Pits (04 No) - (8 Mtrs Dia X 4.5 Mtrs height (M30) in M3</t>
  </si>
  <si>
    <t>Biogas Digester Pre-fabricated Tank (Roofless) with Accessories INNER Surface - surface cleaning, Sand blasted followed by one coat Epigard Primary and one coat of Epoxy (total thickness should be 250 microns) to avoid the corrosion from H2S and other gases.
OUTER Surface - Outer Surface cleaning with one coat of zinc red oxide primer and two coats of HR (Heat Resistant) Aluminum paint (Total thickness should be Min. 150 microns)</t>
  </si>
  <si>
    <t>Civil Work for storage of Liquid Slurry Pond (20 Mrs X 20 Mtr)</t>
  </si>
  <si>
    <t>EPC Contractor fee @5%</t>
  </si>
  <si>
    <t>Feed Stock-Pre Treatment Unit with De-Stoner &amp; Conveyor</t>
  </si>
  <si>
    <t xml:space="preserve">Submersible Pumps of 11 KVA for transferring the Slurry with Accessories </t>
  </si>
  <si>
    <t xml:space="preserve">Sequential Gas Mixing System with Technology (Ro-Flo, USA) - 100 HP with Accessories </t>
  </si>
  <si>
    <t>CFD Analysis</t>
  </si>
  <si>
    <t xml:space="preserve">EU Origin Double Membrane Roof (2000 CuM each), outer shell PVC coated Polyester fabric, inner shell PVC/PE, belts from wall to Centre pillar Polyester fabric, Safety net &amp; border rope, incl. valve &amp; coupling, Air blower with hosepipes, flanges, deflation flap, Over-/Under pressure valve for membrane gas roof mechanical gas level indicator. </t>
  </si>
  <si>
    <t xml:space="preserve">Stand alone EU Origin Double Membrane Gas Holder (1000 CuM) with Accessories  </t>
  </si>
  <si>
    <t>VPSA Biogas Purification Plant + Automatic Control Panel + Metane Recovery Unit</t>
  </si>
  <si>
    <t>H2S Desulphurization Tower + Chiller + Gas Draying, De-humidifier - (Output Pressure 0.2-0.4 Bar) with Control panel + Metane Recovery Unit</t>
  </si>
  <si>
    <t>Grid OLTC Transformer 1000 KWA with Cables</t>
  </si>
  <si>
    <t xml:space="preserve">LT Panel with SCADA - Schneider /  Honeywell Process Solutions with Control Panel with Switches </t>
  </si>
  <si>
    <t>CT-PT, GO-DO Set, Lighting Arrestors, Servo, Earthing, ACB Panel with Power Factor (400 KVAR APFC with 1600 AMP ACB), VCB and Cable for HT &amp; LT</t>
  </si>
  <si>
    <t>Gas Cramettograph &amp; Online Anaylser on Input</t>
  </si>
  <si>
    <t xml:space="preserve">Grass Cutter Machine (10 TPH) with 75 HP Tractors </t>
  </si>
  <si>
    <t>A/G/HO/UP/05/651 &amp; A/G/HO/UP/06/630 (G135421)</t>
  </si>
  <si>
    <t xml:space="preserve">16th July 2024, partners of the LLP has purchased a 5.42 Acre (2.1960 Hectare) agricultural land at  Khasra No, 725, 728, 727 &amp; 729,, Vill - Faizabad, Pargana- Faizabad, Tehsil- Behat, Dist - Saharanpur -247122, Faizabad, Saharanpur, Taluka: Behat, District: Saharanpur, State, Uttar Pradesh, 247122. </t>
  </si>
  <si>
    <t>Geeta Biofuels PVT. LTD., Pune, MH. India</t>
  </si>
  <si>
    <t>Mr. Sobhit Mangal</t>
  </si>
  <si>
    <t>Mrs. Neha Mangal</t>
  </si>
  <si>
    <t>Mrs. Sakhsi Goel</t>
  </si>
  <si>
    <t>Mr. Neeraj Gosain</t>
  </si>
  <si>
    <t>Mrs. Rashmi Gosain</t>
  </si>
  <si>
    <t>Mr. Naman Rana</t>
  </si>
  <si>
    <t>KK 59, Kavi Nagar, Ghaziabad 201001 Uttar Pradesh</t>
  </si>
  <si>
    <t xml:space="preserve">128/21, Kochar Colony, Lane No. 5, Officer Enclave, Dehradun 248001 Uttrakhand
</t>
  </si>
  <si>
    <t>goel.sakshi1990@gmail.com</t>
  </si>
  <si>
    <t xml:space="preserve">506, T1, Arcadia Hillocks, Mussoorie Road, Dehradun, 248009 Uttrakhand, India
</t>
  </si>
  <si>
    <t>naman.nrc@gmail.com</t>
  </si>
  <si>
    <t xml:space="preserve">B.Eng. - Automotive Engineering, (First, with Honors), (2019 - 2022)
</t>
  </si>
  <si>
    <t xml:space="preserve">Diploma in Mechanical Engineering (First, with Academic Excellence) Amity University, India  (2016 - 2019)
</t>
  </si>
  <si>
    <t xml:space="preserve">• Aerodynamic engineering tools (Star CCM+, ANSYS Fluent and CFD, SOLIDWORKS Flow Simulation)
• CAD (CATIA, AutoCAD, SOLIDWORKS, Siemens NX)
• Material selection (Granta Edupack)
• Mechatronics system prototyping and programming (Arduino IDE)
• Powertrain management and simulation (GT-Suite, MATLAB Simulink)
• Carbon fibre panel development (Ansys ACP)
• FEA/Generative design/Structural analysis and modelling (ABAQUS, Altair Hyperworks Optistruct, Solidworks Simulation, Fusion 360, Siemens NX, Ansys ACP for composites)
• Thermal analysis (Ansys Thermal)
• Vehicle Dynamics (Simpack)
</t>
  </si>
  <si>
    <t xml:space="preserve">Worked in Honda Motors from December 2018 to May 2019
</t>
  </si>
  <si>
    <t>Khasra No, 725, 728, 727 &amp; 729, Faizabad, Behat, Saharanpur U.P. 247122</t>
  </si>
  <si>
    <t>N 30°18'20" E 77°38'3"</t>
  </si>
  <si>
    <t>1: Security Room (3.5m x 6m)</t>
  </si>
  <si>
    <t>2: PLC and Automation Room (4m x 3m)</t>
  </si>
  <si>
    <t>3: Genset (3m x 3m)</t>
  </si>
  <si>
    <t>4: Transformer (3m x 3m)</t>
  </si>
  <si>
    <t>5: Purification Shade (15m x 60m)</t>
  </si>
  <si>
    <t>6: Parking (8m x 21m)</t>
  </si>
  <si>
    <t>7: Office Block (8m x 15m)</t>
  </si>
  <si>
    <t>8: Plant Equipment Vehicles (45.5m x 10.2m)</t>
  </si>
  <si>
    <t>9: Digester 1 (Dia 30m and Height 12.5m)</t>
  </si>
  <si>
    <t>10,11: Mixing Pit 1 &amp; 2 (8m Dia and 5m Depth)</t>
  </si>
  <si>
    <t>12: Feedstock Pre treatmet area (7.5m x 6m)</t>
  </si>
  <si>
    <t>13,14: Slurry &amp; Digestive Pit 3 &amp; 4 (8m Dia and 5m Depth)</t>
  </si>
  <si>
    <t>15: Digester 2 (Dia 30m and Height 12.5m)</t>
  </si>
  <si>
    <t>16: Compressor, MAPRO mixing system (4m x 4m)</t>
  </si>
  <si>
    <t>17: Storage Shade (4m x 7m)</t>
  </si>
  <si>
    <t>18: Waste water treatment (10m x 6m)</t>
  </si>
  <si>
    <t>19: Labor Quarter (5m x 14m)</t>
  </si>
  <si>
    <t>20: Slurry seperators unit (6m x 9m)</t>
  </si>
  <si>
    <t>21: Prom fertilizer manufacturing unit ( 42.7m x 24m)</t>
  </si>
  <si>
    <t>22: Weigh Bridge (3m x 16m)</t>
  </si>
  <si>
    <t>23: Main road</t>
  </si>
  <si>
    <t>24: Proposed Biomass pallet unit</t>
  </si>
  <si>
    <t>Security Room (3.5m x 6m), PLC and Automation Room (4m x 3m), Genset (3m x 3m), Transformer (3m x 3m), Purification Shade (15m x 60m), Parking (8m x 21m), Office Block (8m x 15m), Plant Equipment Vehicles (45.5m x 10.2m), Digester 1 (Dia 30m and Height 12.5m), Mixing Pit 1 &amp; 2 (8m Dia and 5m Depth), Feedstock Pre treatmet area (7.5m x 6m), Slurry &amp; Digestive Pit 3 &amp; 4 (8m Dia and 5m Depth), Digester 2 (Dia 30m and Height 12.5m), Compressor, MAPRO mixing system (4m x 4m), Storage Shade (4m x 7m), Waste water treatment (10m x 6m), Labor Quarter (5m x 14m), Slurry seperators unit (6m x 9m), Prom fertilizer manufacturing unit ( 42.7m x 24m), Weigh Bridge (3m x 16m), Main road, Proposed Biomass pallet unit</t>
  </si>
  <si>
    <t>Capacity – 1.5-2TPH</t>
  </si>
  <si>
    <t>2. Agriculture Residue (Rice Stubble, Napier Grass etc)</t>
  </si>
  <si>
    <t xml:space="preserve">Agriculture Residue (Rice Stubble, Napier Grass etc)
</t>
  </si>
  <si>
    <t>Thus, the estimated cost for plant &amp; machinery will be ~INR 2116.42 lakhs including applicable GST and 5% EPC fees. ~53% of TPC is the cost Plant &amp; Machinery The estimated cost of the Plant &amp; Machinery has been provided to us by the client as per EPC agreement. However, as a TEV consultant, the cost of major plant &amp; machinery has been verified by us independently, which we found reasonable &amp; in the permissible range although the cost may change as per specifications &amp; brand. 
Note: It is to be noted here that the cost estimation done by us is just a general assessment for TEV purpose. However, detailed cost vetting is out of scope of this TEV report. LLP needs to share the revised EPC agreement as few items are changed and their costs are revised as per the final cost sheet shared by the client. We recommend the financial institution to advice the client to share the revised EPC agreement so that cost can be justified. PROM Plant (150 TPD) and Biomass Pallet Plant (2 TPH) is out of scope of EPC and cost of these items are considered based on the quotations shared by the client separately.
 It is to be noted here that the cost vetting of the proposed project cost is out of scope of this report.</t>
  </si>
  <si>
    <t>LLP is in the process to apply for Consent to Establish under Air (Prevention and Control of Pollution) Act, 1981 &amp; Water (Prevention and Control of Pollution) Act, 1974 and No Objection Certificate (NOC) for ground water abstraction</t>
  </si>
  <si>
    <t xml:space="preserve">Total Production Per day </t>
  </si>
  <si>
    <t xml:space="preserve">
5. Thus 
6. 
7. 
8. 
</t>
  </si>
  <si>
    <t>excluding INR 60 per ton for diesel expenses and promotional incentive of INR 20 per quintal to farmer for first year crop to compensate the yields.</t>
  </si>
  <si>
    <t>Nearest Railway station - Saharanpur (27 KM)
Nearest Airport - Jollygrant (80km)</t>
  </si>
  <si>
    <t>Will be sold to NTPC  under the Government of India mandatory blending with coal in Thermal Power and other local paper industries</t>
  </si>
  <si>
    <t>F. No. 11/86/2017-TH.II (C.No 238797)</t>
  </si>
  <si>
    <t>the Price benchmarking Committee carried out study for National Capital Region (NCR) and submitted its report with recommended benchmark price for NcR. As per the recommendation of the committee, biomass fuel price has been specified for a period of 1 year w'e'f 01.09 .2023. The benchmark prices for non-torrefied biomass pellets in the NCR have been derived as Rs. 2.32l1000 kcal. The price specifled is excluding GST &amp; transportation cost at the pellet manufacturing plant site. The pellets shall have moisture content below 14o/o and GCV between 2800-3400 kcal/kg.</t>
  </si>
  <si>
    <t>Misclineous Fixed Assets</t>
  </si>
  <si>
    <t>Misc. Fixed Assets</t>
  </si>
  <si>
    <t>SLM Misc. Fixed Assets</t>
  </si>
  <si>
    <t>Depreciation Misc. Fixed Assets</t>
  </si>
  <si>
    <t>WDV of Misc. Fixed Assets</t>
  </si>
  <si>
    <t>Other Manufacturing Expenses @ 1.50% of revemue</t>
  </si>
  <si>
    <t>Expenses for Occupational Health and Safety @0.10 crore/annum</t>
  </si>
  <si>
    <t>Biomass Pellet Processing Charges</t>
  </si>
  <si>
    <t>Escalation on Processing Charges</t>
  </si>
  <si>
    <t>PROM Processing Charges</t>
  </si>
  <si>
    <t>Cost PER KG</t>
  </si>
  <si>
    <t>Biomass Pellet Processing Cost</t>
  </si>
  <si>
    <t>PROM Processing Cost</t>
  </si>
  <si>
    <t>WACC</t>
  </si>
  <si>
    <t xml:space="preserve">Debt </t>
  </si>
  <si>
    <t>Total Capital</t>
  </si>
  <si>
    <t>Wd</t>
  </si>
  <si>
    <t>We</t>
  </si>
  <si>
    <t>Cost of Debt (Kd)</t>
  </si>
  <si>
    <t>Tax rate</t>
  </si>
  <si>
    <t>Post tax Cost of debt</t>
  </si>
  <si>
    <t>Cost of Equity (Ke)</t>
  </si>
  <si>
    <t xml:space="preserve">
4. The estimated cost for plant &amp; machinery will be ~INR 2189.58 lakhs including applicable GST and 5% EPC fees. ~53% of TPC is the cost Plant &amp; Machinery The estimated cost of the Plant &amp; Machinery has been provided to us by the client as per EPC agreement. However, as a TEV consultant, the cost of major plant &amp; machinery has been verified by us independently, which we found reasonable &amp; in the permissible range although the cost may change as per specifications &amp; brand. LLP needs to share the revised EPC agreement as few items are changed and their costs are revised as per the final cost sheet shared by the client. We recommend the financial institution to advice the client to share the revised EPC agreement so that cost can be justified. PROM Plant (150 TPD) and Biomass Pallet Plant (2 TPH) is out of scope of EPC and cost of these items are considered based on the quotations shared by the client separately. 
5. The cost of Electrical, Instrumentation, PLC, data collection is INR 396.48 lakhs including GST &amp; 5% EPC fess. Tentative cost of Off-site Facilities, Vehicles and office equipment is INR 114.66 lakhs including applicable GST. We found that the costs are in the line with prevailing market standard.
6. Cost of Misc. Fixed Asset is considered in the form of contingencies as INR 70 lakhs which is ~2% of Total hard cost. We recommend that the bank/financial institutions advice the company to submit actual cost based on the final quotations/invoices/bills. This will help validate the assertion of different costs considered by the client.
7. As per the data/information provided by the Bank/client, applicable Interest rate during Construction (IDC) is 9.50% and company is required to pay INR 1.63 Crore as IDC from November 2024 till September 2025 (11 months) as per the proposed Loan repayment schedule.
8. Preliminary &amp; Pre-Operative Expenses has been considered based on the estimate of company’s resources involvement as INR 1.90 Crore. However, Company did not provide us any invoices/bills against these tentative costs considered. We recommend that the bank/financial institutions advice the company to submit actual cost based on the final quotations/invoices/bills. This will help validate the assertion of different costs considered by the client.
9. The project is proposed to be funded through a term loan of INR 28.43 crores and promoter’s Equity of INR 12.84 crores. Further, as per the working capital assessment, the working capital will require as INR 2.00 Crore, which will be funded through WC loan of INR 1.50 Cr. and promoter’s margin of INR 0.71 Cr. (~25% of required WC).
</t>
  </si>
  <si>
    <t>Proposed Subsidy:</t>
  </si>
  <si>
    <t>Total subsidy in UP @1.55 Crore per ton</t>
  </si>
  <si>
    <t>INR lakhs per ton</t>
  </si>
  <si>
    <t>Crore</t>
  </si>
  <si>
    <t>Capacity of the proposed plant</t>
  </si>
  <si>
    <t>TPD</t>
  </si>
  <si>
    <t>Expected Subsidy</t>
  </si>
  <si>
    <t>80 lakhs per ton MNRE CFA (INR 10 Crore)</t>
  </si>
  <si>
    <t>UPNEDA subsidy 75 lakh per ton (INR 20 Crore)</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</si>
</sst>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 #,##0.00_ ;_ * \-#,##0.00_ ;_ * &quot;-&quot;??_ ;_ @_ "/>
    <numFmt numFmtId="164" formatCode="_(* #,##0.00_);_(* \(#,##0.00\);_(* &quot;-&quot;??_);_(@_)"/>
    <numFmt numFmtId="165" formatCode="0\ &quot;Months&quot;"/>
    <numFmt numFmtId="166" formatCode="[$-409]d\-mmm\-yy;@"/>
    <numFmt numFmtId="167" formatCode="#,##0.0"/>
    <numFmt numFmtId="168" formatCode="#,##0.0000"/>
    <numFmt numFmtId="169" formatCode="_ * #,##0_ ;_ * \-#,##0_ ;_ * &quot;-&quot;??_ ;_ @_ "/>
    <numFmt numFmtId="170" formatCode="&quot;INR&quot;\ 0.00\ &quot;Crore&quot;"/>
    <numFmt numFmtId="171" formatCode="0.00\ &quot;years&quot;"/>
    <numFmt numFmtId="172" formatCode="0.000"/>
    <numFmt numFmtId="173" formatCode="[$-409]mmm/yy;@"/>
    <numFmt numFmtId="174" formatCode="&quot;INR&quot;\ 0\ &quot;Crore&quot;"/>
    <numFmt numFmtId="175" formatCode="_(* #,##0.0_);_(* \(#,##0.0\);_(* &quot;-&quot;??_);_(@_)"/>
    <numFmt numFmtId="176" formatCode="0.0%"/>
    <numFmt numFmtId="177" formatCode="#,##0.000000000000"/>
    <numFmt numFmtId="178" formatCode="0.0"/>
    <numFmt numFmtId="179" formatCode="0.0\ &quot;Years&quot;"/>
  </numFmts>
  <fonts count="6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1"/>
      <name val="Calibri"/>
      <family val="2"/>
    </font>
    <font>
      <b/>
      <sz val="14"/>
      <color rgb="FFC00000"/>
      <name val="Calibri"/>
      <family val="2"/>
    </font>
    <font>
      <b/>
      <sz val="16"/>
      <color rgb="FFC00000"/>
      <name val="Calibri"/>
      <family val="2"/>
    </font>
    <font>
      <b/>
      <sz val="11"/>
      <color theme="1"/>
      <name val="Calibri"/>
      <family val="2"/>
    </font>
    <font>
      <b/>
      <sz val="12"/>
      <color theme="0"/>
      <name val="Calibri"/>
      <family val="2"/>
    </font>
    <font>
      <sz val="11"/>
      <color theme="0"/>
      <name val="Calibri"/>
      <family val="2"/>
    </font>
    <font>
      <b/>
      <sz val="11"/>
      <color theme="0"/>
      <name val="Calibri"/>
      <family val="2"/>
    </font>
    <font>
      <sz val="11"/>
      <color rgb="FF0070C0"/>
      <name val="Calibri"/>
      <family val="2"/>
    </font>
    <font>
      <b/>
      <sz val="9"/>
      <color indexed="81"/>
      <name val="Tahoma"/>
      <family val="2"/>
    </font>
    <font>
      <sz val="9"/>
      <color indexed="81"/>
      <name val="Tahoma"/>
      <family val="2"/>
    </font>
    <font>
      <b/>
      <sz val="12"/>
      <color rgb="FFC00000"/>
      <name val="Calibri"/>
      <family val="2"/>
    </font>
    <font>
      <b/>
      <i/>
      <sz val="10"/>
      <color theme="1"/>
      <name val="Calibri"/>
      <family val="2"/>
    </font>
    <font>
      <i/>
      <sz val="10"/>
      <color theme="1"/>
      <name val="Calibri"/>
      <family val="2"/>
    </font>
    <font>
      <b/>
      <sz val="11"/>
      <color rgb="FFC00000"/>
      <name val="Calibri"/>
      <family val="2"/>
    </font>
    <font>
      <b/>
      <u/>
      <sz val="11"/>
      <color theme="1"/>
      <name val="Calibri"/>
      <family val="2"/>
    </font>
    <font>
      <sz val="11"/>
      <color rgb="FF11E543"/>
      <name val="Calibri"/>
      <family val="2"/>
    </font>
    <font>
      <sz val="11"/>
      <name val="Calibri"/>
      <family val="2"/>
    </font>
    <font>
      <sz val="9"/>
      <color theme="1"/>
      <name val="Gill Sans MT"/>
      <family val="2"/>
    </font>
    <font>
      <sz val="10"/>
      <name val="Arial"/>
      <family val="2"/>
    </font>
    <font>
      <b/>
      <sz val="12"/>
      <color theme="1"/>
      <name val="Arial"/>
      <family val="2"/>
    </font>
    <font>
      <sz val="10"/>
      <color theme="1"/>
      <name val="Arial"/>
      <family val="2"/>
    </font>
    <font>
      <b/>
      <sz val="10"/>
      <color theme="1"/>
      <name val="Arial"/>
      <family val="2"/>
    </font>
    <font>
      <b/>
      <sz val="10"/>
      <color theme="0"/>
      <name val="Arial"/>
      <family val="2"/>
    </font>
    <font>
      <b/>
      <sz val="8.5"/>
      <color theme="1"/>
      <name val="Arial"/>
      <family val="2"/>
    </font>
    <font>
      <sz val="8.5"/>
      <color theme="1"/>
      <name val="Arial"/>
      <family val="2"/>
    </font>
    <font>
      <b/>
      <sz val="10"/>
      <name val="Arial"/>
      <family val="2"/>
    </font>
    <font>
      <b/>
      <sz val="10"/>
      <color rgb="FFC00000"/>
      <name val="Arial"/>
      <family val="2"/>
    </font>
    <font>
      <b/>
      <u/>
      <sz val="10"/>
      <color theme="1"/>
      <name val="Arial"/>
      <family val="2"/>
    </font>
    <font>
      <i/>
      <sz val="11"/>
      <color rgb="FFC00000"/>
      <name val="Calibri"/>
      <family val="2"/>
    </font>
    <font>
      <sz val="11"/>
      <color rgb="FF00B050"/>
      <name val="Calibri"/>
      <family val="2"/>
    </font>
    <font>
      <b/>
      <sz val="11"/>
      <color rgb="FF11E543"/>
      <name val="Calibri"/>
      <family val="2"/>
    </font>
    <font>
      <b/>
      <sz val="11"/>
      <color rgb="FFFF0000"/>
      <name val="Calibri"/>
      <family val="2"/>
    </font>
    <font>
      <sz val="11"/>
      <color rgb="FF0070C0"/>
      <name val="Calibri"/>
      <family val="2"/>
      <scheme val="minor"/>
    </font>
    <font>
      <u/>
      <sz val="11"/>
      <color theme="1"/>
      <name val="Calibri"/>
      <family val="2"/>
      <scheme val="minor"/>
    </font>
    <font>
      <b/>
      <u/>
      <sz val="11"/>
      <name val="Calibri"/>
      <family val="2"/>
    </font>
    <font>
      <b/>
      <u/>
      <sz val="11"/>
      <color theme="0"/>
      <name val="Calibri"/>
      <family val="2"/>
      <scheme val="minor"/>
    </font>
    <font>
      <b/>
      <sz val="11"/>
      <color rgb="FF0070C0"/>
      <name val="Calibri"/>
      <family val="2"/>
    </font>
    <font>
      <b/>
      <u/>
      <sz val="11"/>
      <color theme="1"/>
      <name val="Calibri"/>
      <family val="2"/>
      <scheme val="minor"/>
    </font>
    <font>
      <i/>
      <sz val="10"/>
      <color rgb="FFC00000"/>
      <name val="Calibri"/>
      <family val="2"/>
    </font>
    <font>
      <b/>
      <sz val="11"/>
      <color rgb="FF0070C0"/>
      <name val="Calibri"/>
      <family val="2"/>
      <scheme val="minor"/>
    </font>
    <font>
      <i/>
      <sz val="9"/>
      <color indexed="81"/>
      <name val="Tahoma"/>
      <family val="2"/>
    </font>
    <font>
      <b/>
      <i/>
      <sz val="9"/>
      <color indexed="81"/>
      <name val="Tahoma"/>
      <family val="2"/>
    </font>
    <font>
      <sz val="11"/>
      <color rgb="FFC00000"/>
      <name val="Calibri"/>
      <family val="2"/>
      <scheme val="minor"/>
    </font>
    <font>
      <b/>
      <sz val="10"/>
      <color rgb="FFFF0000"/>
      <name val="Arial"/>
      <family val="2"/>
    </font>
    <font>
      <b/>
      <sz val="11"/>
      <name val="Calibri"/>
      <family val="2"/>
    </font>
    <font>
      <u/>
      <sz val="11"/>
      <color theme="10"/>
      <name val="Calibri"/>
      <family val="2"/>
      <scheme val="minor"/>
    </font>
    <font>
      <sz val="11"/>
      <color rgb="FFFF0000"/>
      <name val="Calibri"/>
      <family val="2"/>
      <scheme val="minor"/>
    </font>
    <font>
      <sz val="11"/>
      <name val="Calibri"/>
      <family val="2"/>
      <scheme val="minor"/>
    </font>
    <font>
      <b/>
      <sz val="11"/>
      <name val="Calibri"/>
      <family val="2"/>
      <scheme val="minor"/>
    </font>
    <font>
      <b/>
      <sz val="11"/>
      <color rgb="FF003300"/>
      <name val="Calibri"/>
      <family val="2"/>
      <scheme val="minor"/>
    </font>
    <font>
      <sz val="11"/>
      <color rgb="FF003300"/>
      <name val="Calibri"/>
      <family val="2"/>
      <scheme val="minor"/>
    </font>
    <font>
      <sz val="11"/>
      <color theme="1" tint="4.9989318521683403E-2"/>
      <name val="Calibri"/>
      <family val="2"/>
      <scheme val="minor"/>
    </font>
    <font>
      <b/>
      <sz val="12"/>
      <color rgb="FFC00000"/>
      <name val="Calibri"/>
      <family val="2"/>
      <scheme val="minor"/>
    </font>
    <font>
      <b/>
      <i/>
      <sz val="11"/>
      <color theme="1"/>
      <name val="Calibri"/>
      <family val="2"/>
      <scheme val="minor"/>
    </font>
    <font>
      <b/>
      <sz val="12"/>
      <color theme="0"/>
      <name val="Calibri"/>
      <family val="2"/>
      <scheme val="minor"/>
    </font>
    <font>
      <b/>
      <sz val="14"/>
      <color theme="1"/>
      <name val="Calibri"/>
      <family val="2"/>
      <scheme val="minor"/>
    </font>
    <font>
      <sz val="9"/>
      <color indexed="81"/>
      <name val="Tahoma"/>
      <charset val="1"/>
    </font>
    <font>
      <b/>
      <sz val="9"/>
      <color indexed="81"/>
      <name val="Tahoma"/>
      <charset val="1"/>
    </font>
    <font>
      <sz val="11"/>
      <color rgb="FF000000"/>
      <name val="Calibri"/>
      <family val="2"/>
    </font>
  </fonts>
  <fills count="26">
    <fill>
      <patternFill patternType="none"/>
    </fill>
    <fill>
      <patternFill patternType="gray125"/>
    </fill>
    <fill>
      <patternFill patternType="solid">
        <fgColor rgb="FF002060"/>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FFD966"/>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6" tint="0.59999389629810485"/>
        <bgColor indexed="64"/>
      </patternFill>
    </fill>
    <fill>
      <patternFill patternType="solid">
        <fgColor theme="6"/>
        <bgColor indexed="64"/>
      </patternFill>
    </fill>
  </fills>
  <borders count="3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21" fillId="0" borderId="0"/>
    <xf numFmtId="9" fontId="21" fillId="0" borderId="0" applyFont="0" applyFill="0" applyBorder="0" applyAlignment="0" applyProtection="0"/>
    <xf numFmtId="4" fontId="22" fillId="0" borderId="0"/>
    <xf numFmtId="164"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49" fillId="0" borderId="0" applyNumberFormat="0" applyFill="0" applyBorder="0" applyAlignment="0" applyProtection="0"/>
    <xf numFmtId="0" fontId="22" fillId="0" borderId="0"/>
    <xf numFmtId="43" fontId="22" fillId="0" borderId="0" applyFont="0" applyFill="0" applyBorder="0" applyAlignment="0" applyProtection="0"/>
  </cellStyleXfs>
  <cellXfs count="703">
    <xf numFmtId="0" fontId="0" fillId="0" borderId="0" xfId="0"/>
    <xf numFmtId="0" fontId="0" fillId="0" borderId="0" xfId="0" applyAlignment="1">
      <alignment vertical="center"/>
    </xf>
    <xf numFmtId="0" fontId="4" fillId="0" borderId="0" xfId="0" applyFont="1" applyAlignment="1">
      <alignment vertical="center"/>
    </xf>
    <xf numFmtId="0" fontId="4" fillId="0" borderId="0" xfId="0" applyFont="1" applyAlignment="1">
      <alignment horizontal="left" vertical="center"/>
    </xf>
    <xf numFmtId="0" fontId="8" fillId="2" borderId="0" xfId="0" applyFont="1" applyFill="1" applyAlignment="1">
      <alignment horizontal="left" vertical="center"/>
    </xf>
    <xf numFmtId="0" fontId="9" fillId="2" borderId="0" xfId="0" applyFont="1" applyFill="1" applyAlignment="1">
      <alignment horizontal="left" vertical="center"/>
    </xf>
    <xf numFmtId="0" fontId="10" fillId="2" borderId="1" xfId="0" applyFont="1" applyFill="1" applyBorder="1" applyAlignment="1">
      <alignment vertical="center"/>
    </xf>
    <xf numFmtId="0" fontId="7" fillId="3" borderId="0" xfId="0" applyFont="1" applyFill="1" applyAlignment="1">
      <alignment horizontal="left" vertical="center"/>
    </xf>
    <xf numFmtId="0" fontId="7" fillId="3" borderId="0" xfId="0" applyFont="1" applyFill="1" applyAlignment="1">
      <alignment horizontal="center" vertical="center"/>
    </xf>
    <xf numFmtId="15" fontId="11" fillId="0" borderId="0" xfId="0" applyNumberFormat="1" applyFont="1" applyAlignment="1">
      <alignment horizontal="center" vertical="center"/>
    </xf>
    <xf numFmtId="165" fontId="11" fillId="0" borderId="0" xfId="1" applyNumberFormat="1" applyFont="1" applyAlignment="1">
      <alignment horizontal="center" vertical="center"/>
    </xf>
    <xf numFmtId="0" fontId="4" fillId="0" borderId="0" xfId="0" applyFont="1"/>
    <xf numFmtId="0" fontId="4" fillId="0" borderId="0" xfId="0" applyFont="1" applyAlignment="1">
      <alignment vertical="center" wrapText="1"/>
    </xf>
    <xf numFmtId="0" fontId="11" fillId="0" borderId="0" xfId="0" applyFont="1" applyAlignment="1">
      <alignment horizontal="center" vertical="center"/>
    </xf>
    <xf numFmtId="9" fontId="11" fillId="0" borderId="0" xfId="0" applyNumberFormat="1" applyFont="1" applyAlignment="1">
      <alignment horizontal="center" vertical="center"/>
    </xf>
    <xf numFmtId="9" fontId="4" fillId="0" borderId="0" xfId="0" applyNumberFormat="1" applyFont="1" applyAlignment="1">
      <alignment horizontal="center" vertical="center"/>
    </xf>
    <xf numFmtId="2" fontId="11" fillId="0" borderId="0" xfId="0" applyNumberFormat="1" applyFont="1" applyAlignment="1">
      <alignment horizontal="center" vertical="center"/>
    </xf>
    <xf numFmtId="4" fontId="11" fillId="0" borderId="0" xfId="0" applyNumberFormat="1" applyFont="1" applyAlignment="1">
      <alignment horizontal="center" vertical="center"/>
    </xf>
    <xf numFmtId="0" fontId="4" fillId="0" borderId="0" xfId="0" applyFont="1" applyAlignment="1">
      <alignment horizontal="left" vertical="center" wrapText="1"/>
    </xf>
    <xf numFmtId="9" fontId="11" fillId="0" borderId="0" xfId="2" applyFont="1" applyAlignment="1">
      <alignment horizontal="center" vertical="center"/>
    </xf>
    <xf numFmtId="10" fontId="11" fillId="0" borderId="0" xfId="2" applyNumberFormat="1" applyFont="1" applyAlignment="1">
      <alignment horizontal="center" vertical="center"/>
    </xf>
    <xf numFmtId="10" fontId="11" fillId="0" borderId="0" xfId="0" applyNumberFormat="1" applyFont="1" applyAlignment="1">
      <alignment horizontal="center" vertical="center"/>
    </xf>
    <xf numFmtId="0" fontId="5" fillId="4" borderId="0" xfId="0" applyFont="1" applyFill="1" applyAlignment="1">
      <alignment horizontal="left" vertical="center"/>
    </xf>
    <xf numFmtId="0" fontId="6" fillId="4" borderId="0" xfId="0" applyFont="1" applyFill="1" applyAlignment="1">
      <alignment horizontal="left" vertical="center"/>
    </xf>
    <xf numFmtId="0" fontId="7" fillId="4" borderId="0" xfId="0" applyFont="1" applyFill="1" applyAlignment="1">
      <alignment horizontal="left" vertical="center"/>
    </xf>
    <xf numFmtId="0" fontId="4" fillId="0" borderId="0" xfId="0" applyFont="1" applyAlignment="1">
      <alignment horizontal="center" vertical="center"/>
    </xf>
    <xf numFmtId="0" fontId="8" fillId="2" borderId="0" xfId="0" applyFont="1" applyFill="1" applyAlignment="1">
      <alignment vertical="center"/>
    </xf>
    <xf numFmtId="0" fontId="9" fillId="2" borderId="0" xfId="0" applyFont="1" applyFill="1" applyAlignment="1">
      <alignment horizontal="center" vertical="center"/>
    </xf>
    <xf numFmtId="14" fontId="4" fillId="0" borderId="0" xfId="0" applyNumberFormat="1" applyFont="1" applyAlignment="1">
      <alignment vertical="center"/>
    </xf>
    <xf numFmtId="0" fontId="10" fillId="2" borderId="0" xfId="0" applyFont="1" applyFill="1" applyAlignment="1">
      <alignment vertical="center"/>
    </xf>
    <xf numFmtId="0" fontId="10" fillId="2" borderId="0" xfId="0" applyFont="1" applyFill="1" applyAlignment="1">
      <alignment horizontal="center" vertical="center"/>
    </xf>
    <xf numFmtId="166" fontId="10" fillId="2" borderId="0" xfId="0" applyNumberFormat="1" applyFont="1" applyFill="1" applyAlignment="1">
      <alignment horizontal="center" vertical="center"/>
    </xf>
    <xf numFmtId="0" fontId="16" fillId="0" borderId="0" xfId="0" applyFont="1" applyAlignment="1">
      <alignment vertical="center"/>
    </xf>
    <xf numFmtId="0" fontId="16" fillId="0" borderId="0" xfId="0" applyFont="1" applyAlignment="1">
      <alignment horizontal="center" vertical="center"/>
    </xf>
    <xf numFmtId="0" fontId="5" fillId="4" borderId="0" xfId="0" applyFont="1" applyFill="1" applyAlignment="1">
      <alignment vertical="center"/>
    </xf>
    <xf numFmtId="0" fontId="17" fillId="4" borderId="0" xfId="0" applyFont="1" applyFill="1" applyAlignment="1">
      <alignment horizontal="center" vertical="center"/>
    </xf>
    <xf numFmtId="1" fontId="15" fillId="5" borderId="0" xfId="0" applyNumberFormat="1" applyFont="1" applyFill="1" applyAlignment="1">
      <alignment horizontal="center" vertical="center"/>
    </xf>
    <xf numFmtId="0" fontId="15" fillId="7" borderId="0" xfId="0" applyFont="1" applyFill="1" applyAlignment="1">
      <alignment vertical="center"/>
    </xf>
    <xf numFmtId="0" fontId="15" fillId="7" borderId="0" xfId="0" applyFont="1" applyFill="1" applyAlignment="1">
      <alignment horizontal="center" vertical="center"/>
    </xf>
    <xf numFmtId="1" fontId="15" fillId="7" borderId="0" xfId="0" applyNumberFormat="1" applyFont="1" applyFill="1" applyAlignment="1">
      <alignment horizontal="center" vertical="center"/>
    </xf>
    <xf numFmtId="0" fontId="2" fillId="2" borderId="0" xfId="0" applyFont="1" applyFill="1" applyAlignment="1">
      <alignment vertical="center"/>
    </xf>
    <xf numFmtId="0" fontId="2" fillId="2" borderId="0" xfId="0" applyFont="1" applyFill="1" applyAlignment="1">
      <alignment horizontal="center" vertical="center"/>
    </xf>
    <xf numFmtId="0" fontId="0" fillId="0" borderId="0" xfId="0" applyAlignment="1">
      <alignment horizontal="center" vertical="center"/>
    </xf>
    <xf numFmtId="0" fontId="3" fillId="7" borderId="0" xfId="0" applyFont="1" applyFill="1" applyAlignment="1">
      <alignment vertical="center"/>
    </xf>
    <xf numFmtId="0" fontId="3" fillId="7" borderId="0" xfId="0" applyFont="1" applyFill="1" applyAlignment="1">
      <alignment horizontal="center" vertical="center"/>
    </xf>
    <xf numFmtId="0" fontId="0" fillId="0" borderId="10" xfId="0" applyBorder="1" applyAlignment="1">
      <alignment horizontal="center" vertical="center"/>
    </xf>
    <xf numFmtId="10" fontId="0" fillId="0" borderId="10" xfId="0" applyNumberFormat="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10" fontId="0" fillId="0" borderId="15" xfId="0" applyNumberFormat="1" applyBorder="1" applyAlignment="1">
      <alignment horizontal="center" vertical="center"/>
    </xf>
    <xf numFmtId="2" fontId="0" fillId="0" borderId="0" xfId="0" applyNumberFormat="1"/>
    <xf numFmtId="0" fontId="18" fillId="0" borderId="0" xfId="0" applyFont="1" applyAlignment="1">
      <alignment vertical="center"/>
    </xf>
    <xf numFmtId="2" fontId="4" fillId="0" borderId="0" xfId="0" applyNumberFormat="1" applyFont="1" applyAlignment="1">
      <alignment horizontal="center" vertical="center"/>
    </xf>
    <xf numFmtId="2" fontId="19" fillId="0" borderId="0" xfId="0" applyNumberFormat="1" applyFont="1" applyAlignment="1">
      <alignment horizontal="center" vertical="center"/>
    </xf>
    <xf numFmtId="1" fontId="19" fillId="0" borderId="0" xfId="0" applyNumberFormat="1" applyFont="1" applyAlignment="1">
      <alignment horizontal="center" vertical="center"/>
    </xf>
    <xf numFmtId="1" fontId="4" fillId="0" borderId="0" xfId="0" applyNumberFormat="1" applyFont="1" applyAlignment="1">
      <alignment horizontal="center" vertical="center"/>
    </xf>
    <xf numFmtId="0" fontId="18" fillId="7" borderId="0" xfId="0" applyFont="1" applyFill="1" applyAlignment="1">
      <alignment vertical="center"/>
    </xf>
    <xf numFmtId="0" fontId="4" fillId="7" borderId="0" xfId="0" applyFont="1" applyFill="1" applyAlignment="1">
      <alignment vertical="center"/>
    </xf>
    <xf numFmtId="2" fontId="4" fillId="7" borderId="0" xfId="0" applyNumberFormat="1" applyFont="1" applyFill="1" applyAlignment="1">
      <alignment horizontal="center" vertical="center"/>
    </xf>
    <xf numFmtId="0" fontId="7" fillId="7" borderId="19" xfId="0" applyFont="1" applyFill="1" applyBorder="1" applyAlignment="1">
      <alignment vertical="center"/>
    </xf>
    <xf numFmtId="2" fontId="7" fillId="7" borderId="19" xfId="0" applyNumberFormat="1" applyFont="1" applyFill="1" applyBorder="1" applyAlignment="1">
      <alignment horizontal="center" vertical="center"/>
    </xf>
    <xf numFmtId="0" fontId="3" fillId="7" borderId="16" xfId="0" applyFont="1" applyFill="1" applyBorder="1" applyAlignment="1">
      <alignment horizontal="center" vertical="center"/>
    </xf>
    <xf numFmtId="0" fontId="3" fillId="7" borderId="17" xfId="0" applyFont="1" applyFill="1" applyBorder="1" applyAlignment="1">
      <alignment horizontal="center" vertical="center"/>
    </xf>
    <xf numFmtId="1" fontId="3" fillId="7" borderId="18" xfId="0" applyNumberFormat="1"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1" fontId="3" fillId="0" borderId="9" xfId="0" applyNumberFormat="1" applyFont="1" applyBorder="1" applyAlignment="1">
      <alignment horizontal="center" vertical="center"/>
    </xf>
    <xf numFmtId="0" fontId="3" fillId="0" borderId="0" xfId="0" applyFont="1" applyAlignment="1">
      <alignment vertical="center"/>
    </xf>
    <xf numFmtId="10" fontId="0" fillId="0" borderId="0" xfId="2" applyNumberFormat="1" applyFont="1" applyAlignment="1">
      <alignment horizontal="center" vertical="center"/>
    </xf>
    <xf numFmtId="0" fontId="3" fillId="7" borderId="11" xfId="0" applyFont="1" applyFill="1" applyBorder="1" applyAlignment="1">
      <alignment horizontal="center"/>
    </xf>
    <xf numFmtId="0" fontId="3" fillId="7" borderId="14" xfId="0" applyFont="1" applyFill="1" applyBorder="1" applyAlignment="1">
      <alignment horizontal="center"/>
    </xf>
    <xf numFmtId="0" fontId="3" fillId="7" borderId="16" xfId="0" applyFont="1" applyFill="1" applyBorder="1" applyAlignment="1">
      <alignment horizontal="center"/>
    </xf>
    <xf numFmtId="9" fontId="0" fillId="0" borderId="0" xfId="2" applyFont="1" applyAlignment="1">
      <alignment horizontal="center" vertical="center"/>
    </xf>
    <xf numFmtId="0" fontId="3" fillId="7" borderId="20" xfId="0" applyFont="1" applyFill="1" applyBorder="1" applyAlignment="1">
      <alignment horizontal="center"/>
    </xf>
    <xf numFmtId="1" fontId="3" fillId="7" borderId="21" xfId="0" applyNumberFormat="1" applyFont="1" applyFill="1" applyBorder="1" applyAlignment="1">
      <alignment horizontal="center"/>
    </xf>
    <xf numFmtId="2" fontId="3" fillId="7" borderId="15" xfId="0" applyNumberFormat="1" applyFont="1" applyFill="1" applyBorder="1" applyAlignment="1">
      <alignment horizontal="center" vertical="center"/>
    </xf>
    <xf numFmtId="1" fontId="3" fillId="7" borderId="13" xfId="0" applyNumberFormat="1" applyFont="1" applyFill="1" applyBorder="1" applyAlignment="1">
      <alignment horizontal="center" vertical="center"/>
    </xf>
    <xf numFmtId="1" fontId="3" fillId="7" borderId="15" xfId="0" applyNumberFormat="1" applyFont="1" applyFill="1" applyBorder="1" applyAlignment="1">
      <alignment horizontal="center" vertical="center"/>
    </xf>
    <xf numFmtId="1" fontId="11" fillId="0" borderId="0" xfId="0" applyNumberFormat="1" applyFont="1" applyAlignment="1">
      <alignment horizontal="center" vertical="center"/>
    </xf>
    <xf numFmtId="4" fontId="4" fillId="0" borderId="0" xfId="0" applyNumberFormat="1" applyFont="1" applyAlignment="1">
      <alignment horizontal="center" vertical="center"/>
    </xf>
    <xf numFmtId="0" fontId="20" fillId="0" borderId="0" xfId="0" applyFont="1" applyAlignment="1">
      <alignment vertical="center"/>
    </xf>
    <xf numFmtId="0" fontId="10" fillId="2" borderId="19" xfId="0" applyFont="1" applyFill="1" applyBorder="1" applyAlignment="1">
      <alignment vertical="center"/>
    </xf>
    <xf numFmtId="2" fontId="10" fillId="2" borderId="19" xfId="0" applyNumberFormat="1" applyFont="1" applyFill="1" applyBorder="1" applyAlignment="1">
      <alignment horizontal="center" vertical="center"/>
    </xf>
    <xf numFmtId="4" fontId="19" fillId="0" borderId="0" xfId="0" applyNumberFormat="1" applyFont="1" applyAlignment="1">
      <alignment horizontal="center" vertical="center"/>
    </xf>
    <xf numFmtId="3" fontId="19" fillId="0" borderId="0" xfId="0" applyNumberFormat="1" applyFont="1" applyAlignment="1">
      <alignment horizontal="center" vertical="center"/>
    </xf>
    <xf numFmtId="3" fontId="4" fillId="0" borderId="0" xfId="0" applyNumberFormat="1" applyFont="1" applyAlignment="1">
      <alignment horizontal="center" vertical="center"/>
    </xf>
    <xf numFmtId="0" fontId="4" fillId="0" borderId="0" xfId="3" applyFont="1" applyAlignment="1">
      <alignment horizontal="left" vertical="center"/>
    </xf>
    <xf numFmtId="0" fontId="4" fillId="0" borderId="0" xfId="3" applyFont="1" applyAlignment="1">
      <alignment vertical="center"/>
    </xf>
    <xf numFmtId="0" fontId="8" fillId="2" borderId="0" xfId="3" applyFont="1" applyFill="1" applyAlignment="1">
      <alignment horizontal="left" vertical="center"/>
    </xf>
    <xf numFmtId="0" fontId="9" fillId="2" borderId="0" xfId="3" applyFont="1" applyFill="1" applyAlignment="1">
      <alignment horizontal="left" vertical="center"/>
    </xf>
    <xf numFmtId="0" fontId="10" fillId="2" borderId="1" xfId="3" applyFont="1" applyFill="1" applyBorder="1" applyAlignment="1">
      <alignment vertical="center"/>
    </xf>
    <xf numFmtId="0" fontId="7" fillId="3" borderId="0" xfId="3" applyFont="1" applyFill="1" applyAlignment="1">
      <alignment horizontal="left" vertical="center"/>
    </xf>
    <xf numFmtId="0" fontId="7" fillId="3" borderId="0" xfId="3" applyFont="1" applyFill="1" applyAlignment="1">
      <alignment horizontal="center" vertical="center"/>
    </xf>
    <xf numFmtId="2" fontId="4" fillId="0" borderId="0" xfId="3" applyNumberFormat="1" applyFont="1" applyAlignment="1">
      <alignment vertical="center"/>
    </xf>
    <xf numFmtId="2" fontId="4" fillId="8" borderId="0" xfId="3" applyNumberFormat="1" applyFont="1" applyFill="1" applyAlignment="1">
      <alignment horizontal="center" vertical="center"/>
    </xf>
    <xf numFmtId="0" fontId="7" fillId="3" borderId="19" xfId="3" applyFont="1" applyFill="1" applyBorder="1" applyAlignment="1">
      <alignment horizontal="left" vertical="center"/>
    </xf>
    <xf numFmtId="2" fontId="7" fillId="3" borderId="19" xfId="3" applyNumberFormat="1" applyFont="1" applyFill="1" applyBorder="1" applyAlignment="1">
      <alignment horizontal="center" vertical="center"/>
    </xf>
    <xf numFmtId="0" fontId="4" fillId="0" borderId="0" xfId="3" applyFont="1" applyAlignment="1">
      <alignment vertical="center" wrapText="1"/>
    </xf>
    <xf numFmtId="9" fontId="4" fillId="0" borderId="0" xfId="3" applyNumberFormat="1" applyFont="1" applyAlignment="1">
      <alignment horizontal="center" vertical="center"/>
    </xf>
    <xf numFmtId="2" fontId="4" fillId="0" borderId="0" xfId="3" applyNumberFormat="1" applyFont="1" applyAlignment="1">
      <alignment horizontal="center" vertical="center"/>
    </xf>
    <xf numFmtId="0" fontId="5" fillId="4" borderId="0" xfId="3" applyFont="1" applyFill="1" applyAlignment="1">
      <alignment horizontal="left" vertical="center"/>
    </xf>
    <xf numFmtId="0" fontId="6" fillId="4" borderId="0" xfId="3" applyFont="1" applyFill="1" applyAlignment="1">
      <alignment horizontal="left" vertical="center"/>
    </xf>
    <xf numFmtId="0" fontId="7" fillId="4" borderId="0" xfId="3" applyFont="1" applyFill="1" applyAlignment="1">
      <alignment horizontal="left" vertical="center"/>
    </xf>
    <xf numFmtId="0" fontId="10" fillId="2" borderId="0" xfId="3" applyFont="1" applyFill="1" applyAlignment="1">
      <alignment vertical="center"/>
    </xf>
    <xf numFmtId="2" fontId="10" fillId="2" borderId="0" xfId="3" applyNumberFormat="1" applyFont="1" applyFill="1" applyAlignment="1">
      <alignment horizontal="center" vertical="center"/>
    </xf>
    <xf numFmtId="2" fontId="11" fillId="0" borderId="0" xfId="3" applyNumberFormat="1" applyFont="1" applyAlignment="1">
      <alignment horizontal="center" vertical="center"/>
    </xf>
    <xf numFmtId="4" fontId="24" fillId="9" borderId="0" xfId="5" applyFont="1" applyFill="1" applyAlignment="1">
      <alignment vertical="center"/>
    </xf>
    <xf numFmtId="4" fontId="25" fillId="9" borderId="10" xfId="5" applyFont="1" applyFill="1" applyBorder="1" applyAlignment="1">
      <alignment horizontal="center" vertical="center" wrapText="1"/>
    </xf>
    <xf numFmtId="4" fontId="25" fillId="9" borderId="10" xfId="5" applyFont="1" applyFill="1" applyBorder="1" applyAlignment="1">
      <alignment horizontal="center" vertical="center"/>
    </xf>
    <xf numFmtId="4" fontId="25" fillId="9" borderId="23" xfId="5" applyFont="1" applyFill="1" applyBorder="1" applyAlignment="1">
      <alignment horizontal="center" vertical="center"/>
    </xf>
    <xf numFmtId="4" fontId="24" fillId="9" borderId="10" xfId="5" applyFont="1" applyFill="1" applyBorder="1" applyAlignment="1">
      <alignment horizontal="center" vertical="center"/>
    </xf>
    <xf numFmtId="164" fontId="24" fillId="9" borderId="10" xfId="6" applyFont="1" applyFill="1" applyBorder="1" applyAlignment="1">
      <alignment vertical="center"/>
    </xf>
    <xf numFmtId="4" fontId="24" fillId="9" borderId="22" xfId="5" applyFont="1" applyFill="1" applyBorder="1" applyAlignment="1">
      <alignment horizontal="center" vertical="center"/>
    </xf>
    <xf numFmtId="4" fontId="24" fillId="9" borderId="19" xfId="5" applyFont="1" applyFill="1" applyBorder="1" applyAlignment="1">
      <alignment horizontal="left" vertical="center" wrapText="1"/>
    </xf>
    <xf numFmtId="4" fontId="24" fillId="9" borderId="19" xfId="5" applyFont="1" applyFill="1" applyBorder="1" applyAlignment="1">
      <alignment horizontal="center" vertical="center"/>
    </xf>
    <xf numFmtId="164" fontId="24" fillId="9" borderId="23" xfId="6" applyFont="1" applyFill="1" applyBorder="1" applyAlignment="1">
      <alignment vertical="center"/>
    </xf>
    <xf numFmtId="4" fontId="25" fillId="9" borderId="22" xfId="5" applyFont="1" applyFill="1" applyBorder="1" applyAlignment="1">
      <alignment horizontal="center" vertical="center"/>
    </xf>
    <xf numFmtId="4" fontId="24" fillId="9" borderId="10" xfId="5" applyFont="1" applyFill="1" applyBorder="1" applyAlignment="1">
      <alignment vertical="center"/>
    </xf>
    <xf numFmtId="4" fontId="25" fillId="9" borderId="19" xfId="5" applyFont="1" applyFill="1" applyBorder="1" applyAlignment="1">
      <alignment horizontal="center" vertical="center"/>
    </xf>
    <xf numFmtId="4" fontId="24" fillId="9" borderId="23" xfId="5" applyFont="1" applyFill="1" applyBorder="1" applyAlignment="1">
      <alignment vertical="center"/>
    </xf>
    <xf numFmtId="4" fontId="24" fillId="9" borderId="10" xfId="5" applyFont="1" applyFill="1" applyBorder="1" applyAlignment="1">
      <alignment horizontal="left" vertical="center"/>
    </xf>
    <xf numFmtId="4" fontId="24" fillId="9" borderId="23" xfId="5" applyFont="1" applyFill="1" applyBorder="1" applyAlignment="1">
      <alignment horizontal="center" vertical="center"/>
    </xf>
    <xf numFmtId="4" fontId="24" fillId="9" borderId="19" xfId="5" applyFont="1" applyFill="1" applyBorder="1" applyAlignment="1">
      <alignment horizontal="left" vertical="center"/>
    </xf>
    <xf numFmtId="4" fontId="24" fillId="9" borderId="19" xfId="5" applyFont="1" applyFill="1" applyBorder="1" applyAlignment="1">
      <alignment vertical="center"/>
    </xf>
    <xf numFmtId="4" fontId="26" fillId="2" borderId="0" xfId="5" applyFont="1" applyFill="1" applyAlignment="1">
      <alignment vertical="center"/>
    </xf>
    <xf numFmtId="164" fontId="25" fillId="9" borderId="23" xfId="6" applyFont="1" applyFill="1" applyBorder="1" applyAlignment="1">
      <alignment vertical="center"/>
    </xf>
    <xf numFmtId="4" fontId="24" fillId="8" borderId="0" xfId="5" applyFont="1" applyFill="1" applyAlignment="1">
      <alignment vertical="center"/>
    </xf>
    <xf numFmtId="4" fontId="25" fillId="9" borderId="19" xfId="5" applyFont="1" applyFill="1" applyBorder="1" applyAlignment="1">
      <alignment horizontal="left" vertical="center"/>
    </xf>
    <xf numFmtId="164" fontId="25" fillId="9" borderId="10" xfId="6" applyFont="1" applyFill="1" applyBorder="1" applyAlignment="1">
      <alignment vertical="center"/>
    </xf>
    <xf numFmtId="4" fontId="25" fillId="9" borderId="24" xfId="5" applyFont="1" applyFill="1" applyBorder="1" applyAlignment="1">
      <alignment horizontal="center" vertical="center"/>
    </xf>
    <xf numFmtId="4" fontId="27" fillId="9" borderId="22" xfId="5" applyFont="1" applyFill="1" applyBorder="1" applyAlignment="1">
      <alignment vertical="center"/>
    </xf>
    <xf numFmtId="4" fontId="28" fillId="9" borderId="19" xfId="5" applyFont="1" applyFill="1" applyBorder="1" applyAlignment="1">
      <alignment vertical="center"/>
    </xf>
    <xf numFmtId="4" fontId="28" fillId="9" borderId="19" xfId="5" applyFont="1" applyFill="1" applyBorder="1" applyAlignment="1">
      <alignment horizontal="center" vertical="center"/>
    </xf>
    <xf numFmtId="4" fontId="28" fillId="9" borderId="23" xfId="5" applyFont="1" applyFill="1" applyBorder="1" applyAlignment="1">
      <alignment vertical="center"/>
    </xf>
    <xf numFmtId="4" fontId="28" fillId="9" borderId="22" xfId="5" applyFont="1" applyFill="1" applyBorder="1" applyAlignment="1">
      <alignment vertical="center"/>
    </xf>
    <xf numFmtId="4" fontId="27" fillId="9" borderId="19" xfId="5" applyFont="1" applyFill="1" applyBorder="1" applyAlignment="1">
      <alignment vertical="center"/>
    </xf>
    <xf numFmtId="4" fontId="25" fillId="9" borderId="0" xfId="5" applyFont="1" applyFill="1" applyAlignment="1">
      <alignment horizontal="center" vertical="center"/>
    </xf>
    <xf numFmtId="4" fontId="24" fillId="9" borderId="0" xfId="5" applyFont="1" applyFill="1" applyAlignment="1">
      <alignment horizontal="center" vertical="center"/>
    </xf>
    <xf numFmtId="3" fontId="24" fillId="9" borderId="0" xfId="5" applyNumberFormat="1" applyFont="1" applyFill="1" applyAlignment="1">
      <alignment vertical="center"/>
    </xf>
    <xf numFmtId="43" fontId="24" fillId="9" borderId="0" xfId="1" applyFont="1" applyFill="1" applyAlignment="1">
      <alignment horizontal="center" vertical="center"/>
    </xf>
    <xf numFmtId="4" fontId="11" fillId="0" borderId="0" xfId="3" applyNumberFormat="1" applyFont="1" applyAlignment="1">
      <alignment horizontal="center" vertical="center"/>
    </xf>
    <xf numFmtId="0" fontId="29" fillId="0" borderId="10" xfId="0" applyFont="1" applyBorder="1"/>
    <xf numFmtId="2" fontId="29" fillId="0" borderId="10" xfId="0" applyNumberFormat="1" applyFont="1" applyBorder="1" applyAlignment="1">
      <alignment horizontal="center" vertical="center"/>
    </xf>
    <xf numFmtId="0" fontId="29" fillId="0" borderId="11" xfId="0" applyFont="1" applyBorder="1"/>
    <xf numFmtId="0" fontId="29" fillId="0" borderId="12" xfId="0" applyFont="1" applyBorder="1" applyAlignment="1">
      <alignment horizontal="center" vertical="center"/>
    </xf>
    <xf numFmtId="0" fontId="29" fillId="0" borderId="12" xfId="0" applyFont="1" applyBorder="1"/>
    <xf numFmtId="4" fontId="24" fillId="9" borderId="12" xfId="5" applyFont="1" applyFill="1" applyBorder="1" applyAlignment="1">
      <alignment vertical="center"/>
    </xf>
    <xf numFmtId="4" fontId="24" fillId="9" borderId="13" xfId="5" applyFont="1" applyFill="1" applyBorder="1" applyAlignment="1">
      <alignment vertical="center"/>
    </xf>
    <xf numFmtId="0" fontId="29" fillId="0" borderId="14" xfId="0" applyFont="1" applyBorder="1"/>
    <xf numFmtId="4" fontId="24" fillId="9" borderId="15" xfId="5" applyFont="1" applyFill="1" applyBorder="1" applyAlignment="1">
      <alignment vertical="center"/>
    </xf>
    <xf numFmtId="0" fontId="29" fillId="0" borderId="16" xfId="0" applyFont="1" applyBorder="1"/>
    <xf numFmtId="2" fontId="30" fillId="8" borderId="17" xfId="0" applyNumberFormat="1" applyFont="1" applyFill="1" applyBorder="1" applyAlignment="1">
      <alignment horizontal="center"/>
    </xf>
    <xf numFmtId="0" fontId="29" fillId="0" borderId="17" xfId="0" applyFont="1" applyBorder="1"/>
    <xf numFmtId="4" fontId="24" fillId="9" borderId="17" xfId="5" applyFont="1" applyFill="1" applyBorder="1" applyAlignment="1">
      <alignment vertical="center"/>
    </xf>
    <xf numFmtId="4" fontId="24" fillId="9" borderId="18" xfId="5" applyFont="1" applyFill="1" applyBorder="1" applyAlignment="1">
      <alignment vertical="center"/>
    </xf>
    <xf numFmtId="4" fontId="31" fillId="9" borderId="11" xfId="5" applyFont="1" applyFill="1" applyBorder="1" applyAlignment="1">
      <alignment vertical="center"/>
    </xf>
    <xf numFmtId="4" fontId="24" fillId="9" borderId="13" xfId="5" applyFont="1" applyFill="1" applyBorder="1" applyAlignment="1">
      <alignment horizontal="center" vertical="center"/>
    </xf>
    <xf numFmtId="4" fontId="24" fillId="9" borderId="14" xfId="5" applyFont="1" applyFill="1" applyBorder="1" applyAlignment="1">
      <alignment vertical="center"/>
    </xf>
    <xf numFmtId="4" fontId="24" fillId="9" borderId="15" xfId="5" applyFont="1" applyFill="1" applyBorder="1" applyAlignment="1">
      <alignment horizontal="center" vertical="center"/>
    </xf>
    <xf numFmtId="9" fontId="24" fillId="9" borderId="14" xfId="2" applyFont="1" applyFill="1" applyBorder="1" applyAlignment="1">
      <alignment vertical="center"/>
    </xf>
    <xf numFmtId="168" fontId="24" fillId="9" borderId="15" xfId="5" applyNumberFormat="1" applyFont="1" applyFill="1" applyBorder="1" applyAlignment="1">
      <alignment horizontal="center" vertical="center"/>
    </xf>
    <xf numFmtId="4" fontId="24" fillId="9" borderId="16" xfId="5" applyFont="1" applyFill="1" applyBorder="1" applyAlignment="1">
      <alignment vertical="center"/>
    </xf>
    <xf numFmtId="167" fontId="24" fillId="9" borderId="18" xfId="5" applyNumberFormat="1" applyFont="1" applyFill="1" applyBorder="1" applyAlignment="1">
      <alignment horizontal="center" vertical="center"/>
    </xf>
    <xf numFmtId="4" fontId="24" fillId="6" borderId="10" xfId="5" applyFont="1" applyFill="1" applyBorder="1" applyAlignment="1">
      <alignment horizontal="center" vertical="center"/>
    </xf>
    <xf numFmtId="4" fontId="24" fillId="6" borderId="10" xfId="5" applyFont="1" applyFill="1" applyBorder="1" applyAlignment="1">
      <alignment horizontal="left" vertical="center"/>
    </xf>
    <xf numFmtId="164" fontId="24" fillId="6" borderId="10" xfId="6" applyFont="1" applyFill="1" applyBorder="1" applyAlignment="1">
      <alignment vertical="center"/>
    </xf>
    <xf numFmtId="4" fontId="24" fillId="6" borderId="10" xfId="5" applyFont="1" applyFill="1" applyBorder="1"/>
    <xf numFmtId="2" fontId="24" fillId="6" borderId="10" xfId="5" applyNumberFormat="1" applyFont="1" applyFill="1" applyBorder="1" applyAlignment="1">
      <alignment horizontal="center" vertical="center"/>
    </xf>
    <xf numFmtId="167" fontId="24" fillId="6" borderId="10" xfId="5" applyNumberFormat="1" applyFont="1" applyFill="1" applyBorder="1" applyAlignment="1">
      <alignment vertical="center"/>
    </xf>
    <xf numFmtId="9" fontId="24" fillId="6" borderId="10" xfId="7" applyFont="1" applyFill="1" applyBorder="1" applyAlignment="1">
      <alignment horizontal="center" vertical="center"/>
    </xf>
    <xf numFmtId="4" fontId="24" fillId="6" borderId="10" xfId="5" applyFont="1" applyFill="1" applyBorder="1" applyAlignment="1">
      <alignment horizontal="left" vertical="center" wrapText="1"/>
    </xf>
    <xf numFmtId="4" fontId="24" fillId="6" borderId="10" xfId="5" applyFont="1" applyFill="1" applyBorder="1" applyAlignment="1">
      <alignment vertical="center"/>
    </xf>
    <xf numFmtId="4" fontId="24" fillId="6" borderId="10" xfId="5" applyFont="1" applyFill="1" applyBorder="1" applyAlignment="1">
      <alignment vertical="center" wrapText="1"/>
    </xf>
    <xf numFmtId="4" fontId="24" fillId="6" borderId="10" xfId="5" applyFont="1" applyFill="1" applyBorder="1" applyAlignment="1">
      <alignment wrapText="1"/>
    </xf>
    <xf numFmtId="10" fontId="4" fillId="0" borderId="0" xfId="2" applyNumberFormat="1" applyFont="1" applyAlignment="1">
      <alignment vertical="center"/>
    </xf>
    <xf numFmtId="4" fontId="25" fillId="10" borderId="10" xfId="5" applyFont="1" applyFill="1" applyBorder="1" applyAlignment="1">
      <alignment horizontal="center" vertical="center"/>
    </xf>
    <xf numFmtId="4" fontId="25" fillId="10" borderId="10" xfId="5" applyFont="1" applyFill="1" applyBorder="1"/>
    <xf numFmtId="9" fontId="25" fillId="10" borderId="10" xfId="7" applyFont="1" applyFill="1" applyBorder="1" applyAlignment="1">
      <alignment horizontal="center" vertical="center"/>
    </xf>
    <xf numFmtId="4" fontId="25" fillId="10" borderId="0" xfId="5" applyFont="1" applyFill="1" applyAlignment="1">
      <alignment vertical="center"/>
    </xf>
    <xf numFmtId="2" fontId="32" fillId="0" borderId="26" xfId="3" applyNumberFormat="1" applyFont="1" applyBorder="1" applyAlignment="1">
      <alignment vertical="center"/>
    </xf>
    <xf numFmtId="0" fontId="7" fillId="0" borderId="0" xfId="0" applyFont="1" applyAlignment="1">
      <alignment horizontal="left" vertical="center"/>
    </xf>
    <xf numFmtId="9" fontId="33" fillId="0" borderId="0" xfId="0" applyNumberFormat="1" applyFont="1" applyAlignment="1">
      <alignment horizontal="center" vertical="center"/>
    </xf>
    <xf numFmtId="0" fontId="7" fillId="3" borderId="19" xfId="0" applyFont="1" applyFill="1" applyBorder="1" applyAlignment="1">
      <alignment vertical="center"/>
    </xf>
    <xf numFmtId="2" fontId="7" fillId="3" borderId="19" xfId="0" applyNumberFormat="1" applyFont="1" applyFill="1" applyBorder="1" applyAlignment="1">
      <alignment horizontal="center" vertical="center"/>
    </xf>
    <xf numFmtId="0" fontId="4" fillId="0" borderId="0" xfId="0" applyFont="1" applyAlignment="1">
      <alignment horizontal="center" vertical="center" wrapText="1"/>
    </xf>
    <xf numFmtId="0" fontId="7" fillId="11" borderId="0" xfId="0" applyFont="1" applyFill="1" applyAlignment="1">
      <alignment horizontal="left" vertical="center"/>
    </xf>
    <xf numFmtId="0" fontId="7" fillId="11" borderId="0" xfId="0" applyFont="1" applyFill="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3" fontId="7" fillId="11" borderId="0" xfId="0" applyNumberFormat="1" applyFont="1" applyFill="1" applyAlignment="1">
      <alignment horizontal="center" vertical="center"/>
    </xf>
    <xf numFmtId="3" fontId="4" fillId="11" borderId="0" xfId="0" applyNumberFormat="1" applyFont="1" applyFill="1" applyAlignment="1">
      <alignment horizontal="center" vertical="center"/>
    </xf>
    <xf numFmtId="3" fontId="7" fillId="0" borderId="0" xfId="0" applyNumberFormat="1" applyFont="1" applyAlignment="1">
      <alignment vertical="center"/>
    </xf>
    <xf numFmtId="0" fontId="10" fillId="2" borderId="0" xfId="0" applyFont="1" applyFill="1" applyAlignment="1">
      <alignment horizontal="left" vertical="center"/>
    </xf>
    <xf numFmtId="3" fontId="10" fillId="2" borderId="0" xfId="0" applyNumberFormat="1" applyFont="1" applyFill="1" applyAlignment="1">
      <alignment horizontal="center" vertical="center"/>
    </xf>
    <xf numFmtId="10" fontId="4" fillId="0" borderId="0" xfId="0" applyNumberFormat="1" applyFont="1" applyAlignment="1">
      <alignment horizontal="center" vertical="center"/>
    </xf>
    <xf numFmtId="0" fontId="7" fillId="3" borderId="19" xfId="0" applyFont="1" applyFill="1" applyBorder="1" applyAlignment="1">
      <alignment vertical="center" wrapText="1"/>
    </xf>
    <xf numFmtId="10" fontId="7" fillId="3" borderId="19" xfId="4" applyNumberFormat="1" applyFont="1" applyFill="1" applyBorder="1" applyAlignment="1">
      <alignment vertical="center"/>
    </xf>
    <xf numFmtId="2" fontId="7" fillId="0" borderId="0" xfId="0" applyNumberFormat="1" applyFont="1" applyAlignment="1">
      <alignment horizontal="center" vertical="center"/>
    </xf>
    <xf numFmtId="9" fontId="20" fillId="0" borderId="0" xfId="0" applyNumberFormat="1" applyFont="1" applyAlignment="1">
      <alignment horizontal="center" vertical="center"/>
    </xf>
    <xf numFmtId="169" fontId="0" fillId="0" borderId="0" xfId="1" applyNumberFormat="1" applyFont="1" applyAlignment="1">
      <alignment vertical="center"/>
    </xf>
    <xf numFmtId="0" fontId="7" fillId="0" borderId="19" xfId="0" applyFont="1" applyBorder="1" applyAlignment="1">
      <alignment vertical="center"/>
    </xf>
    <xf numFmtId="2" fontId="34" fillId="0" borderId="19" xfId="0" applyNumberFormat="1" applyFont="1" applyBorder="1" applyAlignment="1">
      <alignment horizontal="center" vertical="center"/>
    </xf>
    <xf numFmtId="2" fontId="7" fillId="0" borderId="19" xfId="0" applyNumberFormat="1" applyFont="1" applyBorder="1" applyAlignment="1">
      <alignment horizontal="center" vertical="center"/>
    </xf>
    <xf numFmtId="2" fontId="10" fillId="2" borderId="0" xfId="0" applyNumberFormat="1" applyFont="1" applyFill="1" applyAlignment="1">
      <alignment horizontal="center" vertical="center"/>
    </xf>
    <xf numFmtId="9" fontId="10" fillId="2" borderId="0" xfId="0" applyNumberFormat="1" applyFont="1" applyFill="1" applyAlignment="1">
      <alignment horizontal="center" vertical="center"/>
    </xf>
    <xf numFmtId="0" fontId="7" fillId="3" borderId="0" xfId="0" applyFont="1" applyFill="1" applyAlignment="1">
      <alignment vertical="center"/>
    </xf>
    <xf numFmtId="0" fontId="7" fillId="3" borderId="0" xfId="0" applyFont="1" applyFill="1" applyAlignment="1">
      <alignment horizontal="center" vertical="center" wrapText="1"/>
    </xf>
    <xf numFmtId="0" fontId="4" fillId="8" borderId="0" xfId="0" applyFont="1" applyFill="1" applyAlignment="1">
      <alignment vertical="center"/>
    </xf>
    <xf numFmtId="2" fontId="4" fillId="8" borderId="0" xfId="0" applyNumberFormat="1" applyFont="1" applyFill="1" applyAlignment="1">
      <alignment horizontal="center" vertical="center"/>
    </xf>
    <xf numFmtId="2" fontId="4" fillId="8" borderId="0" xfId="4" applyNumberFormat="1" applyFont="1" applyFill="1" applyAlignment="1">
      <alignment horizontal="center" vertical="center"/>
    </xf>
    <xf numFmtId="0" fontId="35" fillId="8" borderId="0" xfId="0" applyFont="1" applyFill="1" applyAlignment="1">
      <alignment vertical="center"/>
    </xf>
    <xf numFmtId="0" fontId="4" fillId="12" borderId="0" xfId="0" applyFont="1" applyFill="1" applyAlignment="1">
      <alignment vertical="center"/>
    </xf>
    <xf numFmtId="2" fontId="4" fillId="12" borderId="0" xfId="0" applyNumberFormat="1" applyFont="1" applyFill="1" applyAlignment="1">
      <alignment horizontal="center" vertical="center"/>
    </xf>
    <xf numFmtId="0" fontId="4" fillId="3" borderId="0" xfId="0" applyFont="1" applyFill="1" applyAlignment="1">
      <alignment vertical="center"/>
    </xf>
    <xf numFmtId="2" fontId="4" fillId="3" borderId="0" xfId="0" applyNumberFormat="1" applyFont="1" applyFill="1" applyAlignment="1">
      <alignment horizontal="center" vertical="center"/>
    </xf>
    <xf numFmtId="0" fontId="7" fillId="13" borderId="19" xfId="0" applyFont="1" applyFill="1" applyBorder="1" applyAlignment="1">
      <alignment vertical="center"/>
    </xf>
    <xf numFmtId="2" fontId="7" fillId="13" borderId="19" xfId="0" applyNumberFormat="1" applyFont="1" applyFill="1" applyBorder="1" applyAlignment="1">
      <alignment horizontal="center" vertical="center"/>
    </xf>
    <xf numFmtId="0" fontId="4" fillId="13" borderId="0" xfId="0" applyFont="1" applyFill="1" applyAlignment="1">
      <alignment vertical="center"/>
    </xf>
    <xf numFmtId="2" fontId="4" fillId="13" borderId="0" xfId="0" applyNumberFormat="1" applyFont="1" applyFill="1" applyAlignment="1">
      <alignment horizontal="center" vertical="center"/>
    </xf>
    <xf numFmtId="0" fontId="7" fillId="11" borderId="19" xfId="0" applyFont="1" applyFill="1" applyBorder="1" applyAlignment="1">
      <alignment vertical="center"/>
    </xf>
    <xf numFmtId="0" fontId="4" fillId="11" borderId="19" xfId="0" applyFont="1" applyFill="1" applyBorder="1" applyAlignment="1">
      <alignment vertical="center"/>
    </xf>
    <xf numFmtId="2" fontId="4" fillId="11" borderId="19" xfId="0" applyNumberFormat="1" applyFont="1" applyFill="1" applyBorder="1" applyAlignment="1">
      <alignment horizontal="center" vertical="center"/>
    </xf>
    <xf numFmtId="0" fontId="4" fillId="11" borderId="0" xfId="0" applyFont="1" applyFill="1" applyAlignment="1">
      <alignment vertical="center"/>
    </xf>
    <xf numFmtId="2" fontId="4" fillId="11" borderId="0" xfId="0" applyNumberFormat="1" applyFont="1" applyFill="1" applyAlignment="1">
      <alignment horizontal="center" vertical="center"/>
    </xf>
    <xf numFmtId="0" fontId="7" fillId="14" borderId="19" xfId="0" applyFont="1" applyFill="1" applyBorder="1" applyAlignment="1">
      <alignment vertical="center"/>
    </xf>
    <xf numFmtId="2" fontId="7" fillId="14" borderId="19" xfId="0" applyNumberFormat="1" applyFont="1" applyFill="1" applyBorder="1" applyAlignment="1">
      <alignment horizontal="center" vertical="center"/>
    </xf>
    <xf numFmtId="0" fontId="4" fillId="14" borderId="0" xfId="0" applyFont="1" applyFill="1" applyAlignment="1">
      <alignment vertical="center"/>
    </xf>
    <xf numFmtId="2" fontId="4" fillId="14" borderId="0" xfId="0" applyNumberFormat="1" applyFont="1" applyFill="1" applyAlignment="1">
      <alignment horizontal="center" vertical="center"/>
    </xf>
    <xf numFmtId="0" fontId="7" fillId="15" borderId="19" xfId="0" applyFont="1" applyFill="1" applyBorder="1" applyAlignment="1">
      <alignment vertical="center"/>
    </xf>
    <xf numFmtId="2" fontId="7" fillId="15" borderId="19" xfId="0" applyNumberFormat="1" applyFont="1" applyFill="1" applyBorder="1" applyAlignment="1">
      <alignment horizontal="center" vertical="center"/>
    </xf>
    <xf numFmtId="0" fontId="4" fillId="15" borderId="0" xfId="0" applyFont="1" applyFill="1" applyAlignment="1">
      <alignment vertical="center"/>
    </xf>
    <xf numFmtId="2" fontId="4" fillId="15" borderId="0" xfId="0" applyNumberFormat="1" applyFont="1" applyFill="1" applyAlignment="1">
      <alignment horizontal="center" vertical="center"/>
    </xf>
    <xf numFmtId="0" fontId="7" fillId="16" borderId="19" xfId="0" applyFont="1" applyFill="1" applyBorder="1" applyAlignment="1">
      <alignment vertical="center"/>
    </xf>
    <xf numFmtId="2" fontId="7" fillId="16" borderId="19" xfId="0" applyNumberFormat="1" applyFont="1" applyFill="1" applyBorder="1" applyAlignment="1">
      <alignment horizontal="center" vertical="center"/>
    </xf>
    <xf numFmtId="0" fontId="4" fillId="16" borderId="0" xfId="0" applyFont="1" applyFill="1" applyAlignment="1">
      <alignment vertical="center"/>
    </xf>
    <xf numFmtId="2" fontId="4" fillId="16" borderId="0" xfId="0" applyNumberFormat="1" applyFont="1" applyFill="1" applyAlignment="1">
      <alignment horizontal="center" vertical="center"/>
    </xf>
    <xf numFmtId="0" fontId="7" fillId="17" borderId="19" xfId="0" applyFont="1" applyFill="1" applyBorder="1" applyAlignment="1">
      <alignment vertical="center"/>
    </xf>
    <xf numFmtId="2" fontId="7" fillId="17" borderId="19" xfId="0" applyNumberFormat="1" applyFont="1" applyFill="1" applyBorder="1" applyAlignment="1">
      <alignment horizontal="center" vertical="center"/>
    </xf>
    <xf numFmtId="0" fontId="4" fillId="17" borderId="0" xfId="0" applyFont="1" applyFill="1" applyAlignment="1">
      <alignment vertical="center"/>
    </xf>
    <xf numFmtId="2" fontId="4" fillId="17" borderId="0" xfId="0" applyNumberFormat="1" applyFont="1" applyFill="1" applyAlignment="1">
      <alignment horizontal="center" vertical="center"/>
    </xf>
    <xf numFmtId="0" fontId="10" fillId="2" borderId="19" xfId="0" applyFont="1" applyFill="1" applyBorder="1" applyAlignment="1">
      <alignment horizontal="center" vertical="center"/>
    </xf>
    <xf numFmtId="2" fontId="0" fillId="0" borderId="0" xfId="0" applyNumberFormat="1" applyAlignment="1">
      <alignment horizontal="center" vertical="center"/>
    </xf>
    <xf numFmtId="2" fontId="36" fillId="0" borderId="0" xfId="0" applyNumberFormat="1" applyFont="1" applyAlignment="1">
      <alignment horizontal="center" vertical="center"/>
    </xf>
    <xf numFmtId="2" fontId="17" fillId="5" borderId="0" xfId="0" applyNumberFormat="1" applyFont="1" applyFill="1" applyAlignment="1">
      <alignment horizontal="center" vertical="center"/>
    </xf>
    <xf numFmtId="1" fontId="0" fillId="0" borderId="0" xfId="0" applyNumberFormat="1" applyAlignment="1">
      <alignment horizontal="center" vertical="center"/>
    </xf>
    <xf numFmtId="0" fontId="10" fillId="2" borderId="0" xfId="0" applyFont="1" applyFill="1" applyAlignment="1">
      <alignment horizontal="center" vertical="center" wrapText="1"/>
    </xf>
    <xf numFmtId="0" fontId="19" fillId="0" borderId="0" xfId="0" applyFont="1" applyAlignment="1">
      <alignment horizontal="center" vertical="center"/>
    </xf>
    <xf numFmtId="10" fontId="11" fillId="0" borderId="0" xfId="8" applyNumberFormat="1" applyFont="1" applyFill="1" applyBorder="1" applyAlignment="1">
      <alignment horizontal="center" vertical="center"/>
    </xf>
    <xf numFmtId="0" fontId="7" fillId="18" borderId="0" xfId="0" applyFont="1" applyFill="1" applyAlignment="1">
      <alignment vertical="center"/>
    </xf>
    <xf numFmtId="2" fontId="7" fillId="18" borderId="0" xfId="0" applyNumberFormat="1" applyFont="1" applyFill="1" applyAlignment="1">
      <alignment horizontal="center" vertical="center"/>
    </xf>
    <xf numFmtId="0" fontId="4" fillId="7" borderId="19" xfId="0" applyFont="1" applyFill="1" applyBorder="1" applyAlignment="1">
      <alignment horizontal="center" vertical="center"/>
    </xf>
    <xf numFmtId="0" fontId="7" fillId="7" borderId="0" xfId="0" applyFont="1" applyFill="1" applyAlignment="1">
      <alignment vertical="center"/>
    </xf>
    <xf numFmtId="0" fontId="7" fillId="7" borderId="0" xfId="0" applyFont="1" applyFill="1" applyAlignment="1">
      <alignment horizontal="center" vertical="center"/>
    </xf>
    <xf numFmtId="166" fontId="7" fillId="7" borderId="0" xfId="0" applyNumberFormat="1" applyFont="1" applyFill="1" applyAlignment="1">
      <alignment horizontal="center" vertical="center"/>
    </xf>
    <xf numFmtId="166" fontId="17" fillId="5" borderId="0" xfId="0" applyNumberFormat="1" applyFont="1" applyFill="1" applyAlignment="1">
      <alignment horizontal="center" vertical="center"/>
    </xf>
    <xf numFmtId="0" fontId="4" fillId="18" borderId="0" xfId="0" applyFont="1" applyFill="1" applyAlignment="1">
      <alignment vertical="center"/>
    </xf>
    <xf numFmtId="2" fontId="4" fillId="18" borderId="0" xfId="0" applyNumberFormat="1" applyFont="1" applyFill="1" applyAlignment="1">
      <alignment horizontal="center" vertical="center"/>
    </xf>
    <xf numFmtId="2" fontId="3" fillId="7" borderId="0" xfId="0" applyNumberFormat="1" applyFont="1" applyFill="1" applyAlignment="1">
      <alignment horizontal="center" vertical="center"/>
    </xf>
    <xf numFmtId="0" fontId="37" fillId="0" borderId="0" xfId="0" applyFont="1" applyAlignment="1">
      <alignment vertical="center"/>
    </xf>
    <xf numFmtId="0" fontId="38" fillId="0" borderId="0" xfId="0" applyFont="1" applyAlignment="1">
      <alignment vertical="center"/>
    </xf>
    <xf numFmtId="0" fontId="7" fillId="0" borderId="19" xfId="0" applyFont="1" applyBorder="1" applyAlignment="1">
      <alignment horizontal="center" vertical="center"/>
    </xf>
    <xf numFmtId="0" fontId="39" fillId="2" borderId="0" xfId="0" applyFont="1" applyFill="1" applyAlignment="1">
      <alignment vertical="center"/>
    </xf>
    <xf numFmtId="2" fontId="39" fillId="2" borderId="0" xfId="0" applyNumberFormat="1" applyFont="1" applyFill="1" applyAlignment="1">
      <alignment horizontal="center" vertical="center"/>
    </xf>
    <xf numFmtId="9" fontId="0" fillId="0" borderId="0" xfId="0" applyNumberFormat="1" applyAlignment="1">
      <alignment horizontal="center" vertical="center"/>
    </xf>
    <xf numFmtId="0" fontId="3" fillId="0" borderId="19" xfId="0" applyFont="1" applyBorder="1" applyAlignment="1">
      <alignment vertical="center"/>
    </xf>
    <xf numFmtId="2" fontId="3" fillId="0" borderId="19" xfId="0" applyNumberFormat="1" applyFont="1" applyBorder="1" applyAlignment="1">
      <alignment horizontal="center" vertical="center"/>
    </xf>
    <xf numFmtId="0" fontId="17" fillId="14" borderId="0" xfId="0" applyFont="1" applyFill="1" applyAlignment="1">
      <alignment horizontal="center" vertical="center"/>
    </xf>
    <xf numFmtId="9" fontId="40" fillId="0" borderId="19" xfId="0" applyNumberFormat="1" applyFont="1" applyBorder="1" applyAlignment="1">
      <alignment horizontal="center" vertical="center"/>
    </xf>
    <xf numFmtId="10" fontId="7" fillId="0" borderId="19" xfId="0" applyNumberFormat="1" applyFont="1" applyBorder="1" applyAlignment="1">
      <alignment horizontal="center" vertical="center"/>
    </xf>
    <xf numFmtId="10" fontId="4" fillId="0" borderId="0" xfId="0" applyNumberFormat="1" applyFont="1" applyAlignment="1">
      <alignment vertical="center"/>
    </xf>
    <xf numFmtId="2" fontId="7" fillId="3" borderId="0" xfId="0" applyNumberFormat="1" applyFont="1" applyFill="1" applyAlignment="1">
      <alignment horizontal="center" vertical="center"/>
    </xf>
    <xf numFmtId="0" fontId="41" fillId="0" borderId="0" xfId="0" applyFont="1" applyAlignment="1">
      <alignment vertical="center"/>
    </xf>
    <xf numFmtId="0" fontId="3" fillId="7" borderId="19" xfId="0" applyFont="1" applyFill="1" applyBorder="1" applyAlignment="1">
      <alignment vertical="center"/>
    </xf>
    <xf numFmtId="2" fontId="2" fillId="2" borderId="0" xfId="0" applyNumberFormat="1" applyFont="1" applyFill="1" applyAlignment="1">
      <alignment horizontal="center" vertical="center"/>
    </xf>
    <xf numFmtId="4" fontId="0" fillId="0" borderId="0" xfId="0" applyNumberFormat="1" applyAlignment="1">
      <alignment horizontal="center" vertical="center"/>
    </xf>
    <xf numFmtId="0" fontId="42" fillId="0" borderId="19" xfId="0" applyFont="1" applyBorder="1" applyAlignment="1">
      <alignment vertical="center"/>
    </xf>
    <xf numFmtId="2" fontId="42" fillId="0" borderId="19" xfId="0" applyNumberFormat="1" applyFont="1" applyBorder="1" applyAlignment="1">
      <alignment horizontal="center" vertical="center"/>
    </xf>
    <xf numFmtId="2" fontId="3" fillId="7" borderId="19" xfId="0" applyNumberFormat="1" applyFont="1" applyFill="1" applyBorder="1" applyAlignment="1">
      <alignment horizontal="center" vertical="center"/>
    </xf>
    <xf numFmtId="0" fontId="17" fillId="4" borderId="0" xfId="0" applyFont="1" applyFill="1" applyAlignment="1">
      <alignment vertical="center"/>
    </xf>
    <xf numFmtId="2" fontId="0" fillId="0" borderId="0" xfId="0" applyNumberFormat="1" applyAlignment="1">
      <alignment vertical="center"/>
    </xf>
    <xf numFmtId="2" fontId="43" fillId="0" borderId="0" xfId="0" applyNumberFormat="1" applyFont="1" applyAlignment="1">
      <alignment horizontal="center" vertical="center"/>
    </xf>
    <xf numFmtId="0" fontId="3" fillId="7" borderId="11" xfId="0" applyFont="1" applyFill="1" applyBorder="1" applyAlignment="1">
      <alignment vertical="center"/>
    </xf>
    <xf numFmtId="10" fontId="3" fillId="7" borderId="13" xfId="2" applyNumberFormat="1" applyFont="1" applyFill="1" applyBorder="1" applyAlignment="1">
      <alignment horizontal="center" vertical="center"/>
    </xf>
    <xf numFmtId="0" fontId="3" fillId="7" borderId="16" xfId="0" applyFont="1" applyFill="1" applyBorder="1" applyAlignment="1">
      <alignment vertical="center"/>
    </xf>
    <xf numFmtId="10" fontId="3" fillId="7" borderId="18" xfId="0" applyNumberFormat="1" applyFont="1" applyFill="1" applyBorder="1" applyAlignment="1">
      <alignment vertical="center"/>
    </xf>
    <xf numFmtId="2" fontId="3" fillId="0" borderId="0" xfId="0" applyNumberFormat="1" applyFont="1" applyAlignment="1">
      <alignment horizontal="center" vertical="center"/>
    </xf>
    <xf numFmtId="2" fontId="43" fillId="0" borderId="19" xfId="0" applyNumberFormat="1" applyFont="1" applyBorder="1" applyAlignment="1">
      <alignment horizontal="center" vertical="center"/>
    </xf>
    <xf numFmtId="0" fontId="4" fillId="19" borderId="0" xfId="0" applyFont="1" applyFill="1" applyAlignment="1">
      <alignment vertical="center"/>
    </xf>
    <xf numFmtId="2" fontId="4" fillId="19" borderId="0" xfId="0" applyNumberFormat="1" applyFont="1" applyFill="1" applyAlignment="1">
      <alignment horizontal="center" vertical="center"/>
    </xf>
    <xf numFmtId="170" fontId="10" fillId="2" borderId="0" xfId="0" applyNumberFormat="1" applyFont="1" applyFill="1" applyAlignment="1">
      <alignment vertical="center"/>
    </xf>
    <xf numFmtId="10" fontId="10" fillId="2" borderId="0" xfId="0" applyNumberFormat="1" applyFont="1" applyFill="1" applyAlignment="1">
      <alignment vertical="center"/>
    </xf>
    <xf numFmtId="0" fontId="46" fillId="4" borderId="0" xfId="0" applyFont="1" applyFill="1" applyAlignment="1">
      <alignment vertical="center"/>
    </xf>
    <xf numFmtId="171" fontId="10" fillId="2" borderId="0" xfId="0" applyNumberFormat="1" applyFont="1" applyFill="1" applyAlignment="1">
      <alignment vertical="center"/>
    </xf>
    <xf numFmtId="10" fontId="7" fillId="0" borderId="0" xfId="4" applyNumberFormat="1" applyFont="1" applyAlignment="1">
      <alignment horizontal="center" vertical="center"/>
    </xf>
    <xf numFmtId="0" fontId="7" fillId="0" borderId="0" xfId="0" applyFont="1" applyAlignment="1">
      <alignment vertical="center" wrapText="1"/>
    </xf>
    <xf numFmtId="10" fontId="10" fillId="2" borderId="19" xfId="4" applyNumberFormat="1" applyFont="1" applyFill="1" applyBorder="1" applyAlignment="1">
      <alignment horizontal="center" vertical="center"/>
    </xf>
    <xf numFmtId="9" fontId="4" fillId="0" borderId="0" xfId="0" applyNumberFormat="1" applyFont="1" applyAlignment="1">
      <alignment vertical="center"/>
    </xf>
    <xf numFmtId="10" fontId="10" fillId="2" borderId="0" xfId="0" applyNumberFormat="1" applyFont="1" applyFill="1" applyAlignment="1">
      <alignment horizontal="center" vertical="center"/>
    </xf>
    <xf numFmtId="0" fontId="3" fillId="0" borderId="2" xfId="0" applyFont="1" applyBorder="1" applyAlignment="1">
      <alignment horizontal="center" vertical="center"/>
    </xf>
    <xf numFmtId="9" fontId="0" fillId="0" borderId="0" xfId="0" applyNumberFormat="1" applyAlignment="1">
      <alignment vertical="center"/>
    </xf>
    <xf numFmtId="9" fontId="2" fillId="20" borderId="0" xfId="0" applyNumberFormat="1" applyFont="1" applyFill="1" applyAlignment="1">
      <alignment vertical="center"/>
    </xf>
    <xf numFmtId="172" fontId="0" fillId="0" borderId="0" xfId="0" applyNumberFormat="1"/>
    <xf numFmtId="4" fontId="24" fillId="21" borderId="10" xfId="5" applyFont="1" applyFill="1" applyBorder="1" applyAlignment="1">
      <alignment horizontal="center" vertical="center"/>
    </xf>
    <xf numFmtId="4" fontId="24" fillId="21" borderId="10" xfId="5" applyFont="1" applyFill="1" applyBorder="1" applyAlignment="1">
      <alignment horizontal="left" vertical="center" wrapText="1"/>
    </xf>
    <xf numFmtId="0" fontId="0" fillId="0" borderId="0" xfId="0" applyAlignment="1">
      <alignment wrapText="1"/>
    </xf>
    <xf numFmtId="9" fontId="4" fillId="0" borderId="0" xfId="2" applyFont="1" applyAlignment="1">
      <alignment vertical="center"/>
    </xf>
    <xf numFmtId="0" fontId="4" fillId="0" borderId="0" xfId="3" applyFont="1" applyAlignment="1">
      <alignment horizontal="center" vertical="center"/>
    </xf>
    <xf numFmtId="173" fontId="48" fillId="0" borderId="0" xfId="0" applyNumberFormat="1" applyFont="1" applyAlignment="1">
      <alignment horizontal="center" vertical="center"/>
    </xf>
    <xf numFmtId="0" fontId="2" fillId="2" borderId="0" xfId="0" applyFont="1" applyFill="1" applyAlignment="1">
      <alignment horizontal="left" vertical="center"/>
    </xf>
    <xf numFmtId="0" fontId="2" fillId="2" borderId="19" xfId="0" applyFont="1" applyFill="1" applyBorder="1" applyAlignment="1">
      <alignment vertical="center"/>
    </xf>
    <xf numFmtId="2" fontId="2" fillId="2" borderId="19" xfId="0" applyNumberFormat="1" applyFont="1" applyFill="1" applyBorder="1" applyAlignment="1">
      <alignment horizontal="center" vertical="center"/>
    </xf>
    <xf numFmtId="173" fontId="48" fillId="0" borderId="19" xfId="0" applyNumberFormat="1" applyFont="1" applyBorder="1" applyAlignment="1">
      <alignment horizontal="center" vertical="center"/>
    </xf>
    <xf numFmtId="0" fontId="0" fillId="0" borderId="19" xfId="0" applyBorder="1" applyAlignment="1">
      <alignment vertical="center"/>
    </xf>
    <xf numFmtId="2" fontId="0" fillId="0" borderId="19" xfId="0" applyNumberFormat="1" applyBorder="1" applyAlignment="1">
      <alignment horizontal="center" vertical="center"/>
    </xf>
    <xf numFmtId="2" fontId="0" fillId="0" borderId="19" xfId="0" applyNumberFormat="1" applyBorder="1" applyAlignment="1">
      <alignment vertical="center"/>
    </xf>
    <xf numFmtId="4" fontId="47" fillId="8" borderId="0" xfId="5" applyFont="1" applyFill="1" applyAlignment="1">
      <alignment horizontal="center" vertical="center"/>
    </xf>
    <xf numFmtId="0" fontId="49" fillId="0" borderId="0" xfId="9"/>
    <xf numFmtId="174" fontId="10" fillId="2" borderId="0" xfId="0" applyNumberFormat="1" applyFont="1" applyFill="1" applyAlignment="1">
      <alignment vertical="center"/>
    </xf>
    <xf numFmtId="170" fontId="10" fillId="2" borderId="0" xfId="0" applyNumberFormat="1" applyFont="1" applyFill="1" applyAlignment="1">
      <alignment horizontal="center" vertical="center"/>
    </xf>
    <xf numFmtId="0" fontId="0" fillId="0" borderId="0" xfId="0" applyAlignment="1">
      <alignment horizontal="center"/>
    </xf>
    <xf numFmtId="0" fontId="0" fillId="0" borderId="0" xfId="0" applyAlignment="1">
      <alignment horizontal="left" vertical="center"/>
    </xf>
    <xf numFmtId="2" fontId="4" fillId="0" borderId="0" xfId="0" applyNumberFormat="1" applyFont="1" applyAlignment="1">
      <alignment vertical="center"/>
    </xf>
    <xf numFmtId="4" fontId="25" fillId="10" borderId="10" xfId="5" applyFont="1" applyFill="1" applyBorder="1" applyAlignment="1">
      <alignment vertical="center"/>
    </xf>
    <xf numFmtId="175" fontId="25" fillId="9" borderId="25" xfId="6" applyNumberFormat="1" applyFont="1" applyFill="1" applyBorder="1" applyAlignment="1">
      <alignment vertical="center"/>
    </xf>
    <xf numFmtId="43" fontId="4" fillId="0" borderId="0" xfId="1" applyFont="1" applyAlignment="1">
      <alignment vertical="center"/>
    </xf>
    <xf numFmtId="10" fontId="4" fillId="0" borderId="0" xfId="4" applyNumberFormat="1" applyFont="1" applyFill="1" applyAlignment="1">
      <alignment horizontal="center" vertical="center"/>
    </xf>
    <xf numFmtId="169" fontId="0" fillId="0" borderId="0" xfId="1" applyNumberFormat="1" applyFont="1" applyAlignment="1">
      <alignment horizontal="center" vertical="center"/>
    </xf>
    <xf numFmtId="169" fontId="0" fillId="0" borderId="0" xfId="0" applyNumberFormat="1" applyAlignment="1">
      <alignment horizontal="center" vertical="center"/>
    </xf>
    <xf numFmtId="0" fontId="51" fillId="9" borderId="0" xfId="10" applyFont="1" applyFill="1" applyAlignment="1">
      <alignment vertical="center"/>
    </xf>
    <xf numFmtId="0" fontId="51" fillId="9" borderId="0" xfId="10" applyFont="1" applyFill="1" applyAlignment="1">
      <alignment horizontal="center" vertical="center"/>
    </xf>
    <xf numFmtId="164" fontId="51" fillId="9" borderId="0" xfId="6" applyFont="1" applyFill="1" applyAlignment="1">
      <alignment vertical="center"/>
    </xf>
    <xf numFmtId="164" fontId="51" fillId="9" borderId="0" xfId="6" applyFont="1" applyFill="1" applyAlignment="1">
      <alignment horizontal="center" vertical="center"/>
    </xf>
    <xf numFmtId="0" fontId="53" fillId="9" borderId="10" xfId="10" applyFont="1" applyFill="1" applyBorder="1" applyAlignment="1">
      <alignment horizontal="center" vertical="center" wrapText="1"/>
    </xf>
    <xf numFmtId="164" fontId="52" fillId="9" borderId="10" xfId="6" applyFont="1" applyFill="1" applyBorder="1" applyAlignment="1">
      <alignment horizontal="center" vertical="center"/>
    </xf>
    <xf numFmtId="164" fontId="52" fillId="9" borderId="0" xfId="6" applyFont="1" applyFill="1" applyAlignment="1">
      <alignment horizontal="center" vertical="center"/>
    </xf>
    <xf numFmtId="0" fontId="52" fillId="9" borderId="10" xfId="10" applyFont="1" applyFill="1" applyBorder="1" applyAlignment="1">
      <alignment horizontal="center" vertical="center"/>
    </xf>
    <xf numFmtId="164" fontId="52" fillId="9" borderId="23" xfId="6" applyFont="1" applyFill="1" applyBorder="1" applyAlignment="1">
      <alignment horizontal="center" vertical="center"/>
    </xf>
    <xf numFmtId="0" fontId="51" fillId="9" borderId="10" xfId="10" applyFont="1" applyFill="1" applyBorder="1" applyAlignment="1">
      <alignment horizontal="center" vertical="center"/>
    </xf>
    <xf numFmtId="0" fontId="51" fillId="9" borderId="10" xfId="10" applyFont="1" applyFill="1" applyBorder="1" applyAlignment="1">
      <alignment horizontal="left" vertical="center" wrapText="1"/>
    </xf>
    <xf numFmtId="164" fontId="51" fillId="23" borderId="10" xfId="6" applyFont="1" applyFill="1" applyBorder="1" applyAlignment="1">
      <alignment vertical="center"/>
    </xf>
    <xf numFmtId="164" fontId="51" fillId="10" borderId="10" xfId="6" applyFont="1" applyFill="1" applyBorder="1" applyAlignment="1">
      <alignment vertical="center"/>
    </xf>
    <xf numFmtId="0" fontId="54" fillId="9" borderId="10" xfId="10" applyFont="1" applyFill="1" applyBorder="1"/>
    <xf numFmtId="176" fontId="54" fillId="9" borderId="10" xfId="7" applyNumberFormat="1" applyFont="1" applyFill="1" applyBorder="1" applyAlignment="1">
      <alignment horizontal="center" vertical="center"/>
    </xf>
    <xf numFmtId="9" fontId="54" fillId="9" borderId="10" xfId="7" applyFont="1" applyFill="1" applyBorder="1" applyAlignment="1">
      <alignment horizontal="center" vertical="center"/>
    </xf>
    <xf numFmtId="164" fontId="55" fillId="23" borderId="10" xfId="6" applyFont="1" applyFill="1" applyBorder="1" applyAlignment="1">
      <alignment vertical="center"/>
    </xf>
    <xf numFmtId="0" fontId="51" fillId="9" borderId="10" xfId="10" applyFont="1" applyFill="1" applyBorder="1" applyAlignment="1">
      <alignment horizontal="left" vertical="center"/>
    </xf>
    <xf numFmtId="164" fontId="1" fillId="23" borderId="10" xfId="6" applyFont="1" applyFill="1" applyBorder="1" applyAlignment="1">
      <alignment vertical="center"/>
    </xf>
    <xf numFmtId="0" fontId="51" fillId="9" borderId="22" xfId="10" applyFont="1" applyFill="1" applyBorder="1" applyAlignment="1">
      <alignment horizontal="center" vertical="center"/>
    </xf>
    <xf numFmtId="0" fontId="51" fillId="9" borderId="19" xfId="10" applyFont="1" applyFill="1" applyBorder="1" applyAlignment="1">
      <alignment horizontal="left" vertical="center" wrapText="1"/>
    </xf>
    <xf numFmtId="0" fontId="51" fillId="9" borderId="19" xfId="10" applyFont="1" applyFill="1" applyBorder="1" applyAlignment="1">
      <alignment horizontal="center" vertical="center"/>
    </xf>
    <xf numFmtId="164" fontId="51" fillId="9" borderId="23" xfId="6" applyFont="1" applyFill="1" applyBorder="1" applyAlignment="1">
      <alignment vertical="center"/>
    </xf>
    <xf numFmtId="0" fontId="52" fillId="9" borderId="22" xfId="10" applyFont="1" applyFill="1" applyBorder="1" applyAlignment="1">
      <alignment horizontal="center" vertical="center"/>
    </xf>
    <xf numFmtId="164" fontId="51" fillId="9" borderId="23" xfId="6" applyFont="1" applyFill="1" applyBorder="1" applyAlignment="1">
      <alignment horizontal="center" vertical="center"/>
    </xf>
    <xf numFmtId="43" fontId="52" fillId="9" borderId="0" xfId="10" applyNumberFormat="1" applyFont="1" applyFill="1" applyAlignment="1">
      <alignment vertical="center"/>
    </xf>
    <xf numFmtId="3" fontId="1" fillId="9" borderId="10" xfId="5" applyNumberFormat="1" applyFont="1" applyFill="1" applyBorder="1" applyAlignment="1">
      <alignment horizontal="center" vertical="center"/>
    </xf>
    <xf numFmtId="4" fontId="1" fillId="9" borderId="10" xfId="5" applyFont="1" applyFill="1" applyBorder="1" applyAlignment="1">
      <alignment horizontal="left" vertical="center" wrapText="1"/>
    </xf>
    <xf numFmtId="43" fontId="1" fillId="9" borderId="10" xfId="11" applyFont="1" applyFill="1" applyBorder="1" applyAlignment="1">
      <alignment vertical="center"/>
    </xf>
    <xf numFmtId="43" fontId="51" fillId="9" borderId="0" xfId="10" applyNumberFormat="1" applyFont="1" applyFill="1" applyAlignment="1">
      <alignment vertical="center"/>
    </xf>
    <xf numFmtId="4" fontId="51" fillId="9" borderId="10" xfId="5" applyFont="1" applyFill="1" applyBorder="1" applyAlignment="1">
      <alignment horizontal="left" vertical="center" wrapText="1"/>
    </xf>
    <xf numFmtId="164" fontId="1" fillId="9" borderId="10" xfId="11" applyNumberFormat="1" applyFont="1" applyFill="1" applyBorder="1" applyAlignment="1">
      <alignment vertical="center"/>
    </xf>
    <xf numFmtId="3" fontId="51" fillId="9" borderId="10" xfId="5" applyNumberFormat="1" applyFont="1" applyFill="1" applyBorder="1" applyAlignment="1">
      <alignment horizontal="center" vertical="center"/>
    </xf>
    <xf numFmtId="4" fontId="1" fillId="9" borderId="10" xfId="5" applyFont="1" applyFill="1" applyBorder="1" applyAlignment="1">
      <alignment horizontal="center" vertical="center"/>
    </xf>
    <xf numFmtId="164" fontId="51" fillId="9" borderId="10" xfId="11" applyNumberFormat="1" applyFont="1" applyFill="1" applyBorder="1" applyAlignment="1">
      <alignment vertical="center"/>
    </xf>
    <xf numFmtId="4" fontId="51" fillId="9" borderId="10" xfId="5" applyFont="1" applyFill="1" applyBorder="1" applyAlignment="1">
      <alignment horizontal="center" vertical="center"/>
    </xf>
    <xf numFmtId="43" fontId="51" fillId="9" borderId="10" xfId="11" applyFont="1" applyFill="1" applyBorder="1" applyAlignment="1">
      <alignment vertical="center"/>
    </xf>
    <xf numFmtId="4" fontId="1" fillId="9" borderId="10" xfId="5" applyFont="1" applyFill="1" applyBorder="1" applyAlignment="1">
      <alignment horizontal="left" vertical="center"/>
    </xf>
    <xf numFmtId="0" fontId="51" fillId="9" borderId="19" xfId="10" applyFont="1" applyFill="1" applyBorder="1" applyAlignment="1">
      <alignment horizontal="left" vertical="center"/>
    </xf>
    <xf numFmtId="4" fontId="1" fillId="9" borderId="10" xfId="5" applyFont="1" applyFill="1" applyBorder="1" applyAlignment="1">
      <alignment vertical="center" wrapText="1"/>
    </xf>
    <xf numFmtId="4" fontId="1" fillId="9" borderId="10" xfId="5" applyFont="1" applyFill="1" applyBorder="1"/>
    <xf numFmtId="4" fontId="1" fillId="9" borderId="10" xfId="5" applyFont="1" applyFill="1" applyBorder="1" applyAlignment="1">
      <alignment wrapText="1"/>
    </xf>
    <xf numFmtId="4" fontId="1" fillId="9" borderId="10" xfId="5" applyFont="1" applyFill="1" applyBorder="1" applyAlignment="1">
      <alignment vertical="center"/>
    </xf>
    <xf numFmtId="0" fontId="51" fillId="9" borderId="19" xfId="10" applyFont="1" applyFill="1" applyBorder="1" applyAlignment="1">
      <alignment vertical="center"/>
    </xf>
    <xf numFmtId="4" fontId="3" fillId="9" borderId="19" xfId="5" applyFont="1" applyFill="1" applyBorder="1" applyAlignment="1">
      <alignment vertical="center"/>
    </xf>
    <xf numFmtId="3" fontId="1" fillId="9" borderId="19" xfId="5" applyNumberFormat="1" applyFont="1" applyFill="1" applyBorder="1" applyAlignment="1">
      <alignment horizontal="center" vertical="center"/>
    </xf>
    <xf numFmtId="4" fontId="1" fillId="9" borderId="19" xfId="5" applyFont="1" applyFill="1" applyBorder="1" applyAlignment="1">
      <alignment horizontal="center" vertical="center"/>
    </xf>
    <xf numFmtId="164" fontId="3" fillId="9" borderId="10" xfId="6" applyFont="1" applyFill="1" applyBorder="1" applyAlignment="1">
      <alignment vertical="center"/>
    </xf>
    <xf numFmtId="164" fontId="1" fillId="9" borderId="10" xfId="6" applyFont="1" applyFill="1" applyBorder="1" applyAlignment="1">
      <alignment vertical="center"/>
    </xf>
    <xf numFmtId="0" fontId="50" fillId="9" borderId="19" xfId="10" applyFont="1" applyFill="1" applyBorder="1" applyAlignment="1">
      <alignment horizontal="left" vertical="center" wrapText="1"/>
    </xf>
    <xf numFmtId="164" fontId="3" fillId="9" borderId="23" xfId="6" applyFont="1" applyFill="1" applyBorder="1" applyAlignment="1">
      <alignment vertical="center"/>
    </xf>
    <xf numFmtId="164" fontId="1" fillId="9" borderId="10" xfId="6" applyFont="1" applyFill="1" applyBorder="1" applyAlignment="1">
      <alignment horizontal="center" vertical="center"/>
    </xf>
    <xf numFmtId="164" fontId="51" fillId="9" borderId="10" xfId="6" applyFont="1" applyFill="1" applyBorder="1" applyAlignment="1">
      <alignment vertical="center"/>
    </xf>
    <xf numFmtId="0" fontId="52" fillId="9" borderId="19" xfId="10" applyFont="1" applyFill="1" applyBorder="1" applyAlignment="1">
      <alignment horizontal="left" vertical="center"/>
    </xf>
    <xf numFmtId="0" fontId="52" fillId="9" borderId="23" xfId="10" applyFont="1" applyFill="1" applyBorder="1" applyAlignment="1">
      <alignment horizontal="center" vertical="center"/>
    </xf>
    <xf numFmtId="164" fontId="52" fillId="9" borderId="10" xfId="6" applyFont="1" applyFill="1" applyBorder="1" applyAlignment="1">
      <alignment vertical="center"/>
    </xf>
    <xf numFmtId="0" fontId="51" fillId="9" borderId="24" xfId="10" applyFont="1" applyFill="1" applyBorder="1" applyAlignment="1">
      <alignment horizontal="center" vertical="center"/>
    </xf>
    <xf numFmtId="0" fontId="2" fillId="2" borderId="0" xfId="10" applyFont="1" applyFill="1" applyAlignment="1">
      <alignment vertical="center"/>
    </xf>
    <xf numFmtId="0" fontId="2" fillId="2" borderId="0" xfId="10" applyFont="1" applyFill="1" applyAlignment="1">
      <alignment horizontal="center" vertical="center"/>
    </xf>
    <xf numFmtId="0" fontId="52" fillId="7" borderId="10" xfId="10" applyFont="1" applyFill="1" applyBorder="1" applyAlignment="1">
      <alignment horizontal="center" vertical="center"/>
    </xf>
    <xf numFmtId="0" fontId="2" fillId="2" borderId="10" xfId="10" applyFont="1" applyFill="1" applyBorder="1" applyAlignment="1">
      <alignment horizontal="center" vertical="center" wrapText="1"/>
    </xf>
    <xf numFmtId="164" fontId="2" fillId="2" borderId="10" xfId="6" applyFont="1" applyFill="1" applyBorder="1" applyAlignment="1">
      <alignment horizontal="center" vertical="center"/>
    </xf>
    <xf numFmtId="0" fontId="52" fillId="7" borderId="22" xfId="10" applyFont="1" applyFill="1" applyBorder="1" applyAlignment="1">
      <alignment vertical="center"/>
    </xf>
    <xf numFmtId="0" fontId="52" fillId="7" borderId="19" xfId="10" applyFont="1" applyFill="1" applyBorder="1" applyAlignment="1">
      <alignment vertical="center"/>
    </xf>
    <xf numFmtId="0" fontId="52" fillId="7" borderId="23" xfId="10" applyFont="1" applyFill="1" applyBorder="1" applyAlignment="1">
      <alignment vertical="center"/>
    </xf>
    <xf numFmtId="169" fontId="0" fillId="0" borderId="0" xfId="1" applyNumberFormat="1" applyFont="1"/>
    <xf numFmtId="10" fontId="0" fillId="0" borderId="0" xfId="0" applyNumberFormat="1"/>
    <xf numFmtId="169" fontId="0" fillId="0" borderId="0" xfId="0" applyNumberFormat="1"/>
    <xf numFmtId="43" fontId="2" fillId="2" borderId="0" xfId="10" applyNumberFormat="1" applyFont="1" applyFill="1" applyAlignment="1">
      <alignment horizontal="center" vertical="center"/>
    </xf>
    <xf numFmtId="0" fontId="52" fillId="7" borderId="23" xfId="10" applyFont="1" applyFill="1" applyBorder="1" applyAlignment="1">
      <alignment horizontal="right" vertical="center"/>
    </xf>
    <xf numFmtId="3" fontId="1" fillId="9" borderId="0" xfId="5" applyNumberFormat="1" applyFont="1" applyFill="1" applyAlignment="1">
      <alignment horizontal="center" vertical="center"/>
    </xf>
    <xf numFmtId="4" fontId="1" fillId="9" borderId="0" xfId="5" applyFont="1" applyFill="1" applyAlignment="1">
      <alignment vertical="center"/>
    </xf>
    <xf numFmtId="4" fontId="1" fillId="9" borderId="0" xfId="5" applyFont="1" applyFill="1" applyAlignment="1">
      <alignment horizontal="center" vertical="center"/>
    </xf>
    <xf numFmtId="4" fontId="2" fillId="2" borderId="0" xfId="10" applyNumberFormat="1" applyFont="1" applyFill="1" applyAlignment="1">
      <alignment horizontal="center" vertical="center"/>
    </xf>
    <xf numFmtId="164" fontId="2" fillId="2" borderId="0" xfId="10" applyNumberFormat="1" applyFont="1" applyFill="1" applyAlignment="1">
      <alignment vertical="center"/>
    </xf>
    <xf numFmtId="177" fontId="1" fillId="9" borderId="0" xfId="5" applyNumberFormat="1" applyFont="1" applyFill="1" applyAlignment="1">
      <alignment horizontal="center" vertical="center"/>
    </xf>
    <xf numFmtId="0" fontId="10" fillId="2" borderId="19" xfId="3" applyFont="1" applyFill="1" applyBorder="1" applyAlignment="1">
      <alignment horizontal="left" vertical="center"/>
    </xf>
    <xf numFmtId="2" fontId="10" fillId="2" borderId="19" xfId="3" applyNumberFormat="1" applyFont="1" applyFill="1" applyBorder="1" applyAlignment="1">
      <alignment horizontal="center" vertical="center"/>
    </xf>
    <xf numFmtId="0" fontId="0" fillId="0" borderId="10" xfId="0" applyBorder="1"/>
    <xf numFmtId="0" fontId="0" fillId="0" borderId="10" xfId="0" applyBorder="1" applyAlignment="1">
      <alignment horizontal="center"/>
    </xf>
    <xf numFmtId="0" fontId="3" fillId="0" borderId="10" xfId="0" applyFont="1" applyBorder="1"/>
    <xf numFmtId="1" fontId="3" fillId="0" borderId="10" xfId="0" applyNumberFormat="1" applyFont="1" applyBorder="1" applyAlignment="1">
      <alignment horizontal="center"/>
    </xf>
    <xf numFmtId="1" fontId="0" fillId="0" borderId="10" xfId="0" applyNumberFormat="1" applyBorder="1"/>
    <xf numFmtId="0" fontId="0" fillId="0" borderId="10" xfId="0" applyBorder="1" applyAlignment="1">
      <alignment horizontal="left"/>
    </xf>
    <xf numFmtId="0" fontId="3" fillId="0" borderId="10" xfId="0" applyFont="1" applyBorder="1" applyAlignment="1">
      <alignment horizontal="center"/>
    </xf>
    <xf numFmtId="0" fontId="0" fillId="0" borderId="10" xfId="0" applyBorder="1" applyAlignment="1">
      <alignment horizontal="left" wrapText="1"/>
    </xf>
    <xf numFmtId="1" fontId="0" fillId="0" borderId="10" xfId="0" applyNumberFormat="1" applyBorder="1" applyAlignment="1">
      <alignment horizontal="center"/>
    </xf>
    <xf numFmtId="0" fontId="2" fillId="2" borderId="10" xfId="0" applyFont="1" applyFill="1" applyBorder="1"/>
    <xf numFmtId="0" fontId="2" fillId="2" borderId="10" xfId="0" applyFont="1" applyFill="1" applyBorder="1" applyAlignment="1">
      <alignment horizontal="center"/>
    </xf>
    <xf numFmtId="3" fontId="57" fillId="9" borderId="0" xfId="5" applyNumberFormat="1" applyFont="1" applyFill="1" applyAlignment="1">
      <alignment horizontal="left" vertical="center"/>
    </xf>
    <xf numFmtId="0" fontId="51" fillId="0" borderId="10" xfId="10" applyFont="1" applyBorder="1" applyAlignment="1">
      <alignment horizontal="center" vertical="center"/>
    </xf>
    <xf numFmtId="164" fontId="51" fillId="0" borderId="10" xfId="6" applyFont="1" applyFill="1" applyBorder="1" applyAlignment="1">
      <alignment horizontal="center" vertical="center"/>
    </xf>
    <xf numFmtId="43" fontId="51" fillId="0" borderId="10" xfId="10" applyNumberFormat="1" applyFont="1" applyBorder="1" applyAlignment="1">
      <alignment vertical="center"/>
    </xf>
    <xf numFmtId="4" fontId="1" fillId="0" borderId="10" xfId="5" applyFont="1" applyBorder="1" applyAlignment="1">
      <alignment horizontal="left" vertical="center" wrapText="1"/>
    </xf>
    <xf numFmtId="3" fontId="1" fillId="0" borderId="10" xfId="5" applyNumberFormat="1" applyFont="1" applyBorder="1" applyAlignment="1">
      <alignment horizontal="center" vertical="center"/>
    </xf>
    <xf numFmtId="4" fontId="1" fillId="0" borderId="10" xfId="5" applyFont="1" applyBorder="1" applyAlignment="1">
      <alignment horizontal="center" vertical="center"/>
    </xf>
    <xf numFmtId="164" fontId="51" fillId="0" borderId="10" xfId="6" applyFont="1" applyFill="1" applyBorder="1" applyAlignment="1">
      <alignment vertical="center"/>
    </xf>
    <xf numFmtId="4" fontId="1" fillId="0" borderId="10" xfId="5" applyFont="1" applyBorder="1"/>
    <xf numFmtId="4" fontId="1" fillId="0" borderId="10" xfId="5" applyFont="1" applyBorder="1" applyAlignment="1">
      <alignment wrapText="1"/>
    </xf>
    <xf numFmtId="4" fontId="1" fillId="0" borderId="10" xfId="5" applyFont="1" applyBorder="1" applyAlignment="1">
      <alignment vertical="center"/>
    </xf>
    <xf numFmtId="3" fontId="1" fillId="6" borderId="10" xfId="5" applyNumberFormat="1" applyFont="1" applyFill="1" applyBorder="1" applyAlignment="1">
      <alignment horizontal="center" vertical="center"/>
    </xf>
    <xf numFmtId="0" fontId="51" fillId="6" borderId="10" xfId="10" applyFont="1" applyFill="1" applyBorder="1" applyAlignment="1">
      <alignment horizontal="left" vertical="center"/>
    </xf>
    <xf numFmtId="0" fontId="51" fillId="6" borderId="10" xfId="10" applyFont="1" applyFill="1" applyBorder="1" applyAlignment="1">
      <alignment horizontal="center" vertical="center"/>
    </xf>
    <xf numFmtId="2" fontId="51" fillId="6" borderId="10" xfId="10" applyNumberFormat="1" applyFont="1" applyFill="1" applyBorder="1" applyAlignment="1">
      <alignment horizontal="center" vertical="center"/>
    </xf>
    <xf numFmtId="164" fontId="1" fillId="6" borderId="10" xfId="6" applyFont="1" applyFill="1" applyBorder="1" applyAlignment="1">
      <alignment horizontal="center" vertical="center"/>
    </xf>
    <xf numFmtId="164" fontId="51" fillId="6" borderId="10" xfId="6" applyFont="1" applyFill="1" applyBorder="1" applyAlignment="1">
      <alignment horizontal="center" vertical="center"/>
    </xf>
    <xf numFmtId="43" fontId="51" fillId="6" borderId="10" xfId="10" applyNumberFormat="1" applyFont="1" applyFill="1" applyBorder="1" applyAlignment="1">
      <alignment vertical="center"/>
    </xf>
    <xf numFmtId="4" fontId="1" fillId="6" borderId="10" xfId="5" applyFont="1" applyFill="1" applyBorder="1" applyAlignment="1">
      <alignment vertical="center" wrapText="1"/>
    </xf>
    <xf numFmtId="4" fontId="1" fillId="6" borderId="10" xfId="5" applyFont="1" applyFill="1" applyBorder="1" applyAlignment="1">
      <alignment horizontal="center" vertical="center"/>
    </xf>
    <xf numFmtId="164" fontId="51" fillId="6" borderId="10" xfId="6" applyFont="1" applyFill="1" applyBorder="1" applyAlignment="1">
      <alignment vertical="center"/>
    </xf>
    <xf numFmtId="4" fontId="1" fillId="6" borderId="10" xfId="5" applyFont="1" applyFill="1" applyBorder="1" applyAlignment="1">
      <alignment horizontal="left" vertical="center" wrapText="1"/>
    </xf>
    <xf numFmtId="4" fontId="1" fillId="6" borderId="10" xfId="5" applyFont="1" applyFill="1" applyBorder="1" applyAlignment="1">
      <alignment wrapText="1"/>
    </xf>
    <xf numFmtId="4" fontId="1" fillId="0" borderId="10" xfId="5" applyFont="1" applyBorder="1" applyAlignment="1">
      <alignment horizontal="left" wrapText="1"/>
    </xf>
    <xf numFmtId="43" fontId="51" fillId="6" borderId="10" xfId="10" applyNumberFormat="1" applyFont="1" applyFill="1" applyBorder="1" applyAlignment="1">
      <alignment horizontal="center" vertical="center"/>
    </xf>
    <xf numFmtId="0" fontId="51" fillId="6" borderId="10" xfId="10" applyFont="1" applyFill="1" applyBorder="1" applyAlignment="1">
      <alignment horizontal="left" vertical="center" wrapText="1"/>
    </xf>
    <xf numFmtId="0" fontId="54" fillId="6" borderId="10" xfId="10" applyFont="1" applyFill="1" applyBorder="1"/>
    <xf numFmtId="176" fontId="54" fillId="6" borderId="10" xfId="7" applyNumberFormat="1" applyFont="1" applyFill="1" applyBorder="1" applyAlignment="1">
      <alignment horizontal="center" vertical="center"/>
    </xf>
    <xf numFmtId="9" fontId="54" fillId="6" borderId="10" xfId="7" applyFont="1" applyFill="1" applyBorder="1" applyAlignment="1">
      <alignment horizontal="center" vertical="center"/>
    </xf>
    <xf numFmtId="164" fontId="55" fillId="6" borderId="10" xfId="6" applyFont="1" applyFill="1" applyBorder="1" applyAlignment="1">
      <alignment horizontal="center" vertical="center"/>
    </xf>
    <xf numFmtId="0" fontId="51" fillId="6" borderId="10" xfId="10" applyFont="1" applyFill="1" applyBorder="1" applyAlignment="1">
      <alignment vertical="center" wrapText="1"/>
    </xf>
    <xf numFmtId="43" fontId="1" fillId="6" borderId="10" xfId="11" applyFont="1" applyFill="1" applyBorder="1" applyAlignment="1">
      <alignment horizontal="center" vertical="center"/>
    </xf>
    <xf numFmtId="4" fontId="51" fillId="6" borderId="10" xfId="5" applyFont="1" applyFill="1" applyBorder="1" applyAlignment="1">
      <alignment horizontal="left" vertical="center" wrapText="1"/>
    </xf>
    <xf numFmtId="164" fontId="1" fillId="6" borderId="10" xfId="11" applyNumberFormat="1" applyFont="1" applyFill="1" applyBorder="1" applyAlignment="1">
      <alignment horizontal="center" vertical="center"/>
    </xf>
    <xf numFmtId="3" fontId="51" fillId="6" borderId="10" xfId="5" applyNumberFormat="1" applyFont="1" applyFill="1" applyBorder="1" applyAlignment="1">
      <alignment horizontal="center" vertical="center"/>
    </xf>
    <xf numFmtId="164" fontId="51" fillId="6" borderId="10" xfId="11" applyNumberFormat="1" applyFont="1" applyFill="1" applyBorder="1" applyAlignment="1">
      <alignment horizontal="center" vertical="center"/>
    </xf>
    <xf numFmtId="4" fontId="51" fillId="6" borderId="10" xfId="5" applyFont="1" applyFill="1" applyBorder="1" applyAlignment="1">
      <alignment horizontal="center" vertical="center"/>
    </xf>
    <xf numFmtId="43" fontId="51" fillId="6" borderId="10" xfId="11" applyFont="1" applyFill="1" applyBorder="1" applyAlignment="1">
      <alignment horizontal="center" vertical="center"/>
    </xf>
    <xf numFmtId="4" fontId="1" fillId="6" borderId="10" xfId="5" applyFont="1" applyFill="1" applyBorder="1" applyAlignment="1">
      <alignment horizontal="left" vertical="center"/>
    </xf>
    <xf numFmtId="4" fontId="50" fillId="6" borderId="10" xfId="5" applyFont="1" applyFill="1" applyBorder="1" applyAlignment="1">
      <alignment horizontal="left" vertical="center" wrapText="1"/>
    </xf>
    <xf numFmtId="4" fontId="50" fillId="6" borderId="10" xfId="5" applyFont="1" applyFill="1" applyBorder="1" applyAlignment="1">
      <alignment vertical="center" wrapText="1"/>
    </xf>
    <xf numFmtId="4" fontId="51" fillId="6" borderId="10" xfId="5" applyFont="1" applyFill="1" applyBorder="1" applyAlignment="1">
      <alignment vertical="center" wrapText="1"/>
    </xf>
    <xf numFmtId="2" fontId="51" fillId="9" borderId="0" xfId="10" applyNumberFormat="1" applyFont="1" applyFill="1" applyAlignment="1">
      <alignment vertical="center"/>
    </xf>
    <xf numFmtId="10" fontId="0" fillId="0" borderId="0" xfId="2" applyNumberFormat="1" applyFont="1" applyAlignment="1">
      <alignment vertical="center"/>
    </xf>
    <xf numFmtId="2" fontId="0" fillId="0" borderId="15" xfId="0" applyNumberFormat="1" applyBorder="1" applyAlignment="1">
      <alignment horizontal="center" vertical="center"/>
    </xf>
    <xf numFmtId="2" fontId="0" fillId="0" borderId="10" xfId="0" applyNumberFormat="1" applyBorder="1" applyAlignment="1">
      <alignment horizontal="center"/>
    </xf>
    <xf numFmtId="9" fontId="0" fillId="0" borderId="0" xfId="2" applyFont="1"/>
    <xf numFmtId="1" fontId="3" fillId="0" borderId="6" xfId="0" applyNumberFormat="1" applyFont="1" applyBorder="1" applyAlignment="1">
      <alignment horizontal="center" vertical="center"/>
    </xf>
    <xf numFmtId="0" fontId="7" fillId="3" borderId="19" xfId="0" applyFont="1" applyFill="1" applyBorder="1" applyAlignment="1">
      <alignment horizontal="left" vertical="center"/>
    </xf>
    <xf numFmtId="0" fontId="7" fillId="0" borderId="19" xfId="0" applyFont="1" applyBorder="1" applyAlignment="1">
      <alignment horizontal="left" vertical="center"/>
    </xf>
    <xf numFmtId="1" fontId="40" fillId="0" borderId="19" xfId="0" applyNumberFormat="1" applyFont="1" applyBorder="1" applyAlignment="1">
      <alignment horizontal="center" vertical="center"/>
    </xf>
    <xf numFmtId="0" fontId="40" fillId="0" borderId="19" xfId="0" applyFont="1" applyBorder="1" applyAlignment="1">
      <alignment horizontal="center" vertical="center"/>
    </xf>
    <xf numFmtId="43" fontId="50" fillId="9" borderId="0" xfId="10" applyNumberFormat="1" applyFont="1" applyFill="1" applyAlignment="1">
      <alignment vertical="center"/>
    </xf>
    <xf numFmtId="0" fontId="20" fillId="0" borderId="0" xfId="0" applyFont="1" applyAlignment="1">
      <alignmen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3" fontId="20" fillId="0" borderId="0" xfId="0" applyNumberFormat="1" applyFont="1" applyAlignment="1">
      <alignment horizontal="center" vertical="center"/>
    </xf>
    <xf numFmtId="4" fontId="20" fillId="0" borderId="0" xfId="0" applyNumberFormat="1" applyFont="1" applyAlignment="1">
      <alignment horizontal="center" vertical="center"/>
    </xf>
    <xf numFmtId="2" fontId="20" fillId="0" borderId="0" xfId="3" applyNumberFormat="1" applyFont="1" applyAlignment="1">
      <alignment horizontal="center" vertical="center"/>
    </xf>
    <xf numFmtId="0" fontId="20" fillId="0" borderId="0" xfId="3" applyFont="1" applyAlignment="1">
      <alignment vertical="center" wrapText="1"/>
    </xf>
    <xf numFmtId="9" fontId="20" fillId="0" borderId="0" xfId="3" applyNumberFormat="1" applyFont="1" applyAlignment="1">
      <alignment horizontal="center" vertical="center"/>
    </xf>
    <xf numFmtId="0" fontId="0" fillId="0" borderId="0" xfId="0" applyAlignment="1"/>
    <xf numFmtId="43" fontId="0" fillId="0" borderId="0" xfId="1" applyFont="1"/>
    <xf numFmtId="10" fontId="0" fillId="0" borderId="0" xfId="2" applyNumberFormat="1" applyFont="1"/>
    <xf numFmtId="0" fontId="1" fillId="9" borderId="0" xfId="10" applyFont="1" applyFill="1" applyAlignment="1">
      <alignment horizontal="center" vertical="center"/>
    </xf>
    <xf numFmtId="0" fontId="1" fillId="9" borderId="0" xfId="10" applyFont="1" applyFill="1" applyAlignment="1">
      <alignment vertical="center"/>
    </xf>
    <xf numFmtId="164" fontId="1" fillId="9" borderId="0" xfId="6" applyFont="1" applyFill="1" applyAlignment="1">
      <alignment vertical="center"/>
    </xf>
    <xf numFmtId="164" fontId="1" fillId="9" borderId="0" xfId="6" applyFont="1" applyFill="1" applyAlignment="1">
      <alignment horizontal="center" vertical="center"/>
    </xf>
    <xf numFmtId="0" fontId="3" fillId="9" borderId="10" xfId="10" applyFont="1" applyFill="1" applyBorder="1" applyAlignment="1">
      <alignment horizontal="center" vertical="center"/>
    </xf>
    <xf numFmtId="0" fontId="1" fillId="9" borderId="10" xfId="10" applyFont="1" applyFill="1" applyBorder="1" applyAlignment="1">
      <alignment horizontal="center" vertical="center"/>
    </xf>
    <xf numFmtId="43" fontId="1" fillId="9" borderId="0" xfId="10" applyNumberFormat="1" applyFont="1" applyFill="1" applyAlignment="1">
      <alignment vertical="center"/>
    </xf>
    <xf numFmtId="2" fontId="1" fillId="9" borderId="0" xfId="10" applyNumberFormat="1" applyFont="1" applyFill="1" applyAlignment="1">
      <alignment vertical="center"/>
    </xf>
    <xf numFmtId="0" fontId="1" fillId="9" borderId="10" xfId="10" applyFont="1" applyFill="1" applyBorder="1" applyAlignment="1">
      <alignment vertical="center"/>
    </xf>
    <xf numFmtId="43" fontId="1" fillId="9" borderId="10" xfId="10" applyNumberFormat="1" applyFont="1" applyFill="1" applyBorder="1" applyAlignment="1">
      <alignment vertical="center"/>
    </xf>
    <xf numFmtId="0" fontId="3" fillId="9" borderId="22" xfId="10" applyFont="1" applyFill="1" applyBorder="1" applyAlignment="1">
      <alignment vertical="center"/>
    </xf>
    <xf numFmtId="0" fontId="3" fillId="9" borderId="19" xfId="10" applyFont="1" applyFill="1" applyBorder="1" applyAlignment="1">
      <alignment vertical="center"/>
    </xf>
    <xf numFmtId="0" fontId="3" fillId="9" borderId="23" xfId="10" applyFont="1" applyFill="1" applyBorder="1" applyAlignment="1">
      <alignment vertical="center"/>
    </xf>
    <xf numFmtId="43" fontId="1" fillId="9" borderId="10" xfId="10" applyNumberFormat="1" applyFont="1" applyFill="1" applyBorder="1" applyAlignment="1">
      <alignment horizontal="center" vertical="center"/>
    </xf>
    <xf numFmtId="0" fontId="3" fillId="9" borderId="0" xfId="10" applyFont="1" applyFill="1" applyAlignment="1">
      <alignment horizontal="center" vertical="center"/>
    </xf>
    <xf numFmtId="0" fontId="3" fillId="9" borderId="10" xfId="10" applyFont="1" applyFill="1" applyBorder="1" applyAlignment="1">
      <alignment vertical="center"/>
    </xf>
    <xf numFmtId="43" fontId="3" fillId="9" borderId="10" xfId="10" applyNumberFormat="1" applyFont="1" applyFill="1" applyBorder="1" applyAlignment="1">
      <alignment horizontal="center" vertical="center"/>
    </xf>
    <xf numFmtId="0" fontId="0" fillId="0" borderId="0" xfId="0" applyFont="1" applyAlignment="1">
      <alignment vertical="center"/>
    </xf>
    <xf numFmtId="0" fontId="0" fillId="0" borderId="0" xfId="0" applyFont="1" applyAlignment="1">
      <alignment horizontal="center" vertical="center"/>
    </xf>
    <xf numFmtId="0" fontId="0" fillId="9" borderId="10" xfId="10" applyFont="1" applyFill="1" applyBorder="1" applyAlignment="1">
      <alignment horizontal="left" vertical="center" wrapText="1"/>
    </xf>
    <xf numFmtId="0" fontId="0" fillId="9" borderId="10" xfId="10" applyFont="1" applyFill="1" applyBorder="1" applyAlignment="1">
      <alignment vertical="center"/>
    </xf>
    <xf numFmtId="0" fontId="1" fillId="7" borderId="10" xfId="10" applyFont="1" applyFill="1" applyBorder="1" applyAlignment="1">
      <alignment horizontal="center" vertical="center"/>
    </xf>
    <xf numFmtId="0" fontId="1" fillId="7" borderId="10" xfId="10" applyFont="1" applyFill="1" applyBorder="1" applyAlignment="1">
      <alignment vertical="center" wrapText="1"/>
    </xf>
    <xf numFmtId="164" fontId="1" fillId="7" borderId="10" xfId="6" applyFont="1" applyFill="1" applyBorder="1" applyAlignment="1">
      <alignment horizontal="center" vertical="center"/>
    </xf>
    <xf numFmtId="43" fontId="1" fillId="7" borderId="10" xfId="10" applyNumberFormat="1" applyFont="1" applyFill="1" applyBorder="1" applyAlignment="1">
      <alignment horizontal="center" vertical="center"/>
    </xf>
    <xf numFmtId="0" fontId="1" fillId="7" borderId="10" xfId="10" applyFont="1" applyFill="1" applyBorder="1" applyAlignment="1">
      <alignment horizontal="left" vertical="center" wrapText="1"/>
    </xf>
    <xf numFmtId="0" fontId="1" fillId="7" borderId="10" xfId="10" applyFont="1" applyFill="1" applyBorder="1" applyAlignment="1">
      <alignment horizontal="left" vertical="center"/>
    </xf>
    <xf numFmtId="0" fontId="1" fillId="23" borderId="10" xfId="10" applyFont="1" applyFill="1" applyBorder="1" applyAlignment="1">
      <alignment horizontal="center" vertical="center"/>
    </xf>
    <xf numFmtId="0" fontId="0" fillId="23" borderId="10" xfId="10" applyFont="1" applyFill="1" applyBorder="1" applyAlignment="1">
      <alignment horizontal="left" vertical="center" wrapText="1"/>
    </xf>
    <xf numFmtId="164" fontId="1" fillId="23" borderId="10" xfId="6" applyFont="1" applyFill="1" applyBorder="1" applyAlignment="1">
      <alignment horizontal="center" vertical="center"/>
    </xf>
    <xf numFmtId="43" fontId="1" fillId="23" borderId="10" xfId="10" applyNumberFormat="1" applyFont="1" applyFill="1" applyBorder="1" applyAlignment="1">
      <alignment horizontal="center" vertical="center"/>
    </xf>
    <xf numFmtId="0" fontId="0" fillId="7" borderId="10" xfId="10" applyFont="1" applyFill="1" applyBorder="1" applyAlignment="1">
      <alignment horizontal="left" vertical="center" wrapText="1"/>
    </xf>
    <xf numFmtId="43" fontId="1" fillId="7" borderId="10" xfId="10" applyNumberFormat="1" applyFont="1" applyFill="1" applyBorder="1" applyAlignment="1">
      <alignment vertical="center"/>
    </xf>
    <xf numFmtId="0" fontId="1" fillId="7" borderId="10" xfId="10" applyFont="1" applyFill="1" applyBorder="1"/>
    <xf numFmtId="176" fontId="1" fillId="7" borderId="10" xfId="7" applyNumberFormat="1" applyFont="1" applyFill="1" applyBorder="1" applyAlignment="1">
      <alignment horizontal="center" vertical="center"/>
    </xf>
    <xf numFmtId="9" fontId="1" fillId="7" borderId="10" xfId="7" applyFont="1" applyFill="1" applyBorder="1" applyAlignment="1">
      <alignment horizontal="center" vertical="center"/>
    </xf>
    <xf numFmtId="4" fontId="1" fillId="7" borderId="10" xfId="5" applyFont="1" applyFill="1" applyBorder="1" applyAlignment="1">
      <alignment horizontal="left" vertical="center" wrapText="1"/>
    </xf>
    <xf numFmtId="3" fontId="1" fillId="7" borderId="10" xfId="5" applyNumberFormat="1" applyFont="1" applyFill="1" applyBorder="1" applyAlignment="1">
      <alignment horizontal="center" vertical="center"/>
    </xf>
    <xf numFmtId="43" fontId="1" fillId="7" borderId="10" xfId="11" applyFont="1" applyFill="1" applyBorder="1" applyAlignment="1">
      <alignment horizontal="center" vertical="center"/>
    </xf>
    <xf numFmtId="0" fontId="59" fillId="0" borderId="0" xfId="0" applyFont="1"/>
    <xf numFmtId="0" fontId="2" fillId="2" borderId="10" xfId="10" applyFont="1" applyFill="1" applyBorder="1" applyAlignment="1">
      <alignment horizontal="center" vertical="center"/>
    </xf>
    <xf numFmtId="0" fontId="7" fillId="7" borderId="0" xfId="0" applyFont="1" applyFill="1" applyAlignment="1">
      <alignment horizontal="left" vertical="center"/>
    </xf>
    <xf numFmtId="0" fontId="2" fillId="2" borderId="10" xfId="10" applyFont="1" applyFill="1" applyBorder="1" applyAlignment="1">
      <alignment vertical="center"/>
    </xf>
    <xf numFmtId="43" fontId="2" fillId="2" borderId="10" xfId="10" applyNumberFormat="1" applyFont="1" applyFill="1" applyBorder="1" applyAlignment="1">
      <alignment horizontal="center" vertical="center"/>
    </xf>
    <xf numFmtId="43" fontId="2" fillId="2" borderId="10" xfId="10" applyNumberFormat="1" applyFont="1" applyFill="1" applyBorder="1" applyAlignment="1">
      <alignment vertical="center"/>
    </xf>
    <xf numFmtId="164" fontId="1" fillId="7" borderId="10" xfId="11" applyNumberFormat="1" applyFont="1" applyFill="1" applyBorder="1" applyAlignment="1">
      <alignment horizontal="center" vertical="center"/>
    </xf>
    <xf numFmtId="4" fontId="1" fillId="7" borderId="10" xfId="5" applyFont="1" applyFill="1" applyBorder="1" applyAlignment="1">
      <alignment horizontal="center" vertical="center"/>
    </xf>
    <xf numFmtId="4" fontId="1" fillId="7" borderId="10" xfId="5" applyFont="1" applyFill="1" applyBorder="1" applyAlignment="1">
      <alignment horizontal="left" vertical="center"/>
    </xf>
    <xf numFmtId="0" fontId="3" fillId="7" borderId="10" xfId="10" applyFont="1" applyFill="1" applyBorder="1" applyAlignment="1">
      <alignment horizontal="center" vertical="center"/>
    </xf>
    <xf numFmtId="0" fontId="3" fillId="7" borderId="10" xfId="10" applyFont="1" applyFill="1" applyBorder="1" applyAlignment="1">
      <alignment vertical="center"/>
    </xf>
    <xf numFmtId="43" fontId="3" fillId="7" borderId="10" xfId="10" applyNumberFormat="1" applyFont="1" applyFill="1" applyBorder="1" applyAlignment="1">
      <alignment horizontal="center" vertical="center"/>
    </xf>
    <xf numFmtId="0" fontId="0" fillId="7" borderId="10" xfId="10" applyFont="1" applyFill="1" applyBorder="1" applyAlignment="1">
      <alignment vertical="center"/>
    </xf>
    <xf numFmtId="0" fontId="1" fillId="7" borderId="10" xfId="10" applyFont="1" applyFill="1" applyBorder="1" applyAlignment="1">
      <alignment vertical="center"/>
    </xf>
    <xf numFmtId="0" fontId="2" fillId="2" borderId="22" xfId="10" applyFont="1" applyFill="1" applyBorder="1" applyAlignment="1">
      <alignment vertical="center"/>
    </xf>
    <xf numFmtId="0" fontId="2" fillId="2" borderId="19" xfId="10" applyFont="1" applyFill="1" applyBorder="1" applyAlignment="1">
      <alignment vertical="center"/>
    </xf>
    <xf numFmtId="0" fontId="2" fillId="2" borderId="23" xfId="10" applyFont="1" applyFill="1" applyBorder="1" applyAlignment="1">
      <alignment horizontal="right" vertical="center"/>
    </xf>
    <xf numFmtId="164" fontId="2" fillId="2" borderId="10" xfId="6" applyFont="1" applyFill="1" applyBorder="1" applyAlignment="1">
      <alignment horizontal="center" vertical="center" wrapText="1"/>
    </xf>
    <xf numFmtId="164" fontId="1" fillId="7" borderId="10" xfId="6" applyFont="1" applyFill="1" applyBorder="1" applyAlignment="1">
      <alignment vertical="center"/>
    </xf>
    <xf numFmtId="4" fontId="0" fillId="7" borderId="10" xfId="5" applyFont="1" applyFill="1" applyBorder="1" applyAlignment="1">
      <alignment horizontal="left" vertical="center" wrapText="1"/>
    </xf>
    <xf numFmtId="4" fontId="1" fillId="7" borderId="10" xfId="5" applyFont="1" applyFill="1" applyBorder="1" applyAlignment="1">
      <alignment vertical="center" wrapText="1"/>
    </xf>
    <xf numFmtId="4" fontId="1" fillId="7" borderId="10" xfId="5" applyFont="1" applyFill="1" applyBorder="1" applyAlignment="1">
      <alignment horizontal="left" wrapText="1"/>
    </xf>
    <xf numFmtId="4" fontId="1" fillId="7" borderId="10" xfId="5" applyFont="1" applyFill="1" applyBorder="1" applyAlignment="1">
      <alignment wrapText="1"/>
    </xf>
    <xf numFmtId="4" fontId="50" fillId="7" borderId="10" xfId="5" applyFont="1" applyFill="1" applyBorder="1"/>
    <xf numFmtId="4" fontId="1" fillId="7" borderId="10" xfId="5" applyFont="1" applyFill="1" applyBorder="1" applyAlignment="1">
      <alignment vertical="center"/>
    </xf>
    <xf numFmtId="4" fontId="1" fillId="7" borderId="10" xfId="5" applyFont="1" applyFill="1" applyBorder="1"/>
    <xf numFmtId="0" fontId="0" fillId="7" borderId="10" xfId="10" applyFont="1" applyFill="1" applyBorder="1" applyAlignment="1">
      <alignment horizontal="left" vertical="center"/>
    </xf>
    <xf numFmtId="2" fontId="1" fillId="7" borderId="10" xfId="10" applyNumberFormat="1" applyFont="1" applyFill="1" applyBorder="1" applyAlignment="1">
      <alignment horizontal="center" vertical="center"/>
    </xf>
    <xf numFmtId="0" fontId="49" fillId="0" borderId="0" xfId="9" applyAlignment="1">
      <alignment vertical="center"/>
    </xf>
    <xf numFmtId="0" fontId="2" fillId="2" borderId="10" xfId="10" applyFont="1" applyFill="1" applyBorder="1" applyAlignment="1">
      <alignment horizontal="center" vertical="center"/>
    </xf>
    <xf numFmtId="0" fontId="1" fillId="24" borderId="10" xfId="10" applyFont="1" applyFill="1" applyBorder="1" applyAlignment="1">
      <alignment horizontal="center" vertical="center"/>
    </xf>
    <xf numFmtId="0" fontId="1" fillId="18" borderId="10" xfId="10" applyFont="1" applyFill="1" applyBorder="1" applyAlignment="1">
      <alignment horizontal="center" vertical="center"/>
    </xf>
    <xf numFmtId="0" fontId="3" fillId="7" borderId="22" xfId="10" applyFont="1" applyFill="1" applyBorder="1" applyAlignment="1">
      <alignment vertical="center"/>
    </xf>
    <xf numFmtId="0" fontId="1" fillId="25" borderId="10" xfId="10" applyFont="1" applyFill="1" applyBorder="1" applyAlignment="1">
      <alignment horizontal="center" vertical="center"/>
    </xf>
    <xf numFmtId="0" fontId="1" fillId="25" borderId="10" xfId="10" applyFont="1" applyFill="1" applyBorder="1" applyAlignment="1">
      <alignment vertical="center" wrapText="1"/>
    </xf>
    <xf numFmtId="0" fontId="0" fillId="25" borderId="10" xfId="10" applyFont="1" applyFill="1" applyBorder="1" applyAlignment="1">
      <alignment horizontal="left" vertical="center" wrapText="1"/>
    </xf>
    <xf numFmtId="0" fontId="1" fillId="25" borderId="10" xfId="10" applyFont="1" applyFill="1" applyBorder="1" applyAlignment="1">
      <alignment horizontal="left" vertical="center" wrapText="1"/>
    </xf>
    <xf numFmtId="0" fontId="1" fillId="25" borderId="10" xfId="10" applyFont="1" applyFill="1" applyBorder="1" applyAlignment="1">
      <alignment horizontal="left" vertical="center"/>
    </xf>
    <xf numFmtId="0" fontId="50" fillId="24" borderId="10" xfId="10" applyFont="1" applyFill="1" applyBorder="1" applyAlignment="1">
      <alignment horizontal="left" vertical="center" wrapText="1"/>
    </xf>
    <xf numFmtId="4" fontId="1" fillId="25" borderId="10" xfId="5" applyFont="1" applyFill="1" applyBorder="1" applyAlignment="1">
      <alignment horizontal="left" vertical="center" wrapText="1"/>
    </xf>
    <xf numFmtId="3" fontId="1" fillId="25" borderId="10" xfId="5" applyNumberFormat="1" applyFont="1" applyFill="1" applyBorder="1" applyAlignment="1">
      <alignment horizontal="center" vertical="center"/>
    </xf>
    <xf numFmtId="4" fontId="0" fillId="18" borderId="10" xfId="5" applyFont="1" applyFill="1" applyBorder="1" applyAlignment="1">
      <alignment horizontal="left" vertical="center" wrapText="1"/>
    </xf>
    <xf numFmtId="4" fontId="50" fillId="25" borderId="10" xfId="5" applyFont="1" applyFill="1" applyBorder="1" applyAlignment="1">
      <alignment horizontal="left" vertical="center" wrapText="1"/>
    </xf>
    <xf numFmtId="4" fontId="50" fillId="18" borderId="10" xfId="5" applyFont="1" applyFill="1" applyBorder="1" applyAlignment="1">
      <alignment horizontal="left" vertical="center" wrapText="1"/>
    </xf>
    <xf numFmtId="4" fontId="0" fillId="25" borderId="10" xfId="5" applyFont="1" applyFill="1" applyBorder="1" applyAlignment="1">
      <alignment horizontal="left" vertical="center" wrapText="1"/>
    </xf>
    <xf numFmtId="4" fontId="1" fillId="25" borderId="10" xfId="5" applyFont="1" applyFill="1" applyBorder="1" applyAlignment="1">
      <alignment horizontal="left" vertical="center"/>
    </xf>
    <xf numFmtId="4" fontId="1" fillId="25" borderId="10" xfId="5" applyFont="1" applyFill="1" applyBorder="1" applyAlignment="1">
      <alignment vertical="center" wrapText="1"/>
    </xf>
    <xf numFmtId="4" fontId="1" fillId="25" borderId="10" xfId="5" applyFont="1" applyFill="1" applyBorder="1" applyAlignment="1">
      <alignment vertical="center"/>
    </xf>
    <xf numFmtId="0" fontId="3" fillId="7" borderId="0" xfId="10" applyFont="1" applyFill="1" applyAlignment="1">
      <alignment horizontal="center" vertical="center"/>
    </xf>
    <xf numFmtId="0" fontId="1" fillId="25" borderId="10" xfId="10" applyFont="1" applyFill="1" applyBorder="1" applyAlignment="1">
      <alignment vertical="center"/>
    </xf>
    <xf numFmtId="4" fontId="50" fillId="25" borderId="10" xfId="5" applyFont="1" applyFill="1" applyBorder="1" applyAlignment="1">
      <alignment vertical="center"/>
    </xf>
    <xf numFmtId="4" fontId="0" fillId="25" borderId="10" xfId="5" applyFont="1" applyFill="1" applyBorder="1" applyAlignment="1">
      <alignment vertical="center"/>
    </xf>
    <xf numFmtId="0" fontId="1" fillId="9" borderId="0" xfId="10" applyFont="1" applyFill="1" applyAlignment="1">
      <alignment horizontal="right" vertical="center"/>
    </xf>
    <xf numFmtId="164" fontId="1" fillId="9" borderId="0" xfId="6" applyFont="1" applyFill="1" applyAlignment="1">
      <alignment horizontal="right" vertical="center"/>
    </xf>
    <xf numFmtId="0" fontId="2" fillId="2" borderId="10" xfId="10" applyFont="1" applyFill="1" applyBorder="1" applyAlignment="1">
      <alignment horizontal="right" vertical="center" wrapText="1"/>
    </xf>
    <xf numFmtId="164" fontId="2" fillId="2" borderId="10" xfId="6" applyFont="1" applyFill="1" applyBorder="1" applyAlignment="1">
      <alignment horizontal="right" vertical="center"/>
    </xf>
    <xf numFmtId="164" fontId="2" fillId="2" borderId="10" xfId="6" applyFont="1" applyFill="1" applyBorder="1" applyAlignment="1">
      <alignment horizontal="right" vertical="center" wrapText="1"/>
    </xf>
    <xf numFmtId="0" fontId="3" fillId="7" borderId="19" xfId="10" applyFont="1" applyFill="1" applyBorder="1" applyAlignment="1">
      <alignment horizontal="right" vertical="center"/>
    </xf>
    <xf numFmtId="0" fontId="3" fillId="7" borderId="23" xfId="10" applyFont="1" applyFill="1" applyBorder="1" applyAlignment="1">
      <alignment horizontal="right" vertical="center"/>
    </xf>
    <xf numFmtId="0" fontId="1" fillId="25" borderId="10" xfId="10" applyFont="1" applyFill="1" applyBorder="1" applyAlignment="1">
      <alignment horizontal="right" vertical="center"/>
    </xf>
    <xf numFmtId="164" fontId="1" fillId="25" borderId="10" xfId="6" applyFont="1" applyFill="1" applyBorder="1" applyAlignment="1">
      <alignment horizontal="right" vertical="center"/>
    </xf>
    <xf numFmtId="43" fontId="1" fillId="25" borderId="10" xfId="10" applyNumberFormat="1" applyFont="1" applyFill="1" applyBorder="1" applyAlignment="1">
      <alignment horizontal="right" vertical="center"/>
    </xf>
    <xf numFmtId="0" fontId="1" fillId="24" borderId="10" xfId="10" applyFont="1" applyFill="1" applyBorder="1" applyAlignment="1">
      <alignment horizontal="right" vertical="center"/>
    </xf>
    <xf numFmtId="164" fontId="1" fillId="24" borderId="10" xfId="6" applyFont="1" applyFill="1" applyBorder="1" applyAlignment="1">
      <alignment horizontal="right" vertical="center"/>
    </xf>
    <xf numFmtId="43" fontId="1" fillId="24" borderId="10" xfId="10" applyNumberFormat="1" applyFont="1" applyFill="1" applyBorder="1" applyAlignment="1">
      <alignment horizontal="right" vertical="center"/>
    </xf>
    <xf numFmtId="0" fontId="50" fillId="24" borderId="10" xfId="10" applyFont="1" applyFill="1" applyBorder="1" applyAlignment="1">
      <alignment horizontal="right" vertical="center"/>
    </xf>
    <xf numFmtId="164" fontId="50" fillId="24" borderId="10" xfId="6" applyFont="1" applyFill="1" applyBorder="1" applyAlignment="1">
      <alignment horizontal="right" vertical="center"/>
    </xf>
    <xf numFmtId="43" fontId="50" fillId="24" borderId="10" xfId="10" applyNumberFormat="1" applyFont="1" applyFill="1" applyBorder="1" applyAlignment="1">
      <alignment horizontal="right" vertical="center"/>
    </xf>
    <xf numFmtId="0" fontId="2" fillId="2" borderId="10" xfId="10" applyFont="1" applyFill="1" applyBorder="1" applyAlignment="1">
      <alignment horizontal="right" vertical="center"/>
    </xf>
    <xf numFmtId="43" fontId="2" fillId="2" borderId="10" xfId="10" applyNumberFormat="1" applyFont="1" applyFill="1" applyBorder="1" applyAlignment="1">
      <alignment horizontal="right" vertical="center"/>
    </xf>
    <xf numFmtId="0" fontId="2" fillId="2" borderId="19" xfId="10" applyFont="1" applyFill="1" applyBorder="1" applyAlignment="1">
      <alignment horizontal="right" vertical="center"/>
    </xf>
    <xf numFmtId="176" fontId="1" fillId="25" borderId="10" xfId="7" applyNumberFormat="1" applyFont="1" applyFill="1" applyBorder="1" applyAlignment="1">
      <alignment horizontal="right" vertical="center"/>
    </xf>
    <xf numFmtId="9" fontId="1" fillId="25" borderId="10" xfId="7" applyFont="1" applyFill="1" applyBorder="1" applyAlignment="1">
      <alignment horizontal="right" vertical="center"/>
    </xf>
    <xf numFmtId="3" fontId="1" fillId="25" borderId="10" xfId="5" applyNumberFormat="1" applyFont="1" applyFill="1" applyBorder="1" applyAlignment="1">
      <alignment horizontal="right" vertical="center"/>
    </xf>
    <xf numFmtId="43" fontId="1" fillId="25" borderId="10" xfId="11" applyFont="1" applyFill="1" applyBorder="1" applyAlignment="1">
      <alignment horizontal="right" vertical="center"/>
    </xf>
    <xf numFmtId="3" fontId="1" fillId="18" borderId="10" xfId="5" applyNumberFormat="1" applyFont="1" applyFill="1" applyBorder="1" applyAlignment="1">
      <alignment horizontal="right" vertical="center"/>
    </xf>
    <xf numFmtId="43" fontId="1" fillId="18" borderId="10" xfId="11" applyFont="1" applyFill="1" applyBorder="1" applyAlignment="1">
      <alignment horizontal="right" vertical="center"/>
    </xf>
    <xf numFmtId="164" fontId="1" fillId="18" borderId="10" xfId="6" applyFont="1" applyFill="1" applyBorder="1" applyAlignment="1">
      <alignment horizontal="right" vertical="center"/>
    </xf>
    <xf numFmtId="43" fontId="1" fillId="18" borderId="10" xfId="10" applyNumberFormat="1" applyFont="1" applyFill="1" applyBorder="1" applyAlignment="1">
      <alignment horizontal="right" vertical="center"/>
    </xf>
    <xf numFmtId="164" fontId="1" fillId="25" borderId="10" xfId="11" applyNumberFormat="1" applyFont="1" applyFill="1" applyBorder="1" applyAlignment="1">
      <alignment horizontal="right" vertical="center"/>
    </xf>
    <xf numFmtId="4" fontId="1" fillId="18" borderId="10" xfId="5" applyFont="1" applyFill="1" applyBorder="1" applyAlignment="1">
      <alignment horizontal="right" vertical="center"/>
    </xf>
    <xf numFmtId="4" fontId="1" fillId="25" borderId="10" xfId="5" applyFont="1" applyFill="1" applyBorder="1" applyAlignment="1">
      <alignment horizontal="right" vertical="center"/>
    </xf>
    <xf numFmtId="0" fontId="3" fillId="7" borderId="10" xfId="10" applyFont="1" applyFill="1" applyBorder="1" applyAlignment="1">
      <alignment horizontal="right" vertical="center"/>
    </xf>
    <xf numFmtId="43" fontId="3" fillId="7" borderId="10" xfId="10" applyNumberFormat="1" applyFont="1" applyFill="1" applyBorder="1" applyAlignment="1">
      <alignment horizontal="right" vertical="center"/>
    </xf>
    <xf numFmtId="0" fontId="1" fillId="9" borderId="10" xfId="10" applyFont="1" applyFill="1" applyBorder="1" applyAlignment="1">
      <alignment horizontal="right" vertical="center"/>
    </xf>
    <xf numFmtId="43" fontId="1" fillId="9" borderId="10" xfId="10" applyNumberFormat="1" applyFont="1" applyFill="1" applyBorder="1" applyAlignment="1">
      <alignment horizontal="right" vertical="center"/>
    </xf>
    <xf numFmtId="3" fontId="1" fillId="9" borderId="0" xfId="5" applyNumberFormat="1" applyFont="1" applyFill="1" applyAlignment="1">
      <alignment horizontal="right" vertical="center"/>
    </xf>
    <xf numFmtId="4" fontId="1" fillId="9" borderId="0" xfId="5" applyFont="1" applyFill="1" applyAlignment="1">
      <alignment horizontal="right" vertical="center"/>
    </xf>
    <xf numFmtId="164" fontId="2" fillId="2" borderId="10" xfId="10" applyNumberFormat="1" applyFont="1" applyFill="1" applyBorder="1" applyAlignment="1">
      <alignment horizontal="right" vertical="center"/>
    </xf>
    <xf numFmtId="0" fontId="2" fillId="2" borderId="0" xfId="10" applyFont="1" applyFill="1" applyAlignment="1">
      <alignment horizontal="right" vertical="center"/>
    </xf>
    <xf numFmtId="4" fontId="2" fillId="2" borderId="0" xfId="10" applyNumberFormat="1" applyFont="1" applyFill="1" applyAlignment="1">
      <alignment horizontal="right" vertical="center"/>
    </xf>
    <xf numFmtId="177" fontId="1" fillId="9" borderId="0" xfId="5" applyNumberFormat="1" applyFont="1" applyFill="1" applyAlignment="1">
      <alignment horizontal="right" vertical="center"/>
    </xf>
    <xf numFmtId="10" fontId="11" fillId="0" borderId="0" xfId="0" applyNumberFormat="1" applyFont="1" applyAlignment="1">
      <alignment vertical="center"/>
    </xf>
    <xf numFmtId="0" fontId="0" fillId="25" borderId="10" xfId="10" applyFont="1" applyFill="1" applyBorder="1" applyAlignment="1">
      <alignment horizontal="left" vertical="center"/>
    </xf>
    <xf numFmtId="2" fontId="1" fillId="25" borderId="10" xfId="10" applyNumberFormat="1" applyFont="1" applyFill="1" applyBorder="1" applyAlignment="1">
      <alignment horizontal="right" vertical="center"/>
    </xf>
    <xf numFmtId="0" fontId="0" fillId="0" borderId="0" xfId="0" applyAlignment="1">
      <alignment horizontal="center" wrapText="1"/>
    </xf>
    <xf numFmtId="4" fontId="0" fillId="25" borderId="10" xfId="5" applyFont="1" applyFill="1" applyBorder="1" applyAlignment="1">
      <alignment vertical="center" wrapText="1"/>
    </xf>
    <xf numFmtId="0" fontId="62" fillId="0" borderId="21" xfId="0" applyFont="1" applyBorder="1" applyAlignment="1">
      <alignment horizontal="center" vertical="center" wrapText="1"/>
    </xf>
    <xf numFmtId="0" fontId="62" fillId="0" borderId="9" xfId="0" applyFont="1" applyBorder="1" applyAlignment="1">
      <alignment horizontal="center" vertical="center" wrapText="1"/>
    </xf>
    <xf numFmtId="3" fontId="62" fillId="0" borderId="21" xfId="0" applyNumberFormat="1" applyFont="1" applyBorder="1" applyAlignment="1">
      <alignment horizontal="center" vertical="center"/>
    </xf>
    <xf numFmtId="3" fontId="62" fillId="0" borderId="9" xfId="0" applyNumberFormat="1" applyFont="1" applyBorder="1" applyAlignment="1">
      <alignment horizontal="center" vertical="center"/>
    </xf>
    <xf numFmtId="10" fontId="0" fillId="0" borderId="0" xfId="0" applyNumberFormat="1" applyAlignment="1">
      <alignment horizontal="center"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2" fontId="11" fillId="0" borderId="0" xfId="0" applyNumberFormat="1" applyFont="1" applyBorder="1" applyAlignment="1">
      <alignment horizontal="center" vertical="center"/>
    </xf>
    <xf numFmtId="10" fontId="11" fillId="0" borderId="6" xfId="0" applyNumberFormat="1" applyFont="1" applyBorder="1" applyAlignment="1">
      <alignment horizontal="center" vertical="center"/>
    </xf>
    <xf numFmtId="9" fontId="11" fillId="0" borderId="0" xfId="2" applyFont="1" applyBorder="1" applyAlignment="1">
      <alignment horizontal="center" vertical="center"/>
    </xf>
    <xf numFmtId="4" fontId="11" fillId="0" borderId="6" xfId="0" applyNumberFormat="1" applyFont="1" applyBorder="1" applyAlignment="1">
      <alignment horizontal="center" vertical="center"/>
    </xf>
    <xf numFmtId="10" fontId="11" fillId="0" borderId="0" xfId="0" applyNumberFormat="1" applyFont="1" applyBorder="1" applyAlignment="1">
      <alignment horizontal="center" vertical="center"/>
    </xf>
    <xf numFmtId="0" fontId="7" fillId="3" borderId="5" xfId="0" applyFont="1" applyFill="1" applyBorder="1" applyAlignment="1">
      <alignment horizontal="left" vertical="center"/>
    </xf>
    <xf numFmtId="0" fontId="7" fillId="3" borderId="0" xfId="0" applyFont="1" applyFill="1" applyBorder="1" applyAlignment="1">
      <alignment horizontal="left" vertical="center"/>
    </xf>
    <xf numFmtId="0" fontId="7" fillId="3" borderId="6" xfId="0" applyFont="1" applyFill="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9" fontId="11" fillId="0" borderId="8" xfId="2" applyFont="1" applyBorder="1" applyAlignment="1">
      <alignment horizontal="center" vertical="center"/>
    </xf>
    <xf numFmtId="4" fontId="11" fillId="0" borderId="9" xfId="0" applyNumberFormat="1" applyFont="1" applyBorder="1" applyAlignment="1">
      <alignment horizontal="center" vertical="center"/>
    </xf>
    <xf numFmtId="0" fontId="0" fillId="0" borderId="10" xfId="0" applyFont="1" applyFill="1" applyBorder="1" applyAlignment="1">
      <alignment vertical="center"/>
    </xf>
    <xf numFmtId="2" fontId="0" fillId="0" borderId="10" xfId="0" applyNumberFormat="1" applyFont="1" applyFill="1" applyBorder="1" applyAlignment="1">
      <alignment vertical="center"/>
    </xf>
    <xf numFmtId="0" fontId="52" fillId="7" borderId="10" xfId="0" applyFont="1" applyFill="1" applyBorder="1" applyAlignment="1">
      <alignment vertical="center"/>
    </xf>
    <xf numFmtId="2" fontId="52" fillId="7" borderId="10" xfId="0" applyNumberFormat="1" applyFont="1" applyFill="1" applyBorder="1" applyAlignment="1">
      <alignment vertical="center"/>
    </xf>
    <xf numFmtId="10" fontId="0" fillId="0" borderId="10" xfId="2" applyNumberFormat="1" applyFont="1" applyFill="1" applyBorder="1" applyAlignment="1">
      <alignment vertical="center"/>
    </xf>
    <xf numFmtId="10" fontId="0" fillId="0" borderId="10" xfId="0" applyNumberFormat="1" applyFont="1" applyFill="1" applyBorder="1" applyAlignment="1">
      <alignment vertical="center"/>
    </xf>
    <xf numFmtId="0" fontId="2" fillId="2" borderId="10" xfId="0" applyFont="1" applyFill="1" applyBorder="1" applyAlignment="1">
      <alignment vertical="center"/>
    </xf>
    <xf numFmtId="10" fontId="2" fillId="2" borderId="10" xfId="0" applyNumberFormat="1" applyFont="1" applyFill="1" applyBorder="1" applyAlignment="1">
      <alignment vertical="center"/>
    </xf>
    <xf numFmtId="10" fontId="3" fillId="7" borderId="16" xfId="2" applyNumberFormat="1" applyFont="1" applyFill="1" applyBorder="1" applyAlignment="1">
      <alignment horizontal="center"/>
    </xf>
    <xf numFmtId="179" fontId="11" fillId="0" borderId="0" xfId="1" applyNumberFormat="1" applyFont="1" applyAlignment="1">
      <alignment horizontal="center" vertical="center"/>
    </xf>
    <xf numFmtId="0" fontId="4" fillId="0" borderId="0" xfId="3" applyFont="1" applyAlignment="1">
      <alignment horizontal="left" vertical="center" wrapText="1"/>
    </xf>
    <xf numFmtId="0" fontId="56" fillId="4" borderId="0" xfId="10" applyFont="1" applyFill="1" applyAlignment="1">
      <alignment horizontal="center" vertical="center"/>
    </xf>
    <xf numFmtId="0" fontId="58" fillId="2" borderId="10" xfId="10" applyFont="1" applyFill="1" applyBorder="1" applyAlignment="1">
      <alignment horizontal="center" vertical="center" wrapText="1"/>
    </xf>
    <xf numFmtId="0" fontId="2" fillId="2" borderId="10" xfId="10" applyFont="1" applyFill="1" applyBorder="1" applyAlignment="1">
      <alignment horizontal="center" vertical="center"/>
    </xf>
    <xf numFmtId="0" fontId="52" fillId="9" borderId="10" xfId="10" applyFont="1" applyFill="1" applyBorder="1" applyAlignment="1">
      <alignment horizontal="center" vertical="center"/>
    </xf>
    <xf numFmtId="0" fontId="52" fillId="9" borderId="22" xfId="10" applyFont="1" applyFill="1" applyBorder="1" applyAlignment="1">
      <alignment horizontal="center" vertical="center"/>
    </xf>
    <xf numFmtId="0" fontId="52" fillId="9" borderId="19" xfId="10" applyFont="1" applyFill="1" applyBorder="1" applyAlignment="1">
      <alignment horizontal="center" vertical="center"/>
    </xf>
    <xf numFmtId="0" fontId="52" fillId="9" borderId="23" xfId="10" applyFont="1" applyFill="1" applyBorder="1" applyAlignment="1">
      <alignment horizontal="center" vertical="center"/>
    </xf>
    <xf numFmtId="0" fontId="52" fillId="9" borderId="22" xfId="10" applyFont="1" applyFill="1" applyBorder="1" applyAlignment="1">
      <alignment horizontal="center" vertical="center" wrapText="1"/>
    </xf>
    <xf numFmtId="0" fontId="52" fillId="9" borderId="19" xfId="10" applyFont="1" applyFill="1" applyBorder="1" applyAlignment="1">
      <alignment horizontal="center" vertical="center" wrapText="1"/>
    </xf>
    <xf numFmtId="4" fontId="25" fillId="9" borderId="22" xfId="5" applyFont="1" applyFill="1" applyBorder="1" applyAlignment="1">
      <alignment horizontal="center" vertical="center" wrapText="1"/>
    </xf>
    <xf numFmtId="4" fontId="25" fillId="9" borderId="19" xfId="5" applyFont="1" applyFill="1" applyBorder="1" applyAlignment="1">
      <alignment horizontal="center" vertical="center" wrapText="1"/>
    </xf>
    <xf numFmtId="4" fontId="23" fillId="9" borderId="22" xfId="5" applyFont="1" applyFill="1" applyBorder="1" applyAlignment="1">
      <alignment horizontal="center" vertical="center"/>
    </xf>
    <xf numFmtId="4" fontId="23" fillId="9" borderId="19" xfId="5" applyFont="1" applyFill="1" applyBorder="1" applyAlignment="1">
      <alignment horizontal="center" vertical="center"/>
    </xf>
    <xf numFmtId="4" fontId="23" fillId="9" borderId="23" xfId="5" applyFont="1" applyFill="1" applyBorder="1" applyAlignment="1">
      <alignment horizontal="center" vertical="center"/>
    </xf>
    <xf numFmtId="4" fontId="25" fillId="9" borderId="22" xfId="5" applyFont="1" applyFill="1" applyBorder="1" applyAlignment="1">
      <alignment horizontal="center" vertical="center"/>
    </xf>
    <xf numFmtId="4" fontId="25" fillId="9" borderId="19" xfId="5" applyFont="1" applyFill="1" applyBorder="1" applyAlignment="1">
      <alignment horizontal="center" vertical="center"/>
    </xf>
    <xf numFmtId="4" fontId="47" fillId="22" borderId="0" xfId="5" applyFont="1" applyFill="1" applyAlignment="1">
      <alignment horizontal="center" vertical="center" wrapText="1"/>
    </xf>
    <xf numFmtId="4" fontId="25" fillId="9" borderId="0" xfId="5" applyFont="1" applyFill="1" applyAlignment="1">
      <alignment horizontal="center" vertical="center"/>
    </xf>
    <xf numFmtId="0" fontId="14" fillId="5" borderId="0" xfId="0" applyFont="1" applyFill="1" applyAlignment="1">
      <alignment horizontal="center" vertical="center"/>
    </xf>
    <xf numFmtId="0" fontId="14" fillId="6" borderId="0" xfId="0" applyFont="1" applyFill="1" applyAlignment="1">
      <alignment horizontal="center" vertical="center"/>
    </xf>
    <xf numFmtId="10" fontId="4" fillId="0" borderId="0" xfId="4" applyNumberFormat="1" applyFont="1" applyFill="1" applyAlignment="1">
      <alignment horizontal="center" vertical="center"/>
    </xf>
    <xf numFmtId="0" fontId="17" fillId="4" borderId="0" xfId="0" applyFont="1" applyFill="1" applyAlignment="1">
      <alignment horizontal="center" vertical="center"/>
    </xf>
    <xf numFmtId="0" fontId="17" fillId="4" borderId="0" xfId="0" applyFont="1" applyFill="1" applyAlignment="1">
      <alignment vertical="center"/>
    </xf>
    <xf numFmtId="0" fontId="10" fillId="2" borderId="0" xfId="0" applyFont="1" applyFill="1" applyAlignment="1">
      <alignment horizontal="left" vertical="center" wrapText="1"/>
    </xf>
    <xf numFmtId="0" fontId="9" fillId="2" borderId="0" xfId="0" applyFont="1" applyFill="1" applyAlignment="1">
      <alignment vertical="center" wrapText="1"/>
    </xf>
    <xf numFmtId="0" fontId="7" fillId="11" borderId="0" xfId="0" applyFont="1" applyFill="1" applyAlignment="1">
      <alignment vertical="center"/>
    </xf>
    <xf numFmtId="0" fontId="4" fillId="11" borderId="0" xfId="0" applyFont="1" applyFill="1" applyAlignment="1">
      <alignment vertical="center"/>
    </xf>
    <xf numFmtId="2" fontId="10" fillId="2" borderId="0" xfId="0" applyNumberFormat="1" applyFont="1" applyFill="1" applyAlignment="1">
      <alignment horizontal="center" vertical="center"/>
    </xf>
    <xf numFmtId="0" fontId="2" fillId="2" borderId="10" xfId="0" applyFont="1" applyFill="1" applyBorder="1" applyAlignment="1">
      <alignment horizontal="center" vertical="center"/>
    </xf>
    <xf numFmtId="2" fontId="7" fillId="3" borderId="0" xfId="0" applyNumberFormat="1" applyFont="1" applyFill="1" applyAlignment="1">
      <alignment horizontal="center" vertical="center"/>
    </xf>
    <xf numFmtId="10" fontId="7" fillId="3" borderId="0" xfId="0" applyNumberFormat="1" applyFont="1" applyFill="1" applyAlignment="1">
      <alignment horizontal="center" vertical="center"/>
    </xf>
    <xf numFmtId="178" fontId="7" fillId="3" borderId="0" xfId="0" applyNumberFormat="1" applyFont="1" applyFill="1" applyAlignment="1">
      <alignment horizontal="center" vertical="center"/>
    </xf>
    <xf numFmtId="2" fontId="40" fillId="0" borderId="19" xfId="0" applyNumberFormat="1" applyFont="1" applyBorder="1" applyAlignment="1">
      <alignment horizontal="center" vertical="center"/>
    </xf>
    <xf numFmtId="0" fontId="7" fillId="7" borderId="2" xfId="0" applyFont="1" applyFill="1" applyBorder="1" applyAlignment="1">
      <alignment vertical="center"/>
    </xf>
    <xf numFmtId="0" fontId="7" fillId="7" borderId="3" xfId="0" applyFont="1" applyFill="1" applyBorder="1" applyAlignment="1">
      <alignment vertical="center"/>
    </xf>
    <xf numFmtId="0" fontId="7" fillId="7" borderId="4" xfId="0" applyFont="1" applyFill="1" applyBorder="1" applyAlignment="1">
      <alignment vertical="center"/>
    </xf>
    <xf numFmtId="0" fontId="4" fillId="0" borderId="5"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9" fontId="11" fillId="0" borderId="6" xfId="0" applyNumberFormat="1" applyFont="1" applyBorder="1" applyAlignment="1">
      <alignment horizontal="center" vertical="center"/>
    </xf>
    <xf numFmtId="0" fontId="7" fillId="0" borderId="27" xfId="0" applyFont="1" applyBorder="1" applyAlignment="1">
      <alignment vertical="center"/>
    </xf>
    <xf numFmtId="9" fontId="40" fillId="0" borderId="28" xfId="0" applyNumberFormat="1" applyFont="1" applyBorder="1" applyAlignment="1">
      <alignment horizontal="center" vertical="center"/>
    </xf>
    <xf numFmtId="0" fontId="7" fillId="0" borderId="29" xfId="0" applyFont="1" applyBorder="1" applyAlignment="1">
      <alignment vertical="center"/>
    </xf>
    <xf numFmtId="0" fontId="7" fillId="0" borderId="30" xfId="0" applyFont="1" applyBorder="1" applyAlignment="1">
      <alignment vertical="center"/>
    </xf>
    <xf numFmtId="2" fontId="40" fillId="0" borderId="30" xfId="0" applyNumberFormat="1" applyFont="1" applyBorder="1" applyAlignment="1">
      <alignment horizontal="center" vertical="center"/>
    </xf>
    <xf numFmtId="9" fontId="40" fillId="0" borderId="31" xfId="0" applyNumberFormat="1" applyFont="1" applyBorder="1" applyAlignment="1">
      <alignment horizontal="center" vertical="center"/>
    </xf>
  </cellXfs>
  <cellStyles count="12">
    <cellStyle name="Comma" xfId="1" builtinId="3"/>
    <cellStyle name="Comma 2" xfId="6"/>
    <cellStyle name="Comma 2 2" xfId="11"/>
    <cellStyle name="Hyperlink" xfId="9" builtinId="8"/>
    <cellStyle name="Normal" xfId="0" builtinId="0"/>
    <cellStyle name="Normal 2" xfId="3"/>
    <cellStyle name="Normal 2 2" xfId="5"/>
    <cellStyle name="Normal 2 3" xfId="10"/>
    <cellStyle name="Percent" xfId="2" builtinId="5"/>
    <cellStyle name="Percent 2" xfId="4"/>
    <cellStyle name="Percent 2 2" xfId="7"/>
    <cellStyle name="Percent 4" xfId="8"/>
  </cellStyles>
  <dxfs count="0"/>
  <tableStyles count="0" defaultTableStyle="TableStyleMedium2" defaultPivotStyle="PivotStyleMedium9"/>
  <colors>
    <mruColors>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1777016386465204"/>
          <c:y val="3.9564787339268048E-2"/>
        </c:manualLayout>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234033505455735"/>
          <c:y val="0.15600381770460511"/>
          <c:w val="0.8558572745974321"/>
          <c:h val="0.62996736683878918"/>
        </c:manualLayout>
      </c:layout>
      <c:barChart>
        <c:barDir val="col"/>
        <c:grouping val="clustered"/>
        <c:varyColors val="0"/>
        <c:ser>
          <c:idx val="0"/>
          <c:order val="0"/>
          <c:tx>
            <c:strRef>
              <c:f>IS!$B$62</c:f>
              <c:strCache>
                <c:ptCount val="1"/>
                <c:pt idx="0">
                  <c:v>EBITDA Margin %</c:v>
                </c:pt>
              </c:strCache>
            </c:strRef>
          </c:tx>
          <c:spPr>
            <a:solidFill>
              <a:srgbClr val="0070C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IS!$F$9:$O$9</c:f>
              <c:numCache>
                <c:formatCode>[$-409]d\-mmm\-yy;@</c:formatCode>
                <c:ptCount val="10"/>
                <c:pt idx="0">
                  <c:v>46112</c:v>
                </c:pt>
                <c:pt idx="1">
                  <c:v>46477</c:v>
                </c:pt>
                <c:pt idx="2">
                  <c:v>46843</c:v>
                </c:pt>
                <c:pt idx="3">
                  <c:v>47208</c:v>
                </c:pt>
                <c:pt idx="4">
                  <c:v>47573</c:v>
                </c:pt>
                <c:pt idx="5">
                  <c:v>47938</c:v>
                </c:pt>
                <c:pt idx="6">
                  <c:v>48304</c:v>
                </c:pt>
                <c:pt idx="7">
                  <c:v>48669</c:v>
                </c:pt>
                <c:pt idx="8">
                  <c:v>49034</c:v>
                </c:pt>
                <c:pt idx="9">
                  <c:v>49399</c:v>
                </c:pt>
              </c:numCache>
            </c:numRef>
          </c:cat>
          <c:val>
            <c:numRef>
              <c:f>IS!$F$62:$O$62</c:f>
              <c:numCache>
                <c:formatCode>0.00%</c:formatCode>
                <c:ptCount val="10"/>
                <c:pt idx="0">
                  <c:v>0.37383696165958369</c:v>
                </c:pt>
                <c:pt idx="1">
                  <c:v>0.3192905035601622</c:v>
                </c:pt>
                <c:pt idx="2">
                  <c:v>0.31622607488251436</c:v>
                </c:pt>
                <c:pt idx="3">
                  <c:v>0.3166932494735426</c:v>
                </c:pt>
                <c:pt idx="4">
                  <c:v>0.28516977948923022</c:v>
                </c:pt>
                <c:pt idx="5">
                  <c:v>0.2968712703337002</c:v>
                </c:pt>
                <c:pt idx="6">
                  <c:v>0.2957248823109882</c:v>
                </c:pt>
                <c:pt idx="7">
                  <c:v>0.29447960852947103</c:v>
                </c:pt>
                <c:pt idx="8">
                  <c:v>0.29309280945885435</c:v>
                </c:pt>
                <c:pt idx="9">
                  <c:v>0.29163880789246288</c:v>
                </c:pt>
              </c:numCache>
            </c:numRef>
          </c:val>
          <c:extLst xmlns:c16r2="http://schemas.microsoft.com/office/drawing/2015/06/chart">
            <c:ext xmlns:c16="http://schemas.microsoft.com/office/drawing/2014/chart" uri="{C3380CC4-5D6E-409C-BE32-E72D297353CC}">
              <c16:uniqueId val="{00000001-0E17-D146-BDB0-8A503EBF1F19}"/>
            </c:ext>
          </c:extLst>
        </c:ser>
        <c:dLbls>
          <c:dLblPos val="outEnd"/>
          <c:showLegendKey val="0"/>
          <c:showVal val="1"/>
          <c:showCatName val="0"/>
          <c:showSerName val="0"/>
          <c:showPercent val="0"/>
          <c:showBubbleSize val="0"/>
        </c:dLbls>
        <c:gapWidth val="200"/>
        <c:overlap val="-27"/>
        <c:axId val="355277904"/>
        <c:axId val="355278296"/>
      </c:barChart>
      <c:catAx>
        <c:axId val="355277904"/>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layout>
            <c:manualLayout>
              <c:xMode val="edge"/>
              <c:yMode val="edge"/>
              <c:x val="0.51047669716961053"/>
              <c:y val="0.9123515346931782"/>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409]mmm/yy;@" sourceLinked="0"/>
        <c:majorTickMark val="none"/>
        <c:minorTickMark val="none"/>
        <c:tickLblPos val="nextTo"/>
        <c:spPr>
          <a:noFill/>
          <a:ln w="9525" cap="flat" cmpd="sng" algn="ctr">
            <a:solidFill>
              <a:schemeClr val="tx1">
                <a:lumMod val="15000"/>
                <a:lumOff val="85000"/>
              </a:schemeClr>
            </a:solidFill>
            <a:round/>
          </a:ln>
          <a:effectLst/>
        </c:spPr>
        <c:txPr>
          <a:bodyPr rot="-9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5278296"/>
        <c:crosses val="autoZero"/>
        <c:auto val="0"/>
        <c:lblAlgn val="ctr"/>
        <c:lblOffset val="100"/>
        <c:noMultiLvlLbl val="0"/>
      </c:catAx>
      <c:valAx>
        <c:axId val="355278296"/>
        <c:scaling>
          <c:orientation val="minMax"/>
        </c:scaling>
        <c:delete val="0"/>
        <c:axPos val="l"/>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EBITDA</a:t>
                </a:r>
                <a:r>
                  <a:rPr lang="en-IN" b="1" i="1" baseline="0"/>
                  <a:t> Margin %</a:t>
                </a:r>
                <a:endParaRPr lang="en-IN" b="1" i="1"/>
              </a:p>
            </c:rich>
          </c:tx>
          <c:layout>
            <c:manualLayout>
              <c:xMode val="edge"/>
              <c:yMode val="edge"/>
              <c:x val="1.0457876741668419E-2"/>
              <c:y val="0.33485341605026653"/>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5277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36260197205079"/>
          <c:y val="4.7761194029850747E-2"/>
        </c:manualLayout>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2536395444907875"/>
          <c:y val="0.14499517347565599"/>
          <c:w val="0.85765907639923389"/>
          <c:h val="0.65459662318329603"/>
        </c:manualLayout>
      </c:layout>
      <c:barChart>
        <c:barDir val="col"/>
        <c:grouping val="clustered"/>
        <c:varyColors val="0"/>
        <c:ser>
          <c:idx val="0"/>
          <c:order val="0"/>
          <c:tx>
            <c:strRef>
              <c:f>IS!$B$64</c:f>
              <c:strCache>
                <c:ptCount val="1"/>
                <c:pt idx="0">
                  <c:v>EBIT Margin %</c:v>
                </c:pt>
              </c:strCache>
            </c:strRef>
          </c:tx>
          <c:spPr>
            <a:solidFill>
              <a:srgbClr val="0070C0"/>
            </a:solidFill>
            <a:ln>
              <a:noFill/>
            </a:ln>
            <a:effectLst/>
          </c:spPr>
          <c:invertIfNegative val="0"/>
          <c:dLbls>
            <c:spPr>
              <a:noFill/>
              <a:ln>
                <a:noFill/>
              </a:ln>
              <a:effectLst/>
            </c:spPr>
            <c:txPr>
              <a:bodyPr rot="5400000" spcFirstLastPara="1" vertOverflow="ellipsis" wrap="square" lIns="38100" tIns="19050" rIns="38100" bIns="19050" anchor="ctr" anchorCtr="0">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IS!$F$9:$O$9</c:f>
              <c:numCache>
                <c:formatCode>[$-409]d\-mmm\-yy;@</c:formatCode>
                <c:ptCount val="10"/>
                <c:pt idx="0">
                  <c:v>46112</c:v>
                </c:pt>
                <c:pt idx="1">
                  <c:v>46477</c:v>
                </c:pt>
                <c:pt idx="2">
                  <c:v>46843</c:v>
                </c:pt>
                <c:pt idx="3">
                  <c:v>47208</c:v>
                </c:pt>
                <c:pt idx="4">
                  <c:v>47573</c:v>
                </c:pt>
                <c:pt idx="5">
                  <c:v>47938</c:v>
                </c:pt>
                <c:pt idx="6">
                  <c:v>48304</c:v>
                </c:pt>
                <c:pt idx="7">
                  <c:v>48669</c:v>
                </c:pt>
                <c:pt idx="8">
                  <c:v>49034</c:v>
                </c:pt>
                <c:pt idx="9">
                  <c:v>49399</c:v>
                </c:pt>
              </c:numCache>
            </c:numRef>
          </c:cat>
          <c:val>
            <c:numRef>
              <c:f>IS!$F$64:$O$64</c:f>
              <c:numCache>
                <c:formatCode>0.00%</c:formatCode>
                <c:ptCount val="10"/>
                <c:pt idx="0">
                  <c:v>0.28944613893486737</c:v>
                </c:pt>
                <c:pt idx="1">
                  <c:v>0.23384748745876738</c:v>
                </c:pt>
                <c:pt idx="2">
                  <c:v>0.23485177383356695</c:v>
                </c:pt>
                <c:pt idx="3">
                  <c:v>0.23929000516900029</c:v>
                </c:pt>
                <c:pt idx="4">
                  <c:v>0.20767044515689934</c:v>
                </c:pt>
                <c:pt idx="5">
                  <c:v>0.22338088722216809</c:v>
                </c:pt>
                <c:pt idx="6">
                  <c:v>0.2260373809940843</c:v>
                </c:pt>
                <c:pt idx="7">
                  <c:v>0.22811055965622917</c:v>
                </c:pt>
                <c:pt idx="8">
                  <c:v>0.23042586959451353</c:v>
                </c:pt>
                <c:pt idx="9">
                  <c:v>0.23247189193611462</c:v>
                </c:pt>
              </c:numCache>
            </c:numRef>
          </c:val>
          <c:extLst xmlns:c16r2="http://schemas.microsoft.com/office/drawing/2015/06/chart">
            <c:ext xmlns:c16="http://schemas.microsoft.com/office/drawing/2014/chart" uri="{C3380CC4-5D6E-409C-BE32-E72D297353CC}">
              <c16:uniqueId val="{00000001-B964-ED4E-91D1-7FF25750393D}"/>
            </c:ext>
          </c:extLst>
        </c:ser>
        <c:dLbls>
          <c:dLblPos val="outEnd"/>
          <c:showLegendKey val="0"/>
          <c:showVal val="1"/>
          <c:showCatName val="0"/>
          <c:showSerName val="0"/>
          <c:showPercent val="0"/>
          <c:showBubbleSize val="0"/>
        </c:dLbls>
        <c:gapWidth val="207"/>
        <c:overlap val="-27"/>
        <c:axId val="355278688"/>
        <c:axId val="357413320"/>
      </c:barChart>
      <c:catAx>
        <c:axId val="355278688"/>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layout>
            <c:manualLayout>
              <c:xMode val="edge"/>
              <c:yMode val="edge"/>
              <c:x val="0.50867489536780874"/>
              <c:y val="0.90848967759627064"/>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409]mmm/yy;@" sourceLinked="0"/>
        <c:majorTickMark val="none"/>
        <c:minorTickMark val="none"/>
        <c:tickLblPos val="nextTo"/>
        <c:spPr>
          <a:noFill/>
          <a:ln w="9525" cap="flat" cmpd="sng" algn="ctr">
            <a:solidFill>
              <a:schemeClr val="tx1">
                <a:lumMod val="15000"/>
                <a:lumOff val="85000"/>
              </a:schemeClr>
            </a:solidFill>
            <a:round/>
          </a:ln>
          <a:effectLst/>
        </c:spPr>
        <c:txPr>
          <a:bodyPr rot="-12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7413320"/>
        <c:crosses val="autoZero"/>
        <c:auto val="0"/>
        <c:lblAlgn val="ctr"/>
        <c:lblOffset val="100"/>
        <c:noMultiLvlLbl val="0"/>
      </c:catAx>
      <c:valAx>
        <c:axId val="357413320"/>
        <c:scaling>
          <c:orientation val="minMax"/>
        </c:scaling>
        <c:delete val="0"/>
        <c:axPos val="l"/>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EBIT</a:t>
                </a:r>
                <a:r>
                  <a:rPr lang="en-IN" b="1" i="1" baseline="0"/>
                  <a:t> Margin %</a:t>
                </a:r>
                <a:endParaRPr lang="en-IN" b="1" i="1"/>
              </a:p>
            </c:rich>
          </c:tx>
          <c:layout>
            <c:manualLayout>
              <c:xMode val="edge"/>
              <c:yMode val="edge"/>
              <c:x val="8.8665130450926635E-3"/>
              <c:y val="0.33485360598581893"/>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52786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743382682817405"/>
          <c:y val="4.751652878833184E-2"/>
        </c:manualLayout>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2756537480773025"/>
          <c:y val="0.14240687305391175"/>
          <c:w val="0.85727334894289753"/>
          <c:h val="0.64309862225688241"/>
        </c:manualLayout>
      </c:layout>
      <c:barChart>
        <c:barDir val="col"/>
        <c:grouping val="clustered"/>
        <c:varyColors val="0"/>
        <c:ser>
          <c:idx val="0"/>
          <c:order val="0"/>
          <c:tx>
            <c:strRef>
              <c:f>IS!$B$66</c:f>
              <c:strCache>
                <c:ptCount val="1"/>
                <c:pt idx="0">
                  <c:v>PAT Margin %</c:v>
                </c:pt>
              </c:strCache>
            </c:strRef>
          </c:tx>
          <c:spPr>
            <a:solidFill>
              <a:srgbClr val="0070C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IS!$F$9:$O$9</c:f>
              <c:numCache>
                <c:formatCode>[$-409]d\-mmm\-yy;@</c:formatCode>
                <c:ptCount val="10"/>
                <c:pt idx="0">
                  <c:v>46112</c:v>
                </c:pt>
                <c:pt idx="1">
                  <c:v>46477</c:v>
                </c:pt>
                <c:pt idx="2">
                  <c:v>46843</c:v>
                </c:pt>
                <c:pt idx="3">
                  <c:v>47208</c:v>
                </c:pt>
                <c:pt idx="4">
                  <c:v>47573</c:v>
                </c:pt>
                <c:pt idx="5">
                  <c:v>47938</c:v>
                </c:pt>
                <c:pt idx="6">
                  <c:v>48304</c:v>
                </c:pt>
                <c:pt idx="7">
                  <c:v>48669</c:v>
                </c:pt>
                <c:pt idx="8">
                  <c:v>49034</c:v>
                </c:pt>
                <c:pt idx="9">
                  <c:v>49399</c:v>
                </c:pt>
              </c:numCache>
            </c:numRef>
          </c:cat>
          <c:val>
            <c:numRef>
              <c:f>IS!$F$66:$O$66</c:f>
              <c:numCache>
                <c:formatCode>0.00%</c:formatCode>
                <c:ptCount val="10"/>
                <c:pt idx="0">
                  <c:v>0.15214708867043447</c:v>
                </c:pt>
                <c:pt idx="1">
                  <c:v>0.11149411556679054</c:v>
                </c:pt>
                <c:pt idx="2">
                  <c:v>0.12513902098775734</c:v>
                </c:pt>
                <c:pt idx="3">
                  <c:v>0.14068659988485188</c:v>
                </c:pt>
                <c:pt idx="4">
                  <c:v>0.12269182695431222</c:v>
                </c:pt>
                <c:pt idx="5">
                  <c:v>0.14619453598598645</c:v>
                </c:pt>
                <c:pt idx="6">
                  <c:v>0.15794448127762392</c:v>
                </c:pt>
                <c:pt idx="7">
                  <c:v>0.16868200207643985</c:v>
                </c:pt>
                <c:pt idx="8">
                  <c:v>0.17942114486763983</c:v>
                </c:pt>
                <c:pt idx="9">
                  <c:v>0.16236500655884142</c:v>
                </c:pt>
              </c:numCache>
            </c:numRef>
          </c:val>
          <c:extLst xmlns:c16r2="http://schemas.microsoft.com/office/drawing/2015/06/chart">
            <c:ext xmlns:c16="http://schemas.microsoft.com/office/drawing/2014/chart" uri="{C3380CC4-5D6E-409C-BE32-E72D297353CC}">
              <c16:uniqueId val="{00000001-A98B-E74C-A053-304F384A578B}"/>
            </c:ext>
          </c:extLst>
        </c:ser>
        <c:dLbls>
          <c:dLblPos val="outEnd"/>
          <c:showLegendKey val="0"/>
          <c:showVal val="1"/>
          <c:showCatName val="0"/>
          <c:showSerName val="0"/>
          <c:showPercent val="0"/>
          <c:showBubbleSize val="0"/>
        </c:dLbls>
        <c:gapWidth val="205"/>
        <c:overlap val="-27"/>
        <c:axId val="413844968"/>
        <c:axId val="413841048"/>
      </c:barChart>
      <c:catAx>
        <c:axId val="413844968"/>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layout>
            <c:manualLayout>
              <c:xMode val="edge"/>
              <c:yMode val="edge"/>
              <c:x val="0.49790768078620057"/>
              <c:y val="0.90564115760039798"/>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409]mmm/yy;@" sourceLinked="0"/>
        <c:majorTickMark val="none"/>
        <c:minorTickMark val="none"/>
        <c:tickLblPos val="nextTo"/>
        <c:spPr>
          <a:noFill/>
          <a:ln w="9525" cap="flat" cmpd="sng" algn="ctr">
            <a:solidFill>
              <a:schemeClr val="tx1">
                <a:lumMod val="15000"/>
                <a:lumOff val="85000"/>
              </a:schemeClr>
            </a:solidFill>
            <a:round/>
          </a:ln>
          <a:effectLst/>
        </c:spPr>
        <c:txPr>
          <a:bodyPr rot="-102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841048"/>
        <c:crosses val="autoZero"/>
        <c:auto val="0"/>
        <c:lblAlgn val="ctr"/>
        <c:lblOffset val="100"/>
        <c:noMultiLvlLbl val="0"/>
      </c:catAx>
      <c:valAx>
        <c:axId val="413841048"/>
        <c:scaling>
          <c:orientation val="minMax"/>
        </c:scaling>
        <c:delete val="0"/>
        <c:axPos val="l"/>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PAT</a:t>
                </a:r>
                <a:r>
                  <a:rPr lang="en-IN" b="1" i="1" baseline="0"/>
                  <a:t> Margin %</a:t>
                </a:r>
                <a:endParaRPr lang="en-IN" b="1" i="1"/>
              </a:p>
            </c:rich>
          </c:tx>
          <c:layout>
            <c:manualLayout>
              <c:xMode val="edge"/>
              <c:yMode val="edge"/>
              <c:x val="1.4414414414414415E-2"/>
              <c:y val="0.33485345581802273"/>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844968"/>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5037894671450093"/>
          <c:y val="7.9219842263727774E-2"/>
        </c:manualLayout>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1609001537529702"/>
          <c:y val="0.16058765111143408"/>
          <c:w val="0.86099830716426717"/>
          <c:h val="0.72988212922642037"/>
        </c:manualLayout>
      </c:layout>
      <c:barChart>
        <c:barDir val="col"/>
        <c:grouping val="clustered"/>
        <c:varyColors val="0"/>
        <c:ser>
          <c:idx val="0"/>
          <c:order val="0"/>
          <c:tx>
            <c:strRef>
              <c:f>IS!$B$68</c:f>
              <c:strCache>
                <c:ptCount val="1"/>
                <c:pt idx="0">
                  <c:v>Revenue growth rate Y-o-Y (%)</c:v>
                </c:pt>
              </c:strCache>
            </c:strRef>
          </c:tx>
          <c:spPr>
            <a:solidFill>
              <a:srgbClr val="0070C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IS!$F$9:$O$9</c:f>
              <c:numCache>
                <c:formatCode>[$-409]d\-mmm\-yy;@</c:formatCode>
                <c:ptCount val="10"/>
                <c:pt idx="0">
                  <c:v>46112</c:v>
                </c:pt>
                <c:pt idx="1">
                  <c:v>46477</c:v>
                </c:pt>
                <c:pt idx="2">
                  <c:v>46843</c:v>
                </c:pt>
                <c:pt idx="3">
                  <c:v>47208</c:v>
                </c:pt>
                <c:pt idx="4">
                  <c:v>47573</c:v>
                </c:pt>
                <c:pt idx="5">
                  <c:v>47938</c:v>
                </c:pt>
                <c:pt idx="6">
                  <c:v>48304</c:v>
                </c:pt>
                <c:pt idx="7">
                  <c:v>48669</c:v>
                </c:pt>
                <c:pt idx="8">
                  <c:v>49034</c:v>
                </c:pt>
                <c:pt idx="9">
                  <c:v>49399</c:v>
                </c:pt>
              </c:numCache>
            </c:numRef>
          </c:cat>
          <c:val>
            <c:numRef>
              <c:f>IS!$F$68:$O$68</c:f>
              <c:numCache>
                <c:formatCode>0.00%</c:formatCode>
                <c:ptCount val="10"/>
                <c:pt idx="1">
                  <c:v>1.0192307692307692</c:v>
                </c:pt>
                <c:pt idx="2">
                  <c:v>5.0000000000000266E-2</c:v>
                </c:pt>
                <c:pt idx="3">
                  <c:v>5.1303492251319804E-2</c:v>
                </c:pt>
                <c:pt idx="4">
                  <c:v>-1.2398819759729118E-3</c:v>
                </c:pt>
                <c:pt idx="5">
                  <c:v>5.0000000000000044E-2</c:v>
                </c:pt>
                <c:pt idx="6">
                  <c:v>5.0000000000000266E-2</c:v>
                </c:pt>
                <c:pt idx="7">
                  <c:v>4.9999999999999822E-2</c:v>
                </c:pt>
                <c:pt idx="8">
                  <c:v>5.0000000000000044E-2</c:v>
                </c:pt>
                <c:pt idx="9">
                  <c:v>5.0000000000000044E-2</c:v>
                </c:pt>
              </c:numCache>
            </c:numRef>
          </c:val>
          <c:extLst xmlns:c16r2="http://schemas.microsoft.com/office/drawing/2015/06/chart">
            <c:ext xmlns:c16="http://schemas.microsoft.com/office/drawing/2014/chart" uri="{C3380CC4-5D6E-409C-BE32-E72D297353CC}">
              <c16:uniqueId val="{00000001-13CD-5048-A494-403888CE2049}"/>
            </c:ext>
          </c:extLst>
        </c:ser>
        <c:dLbls>
          <c:dLblPos val="outEnd"/>
          <c:showLegendKey val="0"/>
          <c:showVal val="1"/>
          <c:showCatName val="0"/>
          <c:showSerName val="0"/>
          <c:showPercent val="0"/>
          <c:showBubbleSize val="0"/>
        </c:dLbls>
        <c:gapWidth val="219"/>
        <c:overlap val="-27"/>
        <c:axId val="413840656"/>
        <c:axId val="413843008"/>
      </c:barChart>
      <c:catAx>
        <c:axId val="413840656"/>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layout>
            <c:manualLayout>
              <c:xMode val="edge"/>
              <c:yMode val="edge"/>
              <c:x val="0.48164783078585766"/>
              <c:y val="0.91331236846168218"/>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409]mmmm/yy;@" sourceLinked="0"/>
        <c:majorTickMark val="none"/>
        <c:minorTickMark val="none"/>
        <c:tickLblPos val="nextTo"/>
        <c:spPr>
          <a:noFill/>
          <a:ln w="9525" cap="flat" cmpd="sng" algn="ctr">
            <a:solidFill>
              <a:schemeClr val="tx1">
                <a:lumMod val="15000"/>
                <a:lumOff val="85000"/>
              </a:schemeClr>
            </a:solidFill>
            <a:round/>
          </a:ln>
          <a:effectLst/>
        </c:spPr>
        <c:txPr>
          <a:bodyPr rot="-108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843008"/>
        <c:crosses val="autoZero"/>
        <c:auto val="0"/>
        <c:lblAlgn val="ctr"/>
        <c:lblOffset val="100"/>
        <c:noMultiLvlLbl val="0"/>
      </c:catAx>
      <c:valAx>
        <c:axId val="413843008"/>
        <c:scaling>
          <c:orientation val="minMax"/>
        </c:scaling>
        <c:delete val="0"/>
        <c:axPos val="l"/>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baseline="0"/>
                  <a:t>Revenue Growth Rate %</a:t>
                </a:r>
                <a:endParaRPr lang="en-IN" b="1" i="1"/>
              </a:p>
            </c:rich>
          </c:tx>
          <c:layout>
            <c:manualLayout>
              <c:xMode val="edge"/>
              <c:yMode val="edge"/>
              <c:x val="2.0331578375188307E-2"/>
              <c:y val="0.33068678828306702"/>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8406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r>
              <a:rPr lang="en-US" sz="1100" b="1">
                <a:solidFill>
                  <a:schemeClr val="bg1"/>
                </a:solidFill>
              </a:rPr>
              <a:t>DEBT SERVICE COVERAGE RATIO</a:t>
            </a:r>
          </a:p>
        </c:rich>
      </c:tx>
      <c:layout>
        <c:manualLayout>
          <c:xMode val="edge"/>
          <c:yMode val="edge"/>
          <c:x val="0.33889624315995093"/>
          <c:y val="5.03586131846658E-2"/>
        </c:manualLayout>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340207613192215"/>
          <c:y val="0.14301199971136724"/>
          <c:w val="0.81983483263827706"/>
          <c:h val="0.6404490297438582"/>
        </c:manualLayout>
      </c:layout>
      <c:barChart>
        <c:barDir val="col"/>
        <c:grouping val="clustered"/>
        <c:varyColors val="0"/>
        <c:ser>
          <c:idx val="0"/>
          <c:order val="0"/>
          <c:tx>
            <c:strRef>
              <c:f>DSCR!$B$21</c:f>
              <c:strCache>
                <c:ptCount val="1"/>
                <c:pt idx="0">
                  <c:v>DSCR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DSCR!$F$9:$O$9</c:f>
              <c:numCache>
                <c:formatCode>[$-409]d\-mmm\-yy;@</c:formatCode>
                <c:ptCount val="10"/>
                <c:pt idx="0">
                  <c:v>46112</c:v>
                </c:pt>
                <c:pt idx="1">
                  <c:v>46477</c:v>
                </c:pt>
                <c:pt idx="2">
                  <c:v>46843</c:v>
                </c:pt>
                <c:pt idx="3">
                  <c:v>47208</c:v>
                </c:pt>
                <c:pt idx="4">
                  <c:v>47573</c:v>
                </c:pt>
                <c:pt idx="5">
                  <c:v>47938</c:v>
                </c:pt>
                <c:pt idx="6">
                  <c:v>48304</c:v>
                </c:pt>
                <c:pt idx="7">
                  <c:v>48669</c:v>
                </c:pt>
                <c:pt idx="8">
                  <c:v>49034</c:v>
                </c:pt>
                <c:pt idx="9">
                  <c:v>49399</c:v>
                </c:pt>
              </c:numCache>
            </c:numRef>
          </c:cat>
          <c:val>
            <c:numRef>
              <c:f>DSCR!$F$21:$O$21</c:f>
              <c:numCache>
                <c:formatCode>0.00</c:formatCode>
                <c:ptCount val="10"/>
                <c:pt idx="0">
                  <c:v>3.480535429719378</c:v>
                </c:pt>
                <c:pt idx="1">
                  <c:v>1.4312853146191797</c:v>
                </c:pt>
                <c:pt idx="2">
                  <c:v>1.5511304397859633</c:v>
                </c:pt>
                <c:pt idx="3">
                  <c:v>1.7051900069351988</c:v>
                </c:pt>
                <c:pt idx="4">
                  <c:v>1.6389818946493333</c:v>
                </c:pt>
                <c:pt idx="5">
                  <c:v>1.7932543632388493</c:v>
                </c:pt>
                <c:pt idx="6">
                  <c:v>1.9864221741123838</c:v>
                </c:pt>
                <c:pt idx="7">
                  <c:v>2.0872419803824975</c:v>
                </c:pt>
                <c:pt idx="8">
                  <c:v>2.1890392171041269</c:v>
                </c:pt>
                <c:pt idx="9">
                  <c:v>3.3395162908328877</c:v>
                </c:pt>
              </c:numCache>
            </c:numRef>
          </c:val>
        </c:ser>
        <c:dLbls>
          <c:dLblPos val="outEnd"/>
          <c:showLegendKey val="0"/>
          <c:showVal val="1"/>
          <c:showCatName val="0"/>
          <c:showSerName val="0"/>
          <c:showPercent val="0"/>
          <c:showBubbleSize val="0"/>
        </c:dLbls>
        <c:gapWidth val="119"/>
        <c:axId val="413843400"/>
        <c:axId val="413839872"/>
      </c:barChart>
      <c:catAx>
        <c:axId val="413843400"/>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IN" b="1"/>
                  <a:t>Financial Year Ending</a:t>
                </a:r>
              </a:p>
            </c:rich>
          </c:tx>
          <c:layout>
            <c:manualLayout>
              <c:xMode val="edge"/>
              <c:yMode val="edge"/>
              <c:x val="0.40997848895842215"/>
              <c:y val="0.9355594892240523"/>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409]mmmm/yy;@" sourceLinked="0"/>
        <c:majorTickMark val="none"/>
        <c:minorTickMark val="none"/>
        <c:tickLblPos val="low"/>
        <c:spPr>
          <a:noFill/>
          <a:ln w="9525" cap="flat" cmpd="sng" algn="ctr">
            <a:solidFill>
              <a:schemeClr val="tx1">
                <a:lumMod val="15000"/>
                <a:lumOff val="85000"/>
              </a:schemeClr>
            </a:solidFill>
            <a:round/>
          </a:ln>
          <a:effectLst/>
        </c:spPr>
        <c:txPr>
          <a:bodyPr rot="-144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839872"/>
        <c:crosses val="autoZero"/>
        <c:auto val="0"/>
        <c:lblAlgn val="ctr"/>
        <c:lblOffset val="100"/>
        <c:noMultiLvlLbl val="0"/>
      </c:catAx>
      <c:valAx>
        <c:axId val="413839872"/>
        <c:scaling>
          <c:orientation val="minMax"/>
          <c:max val="4"/>
          <c:min val="0"/>
        </c:scaling>
        <c:delete val="0"/>
        <c:axPos val="r"/>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IN" b="1"/>
                  <a:t>DSCR</a:t>
                </a:r>
              </a:p>
            </c:rich>
          </c:tx>
          <c:layout>
            <c:manualLayout>
              <c:xMode val="edge"/>
              <c:yMode val="edge"/>
              <c:x val="3.2909687601192797E-2"/>
              <c:y val="0.372837612330144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843400"/>
        <c:crosses val="max"/>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3</xdr:col>
      <xdr:colOff>114301</xdr:colOff>
      <xdr:row>18</xdr:row>
      <xdr:rowOff>95251</xdr:rowOff>
    </xdr:from>
    <xdr:to>
      <xdr:col>9</xdr:col>
      <xdr:colOff>114301</xdr:colOff>
      <xdr:row>27</xdr:row>
      <xdr:rowOff>59101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3101" y="3524251"/>
          <a:ext cx="3657600" cy="1678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123826</xdr:colOff>
      <xdr:row>70</xdr:row>
      <xdr:rowOff>200025</xdr:rowOff>
    </xdr:from>
    <xdr:to>
      <xdr:col>6</xdr:col>
      <xdr:colOff>133351</xdr:colOff>
      <xdr:row>84</xdr:row>
      <xdr:rowOff>142875</xdr:rowOff>
    </xdr:to>
    <xdr:graphicFrame macro="">
      <xdr:nvGraphicFramePr>
        <xdr:cNvPr id="2" name="Chart 1">
          <a:extLst>
            <a:ext uri="{FF2B5EF4-FFF2-40B4-BE49-F238E27FC236}">
              <a16:creationId xmlns=""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390525</xdr:colOff>
      <xdr:row>70</xdr:row>
      <xdr:rowOff>190500</xdr:rowOff>
    </xdr:from>
    <xdr:to>
      <xdr:col>14</xdr:col>
      <xdr:colOff>38101</xdr:colOff>
      <xdr:row>84</xdr:row>
      <xdr:rowOff>123825</xdr:rowOff>
    </xdr:to>
    <xdr:graphicFrame macro="">
      <xdr:nvGraphicFramePr>
        <xdr:cNvPr id="3" name="Chart 2">
          <a:extLst>
            <a:ext uri="{FF2B5EF4-FFF2-40B4-BE49-F238E27FC236}">
              <a16:creationId xmlns=""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85</xdr:row>
      <xdr:rowOff>190500</xdr:rowOff>
    </xdr:from>
    <xdr:to>
      <xdr:col>6</xdr:col>
      <xdr:colOff>152401</xdr:colOff>
      <xdr:row>99</xdr:row>
      <xdr:rowOff>57150</xdr:rowOff>
    </xdr:to>
    <xdr:graphicFrame macro="">
      <xdr:nvGraphicFramePr>
        <xdr:cNvPr id="4" name="Chart 3">
          <a:extLst>
            <a:ext uri="{FF2B5EF4-FFF2-40B4-BE49-F238E27FC236}">
              <a16:creationId xmlns=""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400050</xdr:colOff>
      <xdr:row>85</xdr:row>
      <xdr:rowOff>200025</xdr:rowOff>
    </xdr:from>
    <xdr:to>
      <xdr:col>14</xdr:col>
      <xdr:colOff>57150</xdr:colOff>
      <xdr:row>99</xdr:row>
      <xdr:rowOff>47624</xdr:rowOff>
    </xdr:to>
    <xdr:graphicFrame macro="">
      <xdr:nvGraphicFramePr>
        <xdr:cNvPr id="5" name="Chart 4">
          <a:extLst>
            <a:ext uri="{FF2B5EF4-FFF2-40B4-BE49-F238E27FC236}">
              <a16:creationId xmlns=""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19051</xdr:colOff>
      <xdr:row>24</xdr:row>
      <xdr:rowOff>38100</xdr:rowOff>
    </xdr:from>
    <xdr:to>
      <xdr:col>7</xdr:col>
      <xdr:colOff>95250</xdr:colOff>
      <xdr:row>37</xdr:row>
      <xdr:rowOff>190500</xdr:rowOff>
    </xdr:to>
    <xdr:graphicFrame macro="">
      <xdr:nvGraphicFramePr>
        <xdr:cNvPr id="2" name="Chart 1">
          <a:extLst>
            <a:ext uri="{FF2B5EF4-FFF2-40B4-BE49-F238E27FC236}">
              <a16:creationId xmlns=""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man%20Rana/Downloads/Financial%20Model%20I%20Greenfield%20Ethanol%20Project%20-%20Assigme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c\My%20Documents\Copy%20of%20Stylon%20%20Da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1"/>
      <sheetName val="Data 2"/>
      <sheetName val="Instructions"/>
      <sheetName val="Assumptions write up, SWOT"/>
      <sheetName val="Rice &amp; Maize"/>
      <sheetName val="TPC and MoF"/>
      <sheetName val="Common Assumption"/>
      <sheetName val="Total Project Cost and IDC"/>
      <sheetName val="Revenue &amp; Expenses"/>
      <sheetName val="Profit and Loss Account"/>
      <sheetName val="P &amp; L Account "/>
      <sheetName val="Balance Sheet"/>
      <sheetName val="Cash Flow Statement"/>
      <sheetName val="Ratio and Break Even Analysis"/>
      <sheetName val="Loan Schedule"/>
      <sheetName val="Depreciation Schedule"/>
      <sheetName val="Tax"/>
      <sheetName val="Working Capital"/>
      <sheetName val="DSCR &amp; Sensitivity Analysis"/>
      <sheetName val="NPV &amp; IRR, Payback Period"/>
      <sheetName val="Sensitivity &amp; Scenario Summary"/>
    </sheetNames>
    <sheetDataSet>
      <sheetData sheetId="0">
        <row r="14">
          <cell r="C14">
            <v>365</v>
          </cell>
        </row>
      </sheetData>
      <sheetData sheetId="1"/>
      <sheetData sheetId="2"/>
      <sheetData sheetId="3"/>
      <sheetData sheetId="4"/>
      <sheetData sheetId="5"/>
      <sheetData sheetId="6">
        <row r="9">
          <cell r="E9">
            <v>45535</v>
          </cell>
        </row>
        <row r="10">
          <cell r="E10">
            <v>15</v>
          </cell>
        </row>
        <row r="11">
          <cell r="E11">
            <v>45991</v>
          </cell>
        </row>
        <row r="89">
          <cell r="D89">
            <v>0.05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Co."/>
      <sheetName val="Annexures"/>
      <sheetName val="Cost Of Project 1"/>
      <sheetName val="Cost est. Ind. Build. 1"/>
      <sheetName val="Det. Of Machn. 1"/>
      <sheetName val="Fixed Assets 1"/>
      <sheetName val="Asp."/>
      <sheetName val="Proj BS"/>
      <sheetName val="P&amp;L"/>
      <sheetName val="Cash Flow"/>
      <sheetName val="Repayment of Loan "/>
      <sheetName val="W.C. Req."/>
      <sheetName val="Dep."/>
      <sheetName val="Cl. Stock"/>
      <sheetName val="Sales"/>
      <sheetName val="Qty. Detail"/>
      <sheetName val="Raw Material 1"/>
      <sheetName val="Packing Exp."/>
      <sheetName val="Man Power"/>
      <sheetName val="Power"/>
      <sheetName val="Cal. of Int."/>
      <sheetName val="I.Tax"/>
      <sheetName val="DSCR"/>
      <sheetName val="BEP"/>
      <sheetName val="Valuation"/>
      <sheetName val="Dep. W.D.V"/>
      <sheetName val="Blank"/>
      <sheetName val="TUFS"/>
      <sheetName val="OSCMA"/>
      <sheetName val="FFCMA"/>
      <sheetName val="BSCMA"/>
      <sheetName val="Sheet2"/>
      <sheetName val="CACLMMA"/>
      <sheetName val="FPCMA"/>
      <sheetName val="BECMA"/>
      <sheetName val="Sens. Anal."/>
      <sheetName val="APPLICATION"/>
      <sheetName val="Cost Est. Exp. Prog. 1"/>
      <sheetName val="Plant &amp; Machinery 1"/>
      <sheetName val="Details Of Build. 1"/>
      <sheetName val="Auxillary Mach.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A5" t="str">
            <v>TERM LOAN</v>
          </cell>
        </row>
        <row r="6">
          <cell r="A6" t="str">
            <v>Rate of Interest</v>
          </cell>
          <cell r="B6">
            <v>6.25E-2</v>
          </cell>
        </row>
        <row r="8">
          <cell r="B8" t="str">
            <v>2006-07</v>
          </cell>
          <cell r="D8" t="str">
            <v>2007-08</v>
          </cell>
          <cell r="F8" t="str">
            <v>2008-09</v>
          </cell>
        </row>
        <row r="9">
          <cell r="A9" t="str">
            <v>Particulars</v>
          </cell>
          <cell r="B9" t="str">
            <v>Qtr. Prod.</v>
          </cell>
          <cell r="C9" t="str">
            <v>Interest</v>
          </cell>
          <cell r="D9" t="str">
            <v>Qtr. Prod.</v>
          </cell>
          <cell r="E9" t="str">
            <v>Interest</v>
          </cell>
          <cell r="F9" t="str">
            <v>Qtr. Prod.</v>
          </cell>
        </row>
        <row r="11">
          <cell r="A11" t="str">
            <v>1st Quarter</v>
          </cell>
          <cell r="B11">
            <v>640.88</v>
          </cell>
          <cell r="C11">
            <v>3.3379166666666666</v>
          </cell>
          <cell r="D11">
            <v>349.88</v>
          </cell>
          <cell r="E11">
            <v>1.8222916666666666</v>
          </cell>
          <cell r="F11">
            <v>160.62999999999997</v>
          </cell>
        </row>
        <row r="12">
          <cell r="C12" t="str">
            <v xml:space="preserve"> </v>
          </cell>
          <cell r="E12" t="str">
            <v xml:space="preserve"> </v>
          </cell>
        </row>
        <row r="13">
          <cell r="A13" t="str">
            <v>2nd Quarter</v>
          </cell>
          <cell r="B13">
            <v>568.13</v>
          </cell>
          <cell r="C13">
            <v>2.9590104166666666</v>
          </cell>
          <cell r="D13">
            <v>286.11</v>
          </cell>
          <cell r="E13">
            <v>1.4901562500000001</v>
          </cell>
          <cell r="F13">
            <v>143.49999999999994</v>
          </cell>
        </row>
        <row r="14">
          <cell r="C14" t="str">
            <v xml:space="preserve"> </v>
          </cell>
          <cell r="E14" t="str">
            <v xml:space="preserve"> </v>
          </cell>
        </row>
        <row r="15">
          <cell r="A15" t="str">
            <v>3rd Quarter</v>
          </cell>
          <cell r="B15">
            <v>495.38</v>
          </cell>
          <cell r="C15">
            <v>2.5801041666666666</v>
          </cell>
          <cell r="D15">
            <v>240.72</v>
          </cell>
          <cell r="E15">
            <v>1.2537499999999999</v>
          </cell>
          <cell r="F15">
            <v>127.14999999999995</v>
          </cell>
        </row>
        <row r="16">
          <cell r="C16" t="str">
            <v xml:space="preserve"> </v>
          </cell>
          <cell r="E16" t="str">
            <v xml:space="preserve"> </v>
          </cell>
        </row>
        <row r="17">
          <cell r="A17" t="str">
            <v>4th Quarter</v>
          </cell>
          <cell r="B17">
            <v>422.63</v>
          </cell>
          <cell r="C17">
            <v>2.2011979166666666</v>
          </cell>
          <cell r="D17">
            <v>196.16999999999996</v>
          </cell>
          <cell r="E17">
            <v>1.0217187499999998</v>
          </cell>
          <cell r="F17">
            <v>110.79999999999994</v>
          </cell>
        </row>
        <row r="19">
          <cell r="A19" t="str">
            <v>Total</v>
          </cell>
          <cell r="C19">
            <v>11.078229166666667</v>
          </cell>
          <cell r="E19">
            <v>5.5879166666666666</v>
          </cell>
        </row>
        <row r="22">
          <cell r="A22" t="str">
            <v>WORKING CAPITAL LOAN</v>
          </cell>
        </row>
        <row r="23">
          <cell r="A23" t="str">
            <v>Packing Credit</v>
          </cell>
        </row>
        <row r="24">
          <cell r="A24" t="str">
            <v>Rate of Interest</v>
          </cell>
          <cell r="B24">
            <v>8.7499999999999994E-2</v>
          </cell>
        </row>
        <row r="26">
          <cell r="B26">
            <v>12</v>
          </cell>
          <cell r="C26" t="str">
            <v>Months</v>
          </cell>
        </row>
        <row r="27">
          <cell r="B27" t="str">
            <v>2006-07</v>
          </cell>
          <cell r="D27" t="str">
            <v>2007-08</v>
          </cell>
          <cell r="F27" t="str">
            <v>2008-09</v>
          </cell>
        </row>
        <row r="28">
          <cell r="A28" t="str">
            <v>Particulars</v>
          </cell>
          <cell r="B28" t="str">
            <v>Amount</v>
          </cell>
          <cell r="C28" t="str">
            <v>Interest</v>
          </cell>
          <cell r="D28" t="str">
            <v>Amount</v>
          </cell>
          <cell r="E28" t="str">
            <v>Interest</v>
          </cell>
          <cell r="F28" t="str">
            <v>Amount</v>
          </cell>
        </row>
        <row r="30">
          <cell r="B30">
            <v>100</v>
          </cell>
          <cell r="C30">
            <v>8.75</v>
          </cell>
          <cell r="D30">
            <v>100</v>
          </cell>
          <cell r="E30">
            <v>8.75</v>
          </cell>
          <cell r="F30">
            <v>100</v>
          </cell>
        </row>
        <row r="33">
          <cell r="A33" t="str">
            <v>Total</v>
          </cell>
          <cell r="B33" t="str">
            <v xml:space="preserve"> </v>
          </cell>
          <cell r="C33">
            <v>8.75</v>
          </cell>
          <cell r="D33" t="str">
            <v xml:space="preserve"> </v>
          </cell>
          <cell r="E33">
            <v>8.75</v>
          </cell>
          <cell r="F33" t="str">
            <v xml:space="preserve"> </v>
          </cell>
        </row>
        <row r="36">
          <cell r="A36" t="str">
            <v>Foreign L/C Discounting</v>
          </cell>
        </row>
        <row r="37">
          <cell r="A37" t="str">
            <v>Rate of Interest</v>
          </cell>
          <cell r="B37">
            <v>8.7499999999999994E-2</v>
          </cell>
        </row>
        <row r="39">
          <cell r="B39">
            <v>12</v>
          </cell>
          <cell r="C39" t="str">
            <v>Months</v>
          </cell>
        </row>
        <row r="40">
          <cell r="B40" t="str">
            <v>2006-07</v>
          </cell>
          <cell r="D40" t="str">
            <v>2007-08</v>
          </cell>
          <cell r="F40" t="str">
            <v>2008-09</v>
          </cell>
        </row>
        <row r="41">
          <cell r="A41" t="str">
            <v>Particulars</v>
          </cell>
          <cell r="B41" t="str">
            <v>Amount</v>
          </cell>
          <cell r="C41" t="str">
            <v>Interest</v>
          </cell>
          <cell r="D41" t="str">
            <v>Amount</v>
          </cell>
          <cell r="E41" t="str">
            <v>Interest</v>
          </cell>
          <cell r="F41" t="str">
            <v>Amount</v>
          </cell>
        </row>
        <row r="43">
          <cell r="B43">
            <v>100</v>
          </cell>
          <cell r="C43">
            <v>8.75</v>
          </cell>
          <cell r="D43">
            <v>100</v>
          </cell>
          <cell r="E43">
            <v>8.75</v>
          </cell>
          <cell r="F43">
            <v>100</v>
          </cell>
        </row>
        <row r="46">
          <cell r="A46" t="str">
            <v>Total</v>
          </cell>
          <cell r="B46" t="str">
            <v xml:space="preserve"> </v>
          </cell>
          <cell r="C46">
            <v>8.75</v>
          </cell>
          <cell r="D46" t="str">
            <v xml:space="preserve"> </v>
          </cell>
          <cell r="E46">
            <v>8.75</v>
          </cell>
          <cell r="F46" t="str">
            <v xml:space="preserve"> </v>
          </cell>
        </row>
        <row r="50">
          <cell r="A50" t="str">
            <v>Cash Credit Limit</v>
          </cell>
        </row>
        <row r="51">
          <cell r="A51" t="str">
            <v>Rate of Interest</v>
          </cell>
          <cell r="B51">
            <v>0.1125</v>
          </cell>
        </row>
        <row r="53">
          <cell r="B53">
            <v>12</v>
          </cell>
          <cell r="C53" t="str">
            <v xml:space="preserve">Months </v>
          </cell>
        </row>
        <row r="54">
          <cell r="B54" t="str">
            <v>2006-07</v>
          </cell>
          <cell r="D54" t="str">
            <v>2007-08</v>
          </cell>
          <cell r="F54" t="str">
            <v>2008-09</v>
          </cell>
        </row>
        <row r="55">
          <cell r="A55" t="str">
            <v>Particulars</v>
          </cell>
          <cell r="B55" t="str">
            <v>Amount</v>
          </cell>
          <cell r="C55" t="str">
            <v>Interest</v>
          </cell>
          <cell r="D55" t="str">
            <v>Amount</v>
          </cell>
          <cell r="E55" t="str">
            <v>Interest</v>
          </cell>
          <cell r="F55" t="str">
            <v>Amount</v>
          </cell>
        </row>
        <row r="57">
          <cell r="B57">
            <v>150</v>
          </cell>
          <cell r="C57">
            <v>13.125</v>
          </cell>
          <cell r="D57">
            <v>150</v>
          </cell>
          <cell r="E57">
            <v>13.125</v>
          </cell>
          <cell r="F57">
            <v>150</v>
          </cell>
        </row>
        <row r="60">
          <cell r="A60" t="str">
            <v>Total</v>
          </cell>
          <cell r="B60" t="str">
            <v xml:space="preserve"> </v>
          </cell>
          <cell r="C60">
            <v>13.125</v>
          </cell>
          <cell r="D60" t="str">
            <v xml:space="preserve"> </v>
          </cell>
          <cell r="E60">
            <v>13.125</v>
          </cell>
          <cell r="F60" t="str">
            <v xml:space="preserve"> </v>
          </cell>
        </row>
        <row r="62">
          <cell r="A62" t="str">
            <v>Unsecured Loans</v>
          </cell>
        </row>
        <row r="63">
          <cell r="A63" t="str">
            <v>Rate of Interest</v>
          </cell>
          <cell r="B63">
            <v>0</v>
          </cell>
        </row>
        <row r="65">
          <cell r="B65">
            <v>12</v>
          </cell>
          <cell r="C65" t="str">
            <v>Months</v>
          </cell>
        </row>
        <row r="66">
          <cell r="B66" t="str">
            <v>2006-07</v>
          </cell>
          <cell r="D66" t="str">
            <v>2007-08</v>
          </cell>
          <cell r="F66" t="str">
            <v>2008-09</v>
          </cell>
        </row>
        <row r="67">
          <cell r="A67" t="str">
            <v>Particulars</v>
          </cell>
          <cell r="B67" t="str">
            <v>Amount</v>
          </cell>
          <cell r="C67" t="str">
            <v>Interest</v>
          </cell>
          <cell r="D67" t="str">
            <v>Amount</v>
          </cell>
          <cell r="E67" t="str">
            <v>Interest</v>
          </cell>
          <cell r="F67" t="str">
            <v>Amount</v>
          </cell>
        </row>
        <row r="69">
          <cell r="B69">
            <v>300</v>
          </cell>
          <cell r="C69">
            <v>0</v>
          </cell>
          <cell r="D69">
            <v>225</v>
          </cell>
          <cell r="E69">
            <v>0</v>
          </cell>
          <cell r="F69">
            <v>150</v>
          </cell>
        </row>
        <row r="72">
          <cell r="A72" t="str">
            <v>Total</v>
          </cell>
          <cell r="B72" t="str">
            <v xml:space="preserve"> </v>
          </cell>
          <cell r="C72">
            <v>0</v>
          </cell>
          <cell r="D72" t="str">
            <v xml:space="preserve"> </v>
          </cell>
          <cell r="E72">
            <v>0</v>
          </cell>
          <cell r="F72" t="str">
            <v xml:space="preserve"> </v>
          </cell>
        </row>
        <row r="75">
          <cell r="A75" t="str">
            <v>Grand Total</v>
          </cell>
          <cell r="C75">
            <v>41.703229166666667</v>
          </cell>
          <cell r="E75">
            <v>36.212916666666665</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mailto:naman.nrc@gmail.com" TargetMode="External"/><Relationship Id="rId1" Type="http://schemas.openxmlformats.org/officeDocument/2006/relationships/hyperlink" Target="mailto:goel.sakshi1990@g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hyperlink" Target="https://cdn.cseindia.org/attachments/0.11235300_1687759489_cse---overview-and-current-status-of--cbg-in-india.pdf" TargetMode="External"/><Relationship Id="rId2" Type="http://schemas.openxmlformats.org/officeDocument/2006/relationships/hyperlink" Target="https://www.v3cars.com/haryana/cng-price-in-yamunanagar" TargetMode="External"/><Relationship Id="rId1" Type="http://schemas.openxmlformats.org/officeDocument/2006/relationships/hyperlink" Target="https://localbodydata.com/gram-panchayat-harsana-81675" TargetMode="External"/><Relationship Id="rId4"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L125"/>
  <sheetViews>
    <sheetView showGridLines="0" zoomScaleNormal="100" workbookViewId="0"/>
  </sheetViews>
  <sheetFormatPr defaultColWidth="16" defaultRowHeight="15" x14ac:dyDescent="0.25"/>
  <cols>
    <col min="1" max="1" width="3.5703125" style="489" customWidth="1"/>
    <col min="2" max="2" width="8.42578125" style="488" customWidth="1"/>
    <col min="3" max="3" width="55.140625" style="489" customWidth="1"/>
    <col min="4" max="5" width="13.5703125" style="579" customWidth="1"/>
    <col min="6" max="6" width="15.140625" style="580" customWidth="1"/>
    <col min="7" max="7" width="16" style="580" customWidth="1"/>
    <col min="8" max="8" width="28.42578125" style="579" customWidth="1"/>
    <col min="9" max="16384" width="16" style="489"/>
  </cols>
  <sheetData>
    <row r="2" spans="2:10" ht="21.75" customHeight="1" x14ac:dyDescent="0.25">
      <c r="B2" s="657" t="s">
        <v>942</v>
      </c>
      <c r="C2" s="657"/>
      <c r="D2" s="657"/>
      <c r="E2" s="657"/>
      <c r="F2" s="657"/>
      <c r="G2" s="657"/>
      <c r="H2" s="657"/>
    </row>
    <row r="3" spans="2:10" ht="8.25" customHeight="1" x14ac:dyDescent="0.25"/>
    <row r="4" spans="2:10" ht="17.25" customHeight="1" x14ac:dyDescent="0.25">
      <c r="B4" s="658" t="s">
        <v>882</v>
      </c>
      <c r="C4" s="658"/>
      <c r="D4" s="658"/>
      <c r="E4" s="658"/>
      <c r="F4" s="658"/>
      <c r="G4" s="658"/>
      <c r="H4" s="658"/>
    </row>
    <row r="5" spans="2:10" ht="16.5" customHeight="1" x14ac:dyDescent="0.25">
      <c r="B5" s="489"/>
      <c r="F5" s="579"/>
      <c r="G5" s="579"/>
    </row>
    <row r="6" spans="2:10" ht="16.5" customHeight="1" x14ac:dyDescent="0.25">
      <c r="B6" s="395" t="s">
        <v>734</v>
      </c>
      <c r="C6" s="395" t="s">
        <v>120</v>
      </c>
      <c r="D6" s="581" t="s">
        <v>839</v>
      </c>
      <c r="E6" s="581" t="s">
        <v>122</v>
      </c>
      <c r="F6" s="582" t="s">
        <v>833</v>
      </c>
      <c r="G6" s="583" t="s">
        <v>831</v>
      </c>
      <c r="H6" s="583" t="s">
        <v>832</v>
      </c>
    </row>
    <row r="7" spans="2:10" ht="18.75" customHeight="1" x14ac:dyDescent="0.25">
      <c r="B7" s="536" t="s">
        <v>774</v>
      </c>
      <c r="C7" s="559" t="s">
        <v>125</v>
      </c>
      <c r="D7" s="584"/>
      <c r="E7" s="584"/>
      <c r="F7" s="584"/>
      <c r="G7" s="584"/>
      <c r="H7" s="585"/>
    </row>
    <row r="8" spans="2:10" ht="45" x14ac:dyDescent="0.25">
      <c r="B8" s="560">
        <v>1</v>
      </c>
      <c r="C8" s="561" t="s">
        <v>127</v>
      </c>
      <c r="D8" s="586" t="s">
        <v>128</v>
      </c>
      <c r="E8" s="586" t="s">
        <v>129</v>
      </c>
      <c r="F8" s="587">
        <f>100000/100000</f>
        <v>1</v>
      </c>
      <c r="G8" s="587"/>
      <c r="H8" s="588">
        <f>F8+G8</f>
        <v>1</v>
      </c>
    </row>
    <row r="9" spans="2:10" x14ac:dyDescent="0.25">
      <c r="B9" s="560">
        <f>B8+1</f>
        <v>2</v>
      </c>
      <c r="C9" s="562" t="s">
        <v>883</v>
      </c>
      <c r="D9" s="586" t="s">
        <v>128</v>
      </c>
      <c r="E9" s="586" t="s">
        <v>129</v>
      </c>
      <c r="F9" s="587">
        <v>3</v>
      </c>
      <c r="G9" s="587"/>
      <c r="H9" s="588">
        <f>F9+G9</f>
        <v>3</v>
      </c>
    </row>
    <row r="10" spans="2:10" x14ac:dyDescent="0.25">
      <c r="B10" s="560">
        <f t="shared" ref="B10:B24" si="0">B9+1</f>
        <v>3</v>
      </c>
      <c r="C10" s="563" t="s">
        <v>133</v>
      </c>
      <c r="D10" s="586" t="s">
        <v>128</v>
      </c>
      <c r="E10" s="586" t="s">
        <v>129</v>
      </c>
      <c r="F10" s="587">
        <v>2</v>
      </c>
      <c r="G10" s="587"/>
      <c r="H10" s="588">
        <f t="shared" ref="H10:H24" si="1">F10+G10</f>
        <v>2</v>
      </c>
    </row>
    <row r="11" spans="2:10" ht="30" x14ac:dyDescent="0.25">
      <c r="B11" s="560">
        <f t="shared" si="0"/>
        <v>4</v>
      </c>
      <c r="C11" s="563" t="s">
        <v>135</v>
      </c>
      <c r="D11" s="586" t="s">
        <v>128</v>
      </c>
      <c r="E11" s="586" t="s">
        <v>129</v>
      </c>
      <c r="F11" s="587">
        <v>8</v>
      </c>
      <c r="G11" s="587"/>
      <c r="H11" s="588">
        <f t="shared" si="1"/>
        <v>8</v>
      </c>
    </row>
    <row r="12" spans="2:10" x14ac:dyDescent="0.25">
      <c r="B12" s="560">
        <f t="shared" si="0"/>
        <v>5</v>
      </c>
      <c r="C12" s="563" t="s">
        <v>137</v>
      </c>
      <c r="D12" s="586" t="s">
        <v>128</v>
      </c>
      <c r="E12" s="586" t="s">
        <v>129</v>
      </c>
      <c r="F12" s="587">
        <v>3</v>
      </c>
      <c r="G12" s="587">
        <f t="shared" ref="G12:G13" si="2">F12*18/100</f>
        <v>0.54</v>
      </c>
      <c r="H12" s="588">
        <f t="shared" si="1"/>
        <v>3.54</v>
      </c>
      <c r="J12" s="494"/>
    </row>
    <row r="13" spans="2:10" ht="30" x14ac:dyDescent="0.25">
      <c r="B13" s="560">
        <f t="shared" si="0"/>
        <v>6</v>
      </c>
      <c r="C13" s="563" t="s">
        <v>139</v>
      </c>
      <c r="D13" s="586" t="s">
        <v>128</v>
      </c>
      <c r="E13" s="586" t="s">
        <v>129</v>
      </c>
      <c r="F13" s="587">
        <v>15</v>
      </c>
      <c r="G13" s="587">
        <f t="shared" si="2"/>
        <v>2.7</v>
      </c>
      <c r="H13" s="588">
        <f t="shared" si="1"/>
        <v>17.7</v>
      </c>
      <c r="J13" s="494"/>
    </row>
    <row r="14" spans="2:10" ht="30" x14ac:dyDescent="0.25">
      <c r="B14" s="560">
        <f t="shared" si="0"/>
        <v>7</v>
      </c>
      <c r="C14" s="563" t="s">
        <v>141</v>
      </c>
      <c r="D14" s="586" t="s">
        <v>128</v>
      </c>
      <c r="E14" s="586" t="s">
        <v>129</v>
      </c>
      <c r="F14" s="587">
        <v>5</v>
      </c>
      <c r="G14" s="587"/>
      <c r="H14" s="588">
        <f t="shared" si="1"/>
        <v>5</v>
      </c>
    </row>
    <row r="15" spans="2:10" ht="22.9" customHeight="1" x14ac:dyDescent="0.25">
      <c r="B15" s="560">
        <f t="shared" si="0"/>
        <v>8</v>
      </c>
      <c r="C15" s="563" t="s">
        <v>775</v>
      </c>
      <c r="D15" s="586" t="s">
        <v>128</v>
      </c>
      <c r="E15" s="586" t="s">
        <v>129</v>
      </c>
      <c r="F15" s="587">
        <v>7</v>
      </c>
      <c r="G15" s="587"/>
      <c r="H15" s="588">
        <f t="shared" si="1"/>
        <v>7</v>
      </c>
    </row>
    <row r="16" spans="2:10" x14ac:dyDescent="0.25">
      <c r="B16" s="560">
        <f t="shared" si="0"/>
        <v>9</v>
      </c>
      <c r="C16" s="564" t="s">
        <v>239</v>
      </c>
      <c r="D16" s="586" t="s">
        <v>200</v>
      </c>
      <c r="E16" s="586"/>
      <c r="F16" s="587">
        <v>30</v>
      </c>
      <c r="G16" s="587"/>
      <c r="H16" s="588">
        <f t="shared" si="1"/>
        <v>30</v>
      </c>
    </row>
    <row r="17" spans="2:10" x14ac:dyDescent="0.25">
      <c r="B17" s="560">
        <f t="shared" si="0"/>
        <v>10</v>
      </c>
      <c r="C17" s="564" t="s">
        <v>777</v>
      </c>
      <c r="D17" s="586">
        <v>2</v>
      </c>
      <c r="E17" s="586">
        <v>3</v>
      </c>
      <c r="F17" s="587">
        <f>D17*E17</f>
        <v>6</v>
      </c>
      <c r="G17" s="587">
        <f>F17*18/100</f>
        <v>1.08</v>
      </c>
      <c r="H17" s="588">
        <f t="shared" si="1"/>
        <v>7.08</v>
      </c>
    </row>
    <row r="18" spans="2:10" x14ac:dyDescent="0.25">
      <c r="B18" s="560">
        <f t="shared" si="0"/>
        <v>11</v>
      </c>
      <c r="C18" s="563" t="s">
        <v>146</v>
      </c>
      <c r="D18" s="586" t="s">
        <v>128</v>
      </c>
      <c r="E18" s="586" t="s">
        <v>129</v>
      </c>
      <c r="F18" s="587">
        <v>1</v>
      </c>
      <c r="G18" s="587">
        <f t="shared" ref="G18:G22" si="3">F18*18/100</f>
        <v>0.18</v>
      </c>
      <c r="H18" s="588">
        <f t="shared" si="1"/>
        <v>1.18</v>
      </c>
    </row>
    <row r="19" spans="2:10" x14ac:dyDescent="0.25">
      <c r="B19" s="557">
        <f t="shared" si="0"/>
        <v>12</v>
      </c>
      <c r="C19" s="565" t="s">
        <v>943</v>
      </c>
      <c r="D19" s="589" t="s">
        <v>128</v>
      </c>
      <c r="E19" s="589" t="s">
        <v>129</v>
      </c>
      <c r="F19" s="590">
        <v>15</v>
      </c>
      <c r="G19" s="590">
        <f t="shared" si="3"/>
        <v>2.7</v>
      </c>
      <c r="H19" s="591">
        <f t="shared" si="1"/>
        <v>17.7</v>
      </c>
      <c r="J19" s="495"/>
    </row>
    <row r="20" spans="2:10" x14ac:dyDescent="0.25">
      <c r="B20" s="560">
        <f t="shared" si="0"/>
        <v>13</v>
      </c>
      <c r="C20" s="563" t="s">
        <v>779</v>
      </c>
      <c r="D20" s="586" t="s">
        <v>128</v>
      </c>
      <c r="E20" s="586" t="s">
        <v>129</v>
      </c>
      <c r="F20" s="587">
        <v>15</v>
      </c>
      <c r="G20" s="587">
        <f t="shared" si="3"/>
        <v>2.7</v>
      </c>
      <c r="H20" s="588">
        <f t="shared" si="1"/>
        <v>17.7</v>
      </c>
    </row>
    <row r="21" spans="2:10" ht="30" x14ac:dyDescent="0.25">
      <c r="B21" s="560">
        <f t="shared" si="0"/>
        <v>14</v>
      </c>
      <c r="C21" s="563" t="s">
        <v>780</v>
      </c>
      <c r="D21" s="586" t="s">
        <v>128</v>
      </c>
      <c r="E21" s="586" t="s">
        <v>129</v>
      </c>
      <c r="F21" s="587">
        <v>5</v>
      </c>
      <c r="G21" s="587"/>
      <c r="H21" s="588">
        <f t="shared" si="1"/>
        <v>5</v>
      </c>
    </row>
    <row r="22" spans="2:10" x14ac:dyDescent="0.25">
      <c r="B22" s="557">
        <v>15</v>
      </c>
      <c r="C22" s="565" t="s">
        <v>944</v>
      </c>
      <c r="D22" s="592" t="s">
        <v>128</v>
      </c>
      <c r="E22" s="592" t="s">
        <v>129</v>
      </c>
      <c r="F22" s="593">
        <v>20</v>
      </c>
      <c r="G22" s="593">
        <f t="shared" si="3"/>
        <v>3.6</v>
      </c>
      <c r="H22" s="594">
        <f t="shared" si="1"/>
        <v>23.6</v>
      </c>
    </row>
    <row r="23" spans="2:10" x14ac:dyDescent="0.25">
      <c r="B23" s="560">
        <v>16</v>
      </c>
      <c r="C23" s="562" t="s">
        <v>885</v>
      </c>
      <c r="D23" s="586" t="s">
        <v>128</v>
      </c>
      <c r="E23" s="586" t="s">
        <v>129</v>
      </c>
      <c r="F23" s="587">
        <v>20</v>
      </c>
      <c r="G23" s="587"/>
      <c r="H23" s="588">
        <f t="shared" si="1"/>
        <v>20</v>
      </c>
    </row>
    <row r="24" spans="2:10" x14ac:dyDescent="0.25">
      <c r="B24" s="560">
        <f t="shared" si="0"/>
        <v>17</v>
      </c>
      <c r="C24" s="563" t="s">
        <v>844</v>
      </c>
      <c r="D24" s="586" t="s">
        <v>128</v>
      </c>
      <c r="E24" s="586"/>
      <c r="F24" s="587">
        <v>20</v>
      </c>
      <c r="G24" s="587"/>
      <c r="H24" s="588">
        <f t="shared" si="1"/>
        <v>20</v>
      </c>
    </row>
    <row r="25" spans="2:10" ht="18" customHeight="1" x14ac:dyDescent="0.25">
      <c r="B25" s="556"/>
      <c r="C25" s="530" t="s">
        <v>273</v>
      </c>
      <c r="D25" s="595"/>
      <c r="E25" s="595"/>
      <c r="F25" s="596">
        <f>SUM(F8:F24)</f>
        <v>176</v>
      </c>
      <c r="G25" s="596">
        <f t="shared" ref="G25:H25" si="4">SUM(G8:G24)</f>
        <v>13.5</v>
      </c>
      <c r="H25" s="596">
        <f t="shared" si="4"/>
        <v>189.5</v>
      </c>
      <c r="J25" s="494"/>
    </row>
    <row r="26" spans="2:10" x14ac:dyDescent="0.25">
      <c r="F26" s="579"/>
      <c r="G26" s="579"/>
    </row>
    <row r="27" spans="2:10" ht="18" customHeight="1" x14ac:dyDescent="0.25">
      <c r="B27" s="556" t="s">
        <v>782</v>
      </c>
      <c r="C27" s="541" t="s">
        <v>835</v>
      </c>
      <c r="D27" s="597"/>
      <c r="E27" s="597"/>
      <c r="F27" s="597"/>
      <c r="G27" s="597"/>
      <c r="H27" s="543" t="s">
        <v>837</v>
      </c>
    </row>
    <row r="28" spans="2:10" x14ac:dyDescent="0.25">
      <c r="B28" s="560">
        <v>1</v>
      </c>
      <c r="C28" s="576" t="s">
        <v>836</v>
      </c>
      <c r="D28" s="586">
        <v>5.49</v>
      </c>
      <c r="E28" s="586">
        <v>14.8</v>
      </c>
      <c r="F28" s="587">
        <f>D28*E28</f>
        <v>81.25200000000001</v>
      </c>
      <c r="G28" s="587"/>
      <c r="H28" s="588">
        <f t="shared" ref="H28:H29" si="5">F28+G28</f>
        <v>81.25200000000001</v>
      </c>
    </row>
    <row r="29" spans="2:10" x14ac:dyDescent="0.25">
      <c r="B29" s="560">
        <f>B28+1</f>
        <v>2</v>
      </c>
      <c r="C29" s="576" t="s">
        <v>236</v>
      </c>
      <c r="D29" s="598"/>
      <c r="E29" s="599"/>
      <c r="F29" s="587">
        <v>10</v>
      </c>
      <c r="G29" s="587"/>
      <c r="H29" s="588">
        <f t="shared" si="5"/>
        <v>10</v>
      </c>
    </row>
    <row r="30" spans="2:10" ht="17.25" customHeight="1" x14ac:dyDescent="0.25">
      <c r="B30" s="556"/>
      <c r="C30" s="530" t="s">
        <v>273</v>
      </c>
      <c r="D30" s="596">
        <f t="shared" ref="D30:G30" si="6">SUM(D28:D29)</f>
        <v>5.49</v>
      </c>
      <c r="E30" s="596">
        <f t="shared" si="6"/>
        <v>14.8</v>
      </c>
      <c r="F30" s="596">
        <f t="shared" si="6"/>
        <v>91.25200000000001</v>
      </c>
      <c r="G30" s="596">
        <f t="shared" si="6"/>
        <v>0</v>
      </c>
      <c r="H30" s="596">
        <f>SUM(H28:H29)</f>
        <v>91.25200000000001</v>
      </c>
    </row>
    <row r="31" spans="2:10" x14ac:dyDescent="0.25">
      <c r="F31" s="579"/>
      <c r="G31" s="579"/>
    </row>
    <row r="32" spans="2:10" ht="18.75" customHeight="1" x14ac:dyDescent="0.25">
      <c r="B32" s="556" t="s">
        <v>808</v>
      </c>
      <c r="C32" s="541" t="s">
        <v>783</v>
      </c>
      <c r="D32" s="597"/>
      <c r="E32" s="597"/>
      <c r="F32" s="597"/>
      <c r="G32" s="597"/>
      <c r="H32" s="543" t="s">
        <v>837</v>
      </c>
    </row>
    <row r="33" spans="2:8" ht="30" x14ac:dyDescent="0.25">
      <c r="B33" s="560">
        <v>1</v>
      </c>
      <c r="C33" s="566" t="s">
        <v>784</v>
      </c>
      <c r="D33" s="600">
        <v>205</v>
      </c>
      <c r="E33" s="600">
        <v>8000</v>
      </c>
      <c r="F33" s="601">
        <f t="shared" ref="F33:F55" si="7">(D33*E33)/100000</f>
        <v>16.399999999999999</v>
      </c>
      <c r="G33" s="587">
        <f>F33*15/100</f>
        <v>2.4599999999999995</v>
      </c>
      <c r="H33" s="588">
        <f>F33+G33</f>
        <v>18.86</v>
      </c>
    </row>
    <row r="34" spans="2:8" x14ac:dyDescent="0.25">
      <c r="B34" s="560">
        <f>B33+1</f>
        <v>2</v>
      </c>
      <c r="C34" s="566" t="s">
        <v>785</v>
      </c>
      <c r="D34" s="600">
        <v>235</v>
      </c>
      <c r="E34" s="600">
        <v>13600</v>
      </c>
      <c r="F34" s="601">
        <f t="shared" si="7"/>
        <v>31.96</v>
      </c>
      <c r="G34" s="587">
        <f t="shared" ref="G34:G54" si="8">F34*15/100</f>
        <v>4.7940000000000005</v>
      </c>
      <c r="H34" s="588">
        <f t="shared" ref="H34:H60" si="9">F34+G34</f>
        <v>36.754000000000005</v>
      </c>
    </row>
    <row r="35" spans="2:8" ht="45" x14ac:dyDescent="0.25">
      <c r="B35" s="558">
        <f t="shared" ref="B35:B60" si="10">B34+1</f>
        <v>3</v>
      </c>
      <c r="C35" s="568" t="s">
        <v>945</v>
      </c>
      <c r="D35" s="602">
        <v>14500</v>
      </c>
      <c r="E35" s="602">
        <v>110</v>
      </c>
      <c r="F35" s="603">
        <f t="shared" si="7"/>
        <v>15.95</v>
      </c>
      <c r="G35" s="604">
        <f t="shared" si="8"/>
        <v>2.3925000000000001</v>
      </c>
      <c r="H35" s="605">
        <f t="shared" si="9"/>
        <v>18.342500000000001</v>
      </c>
    </row>
    <row r="36" spans="2:8" ht="30" x14ac:dyDescent="0.25">
      <c r="B36" s="560">
        <f t="shared" si="10"/>
        <v>4</v>
      </c>
      <c r="C36" s="569" t="s">
        <v>946</v>
      </c>
      <c r="D36" s="600">
        <v>180</v>
      </c>
      <c r="E36" s="600">
        <v>3300</v>
      </c>
      <c r="F36" s="601">
        <f t="shared" si="7"/>
        <v>5.94</v>
      </c>
      <c r="G36" s="587">
        <f t="shared" si="8"/>
        <v>0.89100000000000013</v>
      </c>
      <c r="H36" s="588">
        <f t="shared" si="9"/>
        <v>6.8310000000000004</v>
      </c>
    </row>
    <row r="37" spans="2:8" ht="30" x14ac:dyDescent="0.25">
      <c r="B37" s="560">
        <f t="shared" si="10"/>
        <v>5</v>
      </c>
      <c r="C37" s="569" t="s">
        <v>947</v>
      </c>
      <c r="D37" s="600">
        <v>310</v>
      </c>
      <c r="E37" s="600">
        <v>7000</v>
      </c>
      <c r="F37" s="606">
        <f t="shared" si="7"/>
        <v>21.7</v>
      </c>
      <c r="G37" s="587">
        <f t="shared" si="8"/>
        <v>3.2549999999999999</v>
      </c>
      <c r="H37" s="588">
        <f t="shared" si="9"/>
        <v>24.954999999999998</v>
      </c>
    </row>
    <row r="38" spans="2:8" ht="119.25" customHeight="1" x14ac:dyDescent="0.25">
      <c r="B38" s="558">
        <f t="shared" si="10"/>
        <v>6</v>
      </c>
      <c r="C38" s="570" t="s">
        <v>948</v>
      </c>
      <c r="D38" s="602">
        <v>2</v>
      </c>
      <c r="E38" s="607">
        <v>150</v>
      </c>
      <c r="F38" s="607">
        <f t="shared" ref="F38" si="11">D38*E38</f>
        <v>300</v>
      </c>
      <c r="G38" s="604">
        <f>F38*12/100</f>
        <v>36</v>
      </c>
      <c r="H38" s="605">
        <f>F38+G38</f>
        <v>336</v>
      </c>
    </row>
    <row r="39" spans="2:8" ht="30" x14ac:dyDescent="0.25">
      <c r="B39" s="560">
        <f>B38+1</f>
        <v>7</v>
      </c>
      <c r="C39" s="566" t="s">
        <v>790</v>
      </c>
      <c r="D39" s="608">
        <v>7.2</v>
      </c>
      <c r="E39" s="600">
        <v>9000</v>
      </c>
      <c r="F39" s="606">
        <f t="shared" si="7"/>
        <v>0.64800000000000002</v>
      </c>
      <c r="G39" s="587">
        <f t="shared" si="8"/>
        <v>9.7200000000000009E-2</v>
      </c>
      <c r="H39" s="588">
        <f t="shared" si="9"/>
        <v>0.74520000000000008</v>
      </c>
    </row>
    <row r="40" spans="2:8" x14ac:dyDescent="0.25">
      <c r="B40" s="560">
        <f t="shared" si="10"/>
        <v>8</v>
      </c>
      <c r="C40" s="566" t="s">
        <v>791</v>
      </c>
      <c r="D40" s="600">
        <v>163</v>
      </c>
      <c r="E40" s="600">
        <v>6400</v>
      </c>
      <c r="F40" s="606">
        <f t="shared" si="7"/>
        <v>10.432</v>
      </c>
      <c r="G40" s="587">
        <f t="shared" si="8"/>
        <v>1.5648000000000002</v>
      </c>
      <c r="H40" s="588">
        <f t="shared" si="9"/>
        <v>11.9968</v>
      </c>
    </row>
    <row r="41" spans="2:8" ht="30" x14ac:dyDescent="0.25">
      <c r="B41" s="560">
        <f t="shared" si="10"/>
        <v>9</v>
      </c>
      <c r="C41" s="566" t="s">
        <v>792</v>
      </c>
      <c r="D41" s="600">
        <v>750</v>
      </c>
      <c r="E41" s="600">
        <v>3300</v>
      </c>
      <c r="F41" s="606">
        <f t="shared" si="7"/>
        <v>24.75</v>
      </c>
      <c r="G41" s="587">
        <f t="shared" si="8"/>
        <v>3.7124999999999999</v>
      </c>
      <c r="H41" s="588">
        <f t="shared" si="9"/>
        <v>28.462499999999999</v>
      </c>
    </row>
    <row r="42" spans="2:8" x14ac:dyDescent="0.25">
      <c r="B42" s="560">
        <f t="shared" si="10"/>
        <v>10</v>
      </c>
      <c r="C42" s="566" t="s">
        <v>793</v>
      </c>
      <c r="D42" s="608">
        <v>63.38</v>
      </c>
      <c r="E42" s="600">
        <v>6400</v>
      </c>
      <c r="F42" s="606">
        <f t="shared" si="7"/>
        <v>4.0563200000000004</v>
      </c>
      <c r="G42" s="587">
        <f t="shared" si="8"/>
        <v>0.6084480000000001</v>
      </c>
      <c r="H42" s="588">
        <f t="shared" si="9"/>
        <v>4.6647680000000005</v>
      </c>
    </row>
    <row r="43" spans="2:8" x14ac:dyDescent="0.25">
      <c r="B43" s="560">
        <f t="shared" si="10"/>
        <v>11</v>
      </c>
      <c r="C43" s="566" t="s">
        <v>794</v>
      </c>
      <c r="D43" s="600">
        <v>54</v>
      </c>
      <c r="E43" s="600">
        <v>3300</v>
      </c>
      <c r="F43" s="606">
        <f t="shared" si="7"/>
        <v>1.782</v>
      </c>
      <c r="G43" s="587">
        <f t="shared" si="8"/>
        <v>0.26729999999999998</v>
      </c>
      <c r="H43" s="588">
        <f t="shared" si="9"/>
        <v>2.0493000000000001</v>
      </c>
    </row>
    <row r="44" spans="2:8" ht="30" x14ac:dyDescent="0.25">
      <c r="B44" s="560">
        <f t="shared" si="10"/>
        <v>12</v>
      </c>
      <c r="C44" s="571" t="s">
        <v>949</v>
      </c>
      <c r="D44" s="608">
        <v>250</v>
      </c>
      <c r="E44" s="600">
        <v>6400</v>
      </c>
      <c r="F44" s="606">
        <f t="shared" si="7"/>
        <v>16</v>
      </c>
      <c r="G44" s="587">
        <f t="shared" si="8"/>
        <v>2.4</v>
      </c>
      <c r="H44" s="588">
        <f t="shared" si="9"/>
        <v>18.399999999999999</v>
      </c>
    </row>
    <row r="45" spans="2:8" ht="30" x14ac:dyDescent="0.25">
      <c r="B45" s="560">
        <f t="shared" si="10"/>
        <v>13</v>
      </c>
      <c r="C45" s="566" t="s">
        <v>796</v>
      </c>
      <c r="D45" s="608">
        <v>58.83</v>
      </c>
      <c r="E45" s="600">
        <v>6400</v>
      </c>
      <c r="F45" s="606">
        <f t="shared" si="7"/>
        <v>3.76512</v>
      </c>
      <c r="G45" s="587">
        <f t="shared" si="8"/>
        <v>0.56476799999999994</v>
      </c>
      <c r="H45" s="588">
        <f t="shared" si="9"/>
        <v>4.3298880000000004</v>
      </c>
    </row>
    <row r="46" spans="2:8" ht="30" x14ac:dyDescent="0.25">
      <c r="B46" s="560">
        <f t="shared" si="10"/>
        <v>14</v>
      </c>
      <c r="C46" s="566" t="s">
        <v>797</v>
      </c>
      <c r="D46" s="600">
        <v>54</v>
      </c>
      <c r="E46" s="600">
        <v>3300</v>
      </c>
      <c r="F46" s="606">
        <f t="shared" si="7"/>
        <v>1.782</v>
      </c>
      <c r="G46" s="587">
        <f t="shared" si="8"/>
        <v>0.26729999999999998</v>
      </c>
      <c r="H46" s="588">
        <f t="shared" si="9"/>
        <v>2.0493000000000001</v>
      </c>
    </row>
    <row r="47" spans="2:8" x14ac:dyDescent="0.25">
      <c r="B47" s="560">
        <f t="shared" si="10"/>
        <v>15</v>
      </c>
      <c r="C47" s="566" t="s">
        <v>798</v>
      </c>
      <c r="D47" s="600">
        <v>215</v>
      </c>
      <c r="E47" s="600">
        <v>3200</v>
      </c>
      <c r="F47" s="606">
        <f t="shared" si="7"/>
        <v>6.88</v>
      </c>
      <c r="G47" s="587">
        <f t="shared" si="8"/>
        <v>1.032</v>
      </c>
      <c r="H47" s="588">
        <f t="shared" si="9"/>
        <v>7.9119999999999999</v>
      </c>
    </row>
    <row r="48" spans="2:8" x14ac:dyDescent="0.25">
      <c r="B48" s="560">
        <f t="shared" si="10"/>
        <v>16</v>
      </c>
      <c r="C48" s="566" t="s">
        <v>799</v>
      </c>
      <c r="D48" s="600">
        <v>215</v>
      </c>
      <c r="E48" s="600">
        <v>6500</v>
      </c>
      <c r="F48" s="606">
        <f t="shared" si="7"/>
        <v>13.975</v>
      </c>
      <c r="G48" s="587">
        <f t="shared" si="8"/>
        <v>2.0962499999999999</v>
      </c>
      <c r="H48" s="588">
        <f t="shared" si="9"/>
        <v>16.071249999999999</v>
      </c>
    </row>
    <row r="49" spans="2:12" x14ac:dyDescent="0.25">
      <c r="B49" s="560">
        <f t="shared" si="10"/>
        <v>17</v>
      </c>
      <c r="C49" s="566" t="s">
        <v>800</v>
      </c>
      <c r="D49" s="600">
        <v>10</v>
      </c>
      <c r="E49" s="600">
        <v>13000</v>
      </c>
      <c r="F49" s="606">
        <f t="shared" si="7"/>
        <v>1.3</v>
      </c>
      <c r="G49" s="587">
        <f t="shared" si="8"/>
        <v>0.19500000000000001</v>
      </c>
      <c r="H49" s="588">
        <f t="shared" si="9"/>
        <v>1.4950000000000001</v>
      </c>
    </row>
    <row r="50" spans="2:12" x14ac:dyDescent="0.25">
      <c r="B50" s="560">
        <f t="shared" si="10"/>
        <v>18</v>
      </c>
      <c r="C50" s="566" t="s">
        <v>801</v>
      </c>
      <c r="D50" s="600">
        <v>160</v>
      </c>
      <c r="E50" s="600">
        <v>16000</v>
      </c>
      <c r="F50" s="606">
        <f t="shared" si="7"/>
        <v>25.6</v>
      </c>
      <c r="G50" s="587">
        <f t="shared" si="8"/>
        <v>3.84</v>
      </c>
      <c r="H50" s="588">
        <f t="shared" si="9"/>
        <v>29.44</v>
      </c>
    </row>
    <row r="51" spans="2:12" x14ac:dyDescent="0.25">
      <c r="B51" s="560">
        <f>B50+1</f>
        <v>19</v>
      </c>
      <c r="C51" s="566" t="s">
        <v>802</v>
      </c>
      <c r="D51" s="600">
        <v>24</v>
      </c>
      <c r="E51" s="600">
        <v>13000</v>
      </c>
      <c r="F51" s="606">
        <f t="shared" si="7"/>
        <v>3.12</v>
      </c>
      <c r="G51" s="587">
        <f t="shared" si="8"/>
        <v>0.46800000000000003</v>
      </c>
      <c r="H51" s="588">
        <f t="shared" si="9"/>
        <v>3.5880000000000001</v>
      </c>
    </row>
    <row r="52" spans="2:12" x14ac:dyDescent="0.25">
      <c r="B52" s="560">
        <f t="shared" si="10"/>
        <v>20</v>
      </c>
      <c r="C52" s="566" t="s">
        <v>803</v>
      </c>
      <c r="D52" s="600">
        <v>250</v>
      </c>
      <c r="E52" s="600">
        <v>15000</v>
      </c>
      <c r="F52" s="606">
        <f t="shared" si="7"/>
        <v>37.5</v>
      </c>
      <c r="G52" s="587">
        <f t="shared" si="8"/>
        <v>5.625</v>
      </c>
      <c r="H52" s="588">
        <f t="shared" si="9"/>
        <v>43.125</v>
      </c>
    </row>
    <row r="53" spans="2:12" x14ac:dyDescent="0.25">
      <c r="B53" s="560">
        <f t="shared" si="10"/>
        <v>21</v>
      </c>
      <c r="C53" s="566" t="s">
        <v>804</v>
      </c>
      <c r="D53" s="600">
        <v>90</v>
      </c>
      <c r="E53" s="600">
        <v>13000</v>
      </c>
      <c r="F53" s="606">
        <f t="shared" si="7"/>
        <v>11.7</v>
      </c>
      <c r="G53" s="587">
        <f t="shared" si="8"/>
        <v>1.7549999999999999</v>
      </c>
      <c r="H53" s="588">
        <f t="shared" si="9"/>
        <v>13.454999999999998</v>
      </c>
    </row>
    <row r="54" spans="2:12" x14ac:dyDescent="0.25">
      <c r="B54" s="560">
        <f t="shared" si="10"/>
        <v>22</v>
      </c>
      <c r="C54" s="566" t="s">
        <v>805</v>
      </c>
      <c r="D54" s="600">
        <v>90</v>
      </c>
      <c r="E54" s="600">
        <v>13000</v>
      </c>
      <c r="F54" s="606">
        <f t="shared" si="7"/>
        <v>11.7</v>
      </c>
      <c r="G54" s="587">
        <f t="shared" si="8"/>
        <v>1.7549999999999999</v>
      </c>
      <c r="H54" s="588">
        <f t="shared" si="9"/>
        <v>13.454999999999998</v>
      </c>
    </row>
    <row r="55" spans="2:12" ht="30" x14ac:dyDescent="0.25">
      <c r="B55" s="560">
        <f t="shared" si="10"/>
        <v>23</v>
      </c>
      <c r="C55" s="566" t="s">
        <v>806</v>
      </c>
      <c r="D55" s="600">
        <v>156</v>
      </c>
      <c r="E55" s="600">
        <v>85000</v>
      </c>
      <c r="F55" s="606">
        <f t="shared" si="7"/>
        <v>132.6</v>
      </c>
      <c r="G55" s="587">
        <f>F55*12/100</f>
        <v>15.911999999999999</v>
      </c>
      <c r="H55" s="588">
        <f t="shared" si="9"/>
        <v>148.512</v>
      </c>
    </row>
    <row r="56" spans="2:12" x14ac:dyDescent="0.25">
      <c r="B56" s="560">
        <f t="shared" si="10"/>
        <v>24</v>
      </c>
      <c r="C56" s="566" t="s">
        <v>807</v>
      </c>
      <c r="D56" s="608" t="s">
        <v>128</v>
      </c>
      <c r="E56" s="608"/>
      <c r="F56" s="601">
        <v>25</v>
      </c>
      <c r="G56" s="587">
        <f t="shared" ref="G56:G58" si="12">F56*15/100</f>
        <v>3.75</v>
      </c>
      <c r="H56" s="588">
        <f t="shared" si="9"/>
        <v>28.75</v>
      </c>
    </row>
    <row r="57" spans="2:12" x14ac:dyDescent="0.25">
      <c r="B57" s="560">
        <f t="shared" si="10"/>
        <v>25</v>
      </c>
      <c r="C57" s="566" t="s">
        <v>166</v>
      </c>
      <c r="D57" s="608" t="s">
        <v>128</v>
      </c>
      <c r="E57" s="608"/>
      <c r="F57" s="601">
        <v>10</v>
      </c>
      <c r="G57" s="587">
        <f t="shared" si="12"/>
        <v>1.5</v>
      </c>
      <c r="H57" s="588">
        <f t="shared" si="9"/>
        <v>11.5</v>
      </c>
    </row>
    <row r="58" spans="2:12" ht="16.149999999999999" customHeight="1" x14ac:dyDescent="0.25">
      <c r="B58" s="560">
        <f t="shared" si="10"/>
        <v>26</v>
      </c>
      <c r="C58" s="566" t="s">
        <v>179</v>
      </c>
      <c r="D58" s="608" t="s">
        <v>128</v>
      </c>
      <c r="E58" s="608"/>
      <c r="F58" s="601">
        <v>15</v>
      </c>
      <c r="G58" s="587">
        <f t="shared" si="12"/>
        <v>2.25</v>
      </c>
      <c r="H58" s="588">
        <f t="shared" si="9"/>
        <v>17.25</v>
      </c>
      <c r="L58" s="494"/>
    </row>
    <row r="59" spans="2:12" x14ac:dyDescent="0.25">
      <c r="B59" s="560">
        <f t="shared" si="10"/>
        <v>27</v>
      </c>
      <c r="C59" s="572" t="s">
        <v>159</v>
      </c>
      <c r="D59" s="608" t="s">
        <v>128</v>
      </c>
      <c r="E59" s="608" t="s">
        <v>129</v>
      </c>
      <c r="F59" s="601">
        <v>10</v>
      </c>
      <c r="G59" s="587">
        <f t="shared" ref="G59:G60" si="13">F59*18/100</f>
        <v>1.8</v>
      </c>
      <c r="H59" s="588">
        <f t="shared" si="9"/>
        <v>11.8</v>
      </c>
      <c r="K59" s="494"/>
      <c r="L59" s="494"/>
    </row>
    <row r="60" spans="2:12" x14ac:dyDescent="0.25">
      <c r="B60" s="560">
        <f t="shared" si="10"/>
        <v>28</v>
      </c>
      <c r="C60" s="566" t="s">
        <v>181</v>
      </c>
      <c r="D60" s="608" t="s">
        <v>128</v>
      </c>
      <c r="E60" s="608"/>
      <c r="F60" s="601">
        <v>7</v>
      </c>
      <c r="G60" s="587">
        <f t="shared" si="13"/>
        <v>1.26</v>
      </c>
      <c r="H60" s="588">
        <f t="shared" si="9"/>
        <v>8.26</v>
      </c>
      <c r="L60" s="494"/>
    </row>
    <row r="61" spans="2:12" x14ac:dyDescent="0.25">
      <c r="B61" s="536"/>
      <c r="C61" s="537" t="s">
        <v>273</v>
      </c>
      <c r="D61" s="609"/>
      <c r="E61" s="609"/>
      <c r="F61" s="610">
        <f>SUM(F33:F60)</f>
        <v>766.54044000000022</v>
      </c>
      <c r="G61" s="610">
        <f t="shared" ref="G61:H61" si="14">SUM(G33:G60)</f>
        <v>102.51306599999998</v>
      </c>
      <c r="H61" s="610">
        <f t="shared" si="14"/>
        <v>869.05350599999997</v>
      </c>
      <c r="J61" s="494"/>
      <c r="K61" s="494"/>
      <c r="L61" s="494"/>
    </row>
    <row r="62" spans="2:12" x14ac:dyDescent="0.25">
      <c r="B62" s="493"/>
      <c r="C62" s="508" t="s">
        <v>950</v>
      </c>
      <c r="D62" s="611"/>
      <c r="E62" s="611"/>
      <c r="F62" s="612">
        <f>F61*5%</f>
        <v>38.327022000000014</v>
      </c>
      <c r="G62" s="612">
        <f>F62*18%</f>
        <v>6.8988639600000026</v>
      </c>
      <c r="H62" s="612">
        <f>F62+G62</f>
        <v>45.225885960000014</v>
      </c>
    </row>
    <row r="63" spans="2:12" x14ac:dyDescent="0.25">
      <c r="B63" s="556"/>
      <c r="C63" s="530" t="s">
        <v>841</v>
      </c>
      <c r="D63" s="595"/>
      <c r="E63" s="595"/>
      <c r="F63" s="596">
        <f>F61+F62</f>
        <v>804.86746200000027</v>
      </c>
      <c r="G63" s="596">
        <f>G61+G62</f>
        <v>109.41192995999998</v>
      </c>
      <c r="H63" s="596">
        <f>F63+G63</f>
        <v>914.27939196000023</v>
      </c>
    </row>
    <row r="64" spans="2:12" x14ac:dyDescent="0.25">
      <c r="F64" s="579"/>
      <c r="G64" s="579"/>
    </row>
    <row r="65" spans="2:8" x14ac:dyDescent="0.25">
      <c r="B65" s="556" t="s">
        <v>819</v>
      </c>
      <c r="C65" s="541" t="s">
        <v>840</v>
      </c>
      <c r="D65" s="597"/>
      <c r="E65" s="597"/>
      <c r="F65" s="597"/>
      <c r="G65" s="597"/>
      <c r="H65" s="543" t="s">
        <v>837</v>
      </c>
    </row>
    <row r="66" spans="2:8" x14ac:dyDescent="0.25">
      <c r="B66" s="560">
        <v>1</v>
      </c>
      <c r="C66" s="571" t="s">
        <v>951</v>
      </c>
      <c r="D66" s="600">
        <v>1</v>
      </c>
      <c r="E66" s="608">
        <v>100</v>
      </c>
      <c r="F66" s="608">
        <f t="shared" ref="F66:F73" si="15">D66*E66</f>
        <v>100</v>
      </c>
      <c r="G66" s="587">
        <f>F66*12/100</f>
        <v>12</v>
      </c>
      <c r="H66" s="588">
        <f>F66+G66</f>
        <v>112</v>
      </c>
    </row>
    <row r="67" spans="2:8" ht="30" x14ac:dyDescent="0.25">
      <c r="B67" s="560">
        <v>1</v>
      </c>
      <c r="C67" s="566" t="s">
        <v>184</v>
      </c>
      <c r="D67" s="600">
        <v>4</v>
      </c>
      <c r="E67" s="608">
        <v>8</v>
      </c>
      <c r="F67" s="608">
        <f t="shared" si="15"/>
        <v>32</v>
      </c>
      <c r="G67" s="587">
        <f>F67*12/100</f>
        <v>3.84</v>
      </c>
      <c r="H67" s="588">
        <f>F67+G67</f>
        <v>35.840000000000003</v>
      </c>
    </row>
    <row r="68" spans="2:8" ht="30" x14ac:dyDescent="0.25">
      <c r="B68" s="560">
        <v>2</v>
      </c>
      <c r="C68" s="569" t="s">
        <v>952</v>
      </c>
      <c r="D68" s="600">
        <v>4</v>
      </c>
      <c r="E68" s="608">
        <v>9</v>
      </c>
      <c r="F68" s="608">
        <f t="shared" si="15"/>
        <v>36</v>
      </c>
      <c r="G68" s="587">
        <f>F68*12/100</f>
        <v>4.32</v>
      </c>
      <c r="H68" s="588">
        <f t="shared" ref="H68:H93" si="16">F68+G68</f>
        <v>40.32</v>
      </c>
    </row>
    <row r="69" spans="2:8" x14ac:dyDescent="0.25">
      <c r="B69" s="560">
        <v>3</v>
      </c>
      <c r="C69" s="566" t="s">
        <v>186</v>
      </c>
      <c r="D69" s="600">
        <v>8</v>
      </c>
      <c r="E69" s="608">
        <v>2</v>
      </c>
      <c r="F69" s="608">
        <f t="shared" si="15"/>
        <v>16</v>
      </c>
      <c r="G69" s="587">
        <f t="shared" ref="G69" si="17">F69*18/100</f>
        <v>2.88</v>
      </c>
      <c r="H69" s="588">
        <f t="shared" si="16"/>
        <v>18.88</v>
      </c>
    </row>
    <row r="70" spans="2:8" ht="30" x14ac:dyDescent="0.25">
      <c r="B70" s="560">
        <v>4</v>
      </c>
      <c r="C70" s="569" t="s">
        <v>953</v>
      </c>
      <c r="D70" s="600">
        <v>1</v>
      </c>
      <c r="E70" s="608">
        <v>50</v>
      </c>
      <c r="F70" s="608">
        <f t="shared" si="15"/>
        <v>50</v>
      </c>
      <c r="G70" s="587"/>
      <c r="H70" s="588">
        <f t="shared" si="16"/>
        <v>50</v>
      </c>
    </row>
    <row r="71" spans="2:8" x14ac:dyDescent="0.25">
      <c r="B71" s="560">
        <v>5</v>
      </c>
      <c r="C71" s="569" t="s">
        <v>954</v>
      </c>
      <c r="D71" s="600">
        <v>1</v>
      </c>
      <c r="E71" s="608">
        <v>10</v>
      </c>
      <c r="F71" s="608">
        <f t="shared" si="15"/>
        <v>10</v>
      </c>
      <c r="G71" s="587"/>
      <c r="H71" s="588">
        <f t="shared" si="16"/>
        <v>10</v>
      </c>
    </row>
    <row r="72" spans="2:8" ht="123.6" customHeight="1" x14ac:dyDescent="0.25">
      <c r="B72" s="560">
        <v>6</v>
      </c>
      <c r="C72" s="571" t="s">
        <v>619</v>
      </c>
      <c r="D72" s="600">
        <v>2</v>
      </c>
      <c r="E72" s="608">
        <v>55</v>
      </c>
      <c r="F72" s="608">
        <f t="shared" si="15"/>
        <v>110</v>
      </c>
      <c r="G72" s="587">
        <f t="shared" ref="G72:G93" si="18">F72*18/100</f>
        <v>19.8</v>
      </c>
      <c r="H72" s="588">
        <f t="shared" si="16"/>
        <v>129.80000000000001</v>
      </c>
    </row>
    <row r="73" spans="2:8" ht="30" x14ac:dyDescent="0.25">
      <c r="B73" s="560">
        <v>7</v>
      </c>
      <c r="C73" s="566" t="s">
        <v>810</v>
      </c>
      <c r="D73" s="608">
        <v>2</v>
      </c>
      <c r="E73" s="608">
        <v>35</v>
      </c>
      <c r="F73" s="608">
        <f t="shared" si="15"/>
        <v>70</v>
      </c>
      <c r="G73" s="587">
        <f t="shared" si="18"/>
        <v>12.6</v>
      </c>
      <c r="H73" s="588">
        <f t="shared" si="16"/>
        <v>82.6</v>
      </c>
    </row>
    <row r="74" spans="2:8" ht="20.45" customHeight="1" x14ac:dyDescent="0.25">
      <c r="B74" s="560">
        <v>8</v>
      </c>
      <c r="C74" s="566" t="s">
        <v>811</v>
      </c>
      <c r="D74" s="608" t="s">
        <v>129</v>
      </c>
      <c r="E74" s="608"/>
      <c r="F74" s="608">
        <v>74</v>
      </c>
      <c r="G74" s="587">
        <f t="shared" si="18"/>
        <v>13.32</v>
      </c>
      <c r="H74" s="588">
        <f t="shared" si="16"/>
        <v>87.32</v>
      </c>
    </row>
    <row r="75" spans="2:8" ht="105" x14ac:dyDescent="0.25">
      <c r="B75" s="560">
        <v>9</v>
      </c>
      <c r="C75" s="571" t="s">
        <v>955</v>
      </c>
      <c r="D75" s="600">
        <v>2</v>
      </c>
      <c r="E75" s="608">
        <v>55</v>
      </c>
      <c r="F75" s="608">
        <f t="shared" ref="F75:F82" si="19">D75*E75</f>
        <v>110</v>
      </c>
      <c r="G75" s="587">
        <f t="shared" si="18"/>
        <v>19.8</v>
      </c>
      <c r="H75" s="588">
        <f t="shared" si="16"/>
        <v>129.80000000000001</v>
      </c>
    </row>
    <row r="76" spans="2:8" ht="30" x14ac:dyDescent="0.25">
      <c r="B76" s="560">
        <v>10</v>
      </c>
      <c r="C76" s="569" t="s">
        <v>956</v>
      </c>
      <c r="D76" s="600">
        <v>1</v>
      </c>
      <c r="E76" s="608">
        <v>25</v>
      </c>
      <c r="F76" s="608">
        <f t="shared" si="19"/>
        <v>25</v>
      </c>
      <c r="G76" s="587">
        <f t="shared" si="18"/>
        <v>4.5</v>
      </c>
      <c r="H76" s="588">
        <f t="shared" si="16"/>
        <v>29.5</v>
      </c>
    </row>
    <row r="77" spans="2:8" ht="30" x14ac:dyDescent="0.25">
      <c r="B77" s="560">
        <v>11</v>
      </c>
      <c r="C77" s="571" t="s">
        <v>957</v>
      </c>
      <c r="D77" s="600">
        <v>1</v>
      </c>
      <c r="E77" s="608">
        <v>125</v>
      </c>
      <c r="F77" s="608">
        <f t="shared" si="19"/>
        <v>125</v>
      </c>
      <c r="G77" s="587"/>
      <c r="H77" s="588">
        <f t="shared" si="16"/>
        <v>125</v>
      </c>
    </row>
    <row r="78" spans="2:8" ht="45" x14ac:dyDescent="0.25">
      <c r="B78" s="560">
        <v>12</v>
      </c>
      <c r="C78" s="569" t="s">
        <v>958</v>
      </c>
      <c r="D78" s="600">
        <v>1</v>
      </c>
      <c r="E78" s="608">
        <v>70</v>
      </c>
      <c r="F78" s="608">
        <f t="shared" si="19"/>
        <v>70</v>
      </c>
      <c r="G78" s="587"/>
      <c r="H78" s="588">
        <f t="shared" si="16"/>
        <v>70</v>
      </c>
    </row>
    <row r="79" spans="2:8" ht="30" x14ac:dyDescent="0.25">
      <c r="B79" s="560">
        <v>13</v>
      </c>
      <c r="C79" s="566" t="s">
        <v>192</v>
      </c>
      <c r="D79" s="600">
        <v>1</v>
      </c>
      <c r="E79" s="608">
        <v>40</v>
      </c>
      <c r="F79" s="608">
        <f t="shared" si="19"/>
        <v>40</v>
      </c>
      <c r="G79" s="587">
        <f t="shared" si="18"/>
        <v>7.2</v>
      </c>
      <c r="H79" s="588">
        <f t="shared" si="16"/>
        <v>47.2</v>
      </c>
    </row>
    <row r="80" spans="2:8" x14ac:dyDescent="0.25">
      <c r="B80" s="560">
        <v>14</v>
      </c>
      <c r="C80" s="566" t="s">
        <v>814</v>
      </c>
      <c r="D80" s="600">
        <v>1</v>
      </c>
      <c r="E80" s="608">
        <v>45</v>
      </c>
      <c r="F80" s="608">
        <f t="shared" si="19"/>
        <v>45</v>
      </c>
      <c r="G80" s="587">
        <f t="shared" si="18"/>
        <v>8.1</v>
      </c>
      <c r="H80" s="588">
        <f t="shared" si="16"/>
        <v>53.1</v>
      </c>
    </row>
    <row r="81" spans="2:12" x14ac:dyDescent="0.25">
      <c r="B81" s="560">
        <v>15</v>
      </c>
      <c r="C81" s="566" t="s">
        <v>193</v>
      </c>
      <c r="D81" s="600">
        <v>1</v>
      </c>
      <c r="E81" s="608">
        <v>18</v>
      </c>
      <c r="F81" s="608">
        <f t="shared" si="19"/>
        <v>18</v>
      </c>
      <c r="G81" s="587">
        <f t="shared" si="18"/>
        <v>3.24</v>
      </c>
      <c r="H81" s="588">
        <f t="shared" si="16"/>
        <v>21.240000000000002</v>
      </c>
    </row>
    <row r="82" spans="2:12" ht="30" x14ac:dyDescent="0.25">
      <c r="B82" s="560">
        <v>16</v>
      </c>
      <c r="C82" s="566" t="s">
        <v>194</v>
      </c>
      <c r="D82" s="600">
        <v>2</v>
      </c>
      <c r="E82" s="608">
        <v>16</v>
      </c>
      <c r="F82" s="608">
        <f t="shared" si="19"/>
        <v>32</v>
      </c>
      <c r="G82" s="587">
        <f t="shared" si="18"/>
        <v>5.76</v>
      </c>
      <c r="H82" s="588">
        <f t="shared" si="16"/>
        <v>37.76</v>
      </c>
    </row>
    <row r="83" spans="2:12" ht="30" x14ac:dyDescent="0.25">
      <c r="B83" s="560">
        <v>17</v>
      </c>
      <c r="C83" s="573" t="s">
        <v>815</v>
      </c>
      <c r="D83" s="600">
        <v>1</v>
      </c>
      <c r="E83" s="608">
        <v>75</v>
      </c>
      <c r="F83" s="608">
        <f>E83</f>
        <v>75</v>
      </c>
      <c r="G83" s="587">
        <f t="shared" si="18"/>
        <v>13.5</v>
      </c>
      <c r="H83" s="588">
        <f t="shared" si="16"/>
        <v>88.5</v>
      </c>
    </row>
    <row r="84" spans="2:12" x14ac:dyDescent="0.25">
      <c r="B84" s="560">
        <v>18</v>
      </c>
      <c r="C84" s="566" t="s">
        <v>196</v>
      </c>
      <c r="D84" s="600">
        <v>2</v>
      </c>
      <c r="E84" s="608">
        <v>8</v>
      </c>
      <c r="F84" s="608">
        <f t="shared" ref="F84:F86" si="20">D84*E84</f>
        <v>16</v>
      </c>
      <c r="G84" s="587">
        <f t="shared" si="18"/>
        <v>2.88</v>
      </c>
      <c r="H84" s="588">
        <f t="shared" si="16"/>
        <v>18.88</v>
      </c>
    </row>
    <row r="85" spans="2:12" ht="49.9" customHeight="1" x14ac:dyDescent="0.25">
      <c r="B85" s="560">
        <v>19</v>
      </c>
      <c r="C85" s="623" t="s">
        <v>816</v>
      </c>
      <c r="D85" s="600">
        <v>1</v>
      </c>
      <c r="E85" s="608">
        <v>100</v>
      </c>
      <c r="F85" s="608">
        <f t="shared" si="20"/>
        <v>100</v>
      </c>
      <c r="G85" s="587">
        <f t="shared" si="18"/>
        <v>18</v>
      </c>
      <c r="H85" s="588">
        <f t="shared" si="16"/>
        <v>118</v>
      </c>
    </row>
    <row r="86" spans="2:12" ht="45" x14ac:dyDescent="0.25">
      <c r="B86" s="560">
        <v>20</v>
      </c>
      <c r="C86" s="573" t="s">
        <v>817</v>
      </c>
      <c r="D86" s="600">
        <v>8</v>
      </c>
      <c r="E86" s="608">
        <v>21</v>
      </c>
      <c r="F86" s="608">
        <f t="shared" si="20"/>
        <v>168</v>
      </c>
      <c r="G86" s="587">
        <f t="shared" si="18"/>
        <v>30.24</v>
      </c>
      <c r="H86" s="588">
        <f t="shared" si="16"/>
        <v>198.24</v>
      </c>
    </row>
    <row r="87" spans="2:12" ht="45" x14ac:dyDescent="0.25">
      <c r="B87" s="560">
        <v>21</v>
      </c>
      <c r="C87" s="566" t="s">
        <v>199</v>
      </c>
      <c r="D87" s="608" t="s">
        <v>200</v>
      </c>
      <c r="E87" s="608"/>
      <c r="F87" s="608">
        <v>16</v>
      </c>
      <c r="G87" s="587">
        <f t="shared" si="18"/>
        <v>2.88</v>
      </c>
      <c r="H87" s="588">
        <f t="shared" si="16"/>
        <v>18.88</v>
      </c>
    </row>
    <row r="88" spans="2:12" ht="30" x14ac:dyDescent="0.25">
      <c r="B88" s="560">
        <v>22</v>
      </c>
      <c r="C88" s="573" t="s">
        <v>201</v>
      </c>
      <c r="D88" s="600">
        <v>3</v>
      </c>
      <c r="E88" s="608">
        <v>3.45</v>
      </c>
      <c r="F88" s="608">
        <f>D88*E88</f>
        <v>10.350000000000001</v>
      </c>
      <c r="G88" s="587">
        <f t="shared" si="18"/>
        <v>1.8630000000000002</v>
      </c>
      <c r="H88" s="588">
        <f t="shared" si="16"/>
        <v>12.213000000000001</v>
      </c>
    </row>
    <row r="89" spans="2:12" x14ac:dyDescent="0.25">
      <c r="B89" s="560">
        <v>23</v>
      </c>
      <c r="C89" s="573" t="s">
        <v>818</v>
      </c>
      <c r="D89" s="600">
        <v>3</v>
      </c>
      <c r="E89" s="608">
        <v>15</v>
      </c>
      <c r="F89" s="608">
        <f>D89*E89</f>
        <v>45</v>
      </c>
      <c r="G89" s="587">
        <f t="shared" si="18"/>
        <v>8.1</v>
      </c>
      <c r="H89" s="588">
        <f t="shared" si="16"/>
        <v>53.1</v>
      </c>
    </row>
    <row r="90" spans="2:12" x14ac:dyDescent="0.25">
      <c r="B90" s="560">
        <v>24</v>
      </c>
      <c r="C90" s="573" t="s">
        <v>206</v>
      </c>
      <c r="D90" s="600">
        <v>1</v>
      </c>
      <c r="E90" s="608">
        <v>50</v>
      </c>
      <c r="F90" s="608">
        <f>D90*E90</f>
        <v>50</v>
      </c>
      <c r="G90" s="587">
        <f t="shared" si="18"/>
        <v>9</v>
      </c>
      <c r="H90" s="588">
        <f t="shared" si="16"/>
        <v>59</v>
      </c>
    </row>
    <row r="91" spans="2:12" x14ac:dyDescent="0.25">
      <c r="B91" s="560">
        <v>25</v>
      </c>
      <c r="C91" s="577" t="s">
        <v>887</v>
      </c>
      <c r="D91" s="608" t="s">
        <v>129</v>
      </c>
      <c r="E91" s="608"/>
      <c r="F91" s="608">
        <v>160</v>
      </c>
      <c r="G91" s="587">
        <f t="shared" si="18"/>
        <v>28.8</v>
      </c>
      <c r="H91" s="588">
        <f t="shared" si="16"/>
        <v>188.8</v>
      </c>
    </row>
    <row r="92" spans="2:12" x14ac:dyDescent="0.25">
      <c r="B92" s="560">
        <v>26</v>
      </c>
      <c r="C92" s="577" t="s">
        <v>888</v>
      </c>
      <c r="D92" s="608" t="s">
        <v>129</v>
      </c>
      <c r="E92" s="608"/>
      <c r="F92" s="608">
        <v>130</v>
      </c>
      <c r="G92" s="587">
        <f t="shared" si="18"/>
        <v>23.4</v>
      </c>
      <c r="H92" s="588">
        <f t="shared" si="16"/>
        <v>153.4</v>
      </c>
    </row>
    <row r="93" spans="2:12" x14ac:dyDescent="0.25">
      <c r="B93" s="560">
        <v>27</v>
      </c>
      <c r="C93" s="566" t="s">
        <v>212</v>
      </c>
      <c r="D93" s="608" t="s">
        <v>129</v>
      </c>
      <c r="E93" s="608"/>
      <c r="F93" s="608">
        <v>20</v>
      </c>
      <c r="G93" s="587">
        <f t="shared" si="18"/>
        <v>3.6</v>
      </c>
      <c r="H93" s="588">
        <f t="shared" si="16"/>
        <v>23.6</v>
      </c>
    </row>
    <row r="94" spans="2:12" x14ac:dyDescent="0.25">
      <c r="B94" s="536"/>
      <c r="C94" s="537" t="s">
        <v>273</v>
      </c>
      <c r="D94" s="609"/>
      <c r="E94" s="609"/>
      <c r="F94" s="610">
        <f>SUM(F66:F93)</f>
        <v>1753.35</v>
      </c>
      <c r="G94" s="610">
        <f t="shared" ref="G94:H94" si="21">SUM(G66:G93)</f>
        <v>259.62300000000005</v>
      </c>
      <c r="H94" s="610">
        <f t="shared" si="21"/>
        <v>2012.973</v>
      </c>
      <c r="J94" s="494"/>
      <c r="K94" s="494"/>
      <c r="L94" s="494"/>
    </row>
    <row r="95" spans="2:12" x14ac:dyDescent="0.25">
      <c r="B95" s="493"/>
      <c r="C95" s="508" t="s">
        <v>950</v>
      </c>
      <c r="D95" s="611"/>
      <c r="E95" s="611"/>
      <c r="F95" s="612">
        <f>F94*5%</f>
        <v>87.667500000000004</v>
      </c>
      <c r="G95" s="612">
        <f>F95*18%</f>
        <v>15.780150000000001</v>
      </c>
      <c r="H95" s="612">
        <f>F95+G95</f>
        <v>103.44765000000001</v>
      </c>
    </row>
    <row r="96" spans="2:12" x14ac:dyDescent="0.25">
      <c r="B96" s="556"/>
      <c r="C96" s="530" t="s">
        <v>841</v>
      </c>
      <c r="D96" s="595"/>
      <c r="E96" s="595"/>
      <c r="F96" s="596">
        <f>F94+F95</f>
        <v>1841.0174999999999</v>
      </c>
      <c r="G96" s="596">
        <f>G94+G95</f>
        <v>275.40315000000004</v>
      </c>
      <c r="H96" s="596">
        <f>F96+G96</f>
        <v>2116.42065</v>
      </c>
    </row>
    <row r="97" spans="2:12" x14ac:dyDescent="0.25">
      <c r="F97" s="579"/>
      <c r="G97" s="579"/>
    </row>
    <row r="98" spans="2:12" ht="15" customHeight="1" x14ac:dyDescent="0.25">
      <c r="B98" s="556" t="s">
        <v>821</v>
      </c>
      <c r="C98" s="541" t="s">
        <v>214</v>
      </c>
      <c r="D98" s="597"/>
      <c r="E98" s="597"/>
      <c r="F98" s="597"/>
      <c r="G98" s="597"/>
      <c r="H98" s="543" t="s">
        <v>837</v>
      </c>
    </row>
    <row r="99" spans="2:12" x14ac:dyDescent="0.25">
      <c r="B99" s="567">
        <v>1</v>
      </c>
      <c r="C99" s="571" t="s">
        <v>959</v>
      </c>
      <c r="D99" s="600">
        <v>2</v>
      </c>
      <c r="E99" s="608">
        <f>11+3</f>
        <v>14</v>
      </c>
      <c r="F99" s="608">
        <f>D99*E99</f>
        <v>28</v>
      </c>
      <c r="G99" s="587">
        <f t="shared" ref="G99:G106" si="22">F99*18/100</f>
        <v>5.04</v>
      </c>
      <c r="H99" s="588">
        <f>F99+G99</f>
        <v>33.04</v>
      </c>
    </row>
    <row r="100" spans="2:12" ht="30" x14ac:dyDescent="0.25">
      <c r="B100" s="567">
        <f>B99+1</f>
        <v>2</v>
      </c>
      <c r="C100" s="571" t="s">
        <v>960</v>
      </c>
      <c r="D100" s="600">
        <v>1</v>
      </c>
      <c r="E100" s="608">
        <v>45</v>
      </c>
      <c r="F100" s="608">
        <f t="shared" ref="F100:F102" si="23">D100*E100</f>
        <v>45</v>
      </c>
      <c r="G100" s="587">
        <f t="shared" si="22"/>
        <v>8.1</v>
      </c>
      <c r="H100" s="588">
        <f t="shared" ref="H100:H106" si="24">F100+G100</f>
        <v>53.1</v>
      </c>
    </row>
    <row r="101" spans="2:12" ht="45" x14ac:dyDescent="0.25">
      <c r="B101" s="567">
        <f t="shared" ref="B101:B106" si="25">B100+1</f>
        <v>3</v>
      </c>
      <c r="C101" s="571" t="s">
        <v>961</v>
      </c>
      <c r="D101" s="600">
        <v>1</v>
      </c>
      <c r="E101" s="608">
        <v>50</v>
      </c>
      <c r="F101" s="608">
        <f t="shared" si="23"/>
        <v>50</v>
      </c>
      <c r="G101" s="587">
        <f t="shared" si="22"/>
        <v>9</v>
      </c>
      <c r="H101" s="588">
        <f t="shared" si="24"/>
        <v>59</v>
      </c>
    </row>
    <row r="102" spans="2:12" x14ac:dyDescent="0.25">
      <c r="B102" s="567">
        <f t="shared" si="25"/>
        <v>4</v>
      </c>
      <c r="C102" s="571" t="s">
        <v>962</v>
      </c>
      <c r="D102" s="600">
        <v>1</v>
      </c>
      <c r="E102" s="608">
        <v>70</v>
      </c>
      <c r="F102" s="608">
        <f t="shared" si="23"/>
        <v>70</v>
      </c>
      <c r="G102" s="587">
        <f t="shared" si="22"/>
        <v>12.6</v>
      </c>
      <c r="H102" s="588">
        <f t="shared" si="24"/>
        <v>82.6</v>
      </c>
    </row>
    <row r="103" spans="2:12" x14ac:dyDescent="0.25">
      <c r="B103" s="567">
        <f>B102+1</f>
        <v>5</v>
      </c>
      <c r="C103" s="566" t="s">
        <v>219</v>
      </c>
      <c r="D103" s="608" t="s">
        <v>129</v>
      </c>
      <c r="E103" s="608">
        <v>60</v>
      </c>
      <c r="F103" s="608">
        <f>E103</f>
        <v>60</v>
      </c>
      <c r="G103" s="587">
        <f t="shared" si="22"/>
        <v>10.8</v>
      </c>
      <c r="H103" s="588">
        <f t="shared" si="24"/>
        <v>70.8</v>
      </c>
    </row>
    <row r="104" spans="2:12" x14ac:dyDescent="0.25">
      <c r="B104" s="567">
        <f t="shared" si="25"/>
        <v>6</v>
      </c>
      <c r="C104" s="578" t="s">
        <v>220</v>
      </c>
      <c r="D104" s="600">
        <v>1</v>
      </c>
      <c r="E104" s="608">
        <v>32</v>
      </c>
      <c r="F104" s="608">
        <f t="shared" ref="F104:F106" si="26">D104*E104</f>
        <v>32</v>
      </c>
      <c r="G104" s="587">
        <f t="shared" si="22"/>
        <v>5.76</v>
      </c>
      <c r="H104" s="588">
        <f t="shared" si="24"/>
        <v>37.76</v>
      </c>
    </row>
    <row r="105" spans="2:12" x14ac:dyDescent="0.25">
      <c r="B105" s="567">
        <f t="shared" si="25"/>
        <v>7</v>
      </c>
      <c r="C105" s="574" t="s">
        <v>221</v>
      </c>
      <c r="D105" s="600">
        <v>1</v>
      </c>
      <c r="E105" s="608">
        <v>25</v>
      </c>
      <c r="F105" s="608">
        <f t="shared" si="26"/>
        <v>25</v>
      </c>
      <c r="G105" s="587">
        <f t="shared" si="22"/>
        <v>4.5</v>
      </c>
      <c r="H105" s="588">
        <f t="shared" si="24"/>
        <v>29.5</v>
      </c>
    </row>
    <row r="106" spans="2:12" x14ac:dyDescent="0.25">
      <c r="B106" s="567">
        <f t="shared" si="25"/>
        <v>8</v>
      </c>
      <c r="C106" s="574" t="s">
        <v>222</v>
      </c>
      <c r="D106" s="600">
        <v>10</v>
      </c>
      <c r="E106" s="608">
        <v>1</v>
      </c>
      <c r="F106" s="608">
        <f t="shared" si="26"/>
        <v>10</v>
      </c>
      <c r="G106" s="587">
        <f t="shared" si="22"/>
        <v>1.8</v>
      </c>
      <c r="H106" s="588">
        <f t="shared" si="24"/>
        <v>11.8</v>
      </c>
    </row>
    <row r="107" spans="2:12" x14ac:dyDescent="0.25">
      <c r="B107" s="575"/>
      <c r="C107" s="537" t="s">
        <v>273</v>
      </c>
      <c r="D107" s="609"/>
      <c r="E107" s="609"/>
      <c r="F107" s="610">
        <f>SUM(F99:F106)</f>
        <v>320</v>
      </c>
      <c r="G107" s="610">
        <f>SUM(G99:G106)</f>
        <v>57.6</v>
      </c>
      <c r="H107" s="610">
        <f>SUM(H99:H106)</f>
        <v>377.59999999999997</v>
      </c>
      <c r="J107" s="494"/>
      <c r="K107" s="494"/>
      <c r="L107" s="494"/>
    </row>
    <row r="108" spans="2:12" x14ac:dyDescent="0.25">
      <c r="B108" s="493"/>
      <c r="C108" s="508" t="s">
        <v>950</v>
      </c>
      <c r="D108" s="611"/>
      <c r="E108" s="611"/>
      <c r="F108" s="612">
        <f>F107*5%</f>
        <v>16</v>
      </c>
      <c r="G108" s="612">
        <f>F108*18%</f>
        <v>2.88</v>
      </c>
      <c r="H108" s="612">
        <f>F108+G108</f>
        <v>18.88</v>
      </c>
    </row>
    <row r="109" spans="2:12" x14ac:dyDescent="0.25">
      <c r="B109" s="556"/>
      <c r="C109" s="530" t="s">
        <v>841</v>
      </c>
      <c r="D109" s="595"/>
      <c r="E109" s="595"/>
      <c r="F109" s="596">
        <f>F107+F108</f>
        <v>336</v>
      </c>
      <c r="G109" s="596">
        <f>G107+G108</f>
        <v>60.480000000000004</v>
      </c>
      <c r="H109" s="596">
        <f>F109+G109</f>
        <v>396.48</v>
      </c>
    </row>
    <row r="110" spans="2:12" x14ac:dyDescent="0.25">
      <c r="B110" s="405"/>
      <c r="C110" s="406"/>
      <c r="D110" s="613"/>
      <c r="E110" s="614"/>
      <c r="F110" s="614"/>
    </row>
    <row r="111" spans="2:12" x14ac:dyDescent="0.25">
      <c r="B111" s="556" t="s">
        <v>823</v>
      </c>
      <c r="C111" s="541" t="s">
        <v>224</v>
      </c>
      <c r="D111" s="597"/>
      <c r="E111" s="597"/>
      <c r="F111" s="597"/>
      <c r="G111" s="597"/>
      <c r="H111" s="543" t="s">
        <v>837</v>
      </c>
    </row>
    <row r="112" spans="2:12" ht="30" x14ac:dyDescent="0.25">
      <c r="B112" s="567">
        <v>1</v>
      </c>
      <c r="C112" s="563" t="s">
        <v>826</v>
      </c>
      <c r="D112" s="586">
        <v>2</v>
      </c>
      <c r="E112" s="586">
        <v>15</v>
      </c>
      <c r="F112" s="587">
        <f>D112*E112</f>
        <v>30</v>
      </c>
      <c r="G112" s="587">
        <f>F112*5/100</f>
        <v>1.5</v>
      </c>
      <c r="H112" s="588">
        <f>F112+G112</f>
        <v>31.5</v>
      </c>
    </row>
    <row r="113" spans="1:12" x14ac:dyDescent="0.25">
      <c r="B113" s="567">
        <f>B112+1</f>
        <v>2</v>
      </c>
      <c r="C113" s="620" t="s">
        <v>963</v>
      </c>
      <c r="D113" s="586">
        <v>2</v>
      </c>
      <c r="E113" s="586">
        <f>11.45+15</f>
        <v>26.45</v>
      </c>
      <c r="F113" s="587">
        <f>D113*E113</f>
        <v>52.9</v>
      </c>
      <c r="G113" s="587">
        <f t="shared" ref="G113:G114" si="27">F113*18/100</f>
        <v>9.5219999999999985</v>
      </c>
      <c r="H113" s="588">
        <f t="shared" ref="H113:H115" si="28">F113+G113</f>
        <v>62.421999999999997</v>
      </c>
    </row>
    <row r="114" spans="1:12" x14ac:dyDescent="0.25">
      <c r="B114" s="567">
        <f t="shared" ref="B114:B115" si="29">B113+1</f>
        <v>3</v>
      </c>
      <c r="C114" s="564" t="s">
        <v>860</v>
      </c>
      <c r="D114" s="586">
        <v>1</v>
      </c>
      <c r="E114" s="621">
        <v>9.1</v>
      </c>
      <c r="F114" s="587">
        <f>D114*E114</f>
        <v>9.1</v>
      </c>
      <c r="G114" s="587">
        <f t="shared" si="27"/>
        <v>1.6379999999999999</v>
      </c>
      <c r="H114" s="588">
        <f t="shared" si="28"/>
        <v>10.738</v>
      </c>
    </row>
    <row r="115" spans="1:12" x14ac:dyDescent="0.25">
      <c r="B115" s="567">
        <f t="shared" si="29"/>
        <v>4</v>
      </c>
      <c r="C115" s="564" t="s">
        <v>230</v>
      </c>
      <c r="D115" s="586" t="s">
        <v>129</v>
      </c>
      <c r="E115" s="586"/>
      <c r="F115" s="587">
        <v>10</v>
      </c>
      <c r="G115" s="587"/>
      <c r="H115" s="588">
        <f t="shared" si="28"/>
        <v>10</v>
      </c>
    </row>
    <row r="116" spans="1:12" x14ac:dyDescent="0.25">
      <c r="B116" s="556"/>
      <c r="C116" s="530" t="s">
        <v>273</v>
      </c>
      <c r="D116" s="595"/>
      <c r="E116" s="595"/>
      <c r="F116" s="615">
        <f>SUM(F112:F115)</f>
        <v>102</v>
      </c>
      <c r="G116" s="615">
        <f>SUM(G112:G115)</f>
        <v>12.659999999999998</v>
      </c>
      <c r="H116" s="596">
        <f>SUM(H112:H115)</f>
        <v>114.66</v>
      </c>
    </row>
    <row r="117" spans="1:12" x14ac:dyDescent="0.25">
      <c r="B117" s="405"/>
      <c r="C117" s="406"/>
      <c r="D117" s="613"/>
      <c r="E117" s="614"/>
      <c r="F117" s="614"/>
    </row>
    <row r="118" spans="1:12" ht="17.25" customHeight="1" x14ac:dyDescent="0.25">
      <c r="B118" s="393"/>
      <c r="C118" s="392" t="s">
        <v>841</v>
      </c>
      <c r="D118" s="616"/>
      <c r="E118" s="616"/>
      <c r="F118" s="617">
        <f>F25+F30+F63+F96+F109+F116</f>
        <v>3351.1369620000005</v>
      </c>
      <c r="G118" s="617">
        <f>G25+G30+G63+G96+G109+G116</f>
        <v>471.45507996000009</v>
      </c>
      <c r="H118" s="617">
        <f>H25+H30+H63+H96+H109+H116</f>
        <v>3822.5920419600002</v>
      </c>
    </row>
    <row r="119" spans="1:12" x14ac:dyDescent="0.25">
      <c r="B119" s="405"/>
      <c r="C119" s="406"/>
      <c r="D119" s="613"/>
      <c r="E119" s="614"/>
      <c r="F119" s="614"/>
    </row>
    <row r="120" spans="1:12" x14ac:dyDescent="0.25">
      <c r="B120" s="405"/>
      <c r="C120" s="406"/>
      <c r="D120" s="613"/>
      <c r="E120" s="614"/>
      <c r="F120" s="614"/>
    </row>
    <row r="121" spans="1:12" s="491" customFormat="1" x14ac:dyDescent="0.25">
      <c r="A121" s="489"/>
      <c r="B121" s="405"/>
      <c r="C121" s="406"/>
      <c r="D121" s="613"/>
      <c r="E121" s="614"/>
      <c r="F121" s="614"/>
      <c r="G121" s="580"/>
      <c r="H121" s="579"/>
      <c r="I121" s="489"/>
      <c r="J121" s="489"/>
      <c r="K121" s="489"/>
      <c r="L121" s="489"/>
    </row>
    <row r="122" spans="1:12" s="491" customFormat="1" x14ac:dyDescent="0.25">
      <c r="A122" s="489"/>
      <c r="B122" s="424" t="s">
        <v>859</v>
      </c>
      <c r="C122" s="406"/>
      <c r="D122" s="613"/>
      <c r="E122" s="614"/>
      <c r="F122" s="618"/>
      <c r="G122" s="580"/>
      <c r="H122" s="579"/>
      <c r="I122" s="489"/>
      <c r="J122" s="489"/>
      <c r="K122" s="489"/>
      <c r="L122" s="489"/>
    </row>
    <row r="123" spans="1:12" s="491" customFormat="1" x14ac:dyDescent="0.25">
      <c r="A123" s="489"/>
      <c r="B123" s="405"/>
      <c r="C123" s="406"/>
      <c r="D123" s="613"/>
      <c r="E123" s="614"/>
      <c r="F123" s="614"/>
      <c r="G123" s="580"/>
      <c r="H123" s="579"/>
      <c r="I123" s="489"/>
      <c r="J123" s="489"/>
      <c r="K123" s="489"/>
      <c r="L123" s="489"/>
    </row>
    <row r="124" spans="1:12" s="491" customFormat="1" x14ac:dyDescent="0.25">
      <c r="A124" s="489"/>
      <c r="B124" s="405"/>
      <c r="C124" s="406"/>
      <c r="D124" s="613"/>
      <c r="E124" s="614"/>
      <c r="F124" s="614"/>
      <c r="G124" s="580"/>
      <c r="H124" s="579"/>
      <c r="I124" s="489"/>
      <c r="J124" s="489"/>
      <c r="K124" s="489"/>
      <c r="L124" s="489"/>
    </row>
    <row r="125" spans="1:12" s="491" customFormat="1" x14ac:dyDescent="0.25">
      <c r="A125" s="489"/>
      <c r="B125" s="405"/>
      <c r="C125" s="406"/>
      <c r="D125" s="613"/>
      <c r="E125" s="614"/>
      <c r="F125" s="614"/>
      <c r="G125" s="580"/>
      <c r="H125" s="579"/>
      <c r="I125" s="489"/>
      <c r="J125" s="489"/>
      <c r="K125" s="489"/>
      <c r="L125" s="489"/>
    </row>
  </sheetData>
  <mergeCells count="2">
    <mergeCell ref="B2:H2"/>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L121"/>
  <sheetViews>
    <sheetView showGridLines="0" topLeftCell="A100" zoomScaleNormal="100" workbookViewId="0">
      <selection activeCell="H24" sqref="H24"/>
    </sheetView>
  </sheetViews>
  <sheetFormatPr defaultColWidth="16" defaultRowHeight="15" x14ac:dyDescent="0.25"/>
  <cols>
    <col min="1" max="1" width="4.85546875" style="489" customWidth="1"/>
    <col min="2" max="2" width="8.42578125" style="488" customWidth="1"/>
    <col min="3" max="3" width="51.7109375" style="489" customWidth="1"/>
    <col min="4" max="4" width="14.140625" style="488" customWidth="1"/>
    <col min="5" max="5" width="13.28515625" style="488" customWidth="1"/>
    <col min="6" max="6" width="15.28515625" style="490" customWidth="1"/>
    <col min="7" max="7" width="14.140625" style="491" customWidth="1"/>
    <col min="8" max="8" width="17.5703125" style="489" customWidth="1"/>
    <col min="9" max="16384" width="16" style="489"/>
  </cols>
  <sheetData>
    <row r="2" spans="2:10" ht="21" customHeight="1" x14ac:dyDescent="0.25">
      <c r="B2" s="657" t="s">
        <v>881</v>
      </c>
      <c r="C2" s="657"/>
      <c r="D2" s="657"/>
      <c r="E2" s="657"/>
      <c r="F2" s="657"/>
      <c r="G2" s="657"/>
      <c r="H2" s="657"/>
    </row>
    <row r="4" spans="2:10" ht="33" customHeight="1" x14ac:dyDescent="0.25">
      <c r="B4" s="658" t="s">
        <v>882</v>
      </c>
      <c r="C4" s="658"/>
      <c r="D4" s="658"/>
      <c r="E4" s="658"/>
      <c r="F4" s="658"/>
      <c r="G4" s="658"/>
      <c r="H4" s="658"/>
    </row>
    <row r="5" spans="2:10" ht="11.25" customHeight="1" x14ac:dyDescent="0.25">
      <c r="B5" s="489"/>
      <c r="D5" s="489"/>
      <c r="E5" s="489"/>
      <c r="F5" s="489"/>
      <c r="G5" s="489"/>
    </row>
    <row r="6" spans="2:10" ht="27.6" customHeight="1" x14ac:dyDescent="0.25">
      <c r="B6" s="395" t="s">
        <v>734</v>
      </c>
      <c r="C6" s="395" t="s">
        <v>120</v>
      </c>
      <c r="D6" s="395" t="s">
        <v>839</v>
      </c>
      <c r="E6" s="395" t="s">
        <v>122</v>
      </c>
      <c r="F6" s="396" t="s">
        <v>833</v>
      </c>
      <c r="G6" s="544" t="s">
        <v>831</v>
      </c>
      <c r="H6" s="544" t="s">
        <v>832</v>
      </c>
    </row>
    <row r="7" spans="2:10" ht="18.75" customHeight="1" x14ac:dyDescent="0.25">
      <c r="B7" s="492" t="s">
        <v>774</v>
      </c>
      <c r="C7" s="498" t="s">
        <v>125</v>
      </c>
      <c r="D7" s="499"/>
      <c r="E7" s="499"/>
      <c r="F7" s="499"/>
      <c r="G7" s="499"/>
      <c r="H7" s="500"/>
    </row>
    <row r="8" spans="2:10" ht="60" x14ac:dyDescent="0.25">
      <c r="B8" s="509">
        <v>1</v>
      </c>
      <c r="C8" s="510" t="s">
        <v>127</v>
      </c>
      <c r="D8" s="509" t="s">
        <v>128</v>
      </c>
      <c r="E8" s="509" t="s">
        <v>129</v>
      </c>
      <c r="F8" s="511">
        <f>100000/100000</f>
        <v>1</v>
      </c>
      <c r="G8" s="511"/>
      <c r="H8" s="512">
        <f>F8+G8</f>
        <v>1</v>
      </c>
    </row>
    <row r="9" spans="2:10" x14ac:dyDescent="0.25">
      <c r="B9" s="493">
        <f>B8+1</f>
        <v>2</v>
      </c>
      <c r="C9" s="507" t="s">
        <v>883</v>
      </c>
      <c r="D9" s="493" t="s">
        <v>128</v>
      </c>
      <c r="E9" s="493" t="s">
        <v>129</v>
      </c>
      <c r="F9" s="386">
        <v>3</v>
      </c>
      <c r="G9" s="386"/>
      <c r="H9" s="501">
        <f>F9+G9</f>
        <v>3</v>
      </c>
    </row>
    <row r="10" spans="2:10" x14ac:dyDescent="0.25">
      <c r="B10" s="509">
        <f t="shared" ref="B10:B23" si="0">B9+1</f>
        <v>3</v>
      </c>
      <c r="C10" s="513" t="s">
        <v>133</v>
      </c>
      <c r="D10" s="509" t="s">
        <v>128</v>
      </c>
      <c r="E10" s="509" t="s">
        <v>129</v>
      </c>
      <c r="F10" s="511">
        <v>2</v>
      </c>
      <c r="G10" s="511"/>
      <c r="H10" s="512">
        <f t="shared" ref="H10:H23" si="1">F10+G10</f>
        <v>2</v>
      </c>
    </row>
    <row r="11" spans="2:10" ht="30" x14ac:dyDescent="0.25">
      <c r="B11" s="509">
        <f t="shared" si="0"/>
        <v>4</v>
      </c>
      <c r="C11" s="513" t="s">
        <v>135</v>
      </c>
      <c r="D11" s="509" t="s">
        <v>128</v>
      </c>
      <c r="E11" s="509" t="s">
        <v>129</v>
      </c>
      <c r="F11" s="511">
        <v>6</v>
      </c>
      <c r="G11" s="511"/>
      <c r="H11" s="512">
        <f t="shared" si="1"/>
        <v>6</v>
      </c>
    </row>
    <row r="12" spans="2:10" x14ac:dyDescent="0.25">
      <c r="B12" s="509">
        <f t="shared" si="0"/>
        <v>5</v>
      </c>
      <c r="C12" s="513" t="s">
        <v>137</v>
      </c>
      <c r="D12" s="509" t="s">
        <v>128</v>
      </c>
      <c r="E12" s="509" t="s">
        <v>129</v>
      </c>
      <c r="F12" s="511">
        <v>3</v>
      </c>
      <c r="G12" s="511">
        <f t="shared" ref="G12:G13" si="2">F12*18/100</f>
        <v>0.54</v>
      </c>
      <c r="H12" s="512">
        <f t="shared" si="1"/>
        <v>3.54</v>
      </c>
      <c r="J12" s="494"/>
    </row>
    <row r="13" spans="2:10" ht="30" x14ac:dyDescent="0.25">
      <c r="B13" s="509">
        <f t="shared" si="0"/>
        <v>6</v>
      </c>
      <c r="C13" s="513" t="s">
        <v>139</v>
      </c>
      <c r="D13" s="509" t="s">
        <v>128</v>
      </c>
      <c r="E13" s="509" t="s">
        <v>129</v>
      </c>
      <c r="F13" s="511">
        <v>10</v>
      </c>
      <c r="G13" s="511">
        <f t="shared" si="2"/>
        <v>1.8</v>
      </c>
      <c r="H13" s="512">
        <f t="shared" si="1"/>
        <v>11.8</v>
      </c>
      <c r="J13" s="494"/>
    </row>
    <row r="14" spans="2:10" ht="30" x14ac:dyDescent="0.25">
      <c r="B14" s="509">
        <f t="shared" si="0"/>
        <v>7</v>
      </c>
      <c r="C14" s="513" t="s">
        <v>141</v>
      </c>
      <c r="D14" s="509" t="s">
        <v>128</v>
      </c>
      <c r="E14" s="509" t="s">
        <v>129</v>
      </c>
      <c r="F14" s="511">
        <v>5</v>
      </c>
      <c r="G14" s="511"/>
      <c r="H14" s="512">
        <f t="shared" si="1"/>
        <v>5</v>
      </c>
    </row>
    <row r="15" spans="2:10" ht="22.9" customHeight="1" x14ac:dyDescent="0.25">
      <c r="B15" s="509">
        <f t="shared" si="0"/>
        <v>8</v>
      </c>
      <c r="C15" s="513" t="s">
        <v>775</v>
      </c>
      <c r="D15" s="509" t="s">
        <v>128</v>
      </c>
      <c r="E15" s="509" t="s">
        <v>129</v>
      </c>
      <c r="F15" s="511">
        <v>7</v>
      </c>
      <c r="G15" s="511"/>
      <c r="H15" s="512">
        <f t="shared" si="1"/>
        <v>7</v>
      </c>
    </row>
    <row r="16" spans="2:10" x14ac:dyDescent="0.25">
      <c r="B16" s="509">
        <f t="shared" si="0"/>
        <v>9</v>
      </c>
      <c r="C16" s="514" t="s">
        <v>239</v>
      </c>
      <c r="D16" s="509" t="s">
        <v>200</v>
      </c>
      <c r="E16" s="509"/>
      <c r="F16" s="511">
        <v>30</v>
      </c>
      <c r="G16" s="511"/>
      <c r="H16" s="512">
        <f t="shared" si="1"/>
        <v>30</v>
      </c>
    </row>
    <row r="17" spans="2:10" x14ac:dyDescent="0.25">
      <c r="B17" s="509">
        <f t="shared" si="0"/>
        <v>10</v>
      </c>
      <c r="C17" s="514" t="s">
        <v>777</v>
      </c>
      <c r="D17" s="509">
        <v>2</v>
      </c>
      <c r="E17" s="509">
        <v>3</v>
      </c>
      <c r="F17" s="511">
        <f>D17*E17</f>
        <v>6</v>
      </c>
      <c r="G17" s="511">
        <f>F17*18/100</f>
        <v>1.08</v>
      </c>
      <c r="H17" s="512">
        <f t="shared" si="1"/>
        <v>7.08</v>
      </c>
    </row>
    <row r="18" spans="2:10" x14ac:dyDescent="0.25">
      <c r="B18" s="509">
        <f t="shared" si="0"/>
        <v>11</v>
      </c>
      <c r="C18" s="513" t="s">
        <v>146</v>
      </c>
      <c r="D18" s="509" t="s">
        <v>128</v>
      </c>
      <c r="E18" s="509" t="s">
        <v>129</v>
      </c>
      <c r="F18" s="511">
        <v>1</v>
      </c>
      <c r="G18" s="511">
        <f t="shared" ref="G18:G20" si="3">F18*18/100</f>
        <v>0.18</v>
      </c>
      <c r="H18" s="512">
        <f t="shared" si="1"/>
        <v>1.18</v>
      </c>
    </row>
    <row r="19" spans="2:10" x14ac:dyDescent="0.25">
      <c r="B19" s="515">
        <f t="shared" si="0"/>
        <v>12</v>
      </c>
      <c r="C19" s="516" t="s">
        <v>884</v>
      </c>
      <c r="D19" s="515" t="s">
        <v>128</v>
      </c>
      <c r="E19" s="515" t="s">
        <v>129</v>
      </c>
      <c r="F19" s="517">
        <v>23</v>
      </c>
      <c r="G19" s="517">
        <f t="shared" si="3"/>
        <v>4.1399999999999997</v>
      </c>
      <c r="H19" s="518">
        <f t="shared" si="1"/>
        <v>27.14</v>
      </c>
      <c r="J19" s="495"/>
    </row>
    <row r="20" spans="2:10" x14ac:dyDescent="0.25">
      <c r="B20" s="509">
        <f t="shared" si="0"/>
        <v>13</v>
      </c>
      <c r="C20" s="513" t="s">
        <v>779</v>
      </c>
      <c r="D20" s="509" t="s">
        <v>128</v>
      </c>
      <c r="E20" s="509" t="s">
        <v>129</v>
      </c>
      <c r="F20" s="511">
        <v>15</v>
      </c>
      <c r="G20" s="511">
        <f t="shared" si="3"/>
        <v>2.7</v>
      </c>
      <c r="H20" s="512">
        <f t="shared" si="1"/>
        <v>17.7</v>
      </c>
    </row>
    <row r="21" spans="2:10" ht="30" x14ac:dyDescent="0.25">
      <c r="B21" s="509">
        <f t="shared" si="0"/>
        <v>14</v>
      </c>
      <c r="C21" s="513" t="s">
        <v>780</v>
      </c>
      <c r="D21" s="509" t="s">
        <v>128</v>
      </c>
      <c r="E21" s="509" t="s">
        <v>129</v>
      </c>
      <c r="F21" s="511">
        <v>5</v>
      </c>
      <c r="G21" s="511"/>
      <c r="H21" s="512">
        <f t="shared" si="1"/>
        <v>5</v>
      </c>
    </row>
    <row r="22" spans="2:10" ht="30" x14ac:dyDescent="0.25">
      <c r="B22" s="509">
        <f t="shared" si="0"/>
        <v>15</v>
      </c>
      <c r="C22" s="519" t="s">
        <v>885</v>
      </c>
      <c r="D22" s="509" t="s">
        <v>128</v>
      </c>
      <c r="E22" s="509" t="s">
        <v>129</v>
      </c>
      <c r="F22" s="511">
        <v>25</v>
      </c>
      <c r="G22" s="511"/>
      <c r="H22" s="512">
        <f t="shared" si="1"/>
        <v>25</v>
      </c>
    </row>
    <row r="23" spans="2:10" x14ac:dyDescent="0.25">
      <c r="B23" s="509">
        <f t="shared" si="0"/>
        <v>16</v>
      </c>
      <c r="C23" s="513" t="s">
        <v>844</v>
      </c>
      <c r="D23" s="509" t="s">
        <v>128</v>
      </c>
      <c r="E23" s="509"/>
      <c r="F23" s="511">
        <v>20</v>
      </c>
      <c r="G23" s="511"/>
      <c r="H23" s="520">
        <f t="shared" si="1"/>
        <v>20</v>
      </c>
    </row>
    <row r="24" spans="2:10" ht="18" customHeight="1" x14ac:dyDescent="0.25">
      <c r="B24" s="528"/>
      <c r="C24" s="530" t="s">
        <v>273</v>
      </c>
      <c r="D24" s="530"/>
      <c r="E24" s="530"/>
      <c r="F24" s="531">
        <f>SUM(F8:F23)</f>
        <v>162</v>
      </c>
      <c r="G24" s="531">
        <f>SUM(G8:G23)</f>
        <v>10.440000000000001</v>
      </c>
      <c r="H24" s="531">
        <f>SUM(H8:H23)</f>
        <v>172.44</v>
      </c>
      <c r="J24" s="494"/>
    </row>
    <row r="25" spans="2:10" x14ac:dyDescent="0.25">
      <c r="D25" s="489"/>
      <c r="E25" s="489"/>
      <c r="F25" s="489"/>
      <c r="G25" s="489"/>
    </row>
    <row r="26" spans="2:10" ht="18" customHeight="1" x14ac:dyDescent="0.25">
      <c r="B26" s="528" t="s">
        <v>782</v>
      </c>
      <c r="C26" s="541" t="s">
        <v>835</v>
      </c>
      <c r="D26" s="542"/>
      <c r="E26" s="542"/>
      <c r="F26" s="542"/>
      <c r="G26" s="542"/>
      <c r="H26" s="543" t="s">
        <v>837</v>
      </c>
    </row>
    <row r="27" spans="2:10" x14ac:dyDescent="0.25">
      <c r="B27" s="509">
        <v>1</v>
      </c>
      <c r="C27" s="521" t="s">
        <v>836</v>
      </c>
      <c r="D27" s="509">
        <v>5.49</v>
      </c>
      <c r="E27" s="509">
        <v>14.8</v>
      </c>
      <c r="F27" s="511">
        <f>D27*E27</f>
        <v>81.25200000000001</v>
      </c>
      <c r="G27" s="511"/>
      <c r="H27" s="512">
        <f t="shared" ref="H27:H28" si="4">F27+G27</f>
        <v>81.25200000000001</v>
      </c>
    </row>
    <row r="28" spans="2:10" x14ac:dyDescent="0.25">
      <c r="B28" s="509">
        <f>B27+1</f>
        <v>2</v>
      </c>
      <c r="C28" s="521" t="s">
        <v>236</v>
      </c>
      <c r="D28" s="522"/>
      <c r="E28" s="523"/>
      <c r="F28" s="511">
        <v>10</v>
      </c>
      <c r="G28" s="511"/>
      <c r="H28" s="512">
        <f t="shared" si="4"/>
        <v>10</v>
      </c>
    </row>
    <row r="29" spans="2:10" ht="17.25" customHeight="1" x14ac:dyDescent="0.25">
      <c r="B29" s="528"/>
      <c r="C29" s="530" t="s">
        <v>273</v>
      </c>
      <c r="D29" s="531">
        <f t="shared" ref="D29:G29" si="5">SUM(D27:D28)</f>
        <v>5.49</v>
      </c>
      <c r="E29" s="531">
        <f t="shared" si="5"/>
        <v>14.8</v>
      </c>
      <c r="F29" s="531">
        <f t="shared" si="5"/>
        <v>91.25200000000001</v>
      </c>
      <c r="G29" s="531">
        <f t="shared" si="5"/>
        <v>0</v>
      </c>
      <c r="H29" s="531">
        <f>SUM(H27:H28)</f>
        <v>91.25200000000001</v>
      </c>
    </row>
    <row r="30" spans="2:10" x14ac:dyDescent="0.25">
      <c r="D30" s="489"/>
      <c r="E30" s="489"/>
      <c r="F30" s="489"/>
      <c r="G30" s="489"/>
    </row>
    <row r="31" spans="2:10" ht="18.75" customHeight="1" x14ac:dyDescent="0.25">
      <c r="B31" s="528" t="s">
        <v>808</v>
      </c>
      <c r="C31" s="541" t="s">
        <v>783</v>
      </c>
      <c r="D31" s="542"/>
      <c r="E31" s="542"/>
      <c r="F31" s="542"/>
      <c r="G31" s="542"/>
      <c r="H31" s="543" t="s">
        <v>837</v>
      </c>
    </row>
    <row r="32" spans="2:10" ht="30" x14ac:dyDescent="0.25">
      <c r="B32" s="509">
        <v>1</v>
      </c>
      <c r="C32" s="524" t="s">
        <v>784</v>
      </c>
      <c r="D32" s="525">
        <v>205</v>
      </c>
      <c r="E32" s="525">
        <v>8000</v>
      </c>
      <c r="F32" s="526">
        <f t="shared" ref="F32:F54" si="6">(D32*E32)/100000</f>
        <v>16.399999999999999</v>
      </c>
      <c r="G32" s="511">
        <f>F32*15/100</f>
        <v>2.4599999999999995</v>
      </c>
      <c r="H32" s="520">
        <f>F32+G32</f>
        <v>18.86</v>
      </c>
    </row>
    <row r="33" spans="2:8" x14ac:dyDescent="0.25">
      <c r="B33" s="509">
        <f>B32+1</f>
        <v>2</v>
      </c>
      <c r="C33" s="524" t="s">
        <v>785</v>
      </c>
      <c r="D33" s="525">
        <v>235</v>
      </c>
      <c r="E33" s="525">
        <v>13600</v>
      </c>
      <c r="F33" s="526">
        <f t="shared" si="6"/>
        <v>31.96</v>
      </c>
      <c r="G33" s="511">
        <f t="shared" ref="G33:G53" si="7">F33*15/100</f>
        <v>4.7940000000000005</v>
      </c>
      <c r="H33" s="520">
        <f t="shared" ref="H33:H60" si="8">F33+G33</f>
        <v>36.754000000000005</v>
      </c>
    </row>
    <row r="34" spans="2:8" ht="45" x14ac:dyDescent="0.25">
      <c r="B34" s="509">
        <f t="shared" ref="B34:B60" si="9">B33+1</f>
        <v>3</v>
      </c>
      <c r="C34" s="524" t="s">
        <v>786</v>
      </c>
      <c r="D34" s="525">
        <v>476</v>
      </c>
      <c r="E34" s="525">
        <v>12000</v>
      </c>
      <c r="F34" s="526">
        <f t="shared" si="6"/>
        <v>57.12</v>
      </c>
      <c r="G34" s="511">
        <f t="shared" si="7"/>
        <v>8.5679999999999996</v>
      </c>
      <c r="H34" s="520">
        <f t="shared" si="8"/>
        <v>65.688000000000002</v>
      </c>
    </row>
    <row r="35" spans="2:8" ht="30" x14ac:dyDescent="0.25">
      <c r="B35" s="509">
        <f t="shared" si="9"/>
        <v>4</v>
      </c>
      <c r="C35" s="524" t="s">
        <v>787</v>
      </c>
      <c r="D35" s="525">
        <v>180</v>
      </c>
      <c r="E35" s="525">
        <v>3300</v>
      </c>
      <c r="F35" s="526">
        <f t="shared" si="6"/>
        <v>5.94</v>
      </c>
      <c r="G35" s="511">
        <f t="shared" si="7"/>
        <v>0.89100000000000013</v>
      </c>
      <c r="H35" s="520">
        <f t="shared" si="8"/>
        <v>6.8310000000000004</v>
      </c>
    </row>
    <row r="36" spans="2:8" ht="30" x14ac:dyDescent="0.25">
      <c r="B36" s="509">
        <f t="shared" si="9"/>
        <v>5</v>
      </c>
      <c r="C36" s="524" t="s">
        <v>788</v>
      </c>
      <c r="D36" s="525">
        <v>232</v>
      </c>
      <c r="E36" s="525">
        <v>7000</v>
      </c>
      <c r="F36" s="533">
        <f t="shared" si="6"/>
        <v>16.239999999999998</v>
      </c>
      <c r="G36" s="511">
        <f t="shared" si="7"/>
        <v>2.4359999999999995</v>
      </c>
      <c r="H36" s="520">
        <f t="shared" si="8"/>
        <v>18.675999999999998</v>
      </c>
    </row>
    <row r="37" spans="2:8" ht="45" x14ac:dyDescent="0.25">
      <c r="B37" s="509">
        <f t="shared" si="9"/>
        <v>6</v>
      </c>
      <c r="C37" s="524" t="s">
        <v>789</v>
      </c>
      <c r="D37" s="525">
        <v>1276</v>
      </c>
      <c r="E37" s="525">
        <v>9000</v>
      </c>
      <c r="F37" s="533">
        <f t="shared" si="6"/>
        <v>114.84</v>
      </c>
      <c r="G37" s="511">
        <f t="shared" si="7"/>
        <v>17.226000000000003</v>
      </c>
      <c r="H37" s="520">
        <f t="shared" si="8"/>
        <v>132.066</v>
      </c>
    </row>
    <row r="38" spans="2:8" ht="30" x14ac:dyDescent="0.25">
      <c r="B38" s="509">
        <f t="shared" si="9"/>
        <v>7</v>
      </c>
      <c r="C38" s="524" t="s">
        <v>790</v>
      </c>
      <c r="D38" s="534">
        <v>7.2</v>
      </c>
      <c r="E38" s="525">
        <v>9000</v>
      </c>
      <c r="F38" s="533">
        <f t="shared" si="6"/>
        <v>0.64800000000000002</v>
      </c>
      <c r="G38" s="511">
        <f t="shared" si="7"/>
        <v>9.7200000000000009E-2</v>
      </c>
      <c r="H38" s="520">
        <f t="shared" si="8"/>
        <v>0.74520000000000008</v>
      </c>
    </row>
    <row r="39" spans="2:8" x14ac:dyDescent="0.25">
      <c r="B39" s="509">
        <f t="shared" si="9"/>
        <v>8</v>
      </c>
      <c r="C39" s="524" t="s">
        <v>791</v>
      </c>
      <c r="D39" s="525">
        <v>163</v>
      </c>
      <c r="E39" s="525">
        <v>6400</v>
      </c>
      <c r="F39" s="533">
        <f t="shared" si="6"/>
        <v>10.432</v>
      </c>
      <c r="G39" s="511">
        <f t="shared" si="7"/>
        <v>1.5648000000000002</v>
      </c>
      <c r="H39" s="520">
        <f t="shared" si="8"/>
        <v>11.9968</v>
      </c>
    </row>
    <row r="40" spans="2:8" ht="30" x14ac:dyDescent="0.25">
      <c r="B40" s="509">
        <f t="shared" si="9"/>
        <v>9</v>
      </c>
      <c r="C40" s="524" t="s">
        <v>792</v>
      </c>
      <c r="D40" s="525">
        <v>750</v>
      </c>
      <c r="E40" s="525">
        <v>3300</v>
      </c>
      <c r="F40" s="533">
        <f t="shared" si="6"/>
        <v>24.75</v>
      </c>
      <c r="G40" s="511">
        <f t="shared" si="7"/>
        <v>3.7124999999999999</v>
      </c>
      <c r="H40" s="520">
        <f t="shared" si="8"/>
        <v>28.462499999999999</v>
      </c>
    </row>
    <row r="41" spans="2:8" x14ac:dyDescent="0.25">
      <c r="B41" s="509">
        <f t="shared" si="9"/>
        <v>10</v>
      </c>
      <c r="C41" s="524" t="s">
        <v>793</v>
      </c>
      <c r="D41" s="534">
        <v>63.38</v>
      </c>
      <c r="E41" s="525">
        <v>6400</v>
      </c>
      <c r="F41" s="533">
        <f t="shared" si="6"/>
        <v>4.0563200000000004</v>
      </c>
      <c r="G41" s="511">
        <f t="shared" si="7"/>
        <v>0.6084480000000001</v>
      </c>
      <c r="H41" s="520">
        <f t="shared" si="8"/>
        <v>4.6647680000000005</v>
      </c>
    </row>
    <row r="42" spans="2:8" x14ac:dyDescent="0.25">
      <c r="B42" s="509">
        <f t="shared" si="9"/>
        <v>11</v>
      </c>
      <c r="C42" s="524" t="s">
        <v>794</v>
      </c>
      <c r="D42" s="525">
        <v>54</v>
      </c>
      <c r="E42" s="525">
        <v>3300</v>
      </c>
      <c r="F42" s="533">
        <f t="shared" si="6"/>
        <v>1.782</v>
      </c>
      <c r="G42" s="511">
        <f t="shared" si="7"/>
        <v>0.26729999999999998</v>
      </c>
      <c r="H42" s="520">
        <f t="shared" si="8"/>
        <v>2.0493000000000001</v>
      </c>
    </row>
    <row r="43" spans="2:8" x14ac:dyDescent="0.25">
      <c r="B43" s="509">
        <f t="shared" si="9"/>
        <v>12</v>
      </c>
      <c r="C43" s="524" t="s">
        <v>795</v>
      </c>
      <c r="D43" s="534">
        <v>250</v>
      </c>
      <c r="E43" s="525">
        <v>6400</v>
      </c>
      <c r="F43" s="533">
        <f t="shared" si="6"/>
        <v>16</v>
      </c>
      <c r="G43" s="511">
        <f t="shared" si="7"/>
        <v>2.4</v>
      </c>
      <c r="H43" s="520">
        <f t="shared" si="8"/>
        <v>18.399999999999999</v>
      </c>
    </row>
    <row r="44" spans="2:8" ht="30" x14ac:dyDescent="0.25">
      <c r="B44" s="509">
        <f t="shared" si="9"/>
        <v>13</v>
      </c>
      <c r="C44" s="524" t="s">
        <v>796</v>
      </c>
      <c r="D44" s="534">
        <v>58.83</v>
      </c>
      <c r="E44" s="525">
        <v>6400</v>
      </c>
      <c r="F44" s="533">
        <f t="shared" si="6"/>
        <v>3.76512</v>
      </c>
      <c r="G44" s="511">
        <f t="shared" si="7"/>
        <v>0.56476799999999994</v>
      </c>
      <c r="H44" s="520">
        <f t="shared" si="8"/>
        <v>4.3298880000000004</v>
      </c>
    </row>
    <row r="45" spans="2:8" ht="30" x14ac:dyDescent="0.25">
      <c r="B45" s="509">
        <f t="shared" si="9"/>
        <v>14</v>
      </c>
      <c r="C45" s="524" t="s">
        <v>797</v>
      </c>
      <c r="D45" s="525">
        <v>54</v>
      </c>
      <c r="E45" s="525">
        <v>3300</v>
      </c>
      <c r="F45" s="533">
        <f t="shared" si="6"/>
        <v>1.782</v>
      </c>
      <c r="G45" s="511">
        <f t="shared" si="7"/>
        <v>0.26729999999999998</v>
      </c>
      <c r="H45" s="520">
        <f t="shared" si="8"/>
        <v>2.0493000000000001</v>
      </c>
    </row>
    <row r="46" spans="2:8" x14ac:dyDescent="0.25">
      <c r="B46" s="509">
        <f t="shared" si="9"/>
        <v>15</v>
      </c>
      <c r="C46" s="524" t="s">
        <v>798</v>
      </c>
      <c r="D46" s="525">
        <v>215</v>
      </c>
      <c r="E46" s="525">
        <v>3200</v>
      </c>
      <c r="F46" s="533">
        <f t="shared" si="6"/>
        <v>6.88</v>
      </c>
      <c r="G46" s="511">
        <f t="shared" si="7"/>
        <v>1.032</v>
      </c>
      <c r="H46" s="520">
        <f t="shared" si="8"/>
        <v>7.9119999999999999</v>
      </c>
    </row>
    <row r="47" spans="2:8" x14ac:dyDescent="0.25">
      <c r="B47" s="509">
        <f t="shared" si="9"/>
        <v>16</v>
      </c>
      <c r="C47" s="524" t="s">
        <v>799</v>
      </c>
      <c r="D47" s="525">
        <v>215</v>
      </c>
      <c r="E47" s="525">
        <v>6500</v>
      </c>
      <c r="F47" s="533">
        <f t="shared" si="6"/>
        <v>13.975</v>
      </c>
      <c r="G47" s="511">
        <f t="shared" si="7"/>
        <v>2.0962499999999999</v>
      </c>
      <c r="H47" s="520">
        <f t="shared" si="8"/>
        <v>16.071249999999999</v>
      </c>
    </row>
    <row r="48" spans="2:8" x14ac:dyDescent="0.25">
      <c r="B48" s="509">
        <f t="shared" si="9"/>
        <v>17</v>
      </c>
      <c r="C48" s="524" t="s">
        <v>800</v>
      </c>
      <c r="D48" s="525">
        <v>10</v>
      </c>
      <c r="E48" s="525">
        <v>13000</v>
      </c>
      <c r="F48" s="533">
        <f t="shared" si="6"/>
        <v>1.3</v>
      </c>
      <c r="G48" s="511">
        <f t="shared" si="7"/>
        <v>0.19500000000000001</v>
      </c>
      <c r="H48" s="520">
        <f t="shared" si="8"/>
        <v>1.4950000000000001</v>
      </c>
    </row>
    <row r="49" spans="2:12" x14ac:dyDescent="0.25">
      <c r="B49" s="509">
        <f t="shared" si="9"/>
        <v>18</v>
      </c>
      <c r="C49" s="524" t="s">
        <v>801</v>
      </c>
      <c r="D49" s="525">
        <v>200</v>
      </c>
      <c r="E49" s="525">
        <v>16000</v>
      </c>
      <c r="F49" s="533">
        <f t="shared" si="6"/>
        <v>32</v>
      </c>
      <c r="G49" s="511">
        <f t="shared" si="7"/>
        <v>4.8</v>
      </c>
      <c r="H49" s="520">
        <f t="shared" si="8"/>
        <v>36.799999999999997</v>
      </c>
    </row>
    <row r="50" spans="2:12" x14ac:dyDescent="0.25">
      <c r="B50" s="509">
        <f>B49+1</f>
        <v>19</v>
      </c>
      <c r="C50" s="524" t="s">
        <v>802</v>
      </c>
      <c r="D50" s="525">
        <v>24</v>
      </c>
      <c r="E50" s="525">
        <v>13000</v>
      </c>
      <c r="F50" s="533">
        <f t="shared" si="6"/>
        <v>3.12</v>
      </c>
      <c r="G50" s="511">
        <f t="shared" si="7"/>
        <v>0.46800000000000003</v>
      </c>
      <c r="H50" s="520">
        <f t="shared" si="8"/>
        <v>3.5880000000000001</v>
      </c>
    </row>
    <row r="51" spans="2:12" x14ac:dyDescent="0.25">
      <c r="B51" s="509">
        <f t="shared" si="9"/>
        <v>20</v>
      </c>
      <c r="C51" s="524" t="s">
        <v>803</v>
      </c>
      <c r="D51" s="525">
        <v>200</v>
      </c>
      <c r="E51" s="525">
        <v>15000</v>
      </c>
      <c r="F51" s="533">
        <f t="shared" si="6"/>
        <v>30</v>
      </c>
      <c r="G51" s="511">
        <f t="shared" si="7"/>
        <v>4.5</v>
      </c>
      <c r="H51" s="520">
        <f t="shared" si="8"/>
        <v>34.5</v>
      </c>
    </row>
    <row r="52" spans="2:12" x14ac:dyDescent="0.25">
      <c r="B52" s="509">
        <f t="shared" si="9"/>
        <v>21</v>
      </c>
      <c r="C52" s="524" t="s">
        <v>804</v>
      </c>
      <c r="D52" s="525">
        <v>90</v>
      </c>
      <c r="E52" s="525">
        <v>13000</v>
      </c>
      <c r="F52" s="533">
        <f t="shared" si="6"/>
        <v>11.7</v>
      </c>
      <c r="G52" s="511">
        <f t="shared" si="7"/>
        <v>1.7549999999999999</v>
      </c>
      <c r="H52" s="520">
        <f t="shared" si="8"/>
        <v>13.454999999999998</v>
      </c>
    </row>
    <row r="53" spans="2:12" x14ac:dyDescent="0.25">
      <c r="B53" s="509">
        <f t="shared" si="9"/>
        <v>22</v>
      </c>
      <c r="C53" s="524" t="s">
        <v>805</v>
      </c>
      <c r="D53" s="525">
        <v>90</v>
      </c>
      <c r="E53" s="525">
        <v>13000</v>
      </c>
      <c r="F53" s="533">
        <f t="shared" si="6"/>
        <v>11.7</v>
      </c>
      <c r="G53" s="511">
        <f t="shared" si="7"/>
        <v>1.7549999999999999</v>
      </c>
      <c r="H53" s="520">
        <f t="shared" si="8"/>
        <v>13.454999999999998</v>
      </c>
    </row>
    <row r="54" spans="2:12" ht="30" x14ac:dyDescent="0.25">
      <c r="B54" s="509">
        <f t="shared" si="9"/>
        <v>23</v>
      </c>
      <c r="C54" s="524" t="s">
        <v>806</v>
      </c>
      <c r="D54" s="525">
        <v>156</v>
      </c>
      <c r="E54" s="525">
        <v>89000</v>
      </c>
      <c r="F54" s="533">
        <f t="shared" si="6"/>
        <v>138.84</v>
      </c>
      <c r="G54" s="511">
        <f>F54*12/100</f>
        <v>16.660799999999998</v>
      </c>
      <c r="H54" s="520">
        <f t="shared" si="8"/>
        <v>155.5008</v>
      </c>
    </row>
    <row r="55" spans="2:12" x14ac:dyDescent="0.25">
      <c r="B55" s="509">
        <f t="shared" si="9"/>
        <v>24</v>
      </c>
      <c r="C55" s="524" t="s">
        <v>807</v>
      </c>
      <c r="D55" s="534" t="s">
        <v>128</v>
      </c>
      <c r="E55" s="534"/>
      <c r="F55" s="526">
        <v>25</v>
      </c>
      <c r="G55" s="511">
        <f t="shared" ref="G55:G58" si="10">F55*15/100</f>
        <v>3.75</v>
      </c>
      <c r="H55" s="520">
        <f t="shared" si="8"/>
        <v>28.75</v>
      </c>
    </row>
    <row r="56" spans="2:12" x14ac:dyDescent="0.25">
      <c r="B56" s="509">
        <f t="shared" si="9"/>
        <v>25</v>
      </c>
      <c r="C56" s="524" t="s">
        <v>166</v>
      </c>
      <c r="D56" s="534" t="s">
        <v>128</v>
      </c>
      <c r="E56" s="534"/>
      <c r="F56" s="526">
        <v>10</v>
      </c>
      <c r="G56" s="511">
        <f t="shared" si="10"/>
        <v>1.5</v>
      </c>
      <c r="H56" s="520">
        <f t="shared" si="8"/>
        <v>11.5</v>
      </c>
    </row>
    <row r="57" spans="2:12" x14ac:dyDescent="0.25">
      <c r="B57" s="509">
        <f t="shared" si="9"/>
        <v>26</v>
      </c>
      <c r="C57" s="524" t="s">
        <v>168</v>
      </c>
      <c r="D57" s="534" t="s">
        <v>128</v>
      </c>
      <c r="E57" s="534"/>
      <c r="F57" s="526">
        <v>20</v>
      </c>
      <c r="G57" s="511">
        <f t="shared" si="10"/>
        <v>3</v>
      </c>
      <c r="H57" s="520">
        <f t="shared" si="8"/>
        <v>23</v>
      </c>
    </row>
    <row r="58" spans="2:12" x14ac:dyDescent="0.25">
      <c r="B58" s="509">
        <f t="shared" si="9"/>
        <v>27</v>
      </c>
      <c r="C58" s="524" t="s">
        <v>179</v>
      </c>
      <c r="D58" s="534" t="s">
        <v>128</v>
      </c>
      <c r="E58" s="534"/>
      <c r="F58" s="526">
        <v>15</v>
      </c>
      <c r="G58" s="511">
        <f t="shared" si="10"/>
        <v>2.25</v>
      </c>
      <c r="H58" s="520">
        <f t="shared" si="8"/>
        <v>17.25</v>
      </c>
      <c r="L58" s="494"/>
    </row>
    <row r="59" spans="2:12" x14ac:dyDescent="0.25">
      <c r="B59" s="509">
        <f t="shared" si="9"/>
        <v>28</v>
      </c>
      <c r="C59" s="535" t="s">
        <v>159</v>
      </c>
      <c r="D59" s="534" t="s">
        <v>128</v>
      </c>
      <c r="E59" s="534" t="s">
        <v>129</v>
      </c>
      <c r="F59" s="526">
        <v>10</v>
      </c>
      <c r="G59" s="511">
        <f t="shared" ref="G59:G60" si="11">F59*18/100</f>
        <v>1.8</v>
      </c>
      <c r="H59" s="520">
        <f t="shared" si="8"/>
        <v>11.8</v>
      </c>
      <c r="K59" s="494"/>
      <c r="L59" s="494"/>
    </row>
    <row r="60" spans="2:12" x14ac:dyDescent="0.25">
      <c r="B60" s="509">
        <f t="shared" si="9"/>
        <v>29</v>
      </c>
      <c r="C60" s="524" t="s">
        <v>181</v>
      </c>
      <c r="D60" s="534" t="s">
        <v>128</v>
      </c>
      <c r="E60" s="534"/>
      <c r="F60" s="526">
        <v>7</v>
      </c>
      <c r="G60" s="511">
        <f t="shared" si="11"/>
        <v>1.26</v>
      </c>
      <c r="H60" s="520">
        <f t="shared" si="8"/>
        <v>8.26</v>
      </c>
      <c r="L60" s="494"/>
    </row>
    <row r="61" spans="2:12" x14ac:dyDescent="0.25">
      <c r="B61" s="536"/>
      <c r="C61" s="537" t="s">
        <v>273</v>
      </c>
      <c r="D61" s="537"/>
      <c r="E61" s="537"/>
      <c r="F61" s="538">
        <f t="shared" ref="F61:G61" si="12">SUM(F32:F60)</f>
        <v>642.23044000000004</v>
      </c>
      <c r="G61" s="538">
        <f t="shared" si="12"/>
        <v>92.679366000000002</v>
      </c>
      <c r="H61" s="538">
        <f>SUM(H32:H60)</f>
        <v>734.90980599999989</v>
      </c>
      <c r="J61" s="494"/>
      <c r="K61" s="494"/>
      <c r="L61" s="494"/>
    </row>
    <row r="62" spans="2:12" x14ac:dyDescent="0.25">
      <c r="B62" s="509"/>
      <c r="C62" s="539" t="s">
        <v>889</v>
      </c>
      <c r="D62" s="540"/>
      <c r="E62" s="540"/>
      <c r="F62" s="520">
        <f>F61*8%</f>
        <v>51.378435200000006</v>
      </c>
      <c r="G62" s="520">
        <f>F62*18%</f>
        <v>9.248118336000001</v>
      </c>
      <c r="H62" s="520">
        <f>F62+G62</f>
        <v>60.626553536000003</v>
      </c>
    </row>
    <row r="63" spans="2:12" x14ac:dyDescent="0.25">
      <c r="B63" s="528"/>
      <c r="C63" s="530" t="s">
        <v>841</v>
      </c>
      <c r="D63" s="530"/>
      <c r="E63" s="530"/>
      <c r="F63" s="532">
        <f>F61+F62</f>
        <v>693.60887520000006</v>
      </c>
      <c r="G63" s="532">
        <f>G61+G62</f>
        <v>101.92748433600001</v>
      </c>
      <c r="H63" s="532">
        <f>F63+G63</f>
        <v>795.53635953600008</v>
      </c>
    </row>
    <row r="64" spans="2:12" x14ac:dyDescent="0.25">
      <c r="D64" s="489"/>
      <c r="E64" s="489"/>
      <c r="F64" s="489"/>
      <c r="G64" s="489"/>
      <c r="K64" s="489">
        <v>97000</v>
      </c>
    </row>
    <row r="65" spans="2:11" x14ac:dyDescent="0.25">
      <c r="B65" s="528" t="s">
        <v>819</v>
      </c>
      <c r="C65" s="541" t="s">
        <v>840</v>
      </c>
      <c r="D65" s="542"/>
      <c r="E65" s="542"/>
      <c r="F65" s="542"/>
      <c r="G65" s="542"/>
      <c r="H65" s="543" t="s">
        <v>837</v>
      </c>
      <c r="K65" s="489">
        <f>K64*18%</f>
        <v>17460</v>
      </c>
    </row>
    <row r="66" spans="2:11" ht="30" x14ac:dyDescent="0.25">
      <c r="B66" s="509">
        <v>1</v>
      </c>
      <c r="C66" s="524" t="s">
        <v>184</v>
      </c>
      <c r="D66" s="525">
        <v>4</v>
      </c>
      <c r="E66" s="534">
        <v>8</v>
      </c>
      <c r="F66" s="534">
        <f t="shared" ref="F66:F71" si="13">D66*E66</f>
        <v>32</v>
      </c>
      <c r="G66" s="545">
        <f>F66*12/100</f>
        <v>3.84</v>
      </c>
      <c r="H66" s="520">
        <f>F66+G66</f>
        <v>35.840000000000003</v>
      </c>
      <c r="K66" s="489">
        <f>SUM(K64:K65)</f>
        <v>114460</v>
      </c>
    </row>
    <row r="67" spans="2:11" ht="30" x14ac:dyDescent="0.25">
      <c r="B67" s="509">
        <f>B66+1</f>
        <v>2</v>
      </c>
      <c r="C67" s="524" t="s">
        <v>185</v>
      </c>
      <c r="D67" s="525">
        <v>4</v>
      </c>
      <c r="E67" s="534">
        <v>7</v>
      </c>
      <c r="F67" s="534">
        <f t="shared" si="13"/>
        <v>28</v>
      </c>
      <c r="G67" s="545">
        <f>F67*12/100</f>
        <v>3.36</v>
      </c>
      <c r="H67" s="520">
        <f t="shared" ref="H67:H89" si="14">F67+G67</f>
        <v>31.36</v>
      </c>
      <c r="K67" s="489">
        <v>125000</v>
      </c>
    </row>
    <row r="68" spans="2:11" x14ac:dyDescent="0.25">
      <c r="B68" s="509">
        <f t="shared" ref="B68:B87" si="15">B67+1</f>
        <v>3</v>
      </c>
      <c r="C68" s="524" t="s">
        <v>186</v>
      </c>
      <c r="D68" s="525">
        <v>8</v>
      </c>
      <c r="E68" s="534">
        <v>2</v>
      </c>
      <c r="F68" s="534">
        <f t="shared" si="13"/>
        <v>16</v>
      </c>
      <c r="G68" s="545">
        <f t="shared" ref="G68" si="16">F68*18/100</f>
        <v>2.88</v>
      </c>
      <c r="H68" s="520">
        <f t="shared" si="14"/>
        <v>18.88</v>
      </c>
      <c r="K68" s="489">
        <f>K67-80000</f>
        <v>45000</v>
      </c>
    </row>
    <row r="69" spans="2:11" ht="30" x14ac:dyDescent="0.25">
      <c r="B69" s="509">
        <f t="shared" si="15"/>
        <v>4</v>
      </c>
      <c r="C69" s="524" t="s">
        <v>809</v>
      </c>
      <c r="D69" s="525">
        <v>2</v>
      </c>
      <c r="E69" s="534">
        <v>50</v>
      </c>
      <c r="F69" s="534">
        <f t="shared" si="13"/>
        <v>100</v>
      </c>
      <c r="G69" s="545"/>
      <c r="H69" s="520">
        <f t="shared" si="14"/>
        <v>100</v>
      </c>
    </row>
    <row r="70" spans="2:11" ht="120" x14ac:dyDescent="0.25">
      <c r="B70" s="509">
        <f t="shared" si="15"/>
        <v>5</v>
      </c>
      <c r="C70" s="524" t="s">
        <v>619</v>
      </c>
      <c r="D70" s="525">
        <v>2</v>
      </c>
      <c r="E70" s="534">
        <v>60</v>
      </c>
      <c r="F70" s="534">
        <f t="shared" si="13"/>
        <v>120</v>
      </c>
      <c r="G70" s="545">
        <f t="shared" ref="G70:G89" si="17">F70*18/100</f>
        <v>21.6</v>
      </c>
      <c r="H70" s="520">
        <f t="shared" si="14"/>
        <v>141.6</v>
      </c>
    </row>
    <row r="71" spans="2:11" ht="30" x14ac:dyDescent="0.25">
      <c r="B71" s="509">
        <f t="shared" si="15"/>
        <v>6</v>
      </c>
      <c r="C71" s="524" t="s">
        <v>810</v>
      </c>
      <c r="D71" s="534">
        <v>2</v>
      </c>
      <c r="E71" s="534">
        <v>35</v>
      </c>
      <c r="F71" s="534">
        <f t="shared" si="13"/>
        <v>70</v>
      </c>
      <c r="G71" s="545">
        <f t="shared" si="17"/>
        <v>12.6</v>
      </c>
      <c r="H71" s="520">
        <f t="shared" si="14"/>
        <v>82.6</v>
      </c>
    </row>
    <row r="72" spans="2:11" x14ac:dyDescent="0.25">
      <c r="B72" s="509">
        <f t="shared" si="15"/>
        <v>7</v>
      </c>
      <c r="C72" s="524" t="s">
        <v>811</v>
      </c>
      <c r="D72" s="534" t="s">
        <v>129</v>
      </c>
      <c r="E72" s="534"/>
      <c r="F72" s="534">
        <v>74</v>
      </c>
      <c r="G72" s="545">
        <f t="shared" si="17"/>
        <v>13.32</v>
      </c>
      <c r="H72" s="520">
        <f t="shared" si="14"/>
        <v>87.32</v>
      </c>
    </row>
    <row r="73" spans="2:11" ht="105" x14ac:dyDescent="0.25">
      <c r="B73" s="509">
        <f t="shared" si="15"/>
        <v>8</v>
      </c>
      <c r="C73" s="524" t="s">
        <v>812</v>
      </c>
      <c r="D73" s="525">
        <v>2</v>
      </c>
      <c r="E73" s="534">
        <v>70</v>
      </c>
      <c r="F73" s="534">
        <f t="shared" ref="F73:F78" si="18">D73*E73</f>
        <v>140</v>
      </c>
      <c r="G73" s="545">
        <f t="shared" si="17"/>
        <v>25.2</v>
      </c>
      <c r="H73" s="520">
        <f t="shared" si="14"/>
        <v>165.2</v>
      </c>
    </row>
    <row r="74" spans="2:11" ht="75" x14ac:dyDescent="0.25">
      <c r="B74" s="509">
        <f t="shared" si="15"/>
        <v>9</v>
      </c>
      <c r="C74" s="546" t="s">
        <v>886</v>
      </c>
      <c r="D74" s="525">
        <v>1</v>
      </c>
      <c r="E74" s="534">
        <v>270</v>
      </c>
      <c r="F74" s="534">
        <f t="shared" si="18"/>
        <v>270</v>
      </c>
      <c r="G74" s="545"/>
      <c r="H74" s="520">
        <f t="shared" si="14"/>
        <v>270</v>
      </c>
    </row>
    <row r="75" spans="2:11" ht="30" x14ac:dyDescent="0.25">
      <c r="B75" s="509">
        <f t="shared" si="15"/>
        <v>10</v>
      </c>
      <c r="C75" s="524" t="s">
        <v>192</v>
      </c>
      <c r="D75" s="525">
        <v>1</v>
      </c>
      <c r="E75" s="534">
        <v>40</v>
      </c>
      <c r="F75" s="534">
        <f t="shared" si="18"/>
        <v>40</v>
      </c>
      <c r="G75" s="545">
        <f t="shared" si="17"/>
        <v>7.2</v>
      </c>
      <c r="H75" s="520">
        <f t="shared" si="14"/>
        <v>47.2</v>
      </c>
    </row>
    <row r="76" spans="2:11" x14ac:dyDescent="0.25">
      <c r="B76" s="509">
        <f t="shared" si="15"/>
        <v>11</v>
      </c>
      <c r="C76" s="524" t="s">
        <v>814</v>
      </c>
      <c r="D76" s="525">
        <v>1</v>
      </c>
      <c r="E76" s="534">
        <v>45</v>
      </c>
      <c r="F76" s="534">
        <f t="shared" si="18"/>
        <v>45</v>
      </c>
      <c r="G76" s="545">
        <f t="shared" si="17"/>
        <v>8.1</v>
      </c>
      <c r="H76" s="520">
        <f t="shared" si="14"/>
        <v>53.1</v>
      </c>
    </row>
    <row r="77" spans="2:11" x14ac:dyDescent="0.25">
      <c r="B77" s="509">
        <f t="shared" si="15"/>
        <v>12</v>
      </c>
      <c r="C77" s="524" t="s">
        <v>193</v>
      </c>
      <c r="D77" s="525">
        <v>1</v>
      </c>
      <c r="E77" s="534">
        <v>18</v>
      </c>
      <c r="F77" s="534">
        <f t="shared" si="18"/>
        <v>18</v>
      </c>
      <c r="G77" s="545">
        <f t="shared" si="17"/>
        <v>3.24</v>
      </c>
      <c r="H77" s="520">
        <f t="shared" si="14"/>
        <v>21.240000000000002</v>
      </c>
    </row>
    <row r="78" spans="2:11" ht="30" x14ac:dyDescent="0.25">
      <c r="B78" s="509">
        <f t="shared" si="15"/>
        <v>13</v>
      </c>
      <c r="C78" s="524" t="s">
        <v>194</v>
      </c>
      <c r="D78" s="525">
        <v>2</v>
      </c>
      <c r="E78" s="534">
        <v>16</v>
      </c>
      <c r="F78" s="534">
        <f t="shared" si="18"/>
        <v>32</v>
      </c>
      <c r="G78" s="545">
        <f t="shared" si="17"/>
        <v>5.76</v>
      </c>
      <c r="H78" s="520">
        <f t="shared" si="14"/>
        <v>37.76</v>
      </c>
    </row>
    <row r="79" spans="2:11" ht="30" x14ac:dyDescent="0.25">
      <c r="B79" s="509">
        <f t="shared" si="15"/>
        <v>14</v>
      </c>
      <c r="C79" s="547" t="s">
        <v>815</v>
      </c>
      <c r="D79" s="525">
        <v>1</v>
      </c>
      <c r="E79" s="534">
        <v>75</v>
      </c>
      <c r="F79" s="534">
        <f>E79</f>
        <v>75</v>
      </c>
      <c r="G79" s="545">
        <f t="shared" si="17"/>
        <v>13.5</v>
      </c>
      <c r="H79" s="520">
        <f t="shared" si="14"/>
        <v>88.5</v>
      </c>
    </row>
    <row r="80" spans="2:11" ht="30" x14ac:dyDescent="0.25">
      <c r="B80" s="509">
        <f t="shared" si="15"/>
        <v>15</v>
      </c>
      <c r="C80" s="548" t="s">
        <v>196</v>
      </c>
      <c r="D80" s="525">
        <v>2</v>
      </c>
      <c r="E80" s="534">
        <v>8</v>
      </c>
      <c r="F80" s="534">
        <f t="shared" ref="F80:F82" si="19">D80*E80</f>
        <v>16</v>
      </c>
      <c r="G80" s="545">
        <f t="shared" si="17"/>
        <v>2.88</v>
      </c>
      <c r="H80" s="520">
        <f t="shared" si="14"/>
        <v>18.88</v>
      </c>
    </row>
    <row r="81" spans="2:12" ht="45" x14ac:dyDescent="0.25">
      <c r="B81" s="509">
        <f t="shared" si="15"/>
        <v>16</v>
      </c>
      <c r="C81" s="547" t="s">
        <v>816</v>
      </c>
      <c r="D81" s="525">
        <v>1</v>
      </c>
      <c r="E81" s="534">
        <v>100</v>
      </c>
      <c r="F81" s="534">
        <f t="shared" si="19"/>
        <v>100</v>
      </c>
      <c r="G81" s="545">
        <f t="shared" si="17"/>
        <v>18</v>
      </c>
      <c r="H81" s="520">
        <f t="shared" si="14"/>
        <v>118</v>
      </c>
    </row>
    <row r="82" spans="2:12" ht="45" x14ac:dyDescent="0.25">
      <c r="B82" s="509">
        <f t="shared" si="15"/>
        <v>17</v>
      </c>
      <c r="C82" s="547" t="s">
        <v>817</v>
      </c>
      <c r="D82" s="525">
        <v>10</v>
      </c>
      <c r="E82" s="534">
        <v>21</v>
      </c>
      <c r="F82" s="534">
        <f t="shared" si="19"/>
        <v>210</v>
      </c>
      <c r="G82" s="545">
        <f t="shared" si="17"/>
        <v>37.799999999999997</v>
      </c>
      <c r="H82" s="520">
        <f t="shared" si="14"/>
        <v>247.8</v>
      </c>
    </row>
    <row r="83" spans="2:12" ht="60" x14ac:dyDescent="0.25">
      <c r="B83" s="509">
        <f t="shared" si="15"/>
        <v>18</v>
      </c>
      <c r="C83" s="524" t="s">
        <v>199</v>
      </c>
      <c r="D83" s="534" t="s">
        <v>200</v>
      </c>
      <c r="E83" s="534"/>
      <c r="F83" s="534">
        <v>16</v>
      </c>
      <c r="G83" s="545">
        <f t="shared" si="17"/>
        <v>2.88</v>
      </c>
      <c r="H83" s="520">
        <f t="shared" si="14"/>
        <v>18.88</v>
      </c>
    </row>
    <row r="84" spans="2:12" ht="45" x14ac:dyDescent="0.25">
      <c r="B84" s="509">
        <f t="shared" si="15"/>
        <v>19</v>
      </c>
      <c r="C84" s="549" t="s">
        <v>201</v>
      </c>
      <c r="D84" s="525">
        <v>3</v>
      </c>
      <c r="E84" s="534">
        <v>3.45</v>
      </c>
      <c r="F84" s="534">
        <f>D84*E84</f>
        <v>10.350000000000001</v>
      </c>
      <c r="G84" s="545">
        <f t="shared" si="17"/>
        <v>1.8630000000000002</v>
      </c>
      <c r="H84" s="520">
        <f t="shared" si="14"/>
        <v>12.213000000000001</v>
      </c>
    </row>
    <row r="85" spans="2:12" x14ac:dyDescent="0.25">
      <c r="B85" s="509">
        <f t="shared" si="15"/>
        <v>20</v>
      </c>
      <c r="C85" s="549" t="s">
        <v>818</v>
      </c>
      <c r="D85" s="525">
        <v>3</v>
      </c>
      <c r="E85" s="534">
        <v>15</v>
      </c>
      <c r="F85" s="534">
        <f>D85*E85</f>
        <v>45</v>
      </c>
      <c r="G85" s="545">
        <f t="shared" si="17"/>
        <v>8.1</v>
      </c>
      <c r="H85" s="520">
        <f t="shared" si="14"/>
        <v>53.1</v>
      </c>
    </row>
    <row r="86" spans="2:12" x14ac:dyDescent="0.25">
      <c r="B86" s="509">
        <f t="shared" si="15"/>
        <v>21</v>
      </c>
      <c r="C86" s="549" t="s">
        <v>206</v>
      </c>
      <c r="D86" s="525">
        <v>1</v>
      </c>
      <c r="E86" s="534">
        <v>50</v>
      </c>
      <c r="F86" s="534">
        <f>D86*E86</f>
        <v>50</v>
      </c>
      <c r="G86" s="545">
        <f t="shared" si="17"/>
        <v>9</v>
      </c>
      <c r="H86" s="520">
        <f t="shared" si="14"/>
        <v>59</v>
      </c>
    </row>
    <row r="87" spans="2:12" x14ac:dyDescent="0.25">
      <c r="B87" s="509">
        <f t="shared" si="15"/>
        <v>22</v>
      </c>
      <c r="C87" s="550" t="s">
        <v>887</v>
      </c>
      <c r="D87" s="534" t="s">
        <v>129</v>
      </c>
      <c r="E87" s="534"/>
      <c r="F87" s="534">
        <v>233</v>
      </c>
      <c r="G87" s="545">
        <f t="shared" si="17"/>
        <v>41.94</v>
      </c>
      <c r="H87" s="520">
        <f t="shared" si="14"/>
        <v>274.94</v>
      </c>
    </row>
    <row r="88" spans="2:12" x14ac:dyDescent="0.25">
      <c r="B88" s="509">
        <v>23</v>
      </c>
      <c r="C88" s="550" t="s">
        <v>888</v>
      </c>
      <c r="D88" s="534" t="s">
        <v>129</v>
      </c>
      <c r="E88" s="534"/>
      <c r="F88" s="534">
        <v>140</v>
      </c>
      <c r="G88" s="545">
        <f t="shared" ref="G88" si="20">F88*18/100</f>
        <v>25.2</v>
      </c>
      <c r="H88" s="520">
        <f t="shared" ref="H88" si="21">F88+G88</f>
        <v>165.2</v>
      </c>
    </row>
    <row r="89" spans="2:12" x14ac:dyDescent="0.25">
      <c r="B89" s="509">
        <v>24</v>
      </c>
      <c r="C89" s="524" t="s">
        <v>212</v>
      </c>
      <c r="D89" s="534" t="s">
        <v>129</v>
      </c>
      <c r="E89" s="551"/>
      <c r="F89" s="534">
        <v>10</v>
      </c>
      <c r="G89" s="545">
        <f t="shared" si="17"/>
        <v>1.8</v>
      </c>
      <c r="H89" s="520">
        <f t="shared" si="14"/>
        <v>11.8</v>
      </c>
    </row>
    <row r="90" spans="2:12" x14ac:dyDescent="0.25">
      <c r="B90" s="536"/>
      <c r="C90" s="537" t="s">
        <v>273</v>
      </c>
      <c r="D90" s="537"/>
      <c r="E90" s="537"/>
      <c r="F90" s="538">
        <f t="shared" ref="F90:G90" si="22">SUM(F66:F89)</f>
        <v>1890.35</v>
      </c>
      <c r="G90" s="538">
        <f t="shared" si="22"/>
        <v>270.06299999999999</v>
      </c>
      <c r="H90" s="538">
        <f>SUM(H66:H89)</f>
        <v>2160.413</v>
      </c>
      <c r="J90" s="494"/>
      <c r="K90" s="494"/>
      <c r="L90" s="494"/>
    </row>
    <row r="91" spans="2:12" x14ac:dyDescent="0.25">
      <c r="B91" s="509"/>
      <c r="C91" s="539" t="s">
        <v>889</v>
      </c>
      <c r="D91" s="540"/>
      <c r="E91" s="540"/>
      <c r="F91" s="520">
        <f>F90*8%</f>
        <v>151.22800000000001</v>
      </c>
      <c r="G91" s="520">
        <f>F91*18%</f>
        <v>27.221040000000002</v>
      </c>
      <c r="H91" s="520">
        <f>F91+G91</f>
        <v>178.44904000000002</v>
      </c>
    </row>
    <row r="92" spans="2:12" x14ac:dyDescent="0.25">
      <c r="B92" s="528"/>
      <c r="C92" s="530" t="s">
        <v>841</v>
      </c>
      <c r="D92" s="530"/>
      <c r="E92" s="530"/>
      <c r="F92" s="532">
        <f>F90+F91</f>
        <v>2041.578</v>
      </c>
      <c r="G92" s="532">
        <f>G90+G91</f>
        <v>297.28404</v>
      </c>
      <c r="H92" s="532">
        <f>F92+G92</f>
        <v>2338.86204</v>
      </c>
    </row>
    <row r="93" spans="2:12" x14ac:dyDescent="0.25">
      <c r="D93" s="489"/>
      <c r="E93" s="489"/>
      <c r="F93" s="489"/>
      <c r="G93" s="489"/>
    </row>
    <row r="94" spans="2:12" ht="15" customHeight="1" x14ac:dyDescent="0.25">
      <c r="B94" s="528" t="s">
        <v>821</v>
      </c>
      <c r="C94" s="541" t="s">
        <v>214</v>
      </c>
      <c r="D94" s="542"/>
      <c r="E94" s="542"/>
      <c r="F94" s="542"/>
      <c r="G94" s="542"/>
      <c r="H94" s="543" t="s">
        <v>837</v>
      </c>
    </row>
    <row r="95" spans="2:12" x14ac:dyDescent="0.25">
      <c r="B95" s="525">
        <v>1</v>
      </c>
      <c r="C95" s="524" t="s">
        <v>215</v>
      </c>
      <c r="D95" s="525">
        <v>1</v>
      </c>
      <c r="E95" s="534">
        <f>11+3</f>
        <v>14</v>
      </c>
      <c r="F95" s="534">
        <f>D95*E95</f>
        <v>14</v>
      </c>
      <c r="G95" s="511">
        <f t="shared" ref="G95:G102" si="23">F95*18/100</f>
        <v>2.52</v>
      </c>
      <c r="H95" s="520">
        <f>F95+G95</f>
        <v>16.52</v>
      </c>
    </row>
    <row r="96" spans="2:12" x14ac:dyDescent="0.25">
      <c r="B96" s="525">
        <f>B95+1</f>
        <v>2</v>
      </c>
      <c r="C96" s="524" t="s">
        <v>216</v>
      </c>
      <c r="D96" s="525">
        <v>1</v>
      </c>
      <c r="E96" s="534">
        <v>40</v>
      </c>
      <c r="F96" s="534">
        <f t="shared" ref="F96:F98" si="24">D96*E96</f>
        <v>40</v>
      </c>
      <c r="G96" s="511">
        <f t="shared" si="23"/>
        <v>7.2</v>
      </c>
      <c r="H96" s="520">
        <f t="shared" ref="H96:H102" si="25">F96+G96</f>
        <v>47.2</v>
      </c>
    </row>
    <row r="97" spans="2:12" ht="45" x14ac:dyDescent="0.25">
      <c r="B97" s="525">
        <f t="shared" ref="B97:B102" si="26">B96+1</f>
        <v>3</v>
      </c>
      <c r="C97" s="524" t="s">
        <v>217</v>
      </c>
      <c r="D97" s="525">
        <v>1</v>
      </c>
      <c r="E97" s="534">
        <v>35</v>
      </c>
      <c r="F97" s="534">
        <f t="shared" si="24"/>
        <v>35</v>
      </c>
      <c r="G97" s="511">
        <f t="shared" si="23"/>
        <v>6.3</v>
      </c>
      <c r="H97" s="520">
        <f t="shared" si="25"/>
        <v>41.3</v>
      </c>
    </row>
    <row r="98" spans="2:12" ht="30" x14ac:dyDescent="0.25">
      <c r="B98" s="525">
        <f t="shared" si="26"/>
        <v>4</v>
      </c>
      <c r="C98" s="524" t="s">
        <v>218</v>
      </c>
      <c r="D98" s="525">
        <v>1</v>
      </c>
      <c r="E98" s="534">
        <v>65</v>
      </c>
      <c r="F98" s="534">
        <f t="shared" si="24"/>
        <v>65</v>
      </c>
      <c r="G98" s="511">
        <f t="shared" si="23"/>
        <v>11.7</v>
      </c>
      <c r="H98" s="520">
        <f t="shared" si="25"/>
        <v>76.7</v>
      </c>
    </row>
    <row r="99" spans="2:12" x14ac:dyDescent="0.25">
      <c r="B99" s="525">
        <f t="shared" si="26"/>
        <v>5</v>
      </c>
      <c r="C99" s="524" t="s">
        <v>219</v>
      </c>
      <c r="D99" s="534" t="s">
        <v>129</v>
      </c>
      <c r="E99" s="534">
        <v>30</v>
      </c>
      <c r="F99" s="534">
        <f>E99</f>
        <v>30</v>
      </c>
      <c r="G99" s="511">
        <f t="shared" si="23"/>
        <v>5.4</v>
      </c>
      <c r="H99" s="520">
        <f t="shared" si="25"/>
        <v>35.4</v>
      </c>
    </row>
    <row r="100" spans="2:12" x14ac:dyDescent="0.25">
      <c r="B100" s="525">
        <f t="shared" si="26"/>
        <v>6</v>
      </c>
      <c r="C100" s="552" t="s">
        <v>820</v>
      </c>
      <c r="D100" s="525">
        <v>1</v>
      </c>
      <c r="E100" s="534">
        <v>20</v>
      </c>
      <c r="F100" s="534">
        <f t="shared" ref="F100:F102" si="27">D100*E100</f>
        <v>20</v>
      </c>
      <c r="G100" s="511">
        <f t="shared" si="23"/>
        <v>3.6</v>
      </c>
      <c r="H100" s="520">
        <f t="shared" si="25"/>
        <v>23.6</v>
      </c>
    </row>
    <row r="101" spans="2:12" x14ac:dyDescent="0.25">
      <c r="B101" s="525">
        <f t="shared" si="26"/>
        <v>7</v>
      </c>
      <c r="C101" s="552" t="s">
        <v>221</v>
      </c>
      <c r="D101" s="525">
        <v>1</v>
      </c>
      <c r="E101" s="534">
        <v>25</v>
      </c>
      <c r="F101" s="534">
        <f t="shared" si="27"/>
        <v>25</v>
      </c>
      <c r="G101" s="511">
        <f t="shared" si="23"/>
        <v>4.5</v>
      </c>
      <c r="H101" s="520">
        <f t="shared" si="25"/>
        <v>29.5</v>
      </c>
    </row>
    <row r="102" spans="2:12" x14ac:dyDescent="0.25">
      <c r="B102" s="525">
        <f t="shared" si="26"/>
        <v>8</v>
      </c>
      <c r="C102" s="551" t="s">
        <v>222</v>
      </c>
      <c r="D102" s="525">
        <v>10</v>
      </c>
      <c r="E102" s="534">
        <v>1</v>
      </c>
      <c r="F102" s="534">
        <f t="shared" si="27"/>
        <v>10</v>
      </c>
      <c r="G102" s="511">
        <f t="shared" si="23"/>
        <v>1.8</v>
      </c>
      <c r="H102" s="520">
        <f t="shared" si="25"/>
        <v>11.8</v>
      </c>
    </row>
    <row r="103" spans="2:12" x14ac:dyDescent="0.25">
      <c r="B103" s="502"/>
      <c r="C103" s="503" t="s">
        <v>273</v>
      </c>
      <c r="D103" s="503"/>
      <c r="E103" s="503"/>
      <c r="F103" s="504">
        <f t="shared" ref="F103:G103" si="28">SUM(F95:F102)</f>
        <v>239</v>
      </c>
      <c r="G103" s="504">
        <f t="shared" si="28"/>
        <v>43.019999999999996</v>
      </c>
      <c r="H103" s="504">
        <f>SUM(H95:H102)</f>
        <v>282.02000000000004</v>
      </c>
      <c r="J103" s="494"/>
      <c r="K103" s="494"/>
      <c r="L103" s="494"/>
    </row>
    <row r="104" spans="2:12" x14ac:dyDescent="0.25">
      <c r="B104" s="493"/>
      <c r="C104" s="508" t="s">
        <v>889</v>
      </c>
      <c r="D104" s="496"/>
      <c r="E104" s="496"/>
      <c r="F104" s="497">
        <f>F103*8%</f>
        <v>19.12</v>
      </c>
      <c r="G104" s="497">
        <f>F104*18%</f>
        <v>3.4416000000000002</v>
      </c>
      <c r="H104" s="497">
        <f>F104+G104</f>
        <v>22.561600000000002</v>
      </c>
    </row>
    <row r="105" spans="2:12" x14ac:dyDescent="0.25">
      <c r="B105" s="528"/>
      <c r="C105" s="530" t="s">
        <v>841</v>
      </c>
      <c r="D105" s="530"/>
      <c r="E105" s="530"/>
      <c r="F105" s="532">
        <f>F103+F104</f>
        <v>258.12</v>
      </c>
      <c r="G105" s="532">
        <f>G103+G104</f>
        <v>46.461599999999997</v>
      </c>
      <c r="H105" s="532">
        <f>F105+G105</f>
        <v>304.58159999999998</v>
      </c>
    </row>
    <row r="106" spans="2:12" x14ac:dyDescent="0.25">
      <c r="B106" s="405"/>
      <c r="C106" s="406"/>
      <c r="D106" s="405"/>
      <c r="E106" s="407"/>
      <c r="F106" s="407"/>
    </row>
    <row r="107" spans="2:12" x14ac:dyDescent="0.25">
      <c r="B107" s="528" t="s">
        <v>823</v>
      </c>
      <c r="C107" s="541" t="s">
        <v>224</v>
      </c>
      <c r="D107" s="542"/>
      <c r="E107" s="542"/>
      <c r="F107" s="542"/>
      <c r="G107" s="542"/>
      <c r="H107" s="543" t="s">
        <v>837</v>
      </c>
    </row>
    <row r="108" spans="2:12" ht="30" x14ac:dyDescent="0.25">
      <c r="B108" s="525">
        <v>1</v>
      </c>
      <c r="C108" s="513" t="s">
        <v>826</v>
      </c>
      <c r="D108" s="509">
        <v>3</v>
      </c>
      <c r="E108" s="509">
        <v>20</v>
      </c>
      <c r="F108" s="511">
        <f>D108*E108</f>
        <v>60</v>
      </c>
      <c r="G108" s="511">
        <f>F108*5/100</f>
        <v>3</v>
      </c>
      <c r="H108" s="520">
        <f>F108+G108</f>
        <v>63</v>
      </c>
    </row>
    <row r="109" spans="2:12" x14ac:dyDescent="0.25">
      <c r="B109" s="525">
        <f>B108+1</f>
        <v>2</v>
      </c>
      <c r="C109" s="553" t="s">
        <v>880</v>
      </c>
      <c r="D109" s="509">
        <v>2</v>
      </c>
      <c r="E109" s="509">
        <v>11.45</v>
      </c>
      <c r="F109" s="511">
        <f>D109*E109</f>
        <v>22.9</v>
      </c>
      <c r="G109" s="511">
        <f t="shared" ref="G109:G110" si="29">F109*18/100</f>
        <v>4.1219999999999999</v>
      </c>
      <c r="H109" s="520">
        <f t="shared" ref="H109:H111" si="30">F109+G109</f>
        <v>27.021999999999998</v>
      </c>
    </row>
    <row r="110" spans="2:12" x14ac:dyDescent="0.25">
      <c r="B110" s="525">
        <f t="shared" ref="B110:B111" si="31">B109+1</f>
        <v>3</v>
      </c>
      <c r="C110" s="514" t="s">
        <v>860</v>
      </c>
      <c r="D110" s="509">
        <v>1</v>
      </c>
      <c r="E110" s="554">
        <v>9.1</v>
      </c>
      <c r="F110" s="511">
        <f>D110*E110</f>
        <v>9.1</v>
      </c>
      <c r="G110" s="511">
        <f t="shared" si="29"/>
        <v>1.6379999999999999</v>
      </c>
      <c r="H110" s="520">
        <f t="shared" si="30"/>
        <v>10.738</v>
      </c>
    </row>
    <row r="111" spans="2:12" x14ac:dyDescent="0.25">
      <c r="B111" s="525">
        <f t="shared" si="31"/>
        <v>4</v>
      </c>
      <c r="C111" s="514" t="s">
        <v>230</v>
      </c>
      <c r="D111" s="509" t="s">
        <v>129</v>
      </c>
      <c r="E111" s="509"/>
      <c r="F111" s="511">
        <v>10</v>
      </c>
      <c r="G111" s="511"/>
      <c r="H111" s="520">
        <f t="shared" si="30"/>
        <v>10</v>
      </c>
    </row>
    <row r="112" spans="2:12" x14ac:dyDescent="0.25">
      <c r="B112" s="393"/>
      <c r="C112" s="392" t="s">
        <v>273</v>
      </c>
      <c r="D112" s="392"/>
      <c r="E112" s="392"/>
      <c r="F112" s="409">
        <f>SUM(F108:F111)</f>
        <v>102</v>
      </c>
      <c r="G112" s="409">
        <f>SUM(G108:G111)</f>
        <v>8.76</v>
      </c>
      <c r="H112" s="403">
        <f>SUM(H108:H111)</f>
        <v>110.75999999999999</v>
      </c>
    </row>
    <row r="113" spans="2:8" x14ac:dyDescent="0.25">
      <c r="B113" s="405"/>
      <c r="C113" s="406"/>
      <c r="D113" s="405"/>
      <c r="E113" s="407"/>
      <c r="F113" s="407"/>
    </row>
    <row r="114" spans="2:8" ht="17.25" customHeight="1" x14ac:dyDescent="0.25">
      <c r="B114" s="393"/>
      <c r="C114" s="392" t="s">
        <v>841</v>
      </c>
      <c r="D114" s="392"/>
      <c r="E114" s="392"/>
      <c r="F114" s="408">
        <f>F24+F29+F63+F92+F105+F112</f>
        <v>3348.5588751999999</v>
      </c>
      <c r="G114" s="408">
        <f>G24+G29+G63+G92+G105+G112</f>
        <v>464.87312433599999</v>
      </c>
      <c r="H114" s="408">
        <f>H24+H29+H63+H92+H105+H112</f>
        <v>3813.4319995360001</v>
      </c>
    </row>
    <row r="115" spans="2:8" x14ac:dyDescent="0.25">
      <c r="B115" s="405"/>
      <c r="C115" s="406"/>
      <c r="D115" s="405"/>
      <c r="E115" s="407"/>
      <c r="F115" s="407"/>
    </row>
    <row r="116" spans="2:8" x14ac:dyDescent="0.25">
      <c r="B116" s="405"/>
      <c r="C116" s="406"/>
      <c r="D116" s="405"/>
      <c r="E116" s="407"/>
      <c r="F116" s="407"/>
    </row>
    <row r="117" spans="2:8" x14ac:dyDescent="0.25">
      <c r="B117" s="405"/>
      <c r="C117" s="406"/>
      <c r="D117" s="405"/>
      <c r="E117" s="407"/>
      <c r="F117" s="407"/>
    </row>
    <row r="118" spans="2:8" x14ac:dyDescent="0.25">
      <c r="B118" s="424" t="s">
        <v>859</v>
      </c>
      <c r="C118" s="406"/>
      <c r="D118" s="405"/>
      <c r="E118" s="407"/>
      <c r="F118" s="410"/>
    </row>
    <row r="119" spans="2:8" x14ac:dyDescent="0.25">
      <c r="B119" s="405"/>
      <c r="C119" s="406"/>
      <c r="D119" s="405"/>
      <c r="E119" s="407"/>
      <c r="F119" s="407"/>
    </row>
    <row r="120" spans="2:8" x14ac:dyDescent="0.25">
      <c r="B120" s="405"/>
      <c r="C120" s="406"/>
      <c r="D120" s="405"/>
      <c r="E120" s="407"/>
      <c r="F120" s="407"/>
    </row>
    <row r="121" spans="2:8" x14ac:dyDescent="0.25">
      <c r="B121" s="405"/>
      <c r="C121" s="406"/>
      <c r="D121" s="405"/>
      <c r="E121" s="407"/>
      <c r="F121" s="407"/>
    </row>
  </sheetData>
  <mergeCells count="2">
    <mergeCell ref="B2:H2"/>
    <mergeCell ref="B4:H4"/>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219"/>
  <sheetViews>
    <sheetView showGridLines="0" topLeftCell="C201" zoomScaleNormal="100" workbookViewId="0">
      <selection activeCell="L166" sqref="L166"/>
    </sheetView>
  </sheetViews>
  <sheetFormatPr defaultColWidth="16" defaultRowHeight="15" x14ac:dyDescent="0.25"/>
  <cols>
    <col min="1" max="1" width="4.85546875" style="335" customWidth="1"/>
    <col min="2" max="2" width="8.42578125" style="336" customWidth="1"/>
    <col min="3" max="3" width="37" style="335" customWidth="1"/>
    <col min="4" max="4" width="12" style="336" customWidth="1"/>
    <col min="5" max="5" width="10.28515625" style="336" customWidth="1"/>
    <col min="6" max="6" width="20.28515625" style="337" bestFit="1" customWidth="1"/>
    <col min="7" max="7" width="19.28515625" style="338" customWidth="1"/>
    <col min="8" max="8" width="22.42578125" style="335" bestFit="1" customWidth="1"/>
    <col min="9" max="16384" width="16" style="335"/>
  </cols>
  <sheetData>
    <row r="1" spans="2:7" ht="15" hidden="1" customHeight="1" x14ac:dyDescent="0.25"/>
    <row r="2" spans="2:7" ht="16.149999999999999" hidden="1" customHeight="1" x14ac:dyDescent="0.25">
      <c r="B2" s="661" t="s">
        <v>118</v>
      </c>
      <c r="C2" s="662"/>
      <c r="D2" s="662"/>
      <c r="E2" s="662"/>
      <c r="F2" s="663"/>
    </row>
    <row r="3" spans="2:7" ht="16.149999999999999" hidden="1" customHeight="1" x14ac:dyDescent="0.25">
      <c r="B3" s="339" t="s">
        <v>119</v>
      </c>
      <c r="C3" s="339" t="s">
        <v>120</v>
      </c>
      <c r="D3" s="339" t="s">
        <v>121</v>
      </c>
      <c r="E3" s="339" t="s">
        <v>122</v>
      </c>
      <c r="F3" s="340" t="s">
        <v>123</v>
      </c>
      <c r="G3" s="341" t="s">
        <v>773</v>
      </c>
    </row>
    <row r="4" spans="2:7" ht="16.149999999999999" hidden="1" customHeight="1" x14ac:dyDescent="0.25">
      <c r="B4" s="342" t="s">
        <v>774</v>
      </c>
      <c r="C4" s="661" t="s">
        <v>125</v>
      </c>
      <c r="D4" s="662"/>
      <c r="E4" s="662"/>
      <c r="F4" s="343"/>
    </row>
    <row r="5" spans="2:7" ht="45" hidden="1" customHeight="1" x14ac:dyDescent="0.25">
      <c r="B5" s="344">
        <v>1</v>
      </c>
      <c r="C5" s="345" t="s">
        <v>127</v>
      </c>
      <c r="D5" s="344" t="s">
        <v>128</v>
      </c>
      <c r="E5" s="344" t="s">
        <v>129</v>
      </c>
      <c r="F5" s="346">
        <f>100000/100000</f>
        <v>1</v>
      </c>
    </row>
    <row r="6" spans="2:7" ht="30.6" hidden="1" customHeight="1" x14ac:dyDescent="0.25">
      <c r="B6" s="344">
        <v>2</v>
      </c>
      <c r="C6" s="345" t="s">
        <v>131</v>
      </c>
      <c r="D6" s="344" t="s">
        <v>128</v>
      </c>
      <c r="E6" s="344" t="s">
        <v>129</v>
      </c>
      <c r="F6" s="346">
        <v>15</v>
      </c>
    </row>
    <row r="7" spans="2:7" hidden="1" x14ac:dyDescent="0.25">
      <c r="B7" s="344">
        <v>3</v>
      </c>
      <c r="C7" s="345" t="s">
        <v>133</v>
      </c>
      <c r="D7" s="344" t="s">
        <v>128</v>
      </c>
      <c r="E7" s="344" t="s">
        <v>129</v>
      </c>
      <c r="F7" s="346">
        <v>2</v>
      </c>
    </row>
    <row r="8" spans="2:7" ht="33" hidden="1" customHeight="1" x14ac:dyDescent="0.25">
      <c r="B8" s="344">
        <v>4</v>
      </c>
      <c r="C8" s="345" t="s">
        <v>135</v>
      </c>
      <c r="D8" s="344" t="s">
        <v>128</v>
      </c>
      <c r="E8" s="344" t="s">
        <v>129</v>
      </c>
      <c r="F8" s="346">
        <v>6</v>
      </c>
    </row>
    <row r="9" spans="2:7" ht="30" hidden="1" x14ac:dyDescent="0.25">
      <c r="B9" s="344">
        <v>5</v>
      </c>
      <c r="C9" s="345" t="s">
        <v>137</v>
      </c>
      <c r="D9" s="344" t="s">
        <v>128</v>
      </c>
      <c r="E9" s="344" t="s">
        <v>129</v>
      </c>
      <c r="F9" s="347">
        <v>3</v>
      </c>
      <c r="G9" s="338">
        <f t="shared" ref="G9:G72" si="0">F9*18/100</f>
        <v>0.54</v>
      </c>
    </row>
    <row r="10" spans="2:7" ht="31.5" hidden="1" customHeight="1" x14ac:dyDescent="0.25">
      <c r="B10" s="344">
        <v>6</v>
      </c>
      <c r="C10" s="345" t="s">
        <v>139</v>
      </c>
      <c r="D10" s="344" t="s">
        <v>128</v>
      </c>
      <c r="E10" s="344" t="s">
        <v>129</v>
      </c>
      <c r="F10" s="346">
        <v>10</v>
      </c>
      <c r="G10" s="338">
        <f t="shared" si="0"/>
        <v>1.8</v>
      </c>
    </row>
    <row r="11" spans="2:7" ht="31.9" hidden="1" customHeight="1" x14ac:dyDescent="0.25">
      <c r="B11" s="344">
        <v>7</v>
      </c>
      <c r="C11" s="345" t="s">
        <v>141</v>
      </c>
      <c r="D11" s="344" t="s">
        <v>128</v>
      </c>
      <c r="E11" s="344" t="s">
        <v>129</v>
      </c>
      <c r="F11" s="346">
        <v>5</v>
      </c>
    </row>
    <row r="12" spans="2:7" ht="30" hidden="1" x14ac:dyDescent="0.25">
      <c r="B12" s="344">
        <v>8</v>
      </c>
      <c r="C12" s="345" t="s">
        <v>775</v>
      </c>
      <c r="D12" s="344" t="s">
        <v>128</v>
      </c>
      <c r="E12" s="344" t="s">
        <v>129</v>
      </c>
      <c r="F12" s="347">
        <v>7</v>
      </c>
    </row>
    <row r="13" spans="2:7" hidden="1" x14ac:dyDescent="0.25">
      <c r="B13" s="344">
        <v>9</v>
      </c>
      <c r="C13" s="348" t="s">
        <v>776</v>
      </c>
      <c r="D13" s="344">
        <v>5.05</v>
      </c>
      <c r="E13" s="344">
        <v>84</v>
      </c>
      <c r="F13" s="346">
        <f>D13*E13</f>
        <v>424.2</v>
      </c>
    </row>
    <row r="14" spans="2:7" hidden="1" x14ac:dyDescent="0.25">
      <c r="B14" s="344">
        <v>10</v>
      </c>
      <c r="C14" s="348" t="s">
        <v>236</v>
      </c>
      <c r="D14" s="349">
        <v>2.5000000000000001E-2</v>
      </c>
      <c r="E14" s="350"/>
      <c r="F14" s="351">
        <v>10</v>
      </c>
    </row>
    <row r="15" spans="2:7" hidden="1" x14ac:dyDescent="0.25">
      <c r="B15" s="344">
        <v>11</v>
      </c>
      <c r="C15" s="352" t="s">
        <v>239</v>
      </c>
      <c r="D15" s="344" t="s">
        <v>200</v>
      </c>
      <c r="E15" s="344"/>
      <c r="F15" s="353">
        <v>32</v>
      </c>
    </row>
    <row r="16" spans="2:7" hidden="1" x14ac:dyDescent="0.25">
      <c r="B16" s="344">
        <v>12</v>
      </c>
      <c r="C16" s="352" t="s">
        <v>777</v>
      </c>
      <c r="D16" s="344">
        <v>2</v>
      </c>
      <c r="E16" s="344">
        <v>3</v>
      </c>
      <c r="F16" s="347">
        <f>D16*E16</f>
        <v>6</v>
      </c>
    </row>
    <row r="17" spans="2:8" hidden="1" x14ac:dyDescent="0.25">
      <c r="B17" s="344">
        <v>13</v>
      </c>
      <c r="C17" s="345" t="s">
        <v>146</v>
      </c>
      <c r="D17" s="344" t="s">
        <v>128</v>
      </c>
      <c r="E17" s="344" t="s">
        <v>129</v>
      </c>
      <c r="F17" s="347">
        <v>2.5</v>
      </c>
    </row>
    <row r="18" spans="2:8" ht="30" hidden="1" x14ac:dyDescent="0.25">
      <c r="B18" s="344">
        <v>14</v>
      </c>
      <c r="C18" s="345" t="s">
        <v>778</v>
      </c>
      <c r="D18" s="344" t="s">
        <v>128</v>
      </c>
      <c r="E18" s="344" t="s">
        <v>129</v>
      </c>
      <c r="F18" s="347">
        <v>20.25</v>
      </c>
      <c r="G18" s="338">
        <f>F16*18/100</f>
        <v>1.08</v>
      </c>
    </row>
    <row r="19" spans="2:8" ht="30" hidden="1" x14ac:dyDescent="0.25">
      <c r="B19" s="344">
        <v>15</v>
      </c>
      <c r="C19" s="345" t="s">
        <v>779</v>
      </c>
      <c r="D19" s="344" t="s">
        <v>128</v>
      </c>
      <c r="E19" s="344" t="s">
        <v>129</v>
      </c>
      <c r="F19" s="347">
        <v>25</v>
      </c>
      <c r="G19" s="338">
        <f>F17*18/100</f>
        <v>0.45</v>
      </c>
    </row>
    <row r="20" spans="2:8" ht="30" hidden="1" x14ac:dyDescent="0.25">
      <c r="B20" s="344">
        <v>16</v>
      </c>
      <c r="C20" s="345" t="s">
        <v>780</v>
      </c>
      <c r="D20" s="344" t="s">
        <v>128</v>
      </c>
      <c r="E20" s="344" t="s">
        <v>129</v>
      </c>
      <c r="F20" s="346">
        <v>5</v>
      </c>
      <c r="G20" s="338">
        <f>F18*12/100</f>
        <v>2.4300000000000002</v>
      </c>
    </row>
    <row r="21" spans="2:8" ht="30" hidden="1" x14ac:dyDescent="0.25">
      <c r="B21" s="344">
        <v>17</v>
      </c>
      <c r="C21" s="345" t="s">
        <v>781</v>
      </c>
      <c r="D21" s="344" t="s">
        <v>128</v>
      </c>
      <c r="E21" s="344" t="s">
        <v>129</v>
      </c>
      <c r="F21" s="347">
        <v>60</v>
      </c>
      <c r="G21" s="338">
        <f>F19*18/100</f>
        <v>4.5</v>
      </c>
    </row>
    <row r="22" spans="2:8" hidden="1" x14ac:dyDescent="0.25">
      <c r="B22" s="354"/>
      <c r="C22" s="355"/>
      <c r="D22" s="356"/>
      <c r="E22" s="356"/>
      <c r="F22" s="357"/>
    </row>
    <row r="23" spans="2:8" hidden="1" x14ac:dyDescent="0.25">
      <c r="B23" s="358" t="s">
        <v>782</v>
      </c>
      <c r="C23" s="661" t="s">
        <v>783</v>
      </c>
      <c r="D23" s="662"/>
      <c r="E23" s="662"/>
      <c r="F23" s="359"/>
      <c r="H23" s="360">
        <f>SUM('Revised Cost Sheet'!H24:H52)</f>
        <v>726.50560599999994</v>
      </c>
    </row>
    <row r="24" spans="2:8" ht="45" hidden="1" x14ac:dyDescent="0.25">
      <c r="B24" s="361">
        <v>1</v>
      </c>
      <c r="C24" s="362" t="s">
        <v>784</v>
      </c>
      <c r="D24" s="361">
        <v>205</v>
      </c>
      <c r="E24" s="361">
        <v>8000</v>
      </c>
      <c r="F24" s="363">
        <f t="shared" ref="F24:F46" si="1">(D24*E24)/100000</f>
        <v>16.399999999999999</v>
      </c>
      <c r="G24" s="338">
        <f>F24*15/100</f>
        <v>2.4599999999999995</v>
      </c>
      <c r="H24" s="364">
        <f>F24+G24</f>
        <v>18.86</v>
      </c>
    </row>
    <row r="25" spans="2:8" hidden="1" x14ac:dyDescent="0.25">
      <c r="B25" s="361">
        <v>2</v>
      </c>
      <c r="C25" s="362" t="s">
        <v>785</v>
      </c>
      <c r="D25" s="361">
        <v>235</v>
      </c>
      <c r="E25" s="361">
        <v>13600</v>
      </c>
      <c r="F25" s="363">
        <f t="shared" si="1"/>
        <v>31.96</v>
      </c>
      <c r="G25" s="338">
        <f t="shared" ref="G25:G50" si="2">F25*15/100</f>
        <v>4.7940000000000005</v>
      </c>
      <c r="H25" s="364">
        <f t="shared" ref="H25:H52" si="3">F25+G25</f>
        <v>36.754000000000005</v>
      </c>
    </row>
    <row r="26" spans="2:8" ht="60" hidden="1" x14ac:dyDescent="0.25">
      <c r="B26" s="361">
        <v>3</v>
      </c>
      <c r="C26" s="365" t="s">
        <v>786</v>
      </c>
      <c r="D26" s="361">
        <v>476</v>
      </c>
      <c r="E26" s="361">
        <v>12000</v>
      </c>
      <c r="F26" s="363">
        <f t="shared" si="1"/>
        <v>57.12</v>
      </c>
      <c r="G26" s="338">
        <f t="shared" si="2"/>
        <v>8.5679999999999996</v>
      </c>
      <c r="H26" s="364">
        <f t="shared" si="3"/>
        <v>65.688000000000002</v>
      </c>
    </row>
    <row r="27" spans="2:8" ht="30" hidden="1" x14ac:dyDescent="0.25">
      <c r="B27" s="361">
        <v>4</v>
      </c>
      <c r="C27" s="362" t="s">
        <v>787</v>
      </c>
      <c r="D27" s="361">
        <v>180</v>
      </c>
      <c r="E27" s="361">
        <v>3300</v>
      </c>
      <c r="F27" s="363">
        <f t="shared" si="1"/>
        <v>5.94</v>
      </c>
      <c r="G27" s="338">
        <f t="shared" si="2"/>
        <v>0.89100000000000013</v>
      </c>
      <c r="H27" s="364">
        <f t="shared" si="3"/>
        <v>6.8310000000000004</v>
      </c>
    </row>
    <row r="28" spans="2:8" ht="45" hidden="1" x14ac:dyDescent="0.25">
      <c r="B28" s="361">
        <v>5</v>
      </c>
      <c r="C28" s="362" t="s">
        <v>788</v>
      </c>
      <c r="D28" s="361">
        <v>1276</v>
      </c>
      <c r="E28" s="361">
        <v>700</v>
      </c>
      <c r="F28" s="366">
        <f t="shared" si="1"/>
        <v>8.9320000000000004</v>
      </c>
      <c r="G28" s="338">
        <f t="shared" si="2"/>
        <v>1.3398000000000001</v>
      </c>
      <c r="H28" s="364">
        <f t="shared" si="3"/>
        <v>10.271800000000001</v>
      </c>
    </row>
    <row r="29" spans="2:8" ht="60" hidden="1" x14ac:dyDescent="0.25">
      <c r="B29" s="361">
        <v>6</v>
      </c>
      <c r="C29" s="362" t="s">
        <v>789</v>
      </c>
      <c r="D29" s="367">
        <v>1276</v>
      </c>
      <c r="E29" s="361">
        <v>9000</v>
      </c>
      <c r="F29" s="366">
        <f t="shared" si="1"/>
        <v>114.84</v>
      </c>
      <c r="G29" s="338">
        <f t="shared" si="2"/>
        <v>17.226000000000003</v>
      </c>
      <c r="H29" s="364">
        <f t="shared" si="3"/>
        <v>132.066</v>
      </c>
    </row>
    <row r="30" spans="2:8" ht="30" hidden="1" x14ac:dyDescent="0.25">
      <c r="B30" s="361">
        <v>7</v>
      </c>
      <c r="C30" s="362" t="s">
        <v>790</v>
      </c>
      <c r="D30" s="368">
        <v>7.2</v>
      </c>
      <c r="E30" s="361">
        <v>9000</v>
      </c>
      <c r="F30" s="366">
        <f t="shared" si="1"/>
        <v>0.64800000000000002</v>
      </c>
      <c r="G30" s="338">
        <f t="shared" si="2"/>
        <v>9.7200000000000009E-2</v>
      </c>
      <c r="H30" s="364">
        <f t="shared" si="3"/>
        <v>0.74520000000000008</v>
      </c>
    </row>
    <row r="31" spans="2:8" ht="30" hidden="1" x14ac:dyDescent="0.25">
      <c r="B31" s="361">
        <v>8</v>
      </c>
      <c r="C31" s="362" t="s">
        <v>791</v>
      </c>
      <c r="D31" s="361">
        <v>163</v>
      </c>
      <c r="E31" s="361">
        <v>6400</v>
      </c>
      <c r="F31" s="366">
        <f t="shared" si="1"/>
        <v>10.432</v>
      </c>
      <c r="G31" s="338">
        <f t="shared" si="2"/>
        <v>1.5648000000000002</v>
      </c>
      <c r="H31" s="364">
        <f t="shared" si="3"/>
        <v>11.9968</v>
      </c>
    </row>
    <row r="32" spans="2:8" ht="30" hidden="1" x14ac:dyDescent="0.25">
      <c r="B32" s="361">
        <v>9</v>
      </c>
      <c r="C32" s="362" t="s">
        <v>792</v>
      </c>
      <c r="D32" s="361">
        <v>750</v>
      </c>
      <c r="E32" s="361">
        <v>3300</v>
      </c>
      <c r="F32" s="366">
        <f t="shared" si="1"/>
        <v>24.75</v>
      </c>
      <c r="G32" s="338">
        <f t="shared" si="2"/>
        <v>3.7124999999999999</v>
      </c>
      <c r="H32" s="364">
        <f t="shared" si="3"/>
        <v>28.462499999999999</v>
      </c>
    </row>
    <row r="33" spans="2:8" ht="30" hidden="1" x14ac:dyDescent="0.25">
      <c r="B33" s="361">
        <v>10</v>
      </c>
      <c r="C33" s="362" t="s">
        <v>793</v>
      </c>
      <c r="D33" s="368">
        <v>63.38</v>
      </c>
      <c r="E33" s="361">
        <v>6400</v>
      </c>
      <c r="F33" s="366">
        <f t="shared" si="1"/>
        <v>4.0563200000000004</v>
      </c>
      <c r="G33" s="338">
        <f t="shared" si="2"/>
        <v>0.6084480000000001</v>
      </c>
      <c r="H33" s="364">
        <f t="shared" si="3"/>
        <v>4.6647680000000005</v>
      </c>
    </row>
    <row r="34" spans="2:8" ht="30" hidden="1" x14ac:dyDescent="0.25">
      <c r="B34" s="361">
        <v>11</v>
      </c>
      <c r="C34" s="362" t="s">
        <v>794</v>
      </c>
      <c r="D34" s="361">
        <v>54</v>
      </c>
      <c r="E34" s="361">
        <v>3300</v>
      </c>
      <c r="F34" s="366">
        <f t="shared" si="1"/>
        <v>1.782</v>
      </c>
      <c r="G34" s="338">
        <f t="shared" si="2"/>
        <v>0.26729999999999998</v>
      </c>
      <c r="H34" s="364">
        <f t="shared" si="3"/>
        <v>2.0493000000000001</v>
      </c>
    </row>
    <row r="35" spans="2:8" ht="30" hidden="1" x14ac:dyDescent="0.25">
      <c r="B35" s="361">
        <v>12</v>
      </c>
      <c r="C35" s="362" t="s">
        <v>795</v>
      </c>
      <c r="D35" s="368">
        <v>250</v>
      </c>
      <c r="E35" s="361">
        <v>6400</v>
      </c>
      <c r="F35" s="366">
        <f t="shared" si="1"/>
        <v>16</v>
      </c>
      <c r="G35" s="338">
        <f t="shared" si="2"/>
        <v>2.4</v>
      </c>
      <c r="H35" s="364">
        <f t="shared" si="3"/>
        <v>18.399999999999999</v>
      </c>
    </row>
    <row r="36" spans="2:8" ht="45" hidden="1" x14ac:dyDescent="0.25">
      <c r="B36" s="361">
        <v>13</v>
      </c>
      <c r="C36" s="362" t="s">
        <v>796</v>
      </c>
      <c r="D36" s="368">
        <v>58.83</v>
      </c>
      <c r="E36" s="361">
        <v>6400</v>
      </c>
      <c r="F36" s="366">
        <f t="shared" si="1"/>
        <v>3.76512</v>
      </c>
      <c r="G36" s="338">
        <f t="shared" si="2"/>
        <v>0.56476799999999994</v>
      </c>
      <c r="H36" s="364">
        <f t="shared" si="3"/>
        <v>4.3298880000000004</v>
      </c>
    </row>
    <row r="37" spans="2:8" ht="45" hidden="1" x14ac:dyDescent="0.25">
      <c r="B37" s="361">
        <v>14</v>
      </c>
      <c r="C37" s="362" t="s">
        <v>797</v>
      </c>
      <c r="D37" s="361">
        <v>54</v>
      </c>
      <c r="E37" s="361">
        <v>3300</v>
      </c>
      <c r="F37" s="366">
        <f t="shared" si="1"/>
        <v>1.782</v>
      </c>
      <c r="G37" s="338">
        <f t="shared" si="2"/>
        <v>0.26729999999999998</v>
      </c>
      <c r="H37" s="364">
        <f t="shared" si="3"/>
        <v>2.0493000000000001</v>
      </c>
    </row>
    <row r="38" spans="2:8" hidden="1" x14ac:dyDescent="0.25">
      <c r="B38" s="361">
        <v>15</v>
      </c>
      <c r="C38" s="362" t="s">
        <v>798</v>
      </c>
      <c r="D38" s="361">
        <v>215</v>
      </c>
      <c r="E38" s="361">
        <v>3200</v>
      </c>
      <c r="F38" s="366">
        <f t="shared" si="1"/>
        <v>6.88</v>
      </c>
      <c r="G38" s="338">
        <f t="shared" si="2"/>
        <v>1.032</v>
      </c>
      <c r="H38" s="364">
        <f t="shared" si="3"/>
        <v>7.9119999999999999</v>
      </c>
    </row>
    <row r="39" spans="2:8" hidden="1" x14ac:dyDescent="0.25">
      <c r="B39" s="361">
        <v>16</v>
      </c>
      <c r="C39" s="362" t="s">
        <v>799</v>
      </c>
      <c r="D39" s="361">
        <v>215</v>
      </c>
      <c r="E39" s="361">
        <v>6500</v>
      </c>
      <c r="F39" s="366">
        <f t="shared" si="1"/>
        <v>13.975</v>
      </c>
      <c r="G39" s="338">
        <f t="shared" si="2"/>
        <v>2.0962499999999999</v>
      </c>
      <c r="H39" s="364">
        <f t="shared" si="3"/>
        <v>16.071249999999999</v>
      </c>
    </row>
    <row r="40" spans="2:8" hidden="1" x14ac:dyDescent="0.25">
      <c r="B40" s="361">
        <v>17</v>
      </c>
      <c r="C40" s="362" t="s">
        <v>800</v>
      </c>
      <c r="D40" s="361">
        <v>10</v>
      </c>
      <c r="E40" s="361">
        <v>13000</v>
      </c>
      <c r="F40" s="366">
        <f t="shared" si="1"/>
        <v>1.3</v>
      </c>
      <c r="G40" s="338">
        <f t="shared" si="2"/>
        <v>0.19500000000000001</v>
      </c>
      <c r="H40" s="364">
        <f t="shared" si="3"/>
        <v>1.4950000000000001</v>
      </c>
    </row>
    <row r="41" spans="2:8" hidden="1" x14ac:dyDescent="0.25">
      <c r="B41" s="361">
        <v>18</v>
      </c>
      <c r="C41" s="362" t="s">
        <v>801</v>
      </c>
      <c r="D41" s="361">
        <v>200</v>
      </c>
      <c r="E41" s="361">
        <v>16000</v>
      </c>
      <c r="F41" s="366">
        <f t="shared" si="1"/>
        <v>32</v>
      </c>
      <c r="G41" s="338">
        <f t="shared" si="2"/>
        <v>4.8</v>
      </c>
      <c r="H41" s="364">
        <f t="shared" si="3"/>
        <v>36.799999999999997</v>
      </c>
    </row>
    <row r="42" spans="2:8" hidden="1" x14ac:dyDescent="0.25">
      <c r="B42" s="361">
        <v>19</v>
      </c>
      <c r="C42" s="362" t="s">
        <v>802</v>
      </c>
      <c r="D42" s="361">
        <v>24</v>
      </c>
      <c r="E42" s="361">
        <v>13000</v>
      </c>
      <c r="F42" s="366">
        <f t="shared" si="1"/>
        <v>3.12</v>
      </c>
      <c r="G42" s="338">
        <f t="shared" si="2"/>
        <v>0.46800000000000003</v>
      </c>
      <c r="H42" s="364">
        <f t="shared" si="3"/>
        <v>3.5880000000000001</v>
      </c>
    </row>
    <row r="43" spans="2:8" ht="30" hidden="1" x14ac:dyDescent="0.25">
      <c r="B43" s="361">
        <v>20</v>
      </c>
      <c r="C43" s="362" t="s">
        <v>803</v>
      </c>
      <c r="D43" s="361">
        <v>200</v>
      </c>
      <c r="E43" s="361">
        <v>15000</v>
      </c>
      <c r="F43" s="366">
        <f t="shared" si="1"/>
        <v>30</v>
      </c>
      <c r="G43" s="338">
        <f t="shared" si="2"/>
        <v>4.5</v>
      </c>
      <c r="H43" s="364">
        <f t="shared" si="3"/>
        <v>34.5</v>
      </c>
    </row>
    <row r="44" spans="2:8" hidden="1" x14ac:dyDescent="0.25">
      <c r="B44" s="361">
        <v>21</v>
      </c>
      <c r="C44" s="362" t="s">
        <v>804</v>
      </c>
      <c r="D44" s="361">
        <v>90</v>
      </c>
      <c r="E44" s="361">
        <v>13000</v>
      </c>
      <c r="F44" s="366">
        <f t="shared" si="1"/>
        <v>11.7</v>
      </c>
      <c r="G44" s="338">
        <f t="shared" si="2"/>
        <v>1.7549999999999999</v>
      </c>
      <c r="H44" s="364">
        <f t="shared" si="3"/>
        <v>13.454999999999998</v>
      </c>
    </row>
    <row r="45" spans="2:8" ht="30" hidden="1" x14ac:dyDescent="0.25">
      <c r="B45" s="361">
        <v>22</v>
      </c>
      <c r="C45" s="365" t="s">
        <v>805</v>
      </c>
      <c r="D45" s="367">
        <v>90</v>
      </c>
      <c r="E45" s="367">
        <v>13000</v>
      </c>
      <c r="F45" s="369">
        <f t="shared" si="1"/>
        <v>11.7</v>
      </c>
      <c r="G45" s="338">
        <f t="shared" si="2"/>
        <v>1.7549999999999999</v>
      </c>
      <c r="H45" s="364">
        <f t="shared" si="3"/>
        <v>13.454999999999998</v>
      </c>
    </row>
    <row r="46" spans="2:8" ht="45" hidden="1" x14ac:dyDescent="0.25">
      <c r="B46" s="361">
        <v>23</v>
      </c>
      <c r="C46" s="365" t="s">
        <v>806</v>
      </c>
      <c r="D46" s="367">
        <v>156</v>
      </c>
      <c r="E46" s="367">
        <v>89000</v>
      </c>
      <c r="F46" s="369">
        <f t="shared" si="1"/>
        <v>138.84</v>
      </c>
      <c r="G46" s="338">
        <f>F46*12/100</f>
        <v>16.660799999999998</v>
      </c>
      <c r="H46" s="364">
        <f t="shared" si="3"/>
        <v>155.5008</v>
      </c>
    </row>
    <row r="47" spans="2:8" hidden="1" x14ac:dyDescent="0.25">
      <c r="B47" s="361">
        <v>24</v>
      </c>
      <c r="C47" s="365" t="s">
        <v>807</v>
      </c>
      <c r="D47" s="370" t="s">
        <v>128</v>
      </c>
      <c r="E47" s="370"/>
      <c r="F47" s="371">
        <v>25</v>
      </c>
      <c r="G47" s="338">
        <f t="shared" si="2"/>
        <v>3.75</v>
      </c>
      <c r="H47" s="364">
        <f t="shared" si="3"/>
        <v>28.75</v>
      </c>
    </row>
    <row r="48" spans="2:8" ht="30" hidden="1" x14ac:dyDescent="0.25">
      <c r="B48" s="361">
        <v>25</v>
      </c>
      <c r="C48" s="365" t="s">
        <v>166</v>
      </c>
      <c r="D48" s="370" t="s">
        <v>128</v>
      </c>
      <c r="E48" s="370"/>
      <c r="F48" s="371">
        <v>10</v>
      </c>
      <c r="G48" s="338">
        <f t="shared" si="2"/>
        <v>1.5</v>
      </c>
      <c r="H48" s="364">
        <f t="shared" si="3"/>
        <v>11.5</v>
      </c>
    </row>
    <row r="49" spans="2:8" hidden="1" x14ac:dyDescent="0.25">
      <c r="B49" s="361">
        <v>26</v>
      </c>
      <c r="C49" s="362" t="s">
        <v>168</v>
      </c>
      <c r="D49" s="368" t="s">
        <v>128</v>
      </c>
      <c r="E49" s="368"/>
      <c r="F49" s="363">
        <v>20</v>
      </c>
      <c r="G49" s="338">
        <f t="shared" si="2"/>
        <v>3</v>
      </c>
      <c r="H49" s="364">
        <f t="shared" si="3"/>
        <v>23</v>
      </c>
    </row>
    <row r="50" spans="2:8" ht="30" hidden="1" x14ac:dyDescent="0.25">
      <c r="B50" s="361">
        <v>27</v>
      </c>
      <c r="C50" s="362" t="s">
        <v>179</v>
      </c>
      <c r="D50" s="368" t="s">
        <v>128</v>
      </c>
      <c r="E50" s="368"/>
      <c r="F50" s="363">
        <v>15</v>
      </c>
      <c r="G50" s="338">
        <f t="shared" si="2"/>
        <v>2.25</v>
      </c>
      <c r="H50" s="364">
        <f t="shared" si="3"/>
        <v>17.25</v>
      </c>
    </row>
    <row r="51" spans="2:8" hidden="1" x14ac:dyDescent="0.25">
      <c r="B51" s="361">
        <v>28</v>
      </c>
      <c r="C51" s="372" t="s">
        <v>159</v>
      </c>
      <c r="D51" s="368" t="s">
        <v>128</v>
      </c>
      <c r="E51" s="368" t="s">
        <v>129</v>
      </c>
      <c r="F51" s="363">
        <v>10</v>
      </c>
      <c r="G51" s="338">
        <f t="shared" si="0"/>
        <v>1.8</v>
      </c>
      <c r="H51" s="364">
        <f t="shared" si="3"/>
        <v>11.8</v>
      </c>
    </row>
    <row r="52" spans="2:8" hidden="1" x14ac:dyDescent="0.25">
      <c r="B52" s="361">
        <v>29</v>
      </c>
      <c r="C52" s="362" t="s">
        <v>181</v>
      </c>
      <c r="D52" s="368" t="s">
        <v>128</v>
      </c>
      <c r="E52" s="368"/>
      <c r="F52" s="363">
        <v>7</v>
      </c>
      <c r="G52" s="338">
        <f t="shared" si="0"/>
        <v>1.26</v>
      </c>
      <c r="H52" s="364">
        <f t="shared" si="3"/>
        <v>8.26</v>
      </c>
    </row>
    <row r="53" spans="2:8" ht="7.15" hidden="1" customHeight="1" x14ac:dyDescent="0.25">
      <c r="B53" s="358"/>
      <c r="C53" s="373"/>
      <c r="D53" s="356"/>
      <c r="E53" s="356"/>
      <c r="F53" s="357"/>
    </row>
    <row r="54" spans="2:8" hidden="1" x14ac:dyDescent="0.25">
      <c r="B54" s="342" t="s">
        <v>808</v>
      </c>
      <c r="C54" s="664" t="s">
        <v>183</v>
      </c>
      <c r="D54" s="665"/>
      <c r="E54" s="665"/>
      <c r="F54" s="343"/>
      <c r="H54" s="360">
        <f>SUM(H55:H77)</f>
        <v>1580.3999999999999</v>
      </c>
    </row>
    <row r="55" spans="2:8" ht="30" hidden="1" x14ac:dyDescent="0.25">
      <c r="B55" s="361">
        <v>1</v>
      </c>
      <c r="C55" s="362" t="s">
        <v>184</v>
      </c>
      <c r="D55" s="361">
        <v>4</v>
      </c>
      <c r="E55" s="368">
        <v>8</v>
      </c>
      <c r="F55" s="368">
        <f>D55*E55</f>
        <v>32</v>
      </c>
      <c r="G55" s="338">
        <f>F55*12/100</f>
        <v>3.84</v>
      </c>
      <c r="H55" s="364">
        <f>F55+G55</f>
        <v>35.840000000000003</v>
      </c>
    </row>
    <row r="56" spans="2:8" ht="30" hidden="1" x14ac:dyDescent="0.25">
      <c r="B56" s="361">
        <v>2</v>
      </c>
      <c r="C56" s="362" t="s">
        <v>185</v>
      </c>
      <c r="D56" s="361">
        <v>4</v>
      </c>
      <c r="E56" s="368">
        <v>7</v>
      </c>
      <c r="F56" s="368">
        <f>D56*E56</f>
        <v>28</v>
      </c>
      <c r="G56" s="338">
        <f>F56*12/100</f>
        <v>3.36</v>
      </c>
      <c r="H56" s="364">
        <f t="shared" ref="H56:H77" si="4">F56+G56</f>
        <v>31.36</v>
      </c>
    </row>
    <row r="57" spans="2:8" ht="30" hidden="1" x14ac:dyDescent="0.25">
      <c r="B57" s="361">
        <v>3</v>
      </c>
      <c r="C57" s="362" t="s">
        <v>186</v>
      </c>
      <c r="D57" s="361">
        <v>8</v>
      </c>
      <c r="E57" s="368">
        <v>2</v>
      </c>
      <c r="F57" s="368">
        <f>D57*E57</f>
        <v>16</v>
      </c>
      <c r="G57" s="338">
        <f t="shared" si="0"/>
        <v>2.88</v>
      </c>
      <c r="H57" s="364">
        <f t="shared" si="4"/>
        <v>18.88</v>
      </c>
    </row>
    <row r="58" spans="2:8" ht="45" hidden="1" x14ac:dyDescent="0.25">
      <c r="B58" s="361">
        <v>4</v>
      </c>
      <c r="C58" s="362" t="s">
        <v>809</v>
      </c>
      <c r="D58" s="361">
        <v>1</v>
      </c>
      <c r="E58" s="368">
        <v>50</v>
      </c>
      <c r="F58" s="368">
        <f>D58*E58</f>
        <v>50</v>
      </c>
      <c r="H58" s="364">
        <f t="shared" si="4"/>
        <v>50</v>
      </c>
    </row>
    <row r="59" spans="2:8" ht="180" hidden="1" x14ac:dyDescent="0.25">
      <c r="B59" s="361">
        <v>5</v>
      </c>
      <c r="C59" s="362" t="s">
        <v>619</v>
      </c>
      <c r="D59" s="361">
        <v>2</v>
      </c>
      <c r="E59" s="368">
        <v>60</v>
      </c>
      <c r="F59" s="368">
        <f>D59*E59</f>
        <v>120</v>
      </c>
      <c r="G59" s="338">
        <f t="shared" si="0"/>
        <v>21.6</v>
      </c>
      <c r="H59" s="364">
        <f t="shared" si="4"/>
        <v>141.6</v>
      </c>
    </row>
    <row r="60" spans="2:8" ht="32.25" hidden="1" customHeight="1" x14ac:dyDescent="0.25">
      <c r="B60" s="361">
        <v>6</v>
      </c>
      <c r="C60" s="362" t="s">
        <v>810</v>
      </c>
      <c r="D60" s="368" t="s">
        <v>129</v>
      </c>
      <c r="E60" s="368"/>
      <c r="F60" s="368">
        <v>40</v>
      </c>
      <c r="G60" s="338">
        <f t="shared" si="0"/>
        <v>7.2</v>
      </c>
      <c r="H60" s="364">
        <f t="shared" si="4"/>
        <v>47.2</v>
      </c>
    </row>
    <row r="61" spans="2:8" ht="20.25" hidden="1" customHeight="1" x14ac:dyDescent="0.25">
      <c r="B61" s="361">
        <v>7</v>
      </c>
      <c r="C61" s="362" t="s">
        <v>811</v>
      </c>
      <c r="D61" s="368" t="s">
        <v>129</v>
      </c>
      <c r="E61" s="368"/>
      <c r="F61" s="368">
        <v>70</v>
      </c>
      <c r="G61" s="338">
        <f t="shared" si="0"/>
        <v>12.6</v>
      </c>
      <c r="H61" s="364">
        <f t="shared" si="4"/>
        <v>82.6</v>
      </c>
    </row>
    <row r="62" spans="2:8" ht="150" hidden="1" x14ac:dyDescent="0.25">
      <c r="B62" s="361">
        <v>8</v>
      </c>
      <c r="C62" s="362" t="s">
        <v>812</v>
      </c>
      <c r="D62" s="361">
        <v>2</v>
      </c>
      <c r="E62" s="368">
        <v>70</v>
      </c>
      <c r="F62" s="368">
        <f t="shared" ref="F62:F71" si="5">D62*E62</f>
        <v>140</v>
      </c>
      <c r="G62" s="338">
        <f t="shared" si="0"/>
        <v>25.2</v>
      </c>
      <c r="H62" s="364">
        <f t="shared" si="4"/>
        <v>165.2</v>
      </c>
    </row>
    <row r="63" spans="2:8" ht="105" hidden="1" x14ac:dyDescent="0.25">
      <c r="B63" s="361">
        <v>9</v>
      </c>
      <c r="C63" s="362" t="s">
        <v>813</v>
      </c>
      <c r="D63" s="361">
        <v>1</v>
      </c>
      <c r="E63" s="368">
        <v>165</v>
      </c>
      <c r="F63" s="368">
        <f t="shared" si="5"/>
        <v>165</v>
      </c>
      <c r="G63" s="338">
        <f t="shared" si="0"/>
        <v>29.7</v>
      </c>
      <c r="H63" s="364">
        <f t="shared" si="4"/>
        <v>194.7</v>
      </c>
    </row>
    <row r="64" spans="2:8" ht="45" hidden="1" x14ac:dyDescent="0.25">
      <c r="B64" s="361">
        <v>10</v>
      </c>
      <c r="C64" s="362" t="s">
        <v>192</v>
      </c>
      <c r="D64" s="361">
        <v>1</v>
      </c>
      <c r="E64" s="368">
        <v>40</v>
      </c>
      <c r="F64" s="368">
        <f t="shared" si="5"/>
        <v>40</v>
      </c>
      <c r="G64" s="338">
        <f t="shared" si="0"/>
        <v>7.2</v>
      </c>
      <c r="H64" s="364">
        <f t="shared" si="4"/>
        <v>47.2</v>
      </c>
    </row>
    <row r="65" spans="2:8" hidden="1" x14ac:dyDescent="0.25">
      <c r="B65" s="361"/>
      <c r="C65" s="362" t="s">
        <v>814</v>
      </c>
      <c r="D65" s="361">
        <v>1</v>
      </c>
      <c r="E65" s="368">
        <v>45</v>
      </c>
      <c r="F65" s="368">
        <f t="shared" si="5"/>
        <v>45</v>
      </c>
      <c r="G65" s="338">
        <f t="shared" si="0"/>
        <v>8.1</v>
      </c>
      <c r="H65" s="364">
        <f t="shared" si="4"/>
        <v>53.1</v>
      </c>
    </row>
    <row r="66" spans="2:8" hidden="1" x14ac:dyDescent="0.25">
      <c r="B66" s="361">
        <v>11</v>
      </c>
      <c r="C66" s="362" t="s">
        <v>193</v>
      </c>
      <c r="D66" s="361">
        <v>1</v>
      </c>
      <c r="E66" s="368">
        <v>18</v>
      </c>
      <c r="F66" s="368">
        <f t="shared" si="5"/>
        <v>18</v>
      </c>
      <c r="G66" s="338">
        <f t="shared" si="0"/>
        <v>3.24</v>
      </c>
      <c r="H66" s="364">
        <f t="shared" si="4"/>
        <v>21.240000000000002</v>
      </c>
    </row>
    <row r="67" spans="2:8" ht="30" hidden="1" x14ac:dyDescent="0.25">
      <c r="B67" s="361">
        <v>12</v>
      </c>
      <c r="C67" s="362" t="s">
        <v>194</v>
      </c>
      <c r="D67" s="361">
        <v>2</v>
      </c>
      <c r="E67" s="368">
        <v>16</v>
      </c>
      <c r="F67" s="368">
        <f t="shared" si="5"/>
        <v>32</v>
      </c>
      <c r="G67" s="338">
        <f t="shared" si="0"/>
        <v>5.76</v>
      </c>
      <c r="H67" s="364">
        <f t="shared" si="4"/>
        <v>37.76</v>
      </c>
    </row>
    <row r="68" spans="2:8" ht="45" hidden="1" x14ac:dyDescent="0.25">
      <c r="B68" s="361">
        <v>13</v>
      </c>
      <c r="C68" s="374" t="s">
        <v>815</v>
      </c>
      <c r="D68" s="361">
        <v>1</v>
      </c>
      <c r="E68" s="368">
        <v>50</v>
      </c>
      <c r="F68" s="368">
        <f>E68</f>
        <v>50</v>
      </c>
      <c r="G68" s="338">
        <f t="shared" si="0"/>
        <v>9</v>
      </c>
      <c r="H68" s="364">
        <f t="shared" si="4"/>
        <v>59</v>
      </c>
    </row>
    <row r="69" spans="2:8" hidden="1" x14ac:dyDescent="0.25">
      <c r="B69" s="361">
        <v>14</v>
      </c>
      <c r="C69" s="375" t="s">
        <v>196</v>
      </c>
      <c r="D69" s="361">
        <v>2</v>
      </c>
      <c r="E69" s="368">
        <v>8</v>
      </c>
      <c r="F69" s="368">
        <f t="shared" si="5"/>
        <v>16</v>
      </c>
      <c r="G69" s="338">
        <f t="shared" si="0"/>
        <v>2.88</v>
      </c>
      <c r="H69" s="364">
        <f t="shared" si="4"/>
        <v>18.88</v>
      </c>
    </row>
    <row r="70" spans="2:8" ht="75" hidden="1" x14ac:dyDescent="0.25">
      <c r="B70" s="361">
        <v>15</v>
      </c>
      <c r="C70" s="374" t="s">
        <v>816</v>
      </c>
      <c r="D70" s="361">
        <v>1</v>
      </c>
      <c r="E70" s="368">
        <v>100</v>
      </c>
      <c r="F70" s="368">
        <f t="shared" si="5"/>
        <v>100</v>
      </c>
      <c r="G70" s="338">
        <f t="shared" si="0"/>
        <v>18</v>
      </c>
      <c r="H70" s="364">
        <f t="shared" si="4"/>
        <v>118</v>
      </c>
    </row>
    <row r="71" spans="2:8" ht="75" hidden="1" x14ac:dyDescent="0.25">
      <c r="B71" s="361">
        <v>16</v>
      </c>
      <c r="C71" s="374" t="s">
        <v>817</v>
      </c>
      <c r="D71" s="361">
        <v>10</v>
      </c>
      <c r="E71" s="368">
        <v>22</v>
      </c>
      <c r="F71" s="368">
        <f t="shared" si="5"/>
        <v>220</v>
      </c>
      <c r="G71" s="338">
        <f t="shared" si="0"/>
        <v>39.6</v>
      </c>
      <c r="H71" s="364">
        <f t="shared" si="4"/>
        <v>259.60000000000002</v>
      </c>
    </row>
    <row r="72" spans="2:8" ht="75" hidden="1" x14ac:dyDescent="0.25">
      <c r="B72" s="361">
        <v>17</v>
      </c>
      <c r="C72" s="362" t="s">
        <v>199</v>
      </c>
      <c r="D72" s="368" t="s">
        <v>200</v>
      </c>
      <c r="E72" s="368"/>
      <c r="F72" s="368">
        <v>16</v>
      </c>
      <c r="G72" s="338">
        <f t="shared" si="0"/>
        <v>2.88</v>
      </c>
      <c r="H72" s="364">
        <f t="shared" si="4"/>
        <v>18.88</v>
      </c>
    </row>
    <row r="73" spans="2:8" ht="45" hidden="1" x14ac:dyDescent="0.25">
      <c r="B73" s="361">
        <v>18</v>
      </c>
      <c r="C73" s="376" t="s">
        <v>201</v>
      </c>
      <c r="D73" s="361">
        <v>3</v>
      </c>
      <c r="E73" s="368">
        <v>4</v>
      </c>
      <c r="F73" s="368">
        <f>D73*E73</f>
        <v>12</v>
      </c>
      <c r="G73" s="338">
        <f t="shared" ref="G73:G87" si="6">F73*18/100</f>
        <v>2.16</v>
      </c>
      <c r="H73" s="364">
        <f t="shared" si="4"/>
        <v>14.16</v>
      </c>
    </row>
    <row r="74" spans="2:8" hidden="1" x14ac:dyDescent="0.25">
      <c r="B74" s="361">
        <v>19</v>
      </c>
      <c r="C74" s="375" t="s">
        <v>818</v>
      </c>
      <c r="D74" s="361">
        <v>3</v>
      </c>
      <c r="E74" s="368">
        <v>15</v>
      </c>
      <c r="F74" s="368">
        <f>D74*E74</f>
        <v>45</v>
      </c>
      <c r="G74" s="338">
        <f t="shared" si="6"/>
        <v>8.1</v>
      </c>
      <c r="H74" s="364">
        <f t="shared" si="4"/>
        <v>53.1</v>
      </c>
    </row>
    <row r="75" spans="2:8" ht="30" hidden="1" x14ac:dyDescent="0.25">
      <c r="B75" s="361">
        <v>20</v>
      </c>
      <c r="C75" s="376" t="s">
        <v>206</v>
      </c>
      <c r="D75" s="361">
        <v>1</v>
      </c>
      <c r="E75" s="368">
        <v>50</v>
      </c>
      <c r="F75" s="368">
        <f>D75*E75</f>
        <v>50</v>
      </c>
      <c r="G75" s="338">
        <f t="shared" si="6"/>
        <v>9</v>
      </c>
      <c r="H75" s="364">
        <f t="shared" si="4"/>
        <v>59</v>
      </c>
    </row>
    <row r="76" spans="2:8" hidden="1" x14ac:dyDescent="0.25">
      <c r="B76" s="361">
        <v>21</v>
      </c>
      <c r="C76" s="375" t="s">
        <v>208</v>
      </c>
      <c r="D76" s="368" t="s">
        <v>129</v>
      </c>
      <c r="E76" s="368"/>
      <c r="F76" s="368">
        <v>35</v>
      </c>
      <c r="G76" s="338">
        <f t="shared" si="6"/>
        <v>6.3</v>
      </c>
      <c r="H76" s="364">
        <f t="shared" si="4"/>
        <v>41.3</v>
      </c>
    </row>
    <row r="77" spans="2:8" hidden="1" x14ac:dyDescent="0.25">
      <c r="B77" s="361">
        <v>22</v>
      </c>
      <c r="C77" s="372" t="s">
        <v>212</v>
      </c>
      <c r="D77" s="368" t="s">
        <v>129</v>
      </c>
      <c r="E77" s="377"/>
      <c r="F77" s="368">
        <v>10</v>
      </c>
      <c r="G77" s="338">
        <f t="shared" si="6"/>
        <v>1.8</v>
      </c>
      <c r="H77" s="364">
        <f t="shared" si="4"/>
        <v>11.8</v>
      </c>
    </row>
    <row r="78" spans="2:8" ht="7.9" hidden="1" customHeight="1" x14ac:dyDescent="0.25">
      <c r="B78" s="358"/>
      <c r="C78" s="373"/>
      <c r="D78" s="378"/>
      <c r="E78" s="378"/>
      <c r="F78" s="357"/>
    </row>
    <row r="79" spans="2:8" hidden="1" x14ac:dyDescent="0.25">
      <c r="B79" s="358" t="s">
        <v>819</v>
      </c>
      <c r="C79" s="664" t="s">
        <v>214</v>
      </c>
      <c r="D79" s="665"/>
      <c r="E79" s="665"/>
      <c r="F79" s="343"/>
    </row>
    <row r="80" spans="2:8" ht="16.5" hidden="1" customHeight="1" x14ac:dyDescent="0.25">
      <c r="B80" s="361">
        <v>1</v>
      </c>
      <c r="C80" s="362" t="s">
        <v>215</v>
      </c>
      <c r="D80" s="361">
        <v>1</v>
      </c>
      <c r="E80" s="368">
        <v>15</v>
      </c>
      <c r="F80" s="368">
        <f>D80*E80</f>
        <v>15</v>
      </c>
      <c r="G80" s="338">
        <f t="shared" si="6"/>
        <v>2.7</v>
      </c>
    </row>
    <row r="81" spans="2:7" ht="16.5" hidden="1" customHeight="1" x14ac:dyDescent="0.25">
      <c r="B81" s="361">
        <v>2</v>
      </c>
      <c r="C81" s="362" t="s">
        <v>216</v>
      </c>
      <c r="D81" s="361">
        <v>1</v>
      </c>
      <c r="E81" s="368">
        <v>40</v>
      </c>
      <c r="F81" s="368">
        <f t="shared" ref="F81:F87" si="7">D81*E81</f>
        <v>40</v>
      </c>
      <c r="G81" s="338">
        <f t="shared" si="6"/>
        <v>7.2</v>
      </c>
    </row>
    <row r="82" spans="2:7" ht="40.5" hidden="1" customHeight="1" x14ac:dyDescent="0.25">
      <c r="B82" s="361">
        <v>3</v>
      </c>
      <c r="C82" s="362" t="s">
        <v>217</v>
      </c>
      <c r="D82" s="361">
        <v>1</v>
      </c>
      <c r="E82" s="368">
        <v>35</v>
      </c>
      <c r="F82" s="368">
        <f t="shared" si="7"/>
        <v>35</v>
      </c>
      <c r="G82" s="338">
        <f t="shared" si="6"/>
        <v>6.3</v>
      </c>
    </row>
    <row r="83" spans="2:7" ht="30" hidden="1" customHeight="1" x14ac:dyDescent="0.25">
      <c r="B83" s="361">
        <v>4</v>
      </c>
      <c r="C83" s="362" t="s">
        <v>218</v>
      </c>
      <c r="D83" s="361">
        <v>1</v>
      </c>
      <c r="E83" s="368">
        <v>40</v>
      </c>
      <c r="F83" s="368">
        <f t="shared" si="7"/>
        <v>40</v>
      </c>
      <c r="G83" s="338">
        <f t="shared" si="6"/>
        <v>7.2</v>
      </c>
    </row>
    <row r="84" spans="2:7" hidden="1" x14ac:dyDescent="0.25">
      <c r="B84" s="361">
        <v>5</v>
      </c>
      <c r="C84" s="362" t="s">
        <v>219</v>
      </c>
      <c r="D84" s="368" t="s">
        <v>129</v>
      </c>
      <c r="E84" s="368">
        <v>30</v>
      </c>
      <c r="F84" s="368">
        <f>E84</f>
        <v>30</v>
      </c>
      <c r="G84" s="338">
        <f t="shared" si="6"/>
        <v>5.4</v>
      </c>
    </row>
    <row r="85" spans="2:7" hidden="1" x14ac:dyDescent="0.25">
      <c r="B85" s="361">
        <v>6</v>
      </c>
      <c r="C85" s="375" t="s">
        <v>820</v>
      </c>
      <c r="D85" s="361">
        <v>1</v>
      </c>
      <c r="E85" s="368">
        <v>20</v>
      </c>
      <c r="F85" s="368">
        <f t="shared" si="7"/>
        <v>20</v>
      </c>
      <c r="G85" s="338">
        <f t="shared" si="6"/>
        <v>3.6</v>
      </c>
    </row>
    <row r="86" spans="2:7" hidden="1" x14ac:dyDescent="0.25">
      <c r="B86" s="361">
        <v>7</v>
      </c>
      <c r="C86" s="375" t="s">
        <v>221</v>
      </c>
      <c r="D86" s="361">
        <v>1</v>
      </c>
      <c r="E86" s="368">
        <v>25</v>
      </c>
      <c r="F86" s="368">
        <f t="shared" si="7"/>
        <v>25</v>
      </c>
      <c r="G86" s="338">
        <f t="shared" si="6"/>
        <v>4.5</v>
      </c>
    </row>
    <row r="87" spans="2:7" hidden="1" x14ac:dyDescent="0.25">
      <c r="B87" s="361">
        <v>8</v>
      </c>
      <c r="C87" s="377" t="s">
        <v>222</v>
      </c>
      <c r="D87" s="361">
        <v>10</v>
      </c>
      <c r="E87" s="368">
        <v>1</v>
      </c>
      <c r="F87" s="368">
        <f t="shared" si="7"/>
        <v>10</v>
      </c>
      <c r="G87" s="338">
        <f t="shared" si="6"/>
        <v>1.8</v>
      </c>
    </row>
    <row r="88" spans="2:7" hidden="1" x14ac:dyDescent="0.25">
      <c r="B88" s="342" t="s">
        <v>821</v>
      </c>
      <c r="C88" s="379" t="s">
        <v>822</v>
      </c>
      <c r="D88" s="380"/>
      <c r="E88" s="381"/>
      <c r="F88" s="382">
        <f>SUM(F5:F87)</f>
        <v>2833.8724400000001</v>
      </c>
    </row>
    <row r="89" spans="2:7" hidden="1" x14ac:dyDescent="0.25">
      <c r="B89" s="342" t="s">
        <v>823</v>
      </c>
      <c r="C89" s="378" t="s">
        <v>824</v>
      </c>
      <c r="D89" s="378"/>
      <c r="E89" s="378"/>
      <c r="F89" s="383">
        <f>F88*8/100</f>
        <v>226.7097952</v>
      </c>
      <c r="G89" s="338">
        <f>F89*18/100</f>
        <v>40.807763135999998</v>
      </c>
    </row>
    <row r="90" spans="2:7" hidden="1" x14ac:dyDescent="0.25">
      <c r="B90" s="358"/>
      <c r="C90" s="384"/>
      <c r="D90" s="356"/>
      <c r="E90" s="356"/>
      <c r="F90" s="357"/>
    </row>
    <row r="91" spans="2:7" hidden="1" x14ac:dyDescent="0.25">
      <c r="B91" s="358" t="s">
        <v>825</v>
      </c>
      <c r="C91" s="661" t="s">
        <v>224</v>
      </c>
      <c r="D91" s="662"/>
      <c r="E91" s="662"/>
      <c r="F91" s="385"/>
    </row>
    <row r="92" spans="2:7" ht="30" hidden="1" x14ac:dyDescent="0.25">
      <c r="B92" s="344">
        <v>1</v>
      </c>
      <c r="C92" s="345" t="s">
        <v>826</v>
      </c>
      <c r="D92" s="344" t="s">
        <v>129</v>
      </c>
      <c r="E92" s="344">
        <v>15</v>
      </c>
      <c r="F92" s="386">
        <f>E92</f>
        <v>15</v>
      </c>
      <c r="G92" s="338">
        <f>F92*5/100</f>
        <v>0.75</v>
      </c>
    </row>
    <row r="93" spans="2:7" hidden="1" x14ac:dyDescent="0.25">
      <c r="B93" s="344">
        <v>2</v>
      </c>
      <c r="C93" s="352" t="s">
        <v>227</v>
      </c>
      <c r="D93" s="344">
        <v>2</v>
      </c>
      <c r="E93" s="344">
        <v>16</v>
      </c>
      <c r="F93" s="386">
        <f>D93*E93</f>
        <v>32</v>
      </c>
    </row>
    <row r="94" spans="2:7" hidden="1" x14ac:dyDescent="0.25">
      <c r="B94" s="344">
        <v>3</v>
      </c>
      <c r="C94" s="352" t="s">
        <v>229</v>
      </c>
      <c r="D94" s="344">
        <v>1</v>
      </c>
      <c r="E94" s="344">
        <v>12</v>
      </c>
      <c r="F94" s="386">
        <f>D94*E94</f>
        <v>12</v>
      </c>
    </row>
    <row r="95" spans="2:7" hidden="1" x14ac:dyDescent="0.25">
      <c r="B95" s="344">
        <v>4</v>
      </c>
      <c r="C95" s="352" t="s">
        <v>230</v>
      </c>
      <c r="D95" s="344" t="s">
        <v>129</v>
      </c>
      <c r="E95" s="344"/>
      <c r="F95" s="386">
        <v>10</v>
      </c>
      <c r="G95" s="338">
        <f>F93*18/100</f>
        <v>5.76</v>
      </c>
    </row>
    <row r="96" spans="2:7" hidden="1" x14ac:dyDescent="0.25">
      <c r="B96" s="344">
        <v>5</v>
      </c>
      <c r="C96" s="352" t="s">
        <v>238</v>
      </c>
      <c r="D96" s="344" t="s">
        <v>128</v>
      </c>
      <c r="E96" s="344"/>
      <c r="F96" s="383">
        <v>20</v>
      </c>
      <c r="G96" s="338">
        <f>F94*18/100</f>
        <v>2.16</v>
      </c>
    </row>
    <row r="97" spans="2:10" hidden="1" x14ac:dyDescent="0.25">
      <c r="B97" s="344">
        <v>6</v>
      </c>
      <c r="C97" s="352" t="s">
        <v>243</v>
      </c>
      <c r="D97" s="344" t="s">
        <v>128</v>
      </c>
      <c r="E97" s="344"/>
      <c r="F97" s="383">
        <v>250</v>
      </c>
    </row>
    <row r="98" spans="2:10" hidden="1" x14ac:dyDescent="0.25">
      <c r="B98" s="344">
        <v>7</v>
      </c>
      <c r="C98" s="352" t="s">
        <v>240</v>
      </c>
      <c r="D98" s="344" t="s">
        <v>128</v>
      </c>
      <c r="E98" s="344"/>
      <c r="F98" s="387">
        <v>75</v>
      </c>
      <c r="J98" s="335">
        <f>6.7*6</f>
        <v>40.200000000000003</v>
      </c>
    </row>
    <row r="99" spans="2:10" hidden="1" x14ac:dyDescent="0.25">
      <c r="B99" s="344">
        <v>8</v>
      </c>
      <c r="C99" s="352" t="s">
        <v>244</v>
      </c>
      <c r="D99" s="344" t="s">
        <v>128</v>
      </c>
      <c r="E99" s="344"/>
      <c r="F99" s="383">
        <v>421</v>
      </c>
      <c r="H99" s="364">
        <f>F101*2%</f>
        <v>77.911644703999997</v>
      </c>
    </row>
    <row r="100" spans="2:10" hidden="1" x14ac:dyDescent="0.25">
      <c r="B100" s="344"/>
      <c r="C100" s="388" t="s">
        <v>827</v>
      </c>
      <c r="D100" s="356"/>
      <c r="E100" s="356"/>
      <c r="F100" s="382">
        <f>SUM(F89:F99)</f>
        <v>1061.7097951999999</v>
      </c>
    </row>
    <row r="101" spans="2:10" hidden="1" x14ac:dyDescent="0.25">
      <c r="B101" s="660" t="s">
        <v>828</v>
      </c>
      <c r="C101" s="660"/>
      <c r="D101" s="358"/>
      <c r="E101" s="389"/>
      <c r="F101" s="390">
        <f>F88+F100</f>
        <v>3895.5822352</v>
      </c>
      <c r="G101" s="338">
        <f>SUM(G5:G100)</f>
        <v>420.960929136</v>
      </c>
    </row>
    <row r="102" spans="2:10" hidden="1" x14ac:dyDescent="0.25">
      <c r="B102" s="391"/>
      <c r="D102" s="335"/>
      <c r="E102" s="335"/>
      <c r="F102" s="335"/>
    </row>
    <row r="103" spans="2:10" hidden="1" x14ac:dyDescent="0.25">
      <c r="D103" s="335"/>
      <c r="E103" s="335"/>
      <c r="F103" s="335"/>
      <c r="G103" s="338">
        <f>F101/6</f>
        <v>649.26370586666667</v>
      </c>
      <c r="H103" s="335" t="s">
        <v>829</v>
      </c>
    </row>
    <row r="104" spans="2:10" hidden="1" x14ac:dyDescent="0.25"/>
    <row r="106" spans="2:10" ht="19.5" customHeight="1" x14ac:dyDescent="0.25">
      <c r="B106" s="657" t="s">
        <v>830</v>
      </c>
      <c r="C106" s="657"/>
      <c r="D106" s="657"/>
      <c r="E106" s="657"/>
      <c r="F106" s="657"/>
      <c r="G106" s="657"/>
      <c r="H106" s="657"/>
    </row>
    <row r="107" spans="2:10" ht="6.75" customHeight="1" x14ac:dyDescent="0.25"/>
    <row r="108" spans="2:10" ht="18" customHeight="1" x14ac:dyDescent="0.25">
      <c r="B108" s="659" t="s">
        <v>834</v>
      </c>
      <c r="C108" s="659"/>
      <c r="D108" s="659"/>
      <c r="E108" s="659"/>
      <c r="F108" s="659"/>
      <c r="G108" s="659"/>
      <c r="H108" s="659"/>
    </row>
    <row r="109" spans="2:10" ht="17.25" customHeight="1" x14ac:dyDescent="0.25">
      <c r="B109" s="335"/>
      <c r="D109" s="335"/>
      <c r="E109" s="335"/>
      <c r="F109" s="335"/>
      <c r="G109" s="335"/>
    </row>
    <row r="110" spans="2:10" ht="17.25" customHeight="1" x14ac:dyDescent="0.25">
      <c r="B110" s="395" t="s">
        <v>734</v>
      </c>
      <c r="C110" s="395" t="s">
        <v>120</v>
      </c>
      <c r="D110" s="395" t="s">
        <v>839</v>
      </c>
      <c r="E110" s="395" t="s">
        <v>122</v>
      </c>
      <c r="F110" s="396" t="s">
        <v>833</v>
      </c>
      <c r="G110" s="396" t="s">
        <v>831</v>
      </c>
      <c r="H110" s="396" t="s">
        <v>832</v>
      </c>
    </row>
    <row r="111" spans="2:10" ht="18.75" customHeight="1" x14ac:dyDescent="0.25">
      <c r="B111" s="394" t="s">
        <v>774</v>
      </c>
      <c r="C111" s="397" t="s">
        <v>125</v>
      </c>
      <c r="D111" s="398"/>
      <c r="E111" s="398"/>
      <c r="F111" s="398"/>
      <c r="G111" s="398"/>
      <c r="H111" s="399"/>
    </row>
    <row r="112" spans="2:10" ht="75" x14ac:dyDescent="0.25">
      <c r="B112" s="437">
        <v>1</v>
      </c>
      <c r="C112" s="454" t="s">
        <v>127</v>
      </c>
      <c r="D112" s="437" t="s">
        <v>128</v>
      </c>
      <c r="E112" s="437" t="s">
        <v>129</v>
      </c>
      <c r="F112" s="440">
        <f>100000/100000</f>
        <v>1</v>
      </c>
      <c r="G112" s="440"/>
      <c r="H112" s="448">
        <f>F112+G112</f>
        <v>1</v>
      </c>
    </row>
    <row r="113" spans="2:10" ht="30" x14ac:dyDescent="0.25">
      <c r="B113" s="437">
        <f>B112+1</f>
        <v>2</v>
      </c>
      <c r="C113" s="449" t="s">
        <v>131</v>
      </c>
      <c r="D113" s="437" t="s">
        <v>128</v>
      </c>
      <c r="E113" s="437" t="s">
        <v>129</v>
      </c>
      <c r="F113" s="440">
        <f>22.8+0.75+0.25</f>
        <v>23.8</v>
      </c>
      <c r="G113" s="440"/>
      <c r="H113" s="448">
        <f>F113+G113</f>
        <v>23.8</v>
      </c>
    </row>
    <row r="114" spans="2:10" x14ac:dyDescent="0.25">
      <c r="B114" s="437">
        <f t="shared" ref="B114:B128" si="8">B113+1</f>
        <v>3</v>
      </c>
      <c r="C114" s="449" t="s">
        <v>133</v>
      </c>
      <c r="D114" s="437" t="s">
        <v>128</v>
      </c>
      <c r="E114" s="437" t="s">
        <v>129</v>
      </c>
      <c r="F114" s="440">
        <v>2</v>
      </c>
      <c r="G114" s="440"/>
      <c r="H114" s="448">
        <f t="shared" ref="H114:H128" si="9">F114+G114</f>
        <v>2</v>
      </c>
    </row>
    <row r="115" spans="2:10" ht="30" x14ac:dyDescent="0.25">
      <c r="B115" s="437">
        <f t="shared" si="8"/>
        <v>4</v>
      </c>
      <c r="C115" s="449" t="s">
        <v>135</v>
      </c>
      <c r="D115" s="437" t="s">
        <v>128</v>
      </c>
      <c r="E115" s="437" t="s">
        <v>129</v>
      </c>
      <c r="F115" s="440">
        <v>6</v>
      </c>
      <c r="G115" s="440"/>
      <c r="H115" s="448">
        <f t="shared" si="9"/>
        <v>6</v>
      </c>
    </row>
    <row r="116" spans="2:10" ht="30" x14ac:dyDescent="0.25">
      <c r="B116" s="437">
        <f t="shared" si="8"/>
        <v>5</v>
      </c>
      <c r="C116" s="449" t="s">
        <v>137</v>
      </c>
      <c r="D116" s="437" t="s">
        <v>128</v>
      </c>
      <c r="E116" s="437" t="s">
        <v>129</v>
      </c>
      <c r="F116" s="440">
        <v>3</v>
      </c>
      <c r="G116" s="440">
        <f t="shared" ref="G116:G117" si="10">F116*18/100</f>
        <v>0.54</v>
      </c>
      <c r="H116" s="448">
        <f t="shared" si="9"/>
        <v>3.54</v>
      </c>
      <c r="J116" s="364"/>
    </row>
    <row r="117" spans="2:10" ht="45" x14ac:dyDescent="0.25">
      <c r="B117" s="437">
        <f t="shared" si="8"/>
        <v>6</v>
      </c>
      <c r="C117" s="449" t="s">
        <v>139</v>
      </c>
      <c r="D117" s="437" t="s">
        <v>128</v>
      </c>
      <c r="E117" s="437" t="s">
        <v>129</v>
      </c>
      <c r="F117" s="440">
        <v>10</v>
      </c>
      <c r="G117" s="440">
        <f t="shared" si="10"/>
        <v>1.8</v>
      </c>
      <c r="H117" s="448">
        <f t="shared" si="9"/>
        <v>11.8</v>
      </c>
      <c r="J117" s="364"/>
    </row>
    <row r="118" spans="2:10" ht="45" x14ac:dyDescent="0.25">
      <c r="B118" s="437">
        <f t="shared" si="8"/>
        <v>7</v>
      </c>
      <c r="C118" s="449" t="s">
        <v>141</v>
      </c>
      <c r="D118" s="437" t="s">
        <v>128</v>
      </c>
      <c r="E118" s="437" t="s">
        <v>129</v>
      </c>
      <c r="F118" s="440">
        <v>5</v>
      </c>
      <c r="G118" s="440"/>
      <c r="H118" s="448">
        <f t="shared" si="9"/>
        <v>5</v>
      </c>
    </row>
    <row r="119" spans="2:10" ht="30" x14ac:dyDescent="0.25">
      <c r="B119" s="437">
        <f t="shared" si="8"/>
        <v>8</v>
      </c>
      <c r="C119" s="449" t="s">
        <v>775</v>
      </c>
      <c r="D119" s="437" t="s">
        <v>128</v>
      </c>
      <c r="E119" s="437" t="s">
        <v>129</v>
      </c>
      <c r="F119" s="440">
        <v>7</v>
      </c>
      <c r="G119" s="440"/>
      <c r="H119" s="448">
        <f t="shared" si="9"/>
        <v>7</v>
      </c>
    </row>
    <row r="120" spans="2:10" x14ac:dyDescent="0.25">
      <c r="B120" s="437">
        <f t="shared" si="8"/>
        <v>9</v>
      </c>
      <c r="C120" s="436" t="s">
        <v>239</v>
      </c>
      <c r="D120" s="437" t="s">
        <v>200</v>
      </c>
      <c r="E120" s="437"/>
      <c r="F120" s="439">
        <f>2391916/10^5</f>
        <v>23.919160000000002</v>
      </c>
      <c r="G120" s="440"/>
      <c r="H120" s="448">
        <f t="shared" si="9"/>
        <v>23.919160000000002</v>
      </c>
    </row>
    <row r="121" spans="2:10" x14ac:dyDescent="0.25">
      <c r="B121" s="437">
        <f t="shared" si="8"/>
        <v>10</v>
      </c>
      <c r="C121" s="436" t="s">
        <v>777</v>
      </c>
      <c r="D121" s="437">
        <v>2</v>
      </c>
      <c r="E121" s="437">
        <v>3</v>
      </c>
      <c r="F121" s="440">
        <f>D121*E121</f>
        <v>6</v>
      </c>
      <c r="G121" s="440">
        <f>F121*18/100</f>
        <v>1.08</v>
      </c>
      <c r="H121" s="448">
        <f t="shared" si="9"/>
        <v>7.08</v>
      </c>
    </row>
    <row r="122" spans="2:10" x14ac:dyDescent="0.25">
      <c r="B122" s="437">
        <f t="shared" si="8"/>
        <v>11</v>
      </c>
      <c r="C122" s="449" t="s">
        <v>146</v>
      </c>
      <c r="D122" s="437" t="s">
        <v>128</v>
      </c>
      <c r="E122" s="437" t="s">
        <v>129</v>
      </c>
      <c r="F122" s="440">
        <v>2.5</v>
      </c>
      <c r="G122" s="440">
        <f t="shared" ref="G122:G124" si="11">F122*18/100</f>
        <v>0.45</v>
      </c>
      <c r="H122" s="448">
        <f t="shared" si="9"/>
        <v>2.95</v>
      </c>
    </row>
    <row r="123" spans="2:10" ht="30" x14ac:dyDescent="0.25">
      <c r="B123" s="437">
        <f t="shared" si="8"/>
        <v>12</v>
      </c>
      <c r="C123" s="449" t="s">
        <v>838</v>
      </c>
      <c r="D123" s="437" t="s">
        <v>128</v>
      </c>
      <c r="E123" s="437" t="s">
        <v>129</v>
      </c>
      <c r="F123" s="440">
        <v>27</v>
      </c>
      <c r="G123" s="440">
        <f t="shared" si="11"/>
        <v>4.8600000000000003</v>
      </c>
      <c r="H123" s="448">
        <f t="shared" si="9"/>
        <v>31.86</v>
      </c>
      <c r="J123" s="466"/>
    </row>
    <row r="124" spans="2:10" ht="30" x14ac:dyDescent="0.25">
      <c r="B124" s="437">
        <f t="shared" si="8"/>
        <v>13</v>
      </c>
      <c r="C124" s="449" t="s">
        <v>779</v>
      </c>
      <c r="D124" s="437" t="s">
        <v>128</v>
      </c>
      <c r="E124" s="437" t="s">
        <v>129</v>
      </c>
      <c r="F124" s="440">
        <f>21.41+3</f>
        <v>24.41</v>
      </c>
      <c r="G124" s="440">
        <f t="shared" si="11"/>
        <v>4.3937999999999997</v>
      </c>
      <c r="H124" s="448">
        <f t="shared" si="9"/>
        <v>28.803799999999999</v>
      </c>
    </row>
    <row r="125" spans="2:10" ht="30" x14ac:dyDescent="0.25">
      <c r="B125" s="437">
        <f t="shared" si="8"/>
        <v>14</v>
      </c>
      <c r="C125" s="449" t="s">
        <v>780</v>
      </c>
      <c r="D125" s="437" t="s">
        <v>128</v>
      </c>
      <c r="E125" s="437" t="s">
        <v>129</v>
      </c>
      <c r="F125" s="440">
        <v>5</v>
      </c>
      <c r="G125" s="440"/>
      <c r="H125" s="448">
        <f t="shared" si="9"/>
        <v>5</v>
      </c>
    </row>
    <row r="126" spans="2:10" ht="45" x14ac:dyDescent="0.25">
      <c r="B126" s="437">
        <f t="shared" si="8"/>
        <v>15</v>
      </c>
      <c r="C126" s="449" t="s">
        <v>861</v>
      </c>
      <c r="D126" s="437" t="s">
        <v>128</v>
      </c>
      <c r="E126" s="437" t="s">
        <v>129</v>
      </c>
      <c r="F126" s="440">
        <v>60</v>
      </c>
      <c r="G126" s="440"/>
      <c r="H126" s="448">
        <f t="shared" si="9"/>
        <v>60</v>
      </c>
    </row>
    <row r="127" spans="2:10" x14ac:dyDescent="0.25">
      <c r="B127" s="437">
        <f t="shared" si="8"/>
        <v>16</v>
      </c>
      <c r="C127" s="449" t="s">
        <v>842</v>
      </c>
      <c r="D127" s="437"/>
      <c r="E127" s="437"/>
      <c r="F127" s="440">
        <f>(F166+F192+F203)*10%</f>
        <v>220.46804400000002</v>
      </c>
      <c r="G127" s="440">
        <f>F127*18/100</f>
        <v>39.684247920000004</v>
      </c>
      <c r="H127" s="441">
        <f t="shared" si="9"/>
        <v>260.15229192000004</v>
      </c>
    </row>
    <row r="128" spans="2:10" x14ac:dyDescent="0.25">
      <c r="B128" s="437">
        <f t="shared" si="8"/>
        <v>17</v>
      </c>
      <c r="C128" s="449" t="s">
        <v>844</v>
      </c>
      <c r="D128" s="437" t="s">
        <v>128</v>
      </c>
      <c r="E128" s="437"/>
      <c r="F128" s="439">
        <v>20</v>
      </c>
      <c r="G128" s="440"/>
      <c r="H128" s="441">
        <f t="shared" si="9"/>
        <v>20</v>
      </c>
    </row>
    <row r="129" spans="2:10" ht="18" customHeight="1" x14ac:dyDescent="0.25">
      <c r="B129" s="393"/>
      <c r="C129" s="392" t="s">
        <v>273</v>
      </c>
      <c r="D129" s="392"/>
      <c r="E129" s="392"/>
      <c r="F129" s="403">
        <f t="shared" ref="F129:G129" si="12">SUM(F112:F128)</f>
        <v>447.09720400000003</v>
      </c>
      <c r="G129" s="403">
        <f t="shared" si="12"/>
        <v>52.808047920000007</v>
      </c>
      <c r="H129" s="403">
        <f>SUM(H112:H128)</f>
        <v>499.90525192000007</v>
      </c>
      <c r="J129" s="476">
        <f>H129-H127</f>
        <v>239.75296000000003</v>
      </c>
    </row>
    <row r="130" spans="2:10" x14ac:dyDescent="0.25">
      <c r="D130" s="335"/>
      <c r="E130" s="335"/>
      <c r="F130" s="335"/>
      <c r="G130" s="335"/>
    </row>
    <row r="131" spans="2:10" ht="18" customHeight="1" x14ac:dyDescent="0.25">
      <c r="B131" s="394" t="s">
        <v>782</v>
      </c>
      <c r="C131" s="397" t="s">
        <v>835</v>
      </c>
      <c r="D131" s="398"/>
      <c r="E131" s="398"/>
      <c r="F131" s="398"/>
      <c r="G131" s="398"/>
      <c r="H131" s="404" t="s">
        <v>837</v>
      </c>
    </row>
    <row r="132" spans="2:10" x14ac:dyDescent="0.25">
      <c r="B132" s="437">
        <v>1</v>
      </c>
      <c r="C132" s="450" t="s">
        <v>836</v>
      </c>
      <c r="D132" s="437">
        <v>5.05</v>
      </c>
      <c r="E132" s="437">
        <v>84</v>
      </c>
      <c r="F132" s="440">
        <f>D132*E132</f>
        <v>424.2</v>
      </c>
      <c r="G132" s="440"/>
      <c r="H132" s="448">
        <f t="shared" ref="H132:H133" si="13">F132+G132</f>
        <v>424.2</v>
      </c>
    </row>
    <row r="133" spans="2:10" x14ac:dyDescent="0.25">
      <c r="B133" s="437">
        <f>B132+1</f>
        <v>2</v>
      </c>
      <c r="C133" s="450" t="s">
        <v>236</v>
      </c>
      <c r="D133" s="451"/>
      <c r="E133" s="452"/>
      <c r="F133" s="453">
        <v>10</v>
      </c>
      <c r="G133" s="440"/>
      <c r="H133" s="448">
        <f t="shared" si="13"/>
        <v>10</v>
      </c>
    </row>
    <row r="134" spans="2:10" ht="17.25" customHeight="1" x14ac:dyDescent="0.25">
      <c r="B134" s="393"/>
      <c r="C134" s="392" t="s">
        <v>273</v>
      </c>
      <c r="D134" s="403">
        <f t="shared" ref="D134:G134" si="14">SUM(D132:D133)</f>
        <v>5.05</v>
      </c>
      <c r="E134" s="403">
        <f t="shared" si="14"/>
        <v>84</v>
      </c>
      <c r="F134" s="403">
        <f t="shared" si="14"/>
        <v>434.2</v>
      </c>
      <c r="G134" s="403">
        <f t="shared" si="14"/>
        <v>0</v>
      </c>
      <c r="H134" s="403">
        <f>SUM(H132:H133)</f>
        <v>434.2</v>
      </c>
    </row>
    <row r="135" spans="2:10" x14ac:dyDescent="0.25">
      <c r="D135" s="335"/>
      <c r="E135" s="335"/>
      <c r="F135" s="335"/>
      <c r="G135" s="335"/>
    </row>
    <row r="136" spans="2:10" ht="18.75" customHeight="1" x14ac:dyDescent="0.25">
      <c r="B136" s="394" t="s">
        <v>808</v>
      </c>
      <c r="C136" s="397" t="s">
        <v>783</v>
      </c>
      <c r="D136" s="398"/>
      <c r="E136" s="398"/>
      <c r="F136" s="398"/>
      <c r="G136" s="398"/>
      <c r="H136" s="404" t="s">
        <v>837</v>
      </c>
    </row>
    <row r="137" spans="2:10" ht="45" x14ac:dyDescent="0.25">
      <c r="B137" s="437">
        <v>1</v>
      </c>
      <c r="C137" s="445" t="s">
        <v>784</v>
      </c>
      <c r="D137" s="435">
        <v>205</v>
      </c>
      <c r="E137" s="435">
        <v>8000</v>
      </c>
      <c r="F137" s="455">
        <f t="shared" ref="F137:F159" si="15">(D137*E137)/100000</f>
        <v>16.399999999999999</v>
      </c>
      <c r="G137" s="440">
        <f>F137*15/100</f>
        <v>2.4599999999999995</v>
      </c>
      <c r="H137" s="441">
        <f>F137+G137</f>
        <v>18.86</v>
      </c>
    </row>
    <row r="138" spans="2:10" x14ac:dyDescent="0.25">
      <c r="B138" s="437">
        <f>B137+1</f>
        <v>2</v>
      </c>
      <c r="C138" s="445" t="s">
        <v>785</v>
      </c>
      <c r="D138" s="435">
        <v>235</v>
      </c>
      <c r="E138" s="435">
        <v>13600</v>
      </c>
      <c r="F138" s="455">
        <f t="shared" si="15"/>
        <v>31.96</v>
      </c>
      <c r="G138" s="440">
        <f t="shared" ref="G138:G158" si="16">F138*15/100</f>
        <v>4.7940000000000005</v>
      </c>
      <c r="H138" s="441">
        <f t="shared" ref="H138:H165" si="17">F138+G138</f>
        <v>36.754000000000005</v>
      </c>
    </row>
    <row r="139" spans="2:10" ht="60" x14ac:dyDescent="0.25">
      <c r="B139" s="437">
        <f t="shared" ref="B139:B165" si="18">B138+1</f>
        <v>3</v>
      </c>
      <c r="C139" s="456" t="s">
        <v>786</v>
      </c>
      <c r="D139" s="435">
        <v>476</v>
      </c>
      <c r="E139" s="435">
        <v>12000</v>
      </c>
      <c r="F139" s="455">
        <f t="shared" si="15"/>
        <v>57.12</v>
      </c>
      <c r="G139" s="440">
        <f t="shared" si="16"/>
        <v>8.5679999999999996</v>
      </c>
      <c r="H139" s="441">
        <f t="shared" si="17"/>
        <v>65.688000000000002</v>
      </c>
    </row>
    <row r="140" spans="2:10" ht="30" x14ac:dyDescent="0.25">
      <c r="B140" s="437">
        <f t="shared" si="18"/>
        <v>4</v>
      </c>
      <c r="C140" s="445" t="s">
        <v>787</v>
      </c>
      <c r="D140" s="435">
        <v>180</v>
      </c>
      <c r="E140" s="435">
        <v>3300</v>
      </c>
      <c r="F140" s="455">
        <f t="shared" si="15"/>
        <v>5.94</v>
      </c>
      <c r="G140" s="440">
        <f t="shared" si="16"/>
        <v>0.89100000000000013</v>
      </c>
      <c r="H140" s="441">
        <f t="shared" si="17"/>
        <v>6.8310000000000004</v>
      </c>
    </row>
    <row r="141" spans="2:10" ht="45" x14ac:dyDescent="0.25">
      <c r="B141" s="437">
        <f t="shared" si="18"/>
        <v>5</v>
      </c>
      <c r="C141" s="463" t="s">
        <v>788</v>
      </c>
      <c r="D141" s="435">
        <v>232</v>
      </c>
      <c r="E141" s="435">
        <v>7000</v>
      </c>
      <c r="F141" s="457">
        <f t="shared" si="15"/>
        <v>16.239999999999998</v>
      </c>
      <c r="G141" s="440">
        <f t="shared" si="16"/>
        <v>2.4359999999999995</v>
      </c>
      <c r="H141" s="441">
        <f t="shared" si="17"/>
        <v>18.675999999999998</v>
      </c>
    </row>
    <row r="142" spans="2:10" ht="60" x14ac:dyDescent="0.25">
      <c r="B142" s="437">
        <f t="shared" si="18"/>
        <v>6</v>
      </c>
      <c r="C142" s="445" t="s">
        <v>789</v>
      </c>
      <c r="D142" s="458">
        <v>1276</v>
      </c>
      <c r="E142" s="435">
        <v>9000</v>
      </c>
      <c r="F142" s="457">
        <f t="shared" si="15"/>
        <v>114.84</v>
      </c>
      <c r="G142" s="440">
        <f t="shared" si="16"/>
        <v>17.226000000000003</v>
      </c>
      <c r="H142" s="441">
        <f t="shared" si="17"/>
        <v>132.066</v>
      </c>
    </row>
    <row r="143" spans="2:10" ht="30" x14ac:dyDescent="0.25">
      <c r="B143" s="437">
        <f t="shared" si="18"/>
        <v>7</v>
      </c>
      <c r="C143" s="445" t="s">
        <v>790</v>
      </c>
      <c r="D143" s="443">
        <v>7.2</v>
      </c>
      <c r="E143" s="435">
        <v>9000</v>
      </c>
      <c r="F143" s="457">
        <f t="shared" si="15"/>
        <v>0.64800000000000002</v>
      </c>
      <c r="G143" s="440">
        <f t="shared" si="16"/>
        <v>9.7200000000000009E-2</v>
      </c>
      <c r="H143" s="441">
        <f t="shared" si="17"/>
        <v>0.74520000000000008</v>
      </c>
    </row>
    <row r="144" spans="2:10" ht="30" x14ac:dyDescent="0.25">
      <c r="B144" s="437">
        <f t="shared" si="18"/>
        <v>8</v>
      </c>
      <c r="C144" s="445" t="s">
        <v>791</v>
      </c>
      <c r="D144" s="435">
        <v>163</v>
      </c>
      <c r="E144" s="435">
        <v>6400</v>
      </c>
      <c r="F144" s="457">
        <f t="shared" si="15"/>
        <v>10.432</v>
      </c>
      <c r="G144" s="440">
        <f t="shared" si="16"/>
        <v>1.5648000000000002</v>
      </c>
      <c r="H144" s="441">
        <f t="shared" si="17"/>
        <v>11.9968</v>
      </c>
    </row>
    <row r="145" spans="2:8" ht="30" x14ac:dyDescent="0.25">
      <c r="B145" s="437">
        <f t="shared" si="18"/>
        <v>9</v>
      </c>
      <c r="C145" s="445" t="s">
        <v>792</v>
      </c>
      <c r="D145" s="435">
        <v>750</v>
      </c>
      <c r="E145" s="435">
        <v>3300</v>
      </c>
      <c r="F145" s="457">
        <f t="shared" si="15"/>
        <v>24.75</v>
      </c>
      <c r="G145" s="440">
        <f t="shared" si="16"/>
        <v>3.7124999999999999</v>
      </c>
      <c r="H145" s="441">
        <f t="shared" si="17"/>
        <v>28.462499999999999</v>
      </c>
    </row>
    <row r="146" spans="2:8" ht="30" x14ac:dyDescent="0.25">
      <c r="B146" s="437">
        <f t="shared" si="18"/>
        <v>10</v>
      </c>
      <c r="C146" s="445" t="s">
        <v>793</v>
      </c>
      <c r="D146" s="443">
        <v>63.38</v>
      </c>
      <c r="E146" s="435">
        <v>6400</v>
      </c>
      <c r="F146" s="457">
        <f t="shared" si="15"/>
        <v>4.0563200000000004</v>
      </c>
      <c r="G146" s="440">
        <f t="shared" si="16"/>
        <v>0.6084480000000001</v>
      </c>
      <c r="H146" s="441">
        <f t="shared" si="17"/>
        <v>4.6647680000000005</v>
      </c>
    </row>
    <row r="147" spans="2:8" ht="30" x14ac:dyDescent="0.25">
      <c r="B147" s="437">
        <f t="shared" si="18"/>
        <v>11</v>
      </c>
      <c r="C147" s="445" t="s">
        <v>794</v>
      </c>
      <c r="D147" s="435">
        <v>54</v>
      </c>
      <c r="E147" s="435">
        <v>3300</v>
      </c>
      <c r="F147" s="457">
        <f t="shared" si="15"/>
        <v>1.782</v>
      </c>
      <c r="G147" s="440">
        <f t="shared" si="16"/>
        <v>0.26729999999999998</v>
      </c>
      <c r="H147" s="441">
        <f t="shared" si="17"/>
        <v>2.0493000000000001</v>
      </c>
    </row>
    <row r="148" spans="2:8" ht="30" x14ac:dyDescent="0.25">
      <c r="B148" s="437">
        <f t="shared" si="18"/>
        <v>12</v>
      </c>
      <c r="C148" s="445" t="s">
        <v>795</v>
      </c>
      <c r="D148" s="443">
        <v>250</v>
      </c>
      <c r="E148" s="435">
        <v>6400</v>
      </c>
      <c r="F148" s="457">
        <f t="shared" si="15"/>
        <v>16</v>
      </c>
      <c r="G148" s="440">
        <f t="shared" si="16"/>
        <v>2.4</v>
      </c>
      <c r="H148" s="441">
        <f t="shared" si="17"/>
        <v>18.399999999999999</v>
      </c>
    </row>
    <row r="149" spans="2:8" ht="45" x14ac:dyDescent="0.25">
      <c r="B149" s="437">
        <f t="shared" si="18"/>
        <v>13</v>
      </c>
      <c r="C149" s="445" t="s">
        <v>796</v>
      </c>
      <c r="D149" s="443">
        <v>58.83</v>
      </c>
      <c r="E149" s="435">
        <v>6400</v>
      </c>
      <c r="F149" s="457">
        <f t="shared" si="15"/>
        <v>3.76512</v>
      </c>
      <c r="G149" s="440">
        <f t="shared" si="16"/>
        <v>0.56476799999999994</v>
      </c>
      <c r="H149" s="441">
        <f t="shared" si="17"/>
        <v>4.3298880000000004</v>
      </c>
    </row>
    <row r="150" spans="2:8" ht="45" x14ac:dyDescent="0.25">
      <c r="B150" s="437">
        <f t="shared" si="18"/>
        <v>14</v>
      </c>
      <c r="C150" s="445" t="s">
        <v>797</v>
      </c>
      <c r="D150" s="435">
        <v>54</v>
      </c>
      <c r="E150" s="435">
        <v>3300</v>
      </c>
      <c r="F150" s="457">
        <f t="shared" si="15"/>
        <v>1.782</v>
      </c>
      <c r="G150" s="440">
        <f t="shared" si="16"/>
        <v>0.26729999999999998</v>
      </c>
      <c r="H150" s="441">
        <f t="shared" si="17"/>
        <v>2.0493000000000001</v>
      </c>
    </row>
    <row r="151" spans="2:8" x14ac:dyDescent="0.25">
      <c r="B151" s="437">
        <f t="shared" si="18"/>
        <v>15</v>
      </c>
      <c r="C151" s="445" t="s">
        <v>798</v>
      </c>
      <c r="D151" s="435">
        <v>215</v>
      </c>
      <c r="E151" s="435">
        <v>3200</v>
      </c>
      <c r="F151" s="457">
        <f t="shared" si="15"/>
        <v>6.88</v>
      </c>
      <c r="G151" s="440">
        <f t="shared" si="16"/>
        <v>1.032</v>
      </c>
      <c r="H151" s="441">
        <f t="shared" si="17"/>
        <v>7.9119999999999999</v>
      </c>
    </row>
    <row r="152" spans="2:8" x14ac:dyDescent="0.25">
      <c r="B152" s="437">
        <f t="shared" si="18"/>
        <v>16</v>
      </c>
      <c r="C152" s="445" t="s">
        <v>799</v>
      </c>
      <c r="D152" s="435">
        <v>215</v>
      </c>
      <c r="E152" s="435">
        <v>6500</v>
      </c>
      <c r="F152" s="457">
        <f t="shared" si="15"/>
        <v>13.975</v>
      </c>
      <c r="G152" s="440">
        <f t="shared" si="16"/>
        <v>2.0962499999999999</v>
      </c>
      <c r="H152" s="441">
        <f t="shared" si="17"/>
        <v>16.071249999999999</v>
      </c>
    </row>
    <row r="153" spans="2:8" x14ac:dyDescent="0.25">
      <c r="B153" s="437">
        <f t="shared" si="18"/>
        <v>17</v>
      </c>
      <c r="C153" s="445" t="s">
        <v>800</v>
      </c>
      <c r="D153" s="435">
        <v>10</v>
      </c>
      <c r="E153" s="435">
        <v>13000</v>
      </c>
      <c r="F153" s="457">
        <f t="shared" si="15"/>
        <v>1.3</v>
      </c>
      <c r="G153" s="440">
        <f t="shared" si="16"/>
        <v>0.19500000000000001</v>
      </c>
      <c r="H153" s="441">
        <f t="shared" si="17"/>
        <v>1.4950000000000001</v>
      </c>
    </row>
    <row r="154" spans="2:8" x14ac:dyDescent="0.25">
      <c r="B154" s="437">
        <f t="shared" si="18"/>
        <v>18</v>
      </c>
      <c r="C154" s="445" t="s">
        <v>801</v>
      </c>
      <c r="D154" s="435">
        <v>200</v>
      </c>
      <c r="E154" s="435">
        <v>16000</v>
      </c>
      <c r="F154" s="457">
        <f t="shared" si="15"/>
        <v>32</v>
      </c>
      <c r="G154" s="440">
        <f t="shared" si="16"/>
        <v>4.8</v>
      </c>
      <c r="H154" s="441">
        <f t="shared" si="17"/>
        <v>36.799999999999997</v>
      </c>
    </row>
    <row r="155" spans="2:8" x14ac:dyDescent="0.25">
      <c r="B155" s="437">
        <f>B154+1</f>
        <v>19</v>
      </c>
      <c r="C155" s="445" t="s">
        <v>802</v>
      </c>
      <c r="D155" s="435">
        <v>24</v>
      </c>
      <c r="E155" s="435">
        <v>13000</v>
      </c>
      <c r="F155" s="457">
        <f t="shared" si="15"/>
        <v>3.12</v>
      </c>
      <c r="G155" s="440">
        <f t="shared" si="16"/>
        <v>0.46800000000000003</v>
      </c>
      <c r="H155" s="441">
        <f t="shared" si="17"/>
        <v>3.5880000000000001</v>
      </c>
    </row>
    <row r="156" spans="2:8" ht="30" x14ac:dyDescent="0.25">
      <c r="B156" s="437">
        <f t="shared" si="18"/>
        <v>20</v>
      </c>
      <c r="C156" s="445" t="s">
        <v>803</v>
      </c>
      <c r="D156" s="435">
        <v>200</v>
      </c>
      <c r="E156" s="435">
        <v>15000</v>
      </c>
      <c r="F156" s="457">
        <f t="shared" si="15"/>
        <v>30</v>
      </c>
      <c r="G156" s="440">
        <f t="shared" si="16"/>
        <v>4.5</v>
      </c>
      <c r="H156" s="441">
        <f t="shared" si="17"/>
        <v>34.5</v>
      </c>
    </row>
    <row r="157" spans="2:8" x14ac:dyDescent="0.25">
      <c r="B157" s="437">
        <f t="shared" si="18"/>
        <v>21</v>
      </c>
      <c r="C157" s="445" t="s">
        <v>804</v>
      </c>
      <c r="D157" s="435">
        <v>90</v>
      </c>
      <c r="E157" s="435">
        <v>13000</v>
      </c>
      <c r="F157" s="457">
        <f t="shared" si="15"/>
        <v>11.7</v>
      </c>
      <c r="G157" s="440">
        <f t="shared" si="16"/>
        <v>1.7549999999999999</v>
      </c>
      <c r="H157" s="441">
        <f t="shared" si="17"/>
        <v>13.454999999999998</v>
      </c>
    </row>
    <row r="158" spans="2:8" ht="30" x14ac:dyDescent="0.25">
      <c r="B158" s="437">
        <f t="shared" si="18"/>
        <v>22</v>
      </c>
      <c r="C158" s="456" t="s">
        <v>805</v>
      </c>
      <c r="D158" s="458">
        <v>90</v>
      </c>
      <c r="E158" s="458">
        <v>13000</v>
      </c>
      <c r="F158" s="459">
        <f t="shared" si="15"/>
        <v>11.7</v>
      </c>
      <c r="G158" s="440">
        <f t="shared" si="16"/>
        <v>1.7549999999999999</v>
      </c>
      <c r="H158" s="441">
        <f t="shared" si="17"/>
        <v>13.454999999999998</v>
      </c>
    </row>
    <row r="159" spans="2:8" ht="45" x14ac:dyDescent="0.25">
      <c r="B159" s="437">
        <f t="shared" si="18"/>
        <v>23</v>
      </c>
      <c r="C159" s="456" t="s">
        <v>806</v>
      </c>
      <c r="D159" s="458">
        <v>156</v>
      </c>
      <c r="E159" s="458">
        <v>89000</v>
      </c>
      <c r="F159" s="459">
        <f t="shared" si="15"/>
        <v>138.84</v>
      </c>
      <c r="G159" s="440">
        <f>F159*12/100</f>
        <v>16.660799999999998</v>
      </c>
      <c r="H159" s="441">
        <f t="shared" si="17"/>
        <v>155.5008</v>
      </c>
    </row>
    <row r="160" spans="2:8" x14ac:dyDescent="0.25">
      <c r="B160" s="437">
        <f t="shared" si="18"/>
        <v>24</v>
      </c>
      <c r="C160" s="456" t="s">
        <v>807</v>
      </c>
      <c r="D160" s="460" t="s">
        <v>128</v>
      </c>
      <c r="E160" s="460"/>
      <c r="F160" s="461">
        <v>25</v>
      </c>
      <c r="G160" s="440">
        <f t="shared" ref="G160:G163" si="19">F160*15/100</f>
        <v>3.75</v>
      </c>
      <c r="H160" s="441">
        <f t="shared" si="17"/>
        <v>28.75</v>
      </c>
    </row>
    <row r="161" spans="2:12" ht="30" x14ac:dyDescent="0.25">
      <c r="B161" s="437">
        <f t="shared" si="18"/>
        <v>25</v>
      </c>
      <c r="C161" s="456" t="s">
        <v>166</v>
      </c>
      <c r="D161" s="460" t="s">
        <v>128</v>
      </c>
      <c r="E161" s="460"/>
      <c r="F161" s="461">
        <v>10</v>
      </c>
      <c r="G161" s="440">
        <f t="shared" si="19"/>
        <v>1.5</v>
      </c>
      <c r="H161" s="441">
        <f t="shared" si="17"/>
        <v>11.5</v>
      </c>
    </row>
    <row r="162" spans="2:12" x14ac:dyDescent="0.25">
      <c r="B162" s="437">
        <f t="shared" si="18"/>
        <v>26</v>
      </c>
      <c r="C162" s="445" t="s">
        <v>168</v>
      </c>
      <c r="D162" s="443" t="s">
        <v>128</v>
      </c>
      <c r="E162" s="443"/>
      <c r="F162" s="455">
        <v>20</v>
      </c>
      <c r="G162" s="440">
        <f t="shared" si="19"/>
        <v>3</v>
      </c>
      <c r="H162" s="441">
        <f t="shared" si="17"/>
        <v>23</v>
      </c>
    </row>
    <row r="163" spans="2:12" ht="30" x14ac:dyDescent="0.25">
      <c r="B163" s="437">
        <f t="shared" si="18"/>
        <v>27</v>
      </c>
      <c r="C163" s="445" t="s">
        <v>179</v>
      </c>
      <c r="D163" s="443" t="s">
        <v>128</v>
      </c>
      <c r="E163" s="443"/>
      <c r="F163" s="455">
        <v>15</v>
      </c>
      <c r="G163" s="440">
        <f t="shared" si="19"/>
        <v>2.25</v>
      </c>
      <c r="H163" s="441">
        <f t="shared" si="17"/>
        <v>17.25</v>
      </c>
      <c r="L163" s="364"/>
    </row>
    <row r="164" spans="2:12" x14ac:dyDescent="0.25">
      <c r="B164" s="437">
        <f t="shared" si="18"/>
        <v>28</v>
      </c>
      <c r="C164" s="462" t="s">
        <v>159</v>
      </c>
      <c r="D164" s="443" t="s">
        <v>128</v>
      </c>
      <c r="E164" s="443" t="s">
        <v>129</v>
      </c>
      <c r="F164" s="455">
        <v>10</v>
      </c>
      <c r="G164" s="440">
        <f t="shared" ref="G164:G165" si="20">F164*18/100</f>
        <v>1.8</v>
      </c>
      <c r="H164" s="441">
        <f t="shared" si="17"/>
        <v>11.8</v>
      </c>
      <c r="K164" s="364"/>
      <c r="L164" s="364"/>
    </row>
    <row r="165" spans="2:12" x14ac:dyDescent="0.25">
      <c r="B165" s="437">
        <f t="shared" si="18"/>
        <v>29</v>
      </c>
      <c r="C165" s="445" t="s">
        <v>181</v>
      </c>
      <c r="D165" s="443" t="s">
        <v>128</v>
      </c>
      <c r="E165" s="443"/>
      <c r="F165" s="455">
        <v>7</v>
      </c>
      <c r="G165" s="440">
        <f t="shared" si="20"/>
        <v>1.26</v>
      </c>
      <c r="H165" s="441">
        <f t="shared" si="17"/>
        <v>8.26</v>
      </c>
      <c r="L165" s="364">
        <f>SUM(L166:L203)</f>
        <v>2803.6530979199997</v>
      </c>
    </row>
    <row r="166" spans="2:12" x14ac:dyDescent="0.25">
      <c r="B166" s="393"/>
      <c r="C166" s="392" t="s">
        <v>273</v>
      </c>
      <c r="D166" s="392"/>
      <c r="E166" s="392"/>
      <c r="F166" s="403">
        <f t="shared" ref="F166:G166" si="21">SUM(F137:F165)</f>
        <v>642.23044000000004</v>
      </c>
      <c r="G166" s="403">
        <f t="shared" si="21"/>
        <v>92.679366000000002</v>
      </c>
      <c r="H166" s="403">
        <f>SUM(H137:H165)</f>
        <v>734.90980599999989</v>
      </c>
      <c r="J166" s="476">
        <f>F166*10%</f>
        <v>64.223044000000002</v>
      </c>
      <c r="K166" s="476">
        <f>J166*1.18</f>
        <v>75.783191919999993</v>
      </c>
      <c r="L166" s="476">
        <f>H166+K166</f>
        <v>810.69299791999993</v>
      </c>
    </row>
    <row r="167" spans="2:12" x14ac:dyDescent="0.25">
      <c r="D167" s="335"/>
      <c r="E167" s="335"/>
      <c r="F167" s="335"/>
      <c r="G167" s="335"/>
    </row>
    <row r="168" spans="2:12" x14ac:dyDescent="0.25">
      <c r="B168" s="394" t="s">
        <v>819</v>
      </c>
      <c r="C168" s="397" t="s">
        <v>840</v>
      </c>
      <c r="D168" s="398"/>
      <c r="E168" s="398"/>
      <c r="F168" s="398"/>
      <c r="G168" s="398"/>
      <c r="H168" s="404" t="s">
        <v>837</v>
      </c>
    </row>
    <row r="169" spans="2:12" ht="30" x14ac:dyDescent="0.25">
      <c r="B169" s="425">
        <v>1</v>
      </c>
      <c r="C169" s="428" t="s">
        <v>184</v>
      </c>
      <c r="D169" s="429">
        <v>4</v>
      </c>
      <c r="E169" s="430">
        <v>8</v>
      </c>
      <c r="F169" s="430">
        <f t="shared" ref="F169:F174" si="22">D169*E169</f>
        <v>32</v>
      </c>
      <c r="G169" s="431">
        <f>F169*12/100</f>
        <v>3.84</v>
      </c>
      <c r="H169" s="427">
        <f>F169+G169</f>
        <v>35.840000000000003</v>
      </c>
    </row>
    <row r="170" spans="2:12" ht="30" x14ac:dyDescent="0.25">
      <c r="B170" s="425">
        <f>B169+1</f>
        <v>2</v>
      </c>
      <c r="C170" s="428" t="s">
        <v>185</v>
      </c>
      <c r="D170" s="429">
        <v>4</v>
      </c>
      <c r="E170" s="430">
        <v>7</v>
      </c>
      <c r="F170" s="430">
        <f t="shared" si="22"/>
        <v>28</v>
      </c>
      <c r="G170" s="431">
        <f>F170*12/100</f>
        <v>3.36</v>
      </c>
      <c r="H170" s="427">
        <f t="shared" ref="H170:H191" si="23">F170+G170</f>
        <v>31.36</v>
      </c>
    </row>
    <row r="171" spans="2:12" ht="30" x14ac:dyDescent="0.25">
      <c r="B171" s="425">
        <f t="shared" ref="B171:B191" si="24">B170+1</f>
        <v>3</v>
      </c>
      <c r="C171" s="428" t="s">
        <v>186</v>
      </c>
      <c r="D171" s="429">
        <v>8</v>
      </c>
      <c r="E171" s="430">
        <v>2</v>
      </c>
      <c r="F171" s="430">
        <f t="shared" si="22"/>
        <v>16</v>
      </c>
      <c r="G171" s="431">
        <f t="shared" ref="G171" si="25">F171*18/100</f>
        <v>2.88</v>
      </c>
      <c r="H171" s="427">
        <f t="shared" si="23"/>
        <v>18.88</v>
      </c>
    </row>
    <row r="172" spans="2:12" ht="45" x14ac:dyDescent="0.25">
      <c r="B172" s="437">
        <f t="shared" si="24"/>
        <v>4</v>
      </c>
      <c r="C172" s="445" t="s">
        <v>809</v>
      </c>
      <c r="D172" s="435">
        <v>1</v>
      </c>
      <c r="E172" s="443">
        <v>50</v>
      </c>
      <c r="F172" s="443">
        <f t="shared" si="22"/>
        <v>50</v>
      </c>
      <c r="G172" s="444"/>
      <c r="H172" s="441">
        <f t="shared" si="23"/>
        <v>50</v>
      </c>
    </row>
    <row r="173" spans="2:12" ht="180" x14ac:dyDescent="0.25">
      <c r="B173" s="437">
        <f t="shared" si="24"/>
        <v>5</v>
      </c>
      <c r="C173" s="445" t="s">
        <v>619</v>
      </c>
      <c r="D173" s="435">
        <v>2</v>
      </c>
      <c r="E173" s="443">
        <v>60</v>
      </c>
      <c r="F173" s="443">
        <f t="shared" si="22"/>
        <v>120</v>
      </c>
      <c r="G173" s="444">
        <f t="shared" ref="G173:G191" si="26">F173*18/100</f>
        <v>21.6</v>
      </c>
      <c r="H173" s="441">
        <f t="shared" si="23"/>
        <v>141.6</v>
      </c>
    </row>
    <row r="174" spans="2:12" ht="30" x14ac:dyDescent="0.25">
      <c r="B174" s="425">
        <f t="shared" si="24"/>
        <v>6</v>
      </c>
      <c r="C174" s="428" t="s">
        <v>810</v>
      </c>
      <c r="D174" s="430">
        <v>2</v>
      </c>
      <c r="E174" s="430">
        <v>35</v>
      </c>
      <c r="F174" s="430">
        <f t="shared" si="22"/>
        <v>70</v>
      </c>
      <c r="G174" s="431">
        <f t="shared" si="26"/>
        <v>12.6</v>
      </c>
      <c r="H174" s="427">
        <f t="shared" si="23"/>
        <v>82.6</v>
      </c>
    </row>
    <row r="175" spans="2:12" x14ac:dyDescent="0.25">
      <c r="B175" s="437">
        <f t="shared" si="24"/>
        <v>7</v>
      </c>
      <c r="C175" s="445" t="s">
        <v>811</v>
      </c>
      <c r="D175" s="443" t="s">
        <v>129</v>
      </c>
      <c r="E175" s="443"/>
      <c r="F175" s="443">
        <v>74</v>
      </c>
      <c r="G175" s="444">
        <f t="shared" si="26"/>
        <v>13.32</v>
      </c>
      <c r="H175" s="441">
        <f t="shared" si="23"/>
        <v>87.32</v>
      </c>
    </row>
    <row r="176" spans="2:12" ht="150" x14ac:dyDescent="0.25">
      <c r="B176" s="437">
        <f t="shared" si="24"/>
        <v>8</v>
      </c>
      <c r="C176" s="445" t="s">
        <v>812</v>
      </c>
      <c r="D176" s="435">
        <v>2</v>
      </c>
      <c r="E176" s="443">
        <v>70</v>
      </c>
      <c r="F176" s="443">
        <f t="shared" ref="F176:F181" si="27">D176*E176</f>
        <v>140</v>
      </c>
      <c r="G176" s="444">
        <f t="shared" si="26"/>
        <v>25.2</v>
      </c>
      <c r="H176" s="441">
        <f t="shared" si="23"/>
        <v>165.2</v>
      </c>
    </row>
    <row r="177" spans="2:12" ht="105" x14ac:dyDescent="0.25">
      <c r="B177" s="437">
        <f t="shared" si="24"/>
        <v>9</v>
      </c>
      <c r="C177" s="463" t="s">
        <v>813</v>
      </c>
      <c r="D177" s="435">
        <v>1</v>
      </c>
      <c r="E177" s="443">
        <v>125</v>
      </c>
      <c r="F177" s="443">
        <f t="shared" si="27"/>
        <v>125</v>
      </c>
      <c r="G177" s="444"/>
      <c r="H177" s="441">
        <f t="shared" si="23"/>
        <v>125</v>
      </c>
    </row>
    <row r="178" spans="2:12" ht="45" x14ac:dyDescent="0.25">
      <c r="B178" s="425">
        <f t="shared" si="24"/>
        <v>10</v>
      </c>
      <c r="C178" s="428" t="s">
        <v>192</v>
      </c>
      <c r="D178" s="429">
        <v>1</v>
      </c>
      <c r="E178" s="430">
        <v>40</v>
      </c>
      <c r="F178" s="430">
        <f t="shared" si="27"/>
        <v>40</v>
      </c>
      <c r="G178" s="431">
        <f t="shared" si="26"/>
        <v>7.2</v>
      </c>
      <c r="H178" s="427">
        <f t="shared" si="23"/>
        <v>47.2</v>
      </c>
    </row>
    <row r="179" spans="2:12" x14ac:dyDescent="0.25">
      <c r="B179" s="425">
        <f t="shared" si="24"/>
        <v>11</v>
      </c>
      <c r="C179" s="428" t="s">
        <v>814</v>
      </c>
      <c r="D179" s="429">
        <v>1</v>
      </c>
      <c r="E179" s="430">
        <v>45</v>
      </c>
      <c r="F179" s="430">
        <f t="shared" si="27"/>
        <v>45</v>
      </c>
      <c r="G179" s="431">
        <f t="shared" si="26"/>
        <v>8.1</v>
      </c>
      <c r="H179" s="427">
        <f t="shared" si="23"/>
        <v>53.1</v>
      </c>
    </row>
    <row r="180" spans="2:12" x14ac:dyDescent="0.25">
      <c r="B180" s="425">
        <f t="shared" si="24"/>
        <v>12</v>
      </c>
      <c r="C180" s="428" t="s">
        <v>193</v>
      </c>
      <c r="D180" s="429">
        <v>1</v>
      </c>
      <c r="E180" s="430">
        <v>18</v>
      </c>
      <c r="F180" s="430">
        <f t="shared" si="27"/>
        <v>18</v>
      </c>
      <c r="G180" s="431">
        <f t="shared" si="26"/>
        <v>3.24</v>
      </c>
      <c r="H180" s="427">
        <f t="shared" si="23"/>
        <v>21.240000000000002</v>
      </c>
    </row>
    <row r="181" spans="2:12" ht="30" x14ac:dyDescent="0.25">
      <c r="B181" s="425">
        <f t="shared" si="24"/>
        <v>13</v>
      </c>
      <c r="C181" s="428" t="s">
        <v>194</v>
      </c>
      <c r="D181" s="429">
        <v>2</v>
      </c>
      <c r="E181" s="430">
        <v>16</v>
      </c>
      <c r="F181" s="430">
        <f t="shared" si="27"/>
        <v>32</v>
      </c>
      <c r="G181" s="431">
        <f t="shared" si="26"/>
        <v>5.76</v>
      </c>
      <c r="H181" s="427">
        <f t="shared" si="23"/>
        <v>37.76</v>
      </c>
    </row>
    <row r="182" spans="2:12" ht="45" x14ac:dyDescent="0.25">
      <c r="B182" s="437">
        <f t="shared" si="24"/>
        <v>14</v>
      </c>
      <c r="C182" s="464" t="s">
        <v>815</v>
      </c>
      <c r="D182" s="435">
        <v>1</v>
      </c>
      <c r="E182" s="443">
        <v>65</v>
      </c>
      <c r="F182" s="443">
        <f>E182</f>
        <v>65</v>
      </c>
      <c r="G182" s="444">
        <f t="shared" si="26"/>
        <v>11.7</v>
      </c>
      <c r="H182" s="441">
        <f t="shared" si="23"/>
        <v>76.7</v>
      </c>
    </row>
    <row r="183" spans="2:12" ht="30" x14ac:dyDescent="0.25">
      <c r="B183" s="425">
        <f t="shared" si="24"/>
        <v>15</v>
      </c>
      <c r="C183" s="447" t="s">
        <v>196</v>
      </c>
      <c r="D183" s="429">
        <v>2</v>
      </c>
      <c r="E183" s="430">
        <v>8</v>
      </c>
      <c r="F183" s="430">
        <f t="shared" ref="F183:F185" si="28">D183*E183</f>
        <v>16</v>
      </c>
      <c r="G183" s="431">
        <f t="shared" si="26"/>
        <v>2.88</v>
      </c>
      <c r="H183" s="427">
        <f t="shared" si="23"/>
        <v>18.88</v>
      </c>
    </row>
    <row r="184" spans="2:12" ht="75" x14ac:dyDescent="0.25">
      <c r="B184" s="437">
        <f t="shared" si="24"/>
        <v>16</v>
      </c>
      <c r="C184" s="465" t="s">
        <v>816</v>
      </c>
      <c r="D184" s="435">
        <v>1</v>
      </c>
      <c r="E184" s="443">
        <v>100</v>
      </c>
      <c r="F184" s="443">
        <f t="shared" si="28"/>
        <v>100</v>
      </c>
      <c r="G184" s="444">
        <f t="shared" si="26"/>
        <v>18</v>
      </c>
      <c r="H184" s="441">
        <f t="shared" si="23"/>
        <v>118</v>
      </c>
    </row>
    <row r="185" spans="2:12" ht="75" x14ac:dyDescent="0.25">
      <c r="B185" s="437">
        <f t="shared" si="24"/>
        <v>17</v>
      </c>
      <c r="C185" s="442" t="s">
        <v>817</v>
      </c>
      <c r="D185" s="435">
        <v>10</v>
      </c>
      <c r="E185" s="443">
        <v>21</v>
      </c>
      <c r="F185" s="443">
        <f t="shared" si="28"/>
        <v>210</v>
      </c>
      <c r="G185" s="444">
        <f t="shared" si="26"/>
        <v>37.799999999999997</v>
      </c>
      <c r="H185" s="441">
        <f t="shared" si="23"/>
        <v>247.8</v>
      </c>
    </row>
    <row r="186" spans="2:12" ht="75" x14ac:dyDescent="0.25">
      <c r="B186" s="437">
        <f t="shared" si="24"/>
        <v>18</v>
      </c>
      <c r="C186" s="445" t="s">
        <v>199</v>
      </c>
      <c r="D186" s="443" t="s">
        <v>200</v>
      </c>
      <c r="E186" s="443"/>
      <c r="F186" s="443">
        <v>16</v>
      </c>
      <c r="G186" s="444">
        <f t="shared" si="26"/>
        <v>2.88</v>
      </c>
      <c r="H186" s="441">
        <f t="shared" si="23"/>
        <v>18.88</v>
      </c>
    </row>
    <row r="187" spans="2:12" ht="45" x14ac:dyDescent="0.25">
      <c r="B187" s="437">
        <f t="shared" si="24"/>
        <v>19</v>
      </c>
      <c r="C187" s="446" t="s">
        <v>201</v>
      </c>
      <c r="D187" s="435">
        <v>3</v>
      </c>
      <c r="E187" s="443">
        <v>3.45</v>
      </c>
      <c r="F187" s="443">
        <f>D187*E187</f>
        <v>10.350000000000001</v>
      </c>
      <c r="G187" s="444">
        <f t="shared" si="26"/>
        <v>1.8630000000000002</v>
      </c>
      <c r="H187" s="441">
        <f t="shared" si="23"/>
        <v>12.213000000000001</v>
      </c>
    </row>
    <row r="188" spans="2:12" ht="30" x14ac:dyDescent="0.25">
      <c r="B188" s="425">
        <f t="shared" si="24"/>
        <v>20</v>
      </c>
      <c r="C188" s="433" t="s">
        <v>818</v>
      </c>
      <c r="D188" s="429">
        <v>3</v>
      </c>
      <c r="E188" s="430">
        <v>15</v>
      </c>
      <c r="F188" s="430">
        <f>D188*E188</f>
        <v>45</v>
      </c>
      <c r="G188" s="431">
        <f t="shared" si="26"/>
        <v>8.1</v>
      </c>
      <c r="H188" s="427">
        <f t="shared" si="23"/>
        <v>53.1</v>
      </c>
    </row>
    <row r="189" spans="2:12" ht="30" x14ac:dyDescent="0.25">
      <c r="B189" s="425">
        <f t="shared" si="24"/>
        <v>21</v>
      </c>
      <c r="C189" s="433" t="s">
        <v>206</v>
      </c>
      <c r="D189" s="429">
        <v>1</v>
      </c>
      <c r="E189" s="430">
        <v>50</v>
      </c>
      <c r="F189" s="430">
        <f>D189*E189</f>
        <v>50</v>
      </c>
      <c r="G189" s="431">
        <f t="shared" si="26"/>
        <v>9</v>
      </c>
      <c r="H189" s="427">
        <f t="shared" si="23"/>
        <v>59</v>
      </c>
    </row>
    <row r="190" spans="2:12" x14ac:dyDescent="0.25">
      <c r="B190" s="425">
        <f t="shared" si="24"/>
        <v>22</v>
      </c>
      <c r="C190" s="432" t="s">
        <v>208</v>
      </c>
      <c r="D190" s="430" t="s">
        <v>129</v>
      </c>
      <c r="E190" s="430"/>
      <c r="F190" s="430">
        <v>35</v>
      </c>
      <c r="G190" s="431">
        <f t="shared" si="26"/>
        <v>6.3</v>
      </c>
      <c r="H190" s="427">
        <f t="shared" si="23"/>
        <v>41.3</v>
      </c>
    </row>
    <row r="191" spans="2:12" ht="30" x14ac:dyDescent="0.25">
      <c r="B191" s="425">
        <f t="shared" si="24"/>
        <v>23</v>
      </c>
      <c r="C191" s="428" t="s">
        <v>212</v>
      </c>
      <c r="D191" s="430" t="s">
        <v>129</v>
      </c>
      <c r="E191" s="434"/>
      <c r="F191" s="430">
        <v>10</v>
      </c>
      <c r="G191" s="431">
        <f t="shared" si="26"/>
        <v>1.8</v>
      </c>
      <c r="H191" s="427">
        <f t="shared" si="23"/>
        <v>11.8</v>
      </c>
    </row>
    <row r="192" spans="2:12" x14ac:dyDescent="0.25">
      <c r="B192" s="393"/>
      <c r="C192" s="392" t="s">
        <v>273</v>
      </c>
      <c r="D192" s="392"/>
      <c r="E192" s="392"/>
      <c r="F192" s="403">
        <f t="shared" ref="F192:G192" si="29">SUM(F169:F191)</f>
        <v>1347.35</v>
      </c>
      <c r="G192" s="403">
        <f t="shared" si="29"/>
        <v>207.42300000000003</v>
      </c>
      <c r="H192" s="403">
        <f>SUM(H169:H191)</f>
        <v>1554.7729999999999</v>
      </c>
      <c r="J192" s="476">
        <f>F192*10%</f>
        <v>134.73499999999999</v>
      </c>
      <c r="K192" s="476">
        <f>J192*1.18</f>
        <v>158.98729999999998</v>
      </c>
      <c r="L192" s="476">
        <f>K192+H192</f>
        <v>1713.7602999999999</v>
      </c>
    </row>
    <row r="193" spans="2:12" x14ac:dyDescent="0.25">
      <c r="D193" s="335"/>
      <c r="E193" s="335"/>
      <c r="F193" s="335"/>
      <c r="G193" s="335"/>
    </row>
    <row r="194" spans="2:12" ht="15" customHeight="1" x14ac:dyDescent="0.25">
      <c r="B194" s="394" t="s">
        <v>821</v>
      </c>
      <c r="C194" s="397" t="s">
        <v>214</v>
      </c>
      <c r="D194" s="398"/>
      <c r="E194" s="398"/>
      <c r="F194" s="398"/>
      <c r="G194" s="398"/>
      <c r="H194" s="404" t="s">
        <v>837</v>
      </c>
    </row>
    <row r="195" spans="2:12" ht="30" x14ac:dyDescent="0.25">
      <c r="B195" s="429">
        <v>1</v>
      </c>
      <c r="C195" s="428" t="s">
        <v>215</v>
      </c>
      <c r="D195" s="429">
        <v>1</v>
      </c>
      <c r="E195" s="430">
        <f>11+3</f>
        <v>14</v>
      </c>
      <c r="F195" s="430">
        <f>D195*E195</f>
        <v>14</v>
      </c>
      <c r="G195" s="426">
        <f t="shared" ref="G195:G202" si="30">F195*18/100</f>
        <v>2.52</v>
      </c>
      <c r="H195" s="427">
        <f>F195+G195</f>
        <v>16.52</v>
      </c>
    </row>
    <row r="196" spans="2:12" x14ac:dyDescent="0.25">
      <c r="B196" s="429">
        <f>B195+1</f>
        <v>2</v>
      </c>
      <c r="C196" s="428" t="s">
        <v>216</v>
      </c>
      <c r="D196" s="429">
        <v>1</v>
      </c>
      <c r="E196" s="430">
        <v>40</v>
      </c>
      <c r="F196" s="430">
        <f t="shared" ref="F196:F198" si="31">D196*E196</f>
        <v>40</v>
      </c>
      <c r="G196" s="426">
        <f t="shared" si="30"/>
        <v>7.2</v>
      </c>
      <c r="H196" s="427">
        <f t="shared" ref="H196:H202" si="32">F196+G196</f>
        <v>47.2</v>
      </c>
    </row>
    <row r="197" spans="2:12" ht="60" x14ac:dyDescent="0.25">
      <c r="B197" s="429">
        <f t="shared" ref="B197:B202" si="33">B196+1</f>
        <v>3</v>
      </c>
      <c r="C197" s="428" t="s">
        <v>217</v>
      </c>
      <c r="D197" s="429">
        <v>1</v>
      </c>
      <c r="E197" s="430">
        <v>35</v>
      </c>
      <c r="F197" s="430">
        <f t="shared" si="31"/>
        <v>35</v>
      </c>
      <c r="G197" s="426">
        <f t="shared" si="30"/>
        <v>6.3</v>
      </c>
      <c r="H197" s="427">
        <f t="shared" si="32"/>
        <v>41.3</v>
      </c>
    </row>
    <row r="198" spans="2:12" ht="45" x14ac:dyDescent="0.25">
      <c r="B198" s="435">
        <f t="shared" si="33"/>
        <v>4</v>
      </c>
      <c r="C198" s="445" t="s">
        <v>218</v>
      </c>
      <c r="D198" s="435">
        <v>1</v>
      </c>
      <c r="E198" s="443">
        <v>41.1</v>
      </c>
      <c r="F198" s="443">
        <f t="shared" si="31"/>
        <v>41.1</v>
      </c>
      <c r="G198" s="440">
        <f t="shared" si="30"/>
        <v>7.3980000000000006</v>
      </c>
      <c r="H198" s="441">
        <f t="shared" si="32"/>
        <v>48.498000000000005</v>
      </c>
    </row>
    <row r="199" spans="2:12" x14ac:dyDescent="0.25">
      <c r="B199" s="429">
        <f t="shared" si="33"/>
        <v>5</v>
      </c>
      <c r="C199" s="428" t="s">
        <v>219</v>
      </c>
      <c r="D199" s="430" t="s">
        <v>129</v>
      </c>
      <c r="E199" s="430">
        <v>30</v>
      </c>
      <c r="F199" s="430">
        <f>E199</f>
        <v>30</v>
      </c>
      <c r="G199" s="426">
        <f t="shared" si="30"/>
        <v>5.4</v>
      </c>
      <c r="H199" s="427">
        <f t="shared" si="32"/>
        <v>35.4</v>
      </c>
    </row>
    <row r="200" spans="2:12" x14ac:dyDescent="0.25">
      <c r="B200" s="429">
        <f t="shared" si="33"/>
        <v>6</v>
      </c>
      <c r="C200" s="432" t="s">
        <v>820</v>
      </c>
      <c r="D200" s="429">
        <v>1</v>
      </c>
      <c r="E200" s="430">
        <v>20</v>
      </c>
      <c r="F200" s="430">
        <f t="shared" ref="F200:F202" si="34">D200*E200</f>
        <v>20</v>
      </c>
      <c r="G200" s="426">
        <f t="shared" si="30"/>
        <v>3.6</v>
      </c>
      <c r="H200" s="427">
        <f t="shared" si="32"/>
        <v>23.6</v>
      </c>
    </row>
    <row r="201" spans="2:12" x14ac:dyDescent="0.25">
      <c r="B201" s="429">
        <f t="shared" si="33"/>
        <v>7</v>
      </c>
      <c r="C201" s="432" t="s">
        <v>221</v>
      </c>
      <c r="D201" s="429">
        <v>1</v>
      </c>
      <c r="E201" s="430">
        <v>25</v>
      </c>
      <c r="F201" s="430">
        <f t="shared" si="34"/>
        <v>25</v>
      </c>
      <c r="G201" s="426">
        <f t="shared" si="30"/>
        <v>4.5</v>
      </c>
      <c r="H201" s="427">
        <f t="shared" si="32"/>
        <v>29.5</v>
      </c>
    </row>
    <row r="202" spans="2:12" x14ac:dyDescent="0.25">
      <c r="B202" s="429">
        <f t="shared" si="33"/>
        <v>8</v>
      </c>
      <c r="C202" s="434" t="s">
        <v>222</v>
      </c>
      <c r="D202" s="429">
        <v>10</v>
      </c>
      <c r="E202" s="430">
        <v>1</v>
      </c>
      <c r="F202" s="430">
        <f t="shared" si="34"/>
        <v>10</v>
      </c>
      <c r="G202" s="426">
        <f t="shared" si="30"/>
        <v>1.8</v>
      </c>
      <c r="H202" s="427">
        <f t="shared" si="32"/>
        <v>11.8</v>
      </c>
    </row>
    <row r="203" spans="2:12" x14ac:dyDescent="0.25">
      <c r="B203" s="393"/>
      <c r="C203" s="392" t="s">
        <v>273</v>
      </c>
      <c r="D203" s="392"/>
      <c r="E203" s="392"/>
      <c r="F203" s="403">
        <f t="shared" ref="F203:G203" si="35">SUM(F195:F202)</f>
        <v>215.1</v>
      </c>
      <c r="G203" s="403">
        <f t="shared" si="35"/>
        <v>38.717999999999996</v>
      </c>
      <c r="H203" s="403">
        <f>SUM(H195:H202)</f>
        <v>253.81800000000001</v>
      </c>
      <c r="J203" s="476">
        <f>F203*10%</f>
        <v>21.51</v>
      </c>
      <c r="K203" s="476">
        <f>J203*1.18</f>
        <v>25.381800000000002</v>
      </c>
      <c r="L203" s="476">
        <f>K203+H203</f>
        <v>279.19980000000004</v>
      </c>
    </row>
    <row r="204" spans="2:12" x14ac:dyDescent="0.25">
      <c r="B204" s="405"/>
      <c r="C204" s="406"/>
      <c r="D204" s="405"/>
      <c r="E204" s="407"/>
      <c r="F204" s="407"/>
    </row>
    <row r="205" spans="2:12" x14ac:dyDescent="0.25">
      <c r="B205" s="394" t="s">
        <v>823</v>
      </c>
      <c r="C205" s="397" t="s">
        <v>224</v>
      </c>
      <c r="D205" s="398"/>
      <c r="E205" s="398"/>
      <c r="F205" s="398"/>
      <c r="G205" s="398"/>
      <c r="H205" s="404" t="s">
        <v>837</v>
      </c>
    </row>
    <row r="206" spans="2:12" ht="30" x14ac:dyDescent="0.25">
      <c r="B206" s="435">
        <v>1</v>
      </c>
      <c r="C206" s="449" t="s">
        <v>826</v>
      </c>
      <c r="D206" s="437" t="s">
        <v>129</v>
      </c>
      <c r="E206" s="437">
        <v>15</v>
      </c>
      <c r="F206" s="439">
        <f>E206</f>
        <v>15</v>
      </c>
      <c r="G206" s="440">
        <f>F206*5/100</f>
        <v>0.75</v>
      </c>
      <c r="H206" s="441">
        <f>F206+G206</f>
        <v>15.75</v>
      </c>
    </row>
    <row r="207" spans="2:12" x14ac:dyDescent="0.25">
      <c r="B207" s="435">
        <f>B206+1</f>
        <v>2</v>
      </c>
      <c r="C207" s="436" t="s">
        <v>227</v>
      </c>
      <c r="D207" s="437">
        <v>2</v>
      </c>
      <c r="E207" s="437">
        <v>11.45</v>
      </c>
      <c r="F207" s="439">
        <f>D207*E207</f>
        <v>22.9</v>
      </c>
      <c r="G207" s="440">
        <f t="shared" ref="G207:G208" si="36">F207*18/100</f>
        <v>4.1219999999999999</v>
      </c>
      <c r="H207" s="441">
        <f t="shared" ref="H207:H209" si="37">F207+G207</f>
        <v>27.021999999999998</v>
      </c>
    </row>
    <row r="208" spans="2:12" x14ac:dyDescent="0.25">
      <c r="B208" s="435">
        <f t="shared" ref="B208:B209" si="38">B207+1</f>
        <v>3</v>
      </c>
      <c r="C208" s="436" t="s">
        <v>860</v>
      </c>
      <c r="D208" s="437">
        <v>1</v>
      </c>
      <c r="E208" s="438">
        <v>9.1</v>
      </c>
      <c r="F208" s="439">
        <f>D208*E208</f>
        <v>9.1</v>
      </c>
      <c r="G208" s="440">
        <f t="shared" si="36"/>
        <v>1.6379999999999999</v>
      </c>
      <c r="H208" s="441">
        <f t="shared" si="37"/>
        <v>10.738</v>
      </c>
    </row>
    <row r="209" spans="2:8" x14ac:dyDescent="0.25">
      <c r="B209" s="435">
        <f t="shared" si="38"/>
        <v>4</v>
      </c>
      <c r="C209" s="436" t="s">
        <v>230</v>
      </c>
      <c r="D209" s="437" t="s">
        <v>129</v>
      </c>
      <c r="E209" s="437"/>
      <c r="F209" s="439">
        <v>10</v>
      </c>
      <c r="G209" s="440"/>
      <c r="H209" s="441">
        <f t="shared" si="37"/>
        <v>10</v>
      </c>
    </row>
    <row r="210" spans="2:8" x14ac:dyDescent="0.25">
      <c r="B210" s="393"/>
      <c r="C210" s="392" t="s">
        <v>273</v>
      </c>
      <c r="D210" s="392"/>
      <c r="E210" s="392"/>
      <c r="F210" s="409">
        <f>SUM(F206:F209)</f>
        <v>57</v>
      </c>
      <c r="G210" s="409">
        <f>SUM(G206:G209)</f>
        <v>6.51</v>
      </c>
      <c r="H210" s="403">
        <f>SUM(H206:H209)</f>
        <v>63.51</v>
      </c>
    </row>
    <row r="211" spans="2:8" x14ac:dyDescent="0.25">
      <c r="B211" s="405"/>
      <c r="C211" s="406"/>
      <c r="D211" s="405"/>
      <c r="E211" s="407"/>
      <c r="F211" s="407"/>
    </row>
    <row r="212" spans="2:8" ht="17.25" customHeight="1" x14ac:dyDescent="0.25">
      <c r="B212" s="393"/>
      <c r="C212" s="392" t="s">
        <v>841</v>
      </c>
      <c r="D212" s="392"/>
      <c r="E212" s="392"/>
      <c r="F212" s="408">
        <f>F129+F134+F166+F192+F203+F210</f>
        <v>3142.9776440000001</v>
      </c>
      <c r="G212" s="408">
        <f>G129+G134+G166+G192+G203+G210</f>
        <v>398.13841392</v>
      </c>
      <c r="H212" s="408">
        <f>H129+H134+H166+H192+H203+H210</f>
        <v>3541.1160579200005</v>
      </c>
    </row>
    <row r="213" spans="2:8" x14ac:dyDescent="0.25">
      <c r="B213" s="405"/>
      <c r="C213" s="406"/>
      <c r="D213" s="405"/>
      <c r="E213" s="407"/>
      <c r="F213" s="407"/>
    </row>
    <row r="214" spans="2:8" x14ac:dyDescent="0.25">
      <c r="B214" s="405"/>
      <c r="C214" s="406"/>
      <c r="D214" s="405"/>
      <c r="E214" s="407"/>
      <c r="F214" s="407"/>
    </row>
    <row r="215" spans="2:8" x14ac:dyDescent="0.25">
      <c r="B215" s="405"/>
      <c r="C215" s="406"/>
      <c r="D215" s="405"/>
      <c r="E215" s="407"/>
      <c r="F215" s="407"/>
    </row>
    <row r="216" spans="2:8" x14ac:dyDescent="0.25">
      <c r="B216" s="424" t="s">
        <v>859</v>
      </c>
      <c r="C216" s="406"/>
      <c r="D216" s="405"/>
      <c r="E216" s="407"/>
      <c r="F216" s="410"/>
    </row>
    <row r="217" spans="2:8" x14ac:dyDescent="0.25">
      <c r="B217" s="405"/>
      <c r="C217" s="406"/>
      <c r="D217" s="405"/>
      <c r="E217" s="407"/>
      <c r="F217" s="407"/>
    </row>
    <row r="218" spans="2:8" x14ac:dyDescent="0.25">
      <c r="B218" s="405"/>
      <c r="C218" s="406"/>
      <c r="D218" s="405"/>
      <c r="E218" s="407"/>
      <c r="F218" s="407"/>
    </row>
    <row r="219" spans="2:8" x14ac:dyDescent="0.25">
      <c r="B219" s="405"/>
      <c r="C219" s="406"/>
      <c r="D219" s="405"/>
      <c r="E219" s="407"/>
      <c r="F219" s="407"/>
    </row>
  </sheetData>
  <mergeCells count="9">
    <mergeCell ref="B108:H108"/>
    <mergeCell ref="B106:H106"/>
    <mergeCell ref="B101:C101"/>
    <mergeCell ref="B2:F2"/>
    <mergeCell ref="C4:E4"/>
    <mergeCell ref="C23:E23"/>
    <mergeCell ref="C54:E54"/>
    <mergeCell ref="C79:E79"/>
    <mergeCell ref="C91:E91"/>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9"/>
  <sheetViews>
    <sheetView topLeftCell="A81" zoomScaleNormal="100" zoomScaleSheetLayoutView="100" workbookViewId="0">
      <selection activeCell="F94" sqref="F94"/>
    </sheetView>
  </sheetViews>
  <sheetFormatPr defaultColWidth="16" defaultRowHeight="12.75" x14ac:dyDescent="0.25"/>
  <cols>
    <col min="1" max="1" width="5.28515625" style="113" customWidth="1"/>
    <col min="2" max="2" width="8.42578125" style="113" customWidth="1"/>
    <col min="3" max="3" width="55.7109375" style="113" customWidth="1"/>
    <col min="4" max="4" width="10.28515625" style="144" customWidth="1"/>
    <col min="5" max="5" width="8.85546875" style="144" customWidth="1"/>
    <col min="6" max="6" width="10" style="113" customWidth="1"/>
    <col min="7" max="7" width="28.7109375" style="113" hidden="1" customWidth="1"/>
    <col min="8" max="8" width="18.7109375" style="113" hidden="1" customWidth="1"/>
    <col min="9" max="9" width="16.28515625" style="113" hidden="1" customWidth="1"/>
    <col min="10" max="12" width="0" style="113" hidden="1" customWidth="1"/>
    <col min="13" max="13" width="30.7109375" style="113" customWidth="1"/>
    <col min="14" max="256" width="16" style="113"/>
    <col min="257" max="257" width="3" style="113" customWidth="1"/>
    <col min="258" max="258" width="8.42578125" style="113" customWidth="1"/>
    <col min="259" max="259" width="51" style="113" customWidth="1"/>
    <col min="260" max="260" width="10.28515625" style="113" customWidth="1"/>
    <col min="261" max="261" width="8.85546875" style="113" customWidth="1"/>
    <col min="262" max="262" width="10" style="113" customWidth="1"/>
    <col min="263" max="263" width="28.7109375" style="113" bestFit="1" customWidth="1"/>
    <col min="264" max="264" width="18.7109375" style="113" customWidth="1"/>
    <col min="265" max="265" width="16.28515625" style="113" bestFit="1" customWidth="1"/>
    <col min="266" max="512" width="16" style="113"/>
    <col min="513" max="513" width="3" style="113" customWidth="1"/>
    <col min="514" max="514" width="8.42578125" style="113" customWidth="1"/>
    <col min="515" max="515" width="51" style="113" customWidth="1"/>
    <col min="516" max="516" width="10.28515625" style="113" customWidth="1"/>
    <col min="517" max="517" width="8.85546875" style="113" customWidth="1"/>
    <col min="518" max="518" width="10" style="113" customWidth="1"/>
    <col min="519" max="519" width="28.7109375" style="113" bestFit="1" customWidth="1"/>
    <col min="520" max="520" width="18.7109375" style="113" customWidth="1"/>
    <col min="521" max="521" width="16.28515625" style="113" bestFit="1" customWidth="1"/>
    <col min="522" max="768" width="16" style="113"/>
    <col min="769" max="769" width="3" style="113" customWidth="1"/>
    <col min="770" max="770" width="8.42578125" style="113" customWidth="1"/>
    <col min="771" max="771" width="51" style="113" customWidth="1"/>
    <col min="772" max="772" width="10.28515625" style="113" customWidth="1"/>
    <col min="773" max="773" width="8.85546875" style="113" customWidth="1"/>
    <col min="774" max="774" width="10" style="113" customWidth="1"/>
    <col min="775" max="775" width="28.7109375" style="113" bestFit="1" customWidth="1"/>
    <col min="776" max="776" width="18.7109375" style="113" customWidth="1"/>
    <col min="777" max="777" width="16.28515625" style="113" bestFit="1" customWidth="1"/>
    <col min="778" max="1024" width="16" style="113"/>
    <col min="1025" max="1025" width="3" style="113" customWidth="1"/>
    <col min="1026" max="1026" width="8.42578125" style="113" customWidth="1"/>
    <col min="1027" max="1027" width="51" style="113" customWidth="1"/>
    <col min="1028" max="1028" width="10.28515625" style="113" customWidth="1"/>
    <col min="1029" max="1029" width="8.85546875" style="113" customWidth="1"/>
    <col min="1030" max="1030" width="10" style="113" customWidth="1"/>
    <col min="1031" max="1031" width="28.7109375" style="113" bestFit="1" customWidth="1"/>
    <col min="1032" max="1032" width="18.7109375" style="113" customWidth="1"/>
    <col min="1033" max="1033" width="16.28515625" style="113" bestFit="1" customWidth="1"/>
    <col min="1034" max="1280" width="16" style="113"/>
    <col min="1281" max="1281" width="3" style="113" customWidth="1"/>
    <col min="1282" max="1282" width="8.42578125" style="113" customWidth="1"/>
    <col min="1283" max="1283" width="51" style="113" customWidth="1"/>
    <col min="1284" max="1284" width="10.28515625" style="113" customWidth="1"/>
    <col min="1285" max="1285" width="8.85546875" style="113" customWidth="1"/>
    <col min="1286" max="1286" width="10" style="113" customWidth="1"/>
    <col min="1287" max="1287" width="28.7109375" style="113" bestFit="1" customWidth="1"/>
    <col min="1288" max="1288" width="18.7109375" style="113" customWidth="1"/>
    <col min="1289" max="1289" width="16.28515625" style="113" bestFit="1" customWidth="1"/>
    <col min="1290" max="1536" width="16" style="113"/>
    <col min="1537" max="1537" width="3" style="113" customWidth="1"/>
    <col min="1538" max="1538" width="8.42578125" style="113" customWidth="1"/>
    <col min="1539" max="1539" width="51" style="113" customWidth="1"/>
    <col min="1540" max="1540" width="10.28515625" style="113" customWidth="1"/>
    <col min="1541" max="1541" width="8.85546875" style="113" customWidth="1"/>
    <col min="1542" max="1542" width="10" style="113" customWidth="1"/>
    <col min="1543" max="1543" width="28.7109375" style="113" bestFit="1" customWidth="1"/>
    <col min="1544" max="1544" width="18.7109375" style="113" customWidth="1"/>
    <col min="1545" max="1545" width="16.28515625" style="113" bestFit="1" customWidth="1"/>
    <col min="1546" max="1792" width="16" style="113"/>
    <col min="1793" max="1793" width="3" style="113" customWidth="1"/>
    <col min="1794" max="1794" width="8.42578125" style="113" customWidth="1"/>
    <col min="1795" max="1795" width="51" style="113" customWidth="1"/>
    <col min="1796" max="1796" width="10.28515625" style="113" customWidth="1"/>
    <col min="1797" max="1797" width="8.85546875" style="113" customWidth="1"/>
    <col min="1798" max="1798" width="10" style="113" customWidth="1"/>
    <col min="1799" max="1799" width="28.7109375" style="113" bestFit="1" customWidth="1"/>
    <col min="1800" max="1800" width="18.7109375" style="113" customWidth="1"/>
    <col min="1801" max="1801" width="16.28515625" style="113" bestFit="1" customWidth="1"/>
    <col min="1802" max="2048" width="16" style="113"/>
    <col min="2049" max="2049" width="3" style="113" customWidth="1"/>
    <col min="2050" max="2050" width="8.42578125" style="113" customWidth="1"/>
    <col min="2051" max="2051" width="51" style="113" customWidth="1"/>
    <col min="2052" max="2052" width="10.28515625" style="113" customWidth="1"/>
    <col min="2053" max="2053" width="8.85546875" style="113" customWidth="1"/>
    <col min="2054" max="2054" width="10" style="113" customWidth="1"/>
    <col min="2055" max="2055" width="28.7109375" style="113" bestFit="1" customWidth="1"/>
    <col min="2056" max="2056" width="18.7109375" style="113" customWidth="1"/>
    <col min="2057" max="2057" width="16.28515625" style="113" bestFit="1" customWidth="1"/>
    <col min="2058" max="2304" width="16" style="113"/>
    <col min="2305" max="2305" width="3" style="113" customWidth="1"/>
    <col min="2306" max="2306" width="8.42578125" style="113" customWidth="1"/>
    <col min="2307" max="2307" width="51" style="113" customWidth="1"/>
    <col min="2308" max="2308" width="10.28515625" style="113" customWidth="1"/>
    <col min="2309" max="2309" width="8.85546875" style="113" customWidth="1"/>
    <col min="2310" max="2310" width="10" style="113" customWidth="1"/>
    <col min="2311" max="2311" width="28.7109375" style="113" bestFit="1" customWidth="1"/>
    <col min="2312" max="2312" width="18.7109375" style="113" customWidth="1"/>
    <col min="2313" max="2313" width="16.28515625" style="113" bestFit="1" customWidth="1"/>
    <col min="2314" max="2560" width="16" style="113"/>
    <col min="2561" max="2561" width="3" style="113" customWidth="1"/>
    <col min="2562" max="2562" width="8.42578125" style="113" customWidth="1"/>
    <col min="2563" max="2563" width="51" style="113" customWidth="1"/>
    <col min="2564" max="2564" width="10.28515625" style="113" customWidth="1"/>
    <col min="2565" max="2565" width="8.85546875" style="113" customWidth="1"/>
    <col min="2566" max="2566" width="10" style="113" customWidth="1"/>
    <col min="2567" max="2567" width="28.7109375" style="113" bestFit="1" customWidth="1"/>
    <col min="2568" max="2568" width="18.7109375" style="113" customWidth="1"/>
    <col min="2569" max="2569" width="16.28515625" style="113" bestFit="1" customWidth="1"/>
    <col min="2570" max="2816" width="16" style="113"/>
    <col min="2817" max="2817" width="3" style="113" customWidth="1"/>
    <col min="2818" max="2818" width="8.42578125" style="113" customWidth="1"/>
    <col min="2819" max="2819" width="51" style="113" customWidth="1"/>
    <col min="2820" max="2820" width="10.28515625" style="113" customWidth="1"/>
    <col min="2821" max="2821" width="8.85546875" style="113" customWidth="1"/>
    <col min="2822" max="2822" width="10" style="113" customWidth="1"/>
    <col min="2823" max="2823" width="28.7109375" style="113" bestFit="1" customWidth="1"/>
    <col min="2824" max="2824" width="18.7109375" style="113" customWidth="1"/>
    <col min="2825" max="2825" width="16.28515625" style="113" bestFit="1" customWidth="1"/>
    <col min="2826" max="3072" width="16" style="113"/>
    <col min="3073" max="3073" width="3" style="113" customWidth="1"/>
    <col min="3074" max="3074" width="8.42578125" style="113" customWidth="1"/>
    <col min="3075" max="3075" width="51" style="113" customWidth="1"/>
    <col min="3076" max="3076" width="10.28515625" style="113" customWidth="1"/>
    <col min="3077" max="3077" width="8.85546875" style="113" customWidth="1"/>
    <col min="3078" max="3078" width="10" style="113" customWidth="1"/>
    <col min="3079" max="3079" width="28.7109375" style="113" bestFit="1" customWidth="1"/>
    <col min="3080" max="3080" width="18.7109375" style="113" customWidth="1"/>
    <col min="3081" max="3081" width="16.28515625" style="113" bestFit="1" customWidth="1"/>
    <col min="3082" max="3328" width="16" style="113"/>
    <col min="3329" max="3329" width="3" style="113" customWidth="1"/>
    <col min="3330" max="3330" width="8.42578125" style="113" customWidth="1"/>
    <col min="3331" max="3331" width="51" style="113" customWidth="1"/>
    <col min="3332" max="3332" width="10.28515625" style="113" customWidth="1"/>
    <col min="3333" max="3333" width="8.85546875" style="113" customWidth="1"/>
    <col min="3334" max="3334" width="10" style="113" customWidth="1"/>
    <col min="3335" max="3335" width="28.7109375" style="113" bestFit="1" customWidth="1"/>
    <col min="3336" max="3336" width="18.7109375" style="113" customWidth="1"/>
    <col min="3337" max="3337" width="16.28515625" style="113" bestFit="1" customWidth="1"/>
    <col min="3338" max="3584" width="16" style="113"/>
    <col min="3585" max="3585" width="3" style="113" customWidth="1"/>
    <col min="3586" max="3586" width="8.42578125" style="113" customWidth="1"/>
    <col min="3587" max="3587" width="51" style="113" customWidth="1"/>
    <col min="3588" max="3588" width="10.28515625" style="113" customWidth="1"/>
    <col min="3589" max="3589" width="8.85546875" style="113" customWidth="1"/>
    <col min="3590" max="3590" width="10" style="113" customWidth="1"/>
    <col min="3591" max="3591" width="28.7109375" style="113" bestFit="1" customWidth="1"/>
    <col min="3592" max="3592" width="18.7109375" style="113" customWidth="1"/>
    <col min="3593" max="3593" width="16.28515625" style="113" bestFit="1" customWidth="1"/>
    <col min="3594" max="3840" width="16" style="113"/>
    <col min="3841" max="3841" width="3" style="113" customWidth="1"/>
    <col min="3842" max="3842" width="8.42578125" style="113" customWidth="1"/>
    <col min="3843" max="3843" width="51" style="113" customWidth="1"/>
    <col min="3844" max="3844" width="10.28515625" style="113" customWidth="1"/>
    <col min="3845" max="3845" width="8.85546875" style="113" customWidth="1"/>
    <col min="3846" max="3846" width="10" style="113" customWidth="1"/>
    <col min="3847" max="3847" width="28.7109375" style="113" bestFit="1" customWidth="1"/>
    <col min="3848" max="3848" width="18.7109375" style="113" customWidth="1"/>
    <col min="3849" max="3849" width="16.28515625" style="113" bestFit="1" customWidth="1"/>
    <col min="3850" max="4096" width="16" style="113"/>
    <col min="4097" max="4097" width="3" style="113" customWidth="1"/>
    <col min="4098" max="4098" width="8.42578125" style="113" customWidth="1"/>
    <col min="4099" max="4099" width="51" style="113" customWidth="1"/>
    <col min="4100" max="4100" width="10.28515625" style="113" customWidth="1"/>
    <col min="4101" max="4101" width="8.85546875" style="113" customWidth="1"/>
    <col min="4102" max="4102" width="10" style="113" customWidth="1"/>
    <col min="4103" max="4103" width="28.7109375" style="113" bestFit="1" customWidth="1"/>
    <col min="4104" max="4104" width="18.7109375" style="113" customWidth="1"/>
    <col min="4105" max="4105" width="16.28515625" style="113" bestFit="1" customWidth="1"/>
    <col min="4106" max="4352" width="16" style="113"/>
    <col min="4353" max="4353" width="3" style="113" customWidth="1"/>
    <col min="4354" max="4354" width="8.42578125" style="113" customWidth="1"/>
    <col min="4355" max="4355" width="51" style="113" customWidth="1"/>
    <col min="4356" max="4356" width="10.28515625" style="113" customWidth="1"/>
    <col min="4357" max="4357" width="8.85546875" style="113" customWidth="1"/>
    <col min="4358" max="4358" width="10" style="113" customWidth="1"/>
    <col min="4359" max="4359" width="28.7109375" style="113" bestFit="1" customWidth="1"/>
    <col min="4360" max="4360" width="18.7109375" style="113" customWidth="1"/>
    <col min="4361" max="4361" width="16.28515625" style="113" bestFit="1" customWidth="1"/>
    <col min="4362" max="4608" width="16" style="113"/>
    <col min="4609" max="4609" width="3" style="113" customWidth="1"/>
    <col min="4610" max="4610" width="8.42578125" style="113" customWidth="1"/>
    <col min="4611" max="4611" width="51" style="113" customWidth="1"/>
    <col min="4612" max="4612" width="10.28515625" style="113" customWidth="1"/>
    <col min="4613" max="4613" width="8.85546875" style="113" customWidth="1"/>
    <col min="4614" max="4614" width="10" style="113" customWidth="1"/>
    <col min="4615" max="4615" width="28.7109375" style="113" bestFit="1" customWidth="1"/>
    <col min="4616" max="4616" width="18.7109375" style="113" customWidth="1"/>
    <col min="4617" max="4617" width="16.28515625" style="113" bestFit="1" customWidth="1"/>
    <col min="4618" max="4864" width="16" style="113"/>
    <col min="4865" max="4865" width="3" style="113" customWidth="1"/>
    <col min="4866" max="4866" width="8.42578125" style="113" customWidth="1"/>
    <col min="4867" max="4867" width="51" style="113" customWidth="1"/>
    <col min="4868" max="4868" width="10.28515625" style="113" customWidth="1"/>
    <col min="4869" max="4869" width="8.85546875" style="113" customWidth="1"/>
    <col min="4870" max="4870" width="10" style="113" customWidth="1"/>
    <col min="4871" max="4871" width="28.7109375" style="113" bestFit="1" customWidth="1"/>
    <col min="4872" max="4872" width="18.7109375" style="113" customWidth="1"/>
    <col min="4873" max="4873" width="16.28515625" style="113" bestFit="1" customWidth="1"/>
    <col min="4874" max="5120" width="16" style="113"/>
    <col min="5121" max="5121" width="3" style="113" customWidth="1"/>
    <col min="5122" max="5122" width="8.42578125" style="113" customWidth="1"/>
    <col min="5123" max="5123" width="51" style="113" customWidth="1"/>
    <col min="5124" max="5124" width="10.28515625" style="113" customWidth="1"/>
    <col min="5125" max="5125" width="8.85546875" style="113" customWidth="1"/>
    <col min="5126" max="5126" width="10" style="113" customWidth="1"/>
    <col min="5127" max="5127" width="28.7109375" style="113" bestFit="1" customWidth="1"/>
    <col min="5128" max="5128" width="18.7109375" style="113" customWidth="1"/>
    <col min="5129" max="5129" width="16.28515625" style="113" bestFit="1" customWidth="1"/>
    <col min="5130" max="5376" width="16" style="113"/>
    <col min="5377" max="5377" width="3" style="113" customWidth="1"/>
    <col min="5378" max="5378" width="8.42578125" style="113" customWidth="1"/>
    <col min="5379" max="5379" width="51" style="113" customWidth="1"/>
    <col min="5380" max="5380" width="10.28515625" style="113" customWidth="1"/>
    <col min="5381" max="5381" width="8.85546875" style="113" customWidth="1"/>
    <col min="5382" max="5382" width="10" style="113" customWidth="1"/>
    <col min="5383" max="5383" width="28.7109375" style="113" bestFit="1" customWidth="1"/>
    <col min="5384" max="5384" width="18.7109375" style="113" customWidth="1"/>
    <col min="5385" max="5385" width="16.28515625" style="113" bestFit="1" customWidth="1"/>
    <col min="5386" max="5632" width="16" style="113"/>
    <col min="5633" max="5633" width="3" style="113" customWidth="1"/>
    <col min="5634" max="5634" width="8.42578125" style="113" customWidth="1"/>
    <col min="5635" max="5635" width="51" style="113" customWidth="1"/>
    <col min="5636" max="5636" width="10.28515625" style="113" customWidth="1"/>
    <col min="5637" max="5637" width="8.85546875" style="113" customWidth="1"/>
    <col min="5638" max="5638" width="10" style="113" customWidth="1"/>
    <col min="5639" max="5639" width="28.7109375" style="113" bestFit="1" customWidth="1"/>
    <col min="5640" max="5640" width="18.7109375" style="113" customWidth="1"/>
    <col min="5641" max="5641" width="16.28515625" style="113" bestFit="1" customWidth="1"/>
    <col min="5642" max="5888" width="16" style="113"/>
    <col min="5889" max="5889" width="3" style="113" customWidth="1"/>
    <col min="5890" max="5890" width="8.42578125" style="113" customWidth="1"/>
    <col min="5891" max="5891" width="51" style="113" customWidth="1"/>
    <col min="5892" max="5892" width="10.28515625" style="113" customWidth="1"/>
    <col min="5893" max="5893" width="8.85546875" style="113" customWidth="1"/>
    <col min="5894" max="5894" width="10" style="113" customWidth="1"/>
    <col min="5895" max="5895" width="28.7109375" style="113" bestFit="1" customWidth="1"/>
    <col min="5896" max="5896" width="18.7109375" style="113" customWidth="1"/>
    <col min="5897" max="5897" width="16.28515625" style="113" bestFit="1" customWidth="1"/>
    <col min="5898" max="6144" width="16" style="113"/>
    <col min="6145" max="6145" width="3" style="113" customWidth="1"/>
    <col min="6146" max="6146" width="8.42578125" style="113" customWidth="1"/>
    <col min="6147" max="6147" width="51" style="113" customWidth="1"/>
    <col min="6148" max="6148" width="10.28515625" style="113" customWidth="1"/>
    <col min="6149" max="6149" width="8.85546875" style="113" customWidth="1"/>
    <col min="6150" max="6150" width="10" style="113" customWidth="1"/>
    <col min="6151" max="6151" width="28.7109375" style="113" bestFit="1" customWidth="1"/>
    <col min="6152" max="6152" width="18.7109375" style="113" customWidth="1"/>
    <col min="6153" max="6153" width="16.28515625" style="113" bestFit="1" customWidth="1"/>
    <col min="6154" max="6400" width="16" style="113"/>
    <col min="6401" max="6401" width="3" style="113" customWidth="1"/>
    <col min="6402" max="6402" width="8.42578125" style="113" customWidth="1"/>
    <col min="6403" max="6403" width="51" style="113" customWidth="1"/>
    <col min="6404" max="6404" width="10.28515625" style="113" customWidth="1"/>
    <col min="6405" max="6405" width="8.85546875" style="113" customWidth="1"/>
    <col min="6406" max="6406" width="10" style="113" customWidth="1"/>
    <col min="6407" max="6407" width="28.7109375" style="113" bestFit="1" customWidth="1"/>
    <col min="6408" max="6408" width="18.7109375" style="113" customWidth="1"/>
    <col min="6409" max="6409" width="16.28515625" style="113" bestFit="1" customWidth="1"/>
    <col min="6410" max="6656" width="16" style="113"/>
    <col min="6657" max="6657" width="3" style="113" customWidth="1"/>
    <col min="6658" max="6658" width="8.42578125" style="113" customWidth="1"/>
    <col min="6659" max="6659" width="51" style="113" customWidth="1"/>
    <col min="6660" max="6660" width="10.28515625" style="113" customWidth="1"/>
    <col min="6661" max="6661" width="8.85546875" style="113" customWidth="1"/>
    <col min="6662" max="6662" width="10" style="113" customWidth="1"/>
    <col min="6663" max="6663" width="28.7109375" style="113" bestFit="1" customWidth="1"/>
    <col min="6664" max="6664" width="18.7109375" style="113" customWidth="1"/>
    <col min="6665" max="6665" width="16.28515625" style="113" bestFit="1" customWidth="1"/>
    <col min="6666" max="6912" width="16" style="113"/>
    <col min="6913" max="6913" width="3" style="113" customWidth="1"/>
    <col min="6914" max="6914" width="8.42578125" style="113" customWidth="1"/>
    <col min="6915" max="6915" width="51" style="113" customWidth="1"/>
    <col min="6916" max="6916" width="10.28515625" style="113" customWidth="1"/>
    <col min="6917" max="6917" width="8.85546875" style="113" customWidth="1"/>
    <col min="6918" max="6918" width="10" style="113" customWidth="1"/>
    <col min="6919" max="6919" width="28.7109375" style="113" bestFit="1" customWidth="1"/>
    <col min="6920" max="6920" width="18.7109375" style="113" customWidth="1"/>
    <col min="6921" max="6921" width="16.28515625" style="113" bestFit="1" customWidth="1"/>
    <col min="6922" max="7168" width="16" style="113"/>
    <col min="7169" max="7169" width="3" style="113" customWidth="1"/>
    <col min="7170" max="7170" width="8.42578125" style="113" customWidth="1"/>
    <col min="7171" max="7171" width="51" style="113" customWidth="1"/>
    <col min="7172" max="7172" width="10.28515625" style="113" customWidth="1"/>
    <col min="7173" max="7173" width="8.85546875" style="113" customWidth="1"/>
    <col min="7174" max="7174" width="10" style="113" customWidth="1"/>
    <col min="7175" max="7175" width="28.7109375" style="113" bestFit="1" customWidth="1"/>
    <col min="7176" max="7176" width="18.7109375" style="113" customWidth="1"/>
    <col min="7177" max="7177" width="16.28515625" style="113" bestFit="1" customWidth="1"/>
    <col min="7178" max="7424" width="16" style="113"/>
    <col min="7425" max="7425" width="3" style="113" customWidth="1"/>
    <col min="7426" max="7426" width="8.42578125" style="113" customWidth="1"/>
    <col min="7427" max="7427" width="51" style="113" customWidth="1"/>
    <col min="7428" max="7428" width="10.28515625" style="113" customWidth="1"/>
    <col min="7429" max="7429" width="8.85546875" style="113" customWidth="1"/>
    <col min="7430" max="7430" width="10" style="113" customWidth="1"/>
    <col min="7431" max="7431" width="28.7109375" style="113" bestFit="1" customWidth="1"/>
    <col min="7432" max="7432" width="18.7109375" style="113" customWidth="1"/>
    <col min="7433" max="7433" width="16.28515625" style="113" bestFit="1" customWidth="1"/>
    <col min="7434" max="7680" width="16" style="113"/>
    <col min="7681" max="7681" width="3" style="113" customWidth="1"/>
    <col min="7682" max="7682" width="8.42578125" style="113" customWidth="1"/>
    <col min="7683" max="7683" width="51" style="113" customWidth="1"/>
    <col min="7684" max="7684" width="10.28515625" style="113" customWidth="1"/>
    <col min="7685" max="7685" width="8.85546875" style="113" customWidth="1"/>
    <col min="7686" max="7686" width="10" style="113" customWidth="1"/>
    <col min="7687" max="7687" width="28.7109375" style="113" bestFit="1" customWidth="1"/>
    <col min="7688" max="7688" width="18.7109375" style="113" customWidth="1"/>
    <col min="7689" max="7689" width="16.28515625" style="113" bestFit="1" customWidth="1"/>
    <col min="7690" max="7936" width="16" style="113"/>
    <col min="7937" max="7937" width="3" style="113" customWidth="1"/>
    <col min="7938" max="7938" width="8.42578125" style="113" customWidth="1"/>
    <col min="7939" max="7939" width="51" style="113" customWidth="1"/>
    <col min="7940" max="7940" width="10.28515625" style="113" customWidth="1"/>
    <col min="7941" max="7941" width="8.85546875" style="113" customWidth="1"/>
    <col min="7942" max="7942" width="10" style="113" customWidth="1"/>
    <col min="7943" max="7943" width="28.7109375" style="113" bestFit="1" customWidth="1"/>
    <col min="7944" max="7944" width="18.7109375" style="113" customWidth="1"/>
    <col min="7945" max="7945" width="16.28515625" style="113" bestFit="1" customWidth="1"/>
    <col min="7946" max="8192" width="16" style="113"/>
    <col min="8193" max="8193" width="3" style="113" customWidth="1"/>
    <col min="8194" max="8194" width="8.42578125" style="113" customWidth="1"/>
    <col min="8195" max="8195" width="51" style="113" customWidth="1"/>
    <col min="8196" max="8196" width="10.28515625" style="113" customWidth="1"/>
    <col min="8197" max="8197" width="8.85546875" style="113" customWidth="1"/>
    <col min="8198" max="8198" width="10" style="113" customWidth="1"/>
    <col min="8199" max="8199" width="28.7109375" style="113" bestFit="1" customWidth="1"/>
    <col min="8200" max="8200" width="18.7109375" style="113" customWidth="1"/>
    <col min="8201" max="8201" width="16.28515625" style="113" bestFit="1" customWidth="1"/>
    <col min="8202" max="8448" width="16" style="113"/>
    <col min="8449" max="8449" width="3" style="113" customWidth="1"/>
    <col min="8450" max="8450" width="8.42578125" style="113" customWidth="1"/>
    <col min="8451" max="8451" width="51" style="113" customWidth="1"/>
    <col min="8452" max="8452" width="10.28515625" style="113" customWidth="1"/>
    <col min="8453" max="8453" width="8.85546875" style="113" customWidth="1"/>
    <col min="8454" max="8454" width="10" style="113" customWidth="1"/>
    <col min="8455" max="8455" width="28.7109375" style="113" bestFit="1" customWidth="1"/>
    <col min="8456" max="8456" width="18.7109375" style="113" customWidth="1"/>
    <col min="8457" max="8457" width="16.28515625" style="113" bestFit="1" customWidth="1"/>
    <col min="8458" max="8704" width="16" style="113"/>
    <col min="8705" max="8705" width="3" style="113" customWidth="1"/>
    <col min="8706" max="8706" width="8.42578125" style="113" customWidth="1"/>
    <col min="8707" max="8707" width="51" style="113" customWidth="1"/>
    <col min="8708" max="8708" width="10.28515625" style="113" customWidth="1"/>
    <col min="8709" max="8709" width="8.85546875" style="113" customWidth="1"/>
    <col min="8710" max="8710" width="10" style="113" customWidth="1"/>
    <col min="8711" max="8711" width="28.7109375" style="113" bestFit="1" customWidth="1"/>
    <col min="8712" max="8712" width="18.7109375" style="113" customWidth="1"/>
    <col min="8713" max="8713" width="16.28515625" style="113" bestFit="1" customWidth="1"/>
    <col min="8714" max="8960" width="16" style="113"/>
    <col min="8961" max="8961" width="3" style="113" customWidth="1"/>
    <col min="8962" max="8962" width="8.42578125" style="113" customWidth="1"/>
    <col min="8963" max="8963" width="51" style="113" customWidth="1"/>
    <col min="8964" max="8964" width="10.28515625" style="113" customWidth="1"/>
    <col min="8965" max="8965" width="8.85546875" style="113" customWidth="1"/>
    <col min="8966" max="8966" width="10" style="113" customWidth="1"/>
    <col min="8967" max="8967" width="28.7109375" style="113" bestFit="1" customWidth="1"/>
    <col min="8968" max="8968" width="18.7109375" style="113" customWidth="1"/>
    <col min="8969" max="8969" width="16.28515625" style="113" bestFit="1" customWidth="1"/>
    <col min="8970" max="9216" width="16" style="113"/>
    <col min="9217" max="9217" width="3" style="113" customWidth="1"/>
    <col min="9218" max="9218" width="8.42578125" style="113" customWidth="1"/>
    <col min="9219" max="9219" width="51" style="113" customWidth="1"/>
    <col min="9220" max="9220" width="10.28515625" style="113" customWidth="1"/>
    <col min="9221" max="9221" width="8.85546875" style="113" customWidth="1"/>
    <col min="9222" max="9222" width="10" style="113" customWidth="1"/>
    <col min="9223" max="9223" width="28.7109375" style="113" bestFit="1" customWidth="1"/>
    <col min="9224" max="9224" width="18.7109375" style="113" customWidth="1"/>
    <col min="9225" max="9225" width="16.28515625" style="113" bestFit="1" customWidth="1"/>
    <col min="9226" max="9472" width="16" style="113"/>
    <col min="9473" max="9473" width="3" style="113" customWidth="1"/>
    <col min="9474" max="9474" width="8.42578125" style="113" customWidth="1"/>
    <col min="9475" max="9475" width="51" style="113" customWidth="1"/>
    <col min="9476" max="9476" width="10.28515625" style="113" customWidth="1"/>
    <col min="9477" max="9477" width="8.85546875" style="113" customWidth="1"/>
    <col min="9478" max="9478" width="10" style="113" customWidth="1"/>
    <col min="9479" max="9479" width="28.7109375" style="113" bestFit="1" customWidth="1"/>
    <col min="9480" max="9480" width="18.7109375" style="113" customWidth="1"/>
    <col min="9481" max="9481" width="16.28515625" style="113" bestFit="1" customWidth="1"/>
    <col min="9482" max="9728" width="16" style="113"/>
    <col min="9729" max="9729" width="3" style="113" customWidth="1"/>
    <col min="9730" max="9730" width="8.42578125" style="113" customWidth="1"/>
    <col min="9731" max="9731" width="51" style="113" customWidth="1"/>
    <col min="9732" max="9732" width="10.28515625" style="113" customWidth="1"/>
    <col min="9733" max="9733" width="8.85546875" style="113" customWidth="1"/>
    <col min="9734" max="9734" width="10" style="113" customWidth="1"/>
    <col min="9735" max="9735" width="28.7109375" style="113" bestFit="1" customWidth="1"/>
    <col min="9736" max="9736" width="18.7109375" style="113" customWidth="1"/>
    <col min="9737" max="9737" width="16.28515625" style="113" bestFit="1" customWidth="1"/>
    <col min="9738" max="9984" width="16" style="113"/>
    <col min="9985" max="9985" width="3" style="113" customWidth="1"/>
    <col min="9986" max="9986" width="8.42578125" style="113" customWidth="1"/>
    <col min="9987" max="9987" width="51" style="113" customWidth="1"/>
    <col min="9988" max="9988" width="10.28515625" style="113" customWidth="1"/>
    <col min="9989" max="9989" width="8.85546875" style="113" customWidth="1"/>
    <col min="9990" max="9990" width="10" style="113" customWidth="1"/>
    <col min="9991" max="9991" width="28.7109375" style="113" bestFit="1" customWidth="1"/>
    <col min="9992" max="9992" width="18.7109375" style="113" customWidth="1"/>
    <col min="9993" max="9993" width="16.28515625" style="113" bestFit="1" customWidth="1"/>
    <col min="9994" max="10240" width="16" style="113"/>
    <col min="10241" max="10241" width="3" style="113" customWidth="1"/>
    <col min="10242" max="10242" width="8.42578125" style="113" customWidth="1"/>
    <col min="10243" max="10243" width="51" style="113" customWidth="1"/>
    <col min="10244" max="10244" width="10.28515625" style="113" customWidth="1"/>
    <col min="10245" max="10245" width="8.85546875" style="113" customWidth="1"/>
    <col min="10246" max="10246" width="10" style="113" customWidth="1"/>
    <col min="10247" max="10247" width="28.7109375" style="113" bestFit="1" customWidth="1"/>
    <col min="10248" max="10248" width="18.7109375" style="113" customWidth="1"/>
    <col min="10249" max="10249" width="16.28515625" style="113" bestFit="1" customWidth="1"/>
    <col min="10250" max="10496" width="16" style="113"/>
    <col min="10497" max="10497" width="3" style="113" customWidth="1"/>
    <col min="10498" max="10498" width="8.42578125" style="113" customWidth="1"/>
    <col min="10499" max="10499" width="51" style="113" customWidth="1"/>
    <col min="10500" max="10500" width="10.28515625" style="113" customWidth="1"/>
    <col min="10501" max="10501" width="8.85546875" style="113" customWidth="1"/>
    <col min="10502" max="10502" width="10" style="113" customWidth="1"/>
    <col min="10503" max="10503" width="28.7109375" style="113" bestFit="1" customWidth="1"/>
    <col min="10504" max="10504" width="18.7109375" style="113" customWidth="1"/>
    <col min="10505" max="10505" width="16.28515625" style="113" bestFit="1" customWidth="1"/>
    <col min="10506" max="10752" width="16" style="113"/>
    <col min="10753" max="10753" width="3" style="113" customWidth="1"/>
    <col min="10754" max="10754" width="8.42578125" style="113" customWidth="1"/>
    <col min="10755" max="10755" width="51" style="113" customWidth="1"/>
    <col min="10756" max="10756" width="10.28515625" style="113" customWidth="1"/>
    <col min="10757" max="10757" width="8.85546875" style="113" customWidth="1"/>
    <col min="10758" max="10758" width="10" style="113" customWidth="1"/>
    <col min="10759" max="10759" width="28.7109375" style="113" bestFit="1" customWidth="1"/>
    <col min="10760" max="10760" width="18.7109375" style="113" customWidth="1"/>
    <col min="10761" max="10761" width="16.28515625" style="113" bestFit="1" customWidth="1"/>
    <col min="10762" max="11008" width="16" style="113"/>
    <col min="11009" max="11009" width="3" style="113" customWidth="1"/>
    <col min="11010" max="11010" width="8.42578125" style="113" customWidth="1"/>
    <col min="11011" max="11011" width="51" style="113" customWidth="1"/>
    <col min="11012" max="11012" width="10.28515625" style="113" customWidth="1"/>
    <col min="11013" max="11013" width="8.85546875" style="113" customWidth="1"/>
    <col min="11014" max="11014" width="10" style="113" customWidth="1"/>
    <col min="11015" max="11015" width="28.7109375" style="113" bestFit="1" customWidth="1"/>
    <col min="11016" max="11016" width="18.7109375" style="113" customWidth="1"/>
    <col min="11017" max="11017" width="16.28515625" style="113" bestFit="1" customWidth="1"/>
    <col min="11018" max="11264" width="16" style="113"/>
    <col min="11265" max="11265" width="3" style="113" customWidth="1"/>
    <col min="11266" max="11266" width="8.42578125" style="113" customWidth="1"/>
    <col min="11267" max="11267" width="51" style="113" customWidth="1"/>
    <col min="11268" max="11268" width="10.28515625" style="113" customWidth="1"/>
    <col min="11269" max="11269" width="8.85546875" style="113" customWidth="1"/>
    <col min="11270" max="11270" width="10" style="113" customWidth="1"/>
    <col min="11271" max="11271" width="28.7109375" style="113" bestFit="1" customWidth="1"/>
    <col min="11272" max="11272" width="18.7109375" style="113" customWidth="1"/>
    <col min="11273" max="11273" width="16.28515625" style="113" bestFit="1" customWidth="1"/>
    <col min="11274" max="11520" width="16" style="113"/>
    <col min="11521" max="11521" width="3" style="113" customWidth="1"/>
    <col min="11522" max="11522" width="8.42578125" style="113" customWidth="1"/>
    <col min="11523" max="11523" width="51" style="113" customWidth="1"/>
    <col min="11524" max="11524" width="10.28515625" style="113" customWidth="1"/>
    <col min="11525" max="11525" width="8.85546875" style="113" customWidth="1"/>
    <col min="11526" max="11526" width="10" style="113" customWidth="1"/>
    <col min="11527" max="11527" width="28.7109375" style="113" bestFit="1" customWidth="1"/>
    <col min="11528" max="11528" width="18.7109375" style="113" customWidth="1"/>
    <col min="11529" max="11529" width="16.28515625" style="113" bestFit="1" customWidth="1"/>
    <col min="11530" max="11776" width="16" style="113"/>
    <col min="11777" max="11777" width="3" style="113" customWidth="1"/>
    <col min="11778" max="11778" width="8.42578125" style="113" customWidth="1"/>
    <col min="11779" max="11779" width="51" style="113" customWidth="1"/>
    <col min="11780" max="11780" width="10.28515625" style="113" customWidth="1"/>
    <col min="11781" max="11781" width="8.85546875" style="113" customWidth="1"/>
    <col min="11782" max="11782" width="10" style="113" customWidth="1"/>
    <col min="11783" max="11783" width="28.7109375" style="113" bestFit="1" customWidth="1"/>
    <col min="11784" max="11784" width="18.7109375" style="113" customWidth="1"/>
    <col min="11785" max="11785" width="16.28515625" style="113" bestFit="1" customWidth="1"/>
    <col min="11786" max="12032" width="16" style="113"/>
    <col min="12033" max="12033" width="3" style="113" customWidth="1"/>
    <col min="12034" max="12034" width="8.42578125" style="113" customWidth="1"/>
    <col min="12035" max="12035" width="51" style="113" customWidth="1"/>
    <col min="12036" max="12036" width="10.28515625" style="113" customWidth="1"/>
    <col min="12037" max="12037" width="8.85546875" style="113" customWidth="1"/>
    <col min="12038" max="12038" width="10" style="113" customWidth="1"/>
    <col min="12039" max="12039" width="28.7109375" style="113" bestFit="1" customWidth="1"/>
    <col min="12040" max="12040" width="18.7109375" style="113" customWidth="1"/>
    <col min="12041" max="12041" width="16.28515625" style="113" bestFit="1" customWidth="1"/>
    <col min="12042" max="12288" width="16" style="113"/>
    <col min="12289" max="12289" width="3" style="113" customWidth="1"/>
    <col min="12290" max="12290" width="8.42578125" style="113" customWidth="1"/>
    <col min="12291" max="12291" width="51" style="113" customWidth="1"/>
    <col min="12292" max="12292" width="10.28515625" style="113" customWidth="1"/>
    <col min="12293" max="12293" width="8.85546875" style="113" customWidth="1"/>
    <col min="12294" max="12294" width="10" style="113" customWidth="1"/>
    <col min="12295" max="12295" width="28.7109375" style="113" bestFit="1" customWidth="1"/>
    <col min="12296" max="12296" width="18.7109375" style="113" customWidth="1"/>
    <col min="12297" max="12297" width="16.28515625" style="113" bestFit="1" customWidth="1"/>
    <col min="12298" max="12544" width="16" style="113"/>
    <col min="12545" max="12545" width="3" style="113" customWidth="1"/>
    <col min="12546" max="12546" width="8.42578125" style="113" customWidth="1"/>
    <col min="12547" max="12547" width="51" style="113" customWidth="1"/>
    <col min="12548" max="12548" width="10.28515625" style="113" customWidth="1"/>
    <col min="12549" max="12549" width="8.85546875" style="113" customWidth="1"/>
    <col min="12550" max="12550" width="10" style="113" customWidth="1"/>
    <col min="12551" max="12551" width="28.7109375" style="113" bestFit="1" customWidth="1"/>
    <col min="12552" max="12552" width="18.7109375" style="113" customWidth="1"/>
    <col min="12553" max="12553" width="16.28515625" style="113" bestFit="1" customWidth="1"/>
    <col min="12554" max="12800" width="16" style="113"/>
    <col min="12801" max="12801" width="3" style="113" customWidth="1"/>
    <col min="12802" max="12802" width="8.42578125" style="113" customWidth="1"/>
    <col min="12803" max="12803" width="51" style="113" customWidth="1"/>
    <col min="12804" max="12804" width="10.28515625" style="113" customWidth="1"/>
    <col min="12805" max="12805" width="8.85546875" style="113" customWidth="1"/>
    <col min="12806" max="12806" width="10" style="113" customWidth="1"/>
    <col min="12807" max="12807" width="28.7109375" style="113" bestFit="1" customWidth="1"/>
    <col min="12808" max="12808" width="18.7109375" style="113" customWidth="1"/>
    <col min="12809" max="12809" width="16.28515625" style="113" bestFit="1" customWidth="1"/>
    <col min="12810" max="13056" width="16" style="113"/>
    <col min="13057" max="13057" width="3" style="113" customWidth="1"/>
    <col min="13058" max="13058" width="8.42578125" style="113" customWidth="1"/>
    <col min="13059" max="13059" width="51" style="113" customWidth="1"/>
    <col min="13060" max="13060" width="10.28515625" style="113" customWidth="1"/>
    <col min="13061" max="13061" width="8.85546875" style="113" customWidth="1"/>
    <col min="13062" max="13062" width="10" style="113" customWidth="1"/>
    <col min="13063" max="13063" width="28.7109375" style="113" bestFit="1" customWidth="1"/>
    <col min="13064" max="13064" width="18.7109375" style="113" customWidth="1"/>
    <col min="13065" max="13065" width="16.28515625" style="113" bestFit="1" customWidth="1"/>
    <col min="13066" max="13312" width="16" style="113"/>
    <col min="13313" max="13313" width="3" style="113" customWidth="1"/>
    <col min="13314" max="13314" width="8.42578125" style="113" customWidth="1"/>
    <col min="13315" max="13315" width="51" style="113" customWidth="1"/>
    <col min="13316" max="13316" width="10.28515625" style="113" customWidth="1"/>
    <col min="13317" max="13317" width="8.85546875" style="113" customWidth="1"/>
    <col min="13318" max="13318" width="10" style="113" customWidth="1"/>
    <col min="13319" max="13319" width="28.7109375" style="113" bestFit="1" customWidth="1"/>
    <col min="13320" max="13320" width="18.7109375" style="113" customWidth="1"/>
    <col min="13321" max="13321" width="16.28515625" style="113" bestFit="1" customWidth="1"/>
    <col min="13322" max="13568" width="16" style="113"/>
    <col min="13569" max="13569" width="3" style="113" customWidth="1"/>
    <col min="13570" max="13570" width="8.42578125" style="113" customWidth="1"/>
    <col min="13571" max="13571" width="51" style="113" customWidth="1"/>
    <col min="13572" max="13572" width="10.28515625" style="113" customWidth="1"/>
    <col min="13573" max="13573" width="8.85546875" style="113" customWidth="1"/>
    <col min="13574" max="13574" width="10" style="113" customWidth="1"/>
    <col min="13575" max="13575" width="28.7109375" style="113" bestFit="1" customWidth="1"/>
    <col min="13576" max="13576" width="18.7109375" style="113" customWidth="1"/>
    <col min="13577" max="13577" width="16.28515625" style="113" bestFit="1" customWidth="1"/>
    <col min="13578" max="13824" width="16" style="113"/>
    <col min="13825" max="13825" width="3" style="113" customWidth="1"/>
    <col min="13826" max="13826" width="8.42578125" style="113" customWidth="1"/>
    <col min="13827" max="13827" width="51" style="113" customWidth="1"/>
    <col min="13828" max="13828" width="10.28515625" style="113" customWidth="1"/>
    <col min="13829" max="13829" width="8.85546875" style="113" customWidth="1"/>
    <col min="13830" max="13830" width="10" style="113" customWidth="1"/>
    <col min="13831" max="13831" width="28.7109375" style="113" bestFit="1" customWidth="1"/>
    <col min="13832" max="13832" width="18.7109375" style="113" customWidth="1"/>
    <col min="13833" max="13833" width="16.28515625" style="113" bestFit="1" customWidth="1"/>
    <col min="13834" max="14080" width="16" style="113"/>
    <col min="14081" max="14081" width="3" style="113" customWidth="1"/>
    <col min="14082" max="14082" width="8.42578125" style="113" customWidth="1"/>
    <col min="14083" max="14083" width="51" style="113" customWidth="1"/>
    <col min="14084" max="14084" width="10.28515625" style="113" customWidth="1"/>
    <col min="14085" max="14085" width="8.85546875" style="113" customWidth="1"/>
    <col min="14086" max="14086" width="10" style="113" customWidth="1"/>
    <col min="14087" max="14087" width="28.7109375" style="113" bestFit="1" customWidth="1"/>
    <col min="14088" max="14088" width="18.7109375" style="113" customWidth="1"/>
    <col min="14089" max="14089" width="16.28515625" style="113" bestFit="1" customWidth="1"/>
    <col min="14090" max="14336" width="16" style="113"/>
    <col min="14337" max="14337" width="3" style="113" customWidth="1"/>
    <col min="14338" max="14338" width="8.42578125" style="113" customWidth="1"/>
    <col min="14339" max="14339" width="51" style="113" customWidth="1"/>
    <col min="14340" max="14340" width="10.28515625" style="113" customWidth="1"/>
    <col min="14341" max="14341" width="8.85546875" style="113" customWidth="1"/>
    <col min="14342" max="14342" width="10" style="113" customWidth="1"/>
    <col min="14343" max="14343" width="28.7109375" style="113" bestFit="1" customWidth="1"/>
    <col min="14344" max="14344" width="18.7109375" style="113" customWidth="1"/>
    <col min="14345" max="14345" width="16.28515625" style="113" bestFit="1" customWidth="1"/>
    <col min="14346" max="14592" width="16" style="113"/>
    <col min="14593" max="14593" width="3" style="113" customWidth="1"/>
    <col min="14594" max="14594" width="8.42578125" style="113" customWidth="1"/>
    <col min="14595" max="14595" width="51" style="113" customWidth="1"/>
    <col min="14596" max="14596" width="10.28515625" style="113" customWidth="1"/>
    <col min="14597" max="14597" width="8.85546875" style="113" customWidth="1"/>
    <col min="14598" max="14598" width="10" style="113" customWidth="1"/>
    <col min="14599" max="14599" width="28.7109375" style="113" bestFit="1" customWidth="1"/>
    <col min="14600" max="14600" width="18.7109375" style="113" customWidth="1"/>
    <col min="14601" max="14601" width="16.28515625" style="113" bestFit="1" customWidth="1"/>
    <col min="14602" max="14848" width="16" style="113"/>
    <col min="14849" max="14849" width="3" style="113" customWidth="1"/>
    <col min="14850" max="14850" width="8.42578125" style="113" customWidth="1"/>
    <col min="14851" max="14851" width="51" style="113" customWidth="1"/>
    <col min="14852" max="14852" width="10.28515625" style="113" customWidth="1"/>
    <col min="14853" max="14853" width="8.85546875" style="113" customWidth="1"/>
    <col min="14854" max="14854" width="10" style="113" customWidth="1"/>
    <col min="14855" max="14855" width="28.7109375" style="113" bestFit="1" customWidth="1"/>
    <col min="14856" max="14856" width="18.7109375" style="113" customWidth="1"/>
    <col min="14857" max="14857" width="16.28515625" style="113" bestFit="1" customWidth="1"/>
    <col min="14858" max="15104" width="16" style="113"/>
    <col min="15105" max="15105" width="3" style="113" customWidth="1"/>
    <col min="15106" max="15106" width="8.42578125" style="113" customWidth="1"/>
    <col min="15107" max="15107" width="51" style="113" customWidth="1"/>
    <col min="15108" max="15108" width="10.28515625" style="113" customWidth="1"/>
    <col min="15109" max="15109" width="8.85546875" style="113" customWidth="1"/>
    <col min="15110" max="15110" width="10" style="113" customWidth="1"/>
    <col min="15111" max="15111" width="28.7109375" style="113" bestFit="1" customWidth="1"/>
    <col min="15112" max="15112" width="18.7109375" style="113" customWidth="1"/>
    <col min="15113" max="15113" width="16.28515625" style="113" bestFit="1" customWidth="1"/>
    <col min="15114" max="15360" width="16" style="113"/>
    <col min="15361" max="15361" width="3" style="113" customWidth="1"/>
    <col min="15362" max="15362" width="8.42578125" style="113" customWidth="1"/>
    <col min="15363" max="15363" width="51" style="113" customWidth="1"/>
    <col min="15364" max="15364" width="10.28515625" style="113" customWidth="1"/>
    <col min="15365" max="15365" width="8.85546875" style="113" customWidth="1"/>
    <col min="15366" max="15366" width="10" style="113" customWidth="1"/>
    <col min="15367" max="15367" width="28.7109375" style="113" bestFit="1" customWidth="1"/>
    <col min="15368" max="15368" width="18.7109375" style="113" customWidth="1"/>
    <col min="15369" max="15369" width="16.28515625" style="113" bestFit="1" customWidth="1"/>
    <col min="15370" max="15616" width="16" style="113"/>
    <col min="15617" max="15617" width="3" style="113" customWidth="1"/>
    <col min="15618" max="15618" width="8.42578125" style="113" customWidth="1"/>
    <col min="15619" max="15619" width="51" style="113" customWidth="1"/>
    <col min="15620" max="15620" width="10.28515625" style="113" customWidth="1"/>
    <col min="15621" max="15621" width="8.85546875" style="113" customWidth="1"/>
    <col min="15622" max="15622" width="10" style="113" customWidth="1"/>
    <col min="15623" max="15623" width="28.7109375" style="113" bestFit="1" customWidth="1"/>
    <col min="15624" max="15624" width="18.7109375" style="113" customWidth="1"/>
    <col min="15625" max="15625" width="16.28515625" style="113" bestFit="1" customWidth="1"/>
    <col min="15626" max="15872" width="16" style="113"/>
    <col min="15873" max="15873" width="3" style="113" customWidth="1"/>
    <col min="15874" max="15874" width="8.42578125" style="113" customWidth="1"/>
    <col min="15875" max="15875" width="51" style="113" customWidth="1"/>
    <col min="15876" max="15876" width="10.28515625" style="113" customWidth="1"/>
    <col min="15877" max="15877" width="8.85546875" style="113" customWidth="1"/>
    <col min="15878" max="15878" width="10" style="113" customWidth="1"/>
    <col min="15879" max="15879" width="28.7109375" style="113" bestFit="1" customWidth="1"/>
    <col min="15880" max="15880" width="18.7109375" style="113" customWidth="1"/>
    <col min="15881" max="15881" width="16.28515625" style="113" bestFit="1" customWidth="1"/>
    <col min="15882" max="16128" width="16" style="113"/>
    <col min="16129" max="16129" width="3" style="113" customWidth="1"/>
    <col min="16130" max="16130" width="8.42578125" style="113" customWidth="1"/>
    <col min="16131" max="16131" width="51" style="113" customWidth="1"/>
    <col min="16132" max="16132" width="10.28515625" style="113" customWidth="1"/>
    <col min="16133" max="16133" width="8.85546875" style="113" customWidth="1"/>
    <col min="16134" max="16134" width="10" style="113" customWidth="1"/>
    <col min="16135" max="16135" width="28.7109375" style="113" bestFit="1" customWidth="1"/>
    <col min="16136" max="16136" width="18.7109375" style="113" customWidth="1"/>
    <col min="16137" max="16137" width="16.28515625" style="113" bestFit="1" customWidth="1"/>
    <col min="16138" max="16384" width="16" style="113"/>
  </cols>
  <sheetData>
    <row r="1" spans="2:6" ht="19.899999999999999" customHeight="1" x14ac:dyDescent="0.25">
      <c r="B1" s="668" t="s">
        <v>118</v>
      </c>
      <c r="C1" s="669"/>
      <c r="D1" s="669"/>
      <c r="E1" s="669"/>
      <c r="F1" s="670"/>
    </row>
    <row r="2" spans="2:6" ht="19.149999999999999" customHeight="1" x14ac:dyDescent="0.25">
      <c r="B2" s="114" t="s">
        <v>119</v>
      </c>
      <c r="C2" s="114" t="s">
        <v>120</v>
      </c>
      <c r="D2" s="114" t="s">
        <v>121</v>
      </c>
      <c r="E2" s="114" t="s">
        <v>122</v>
      </c>
      <c r="F2" s="115" t="s">
        <v>123</v>
      </c>
    </row>
    <row r="3" spans="2:6" ht="16.149999999999999" customHeight="1" x14ac:dyDescent="0.25">
      <c r="B3" s="115" t="s">
        <v>124</v>
      </c>
      <c r="C3" s="671" t="s">
        <v>125</v>
      </c>
      <c r="D3" s="672"/>
      <c r="E3" s="672"/>
      <c r="F3" s="116"/>
    </row>
    <row r="4" spans="2:6" ht="43.15" customHeight="1" x14ac:dyDescent="0.25">
      <c r="B4" s="170" t="s">
        <v>126</v>
      </c>
      <c r="C4" s="177" t="s">
        <v>127</v>
      </c>
      <c r="D4" s="170" t="s">
        <v>128</v>
      </c>
      <c r="E4" s="170" t="s">
        <v>129</v>
      </c>
      <c r="F4" s="172">
        <f>100000/100000</f>
        <v>1</v>
      </c>
    </row>
    <row r="5" spans="2:6" ht="32.450000000000003" customHeight="1" x14ac:dyDescent="0.25">
      <c r="B5" s="170" t="s">
        <v>130</v>
      </c>
      <c r="C5" s="177" t="s">
        <v>131</v>
      </c>
      <c r="D5" s="170" t="s">
        <v>128</v>
      </c>
      <c r="E5" s="170" t="s">
        <v>129</v>
      </c>
      <c r="F5" s="172">
        <v>15</v>
      </c>
    </row>
    <row r="6" spans="2:6" ht="16.149999999999999" customHeight="1" x14ac:dyDescent="0.25">
      <c r="B6" s="170" t="s">
        <v>132</v>
      </c>
      <c r="C6" s="177" t="s">
        <v>133</v>
      </c>
      <c r="D6" s="170" t="s">
        <v>128</v>
      </c>
      <c r="E6" s="170" t="s">
        <v>129</v>
      </c>
      <c r="F6" s="172">
        <v>2</v>
      </c>
    </row>
    <row r="7" spans="2:6" ht="33.6" customHeight="1" x14ac:dyDescent="0.25">
      <c r="B7" s="170" t="s">
        <v>134</v>
      </c>
      <c r="C7" s="177" t="s">
        <v>135</v>
      </c>
      <c r="D7" s="170" t="s">
        <v>128</v>
      </c>
      <c r="E7" s="170" t="s">
        <v>129</v>
      </c>
      <c r="F7" s="172">
        <v>6</v>
      </c>
    </row>
    <row r="8" spans="2:6" ht="16.149999999999999" customHeight="1" x14ac:dyDescent="0.25">
      <c r="B8" s="170" t="s">
        <v>136</v>
      </c>
      <c r="C8" s="177" t="s">
        <v>137</v>
      </c>
      <c r="D8" s="170" t="s">
        <v>128</v>
      </c>
      <c r="E8" s="170" t="s">
        <v>129</v>
      </c>
      <c r="F8" s="172">
        <v>5</v>
      </c>
    </row>
    <row r="9" spans="2:6" ht="33" customHeight="1" x14ac:dyDescent="0.25">
      <c r="B9" s="170" t="s">
        <v>138</v>
      </c>
      <c r="C9" s="177" t="s">
        <v>139</v>
      </c>
      <c r="D9" s="170" t="s">
        <v>128</v>
      </c>
      <c r="E9" s="170" t="s">
        <v>129</v>
      </c>
      <c r="F9" s="172">
        <v>10</v>
      </c>
    </row>
    <row r="10" spans="2:6" ht="33" customHeight="1" x14ac:dyDescent="0.25">
      <c r="B10" s="170" t="s">
        <v>140</v>
      </c>
      <c r="C10" s="177" t="s">
        <v>141</v>
      </c>
      <c r="D10" s="170" t="s">
        <v>128</v>
      </c>
      <c r="E10" s="170" t="s">
        <v>129</v>
      </c>
      <c r="F10" s="172">
        <v>5</v>
      </c>
    </row>
    <row r="11" spans="2:6" ht="16.149999999999999" customHeight="1" x14ac:dyDescent="0.25">
      <c r="B11" s="170" t="s">
        <v>142</v>
      </c>
      <c r="C11" s="177" t="s">
        <v>143</v>
      </c>
      <c r="D11" s="170" t="s">
        <v>128</v>
      </c>
      <c r="E11" s="170" t="s">
        <v>129</v>
      </c>
      <c r="F11" s="172">
        <v>4</v>
      </c>
    </row>
    <row r="12" spans="2:6" ht="7.15" customHeight="1" x14ac:dyDescent="0.25">
      <c r="B12" s="119"/>
      <c r="C12" s="120"/>
      <c r="D12" s="121"/>
      <c r="E12" s="121"/>
      <c r="F12" s="122"/>
    </row>
    <row r="13" spans="2:6" ht="16.149999999999999" customHeight="1" x14ac:dyDescent="0.25">
      <c r="B13" s="123" t="s">
        <v>144</v>
      </c>
      <c r="C13" s="671" t="s">
        <v>145</v>
      </c>
      <c r="D13" s="672"/>
      <c r="E13" s="672"/>
      <c r="F13" s="116"/>
    </row>
    <row r="14" spans="2:6" ht="16.149999999999999" customHeight="1" x14ac:dyDescent="0.25">
      <c r="B14" s="170" t="s">
        <v>126</v>
      </c>
      <c r="C14" s="177" t="s">
        <v>146</v>
      </c>
      <c r="D14" s="170" t="s">
        <v>128</v>
      </c>
      <c r="E14" s="170" t="s">
        <v>129</v>
      </c>
      <c r="F14" s="172">
        <v>1.18</v>
      </c>
    </row>
    <row r="15" spans="2:6" ht="18.600000000000001" customHeight="1" x14ac:dyDescent="0.25">
      <c r="B15" s="170" t="s">
        <v>130</v>
      </c>
      <c r="C15" s="177" t="s">
        <v>147</v>
      </c>
      <c r="D15" s="170" t="s">
        <v>128</v>
      </c>
      <c r="E15" s="170" t="s">
        <v>129</v>
      </c>
      <c r="F15" s="172">
        <v>23</v>
      </c>
    </row>
    <row r="16" spans="2:6" ht="16.149999999999999" customHeight="1" x14ac:dyDescent="0.25">
      <c r="B16" s="170" t="s">
        <v>132</v>
      </c>
      <c r="C16" s="177" t="s">
        <v>148</v>
      </c>
      <c r="D16" s="170" t="s">
        <v>128</v>
      </c>
      <c r="E16" s="170" t="s">
        <v>129</v>
      </c>
      <c r="F16" s="172">
        <v>25</v>
      </c>
    </row>
    <row r="17" spans="2:13" ht="21.6" customHeight="1" x14ac:dyDescent="0.25">
      <c r="B17" s="170" t="s">
        <v>134</v>
      </c>
      <c r="C17" s="177" t="s">
        <v>149</v>
      </c>
      <c r="D17" s="170" t="s">
        <v>128</v>
      </c>
      <c r="E17" s="170" t="s">
        <v>129</v>
      </c>
      <c r="F17" s="178">
        <v>5</v>
      </c>
    </row>
    <row r="18" spans="2:13" ht="16.149999999999999" customHeight="1" x14ac:dyDescent="0.25">
      <c r="B18" s="170" t="s">
        <v>136</v>
      </c>
      <c r="C18" s="177" t="s">
        <v>150</v>
      </c>
      <c r="D18" s="170" t="s">
        <v>128</v>
      </c>
      <c r="E18" s="170" t="s">
        <v>129</v>
      </c>
      <c r="F18" s="178">
        <v>90</v>
      </c>
    </row>
    <row r="19" spans="2:13" ht="7.15" customHeight="1" x14ac:dyDescent="0.25">
      <c r="B19" s="123"/>
      <c r="C19" s="125"/>
      <c r="D19" s="125"/>
      <c r="E19" s="125"/>
      <c r="F19" s="126"/>
    </row>
    <row r="20" spans="2:13" ht="16.149999999999999" customHeight="1" x14ac:dyDescent="0.25">
      <c r="B20" s="123" t="s">
        <v>151</v>
      </c>
      <c r="C20" s="671" t="s">
        <v>152</v>
      </c>
      <c r="D20" s="672"/>
      <c r="E20" s="672"/>
      <c r="F20" s="116"/>
    </row>
    <row r="21" spans="2:13" ht="33" customHeight="1" x14ac:dyDescent="0.25">
      <c r="B21" s="170" t="s">
        <v>153</v>
      </c>
      <c r="C21" s="177" t="s">
        <v>154</v>
      </c>
      <c r="D21" s="170" t="s">
        <v>128</v>
      </c>
      <c r="E21" s="170" t="s">
        <v>129</v>
      </c>
      <c r="F21" s="172">
        <v>80</v>
      </c>
      <c r="M21" s="113">
        <f>SUM(F21:F26)</f>
        <v>200</v>
      </c>
    </row>
    <row r="22" spans="2:13" ht="16.149999999999999" customHeight="1" x14ac:dyDescent="0.25">
      <c r="B22" s="170" t="s">
        <v>130</v>
      </c>
      <c r="C22" s="171" t="s">
        <v>155</v>
      </c>
      <c r="D22" s="170" t="s">
        <v>128</v>
      </c>
      <c r="E22" s="170" t="s">
        <v>129</v>
      </c>
      <c r="F22" s="172">
        <v>40</v>
      </c>
    </row>
    <row r="23" spans="2:13" ht="21.6" customHeight="1" x14ac:dyDescent="0.25">
      <c r="B23" s="170" t="s">
        <v>132</v>
      </c>
      <c r="C23" s="177" t="s">
        <v>156</v>
      </c>
      <c r="D23" s="170" t="s">
        <v>128</v>
      </c>
      <c r="E23" s="170" t="s">
        <v>129</v>
      </c>
      <c r="F23" s="172">
        <v>40</v>
      </c>
    </row>
    <row r="24" spans="2:13" ht="16.149999999999999" customHeight="1" x14ac:dyDescent="0.25">
      <c r="B24" s="170" t="s">
        <v>134</v>
      </c>
      <c r="C24" s="177" t="s">
        <v>157</v>
      </c>
      <c r="D24" s="170" t="s">
        <v>128</v>
      </c>
      <c r="E24" s="170" t="s">
        <v>129</v>
      </c>
      <c r="F24" s="172">
        <v>20</v>
      </c>
    </row>
    <row r="25" spans="2:13" ht="16.149999999999999" customHeight="1" x14ac:dyDescent="0.25">
      <c r="B25" s="170" t="s">
        <v>136</v>
      </c>
      <c r="C25" s="177" t="s">
        <v>158</v>
      </c>
      <c r="D25" s="170" t="s">
        <v>128</v>
      </c>
      <c r="E25" s="170" t="s">
        <v>129</v>
      </c>
      <c r="F25" s="172">
        <v>10</v>
      </c>
    </row>
    <row r="26" spans="2:13" ht="16.149999999999999" customHeight="1" x14ac:dyDescent="0.25">
      <c r="B26" s="170" t="s">
        <v>138</v>
      </c>
      <c r="C26" s="171" t="s">
        <v>159</v>
      </c>
      <c r="D26" s="170" t="s">
        <v>128</v>
      </c>
      <c r="E26" s="170" t="s">
        <v>129</v>
      </c>
      <c r="F26" s="172">
        <v>10</v>
      </c>
    </row>
    <row r="27" spans="2:13" ht="7.9" customHeight="1" x14ac:dyDescent="0.25">
      <c r="B27" s="123"/>
      <c r="C27" s="125"/>
      <c r="D27" s="125"/>
      <c r="E27" s="125"/>
      <c r="F27" s="126"/>
    </row>
    <row r="28" spans="2:13" ht="16.149999999999999" customHeight="1" x14ac:dyDescent="0.25">
      <c r="B28" s="123" t="s">
        <v>160</v>
      </c>
      <c r="C28" s="671" t="s">
        <v>161</v>
      </c>
      <c r="D28" s="672"/>
      <c r="E28" s="672"/>
      <c r="F28" s="128"/>
    </row>
    <row r="29" spans="2:13" ht="21.6" customHeight="1" x14ac:dyDescent="0.25">
      <c r="B29" s="170" t="s">
        <v>153</v>
      </c>
      <c r="C29" s="177" t="s">
        <v>162</v>
      </c>
      <c r="D29" s="170" t="s">
        <v>128</v>
      </c>
      <c r="E29" s="170"/>
      <c r="F29" s="172">
        <v>10</v>
      </c>
      <c r="M29" s="113">
        <f>SUM(F29:F42)</f>
        <v>581.3125</v>
      </c>
    </row>
    <row r="30" spans="2:13" ht="16.149999999999999" customHeight="1" x14ac:dyDescent="0.25">
      <c r="B30" s="170" t="s">
        <v>130</v>
      </c>
      <c r="C30" s="177" t="s">
        <v>163</v>
      </c>
      <c r="D30" s="170" t="s">
        <v>128</v>
      </c>
      <c r="E30" s="170"/>
      <c r="F30" s="172">
        <v>6</v>
      </c>
    </row>
    <row r="31" spans="2:13" ht="33" customHeight="1" x14ac:dyDescent="0.25">
      <c r="B31" s="170" t="s">
        <v>132</v>
      </c>
      <c r="C31" s="177" t="s">
        <v>164</v>
      </c>
      <c r="D31" s="170" t="s">
        <v>128</v>
      </c>
      <c r="E31" s="170"/>
      <c r="F31" s="172">
        <v>20</v>
      </c>
    </row>
    <row r="32" spans="2:13" ht="16.149999999999999" customHeight="1" x14ac:dyDescent="0.25">
      <c r="B32" s="170" t="s">
        <v>134</v>
      </c>
      <c r="C32" s="177" t="s">
        <v>165</v>
      </c>
      <c r="D32" s="170" t="s">
        <v>128</v>
      </c>
      <c r="E32" s="170"/>
      <c r="F32" s="172">
        <v>310</v>
      </c>
    </row>
    <row r="33" spans="2:14" ht="16.149999999999999" customHeight="1" x14ac:dyDescent="0.25">
      <c r="B33" s="170" t="s">
        <v>136</v>
      </c>
      <c r="C33" s="177" t="s">
        <v>166</v>
      </c>
      <c r="D33" s="170" t="s">
        <v>128</v>
      </c>
      <c r="E33" s="170"/>
      <c r="F33" s="172">
        <v>35</v>
      </c>
    </row>
    <row r="34" spans="2:14" ht="16.149999999999999" customHeight="1" x14ac:dyDescent="0.25">
      <c r="B34" s="170" t="s">
        <v>138</v>
      </c>
      <c r="C34" s="177" t="s">
        <v>167</v>
      </c>
      <c r="D34" s="170" t="s">
        <v>128</v>
      </c>
      <c r="E34" s="170"/>
      <c r="F34" s="172">
        <v>28</v>
      </c>
    </row>
    <row r="35" spans="2:14" ht="16.149999999999999" customHeight="1" x14ac:dyDescent="0.25">
      <c r="B35" s="170" t="s">
        <v>140</v>
      </c>
      <c r="C35" s="177" t="s">
        <v>168</v>
      </c>
      <c r="D35" s="170" t="s">
        <v>128</v>
      </c>
      <c r="E35" s="170"/>
      <c r="F35" s="172">
        <v>25</v>
      </c>
    </row>
    <row r="36" spans="2:14" ht="33" customHeight="1" x14ac:dyDescent="0.25">
      <c r="B36" s="170" t="s">
        <v>142</v>
      </c>
      <c r="C36" s="177" t="s">
        <v>169</v>
      </c>
      <c r="D36" s="170" t="s">
        <v>128</v>
      </c>
      <c r="E36" s="170"/>
      <c r="F36" s="172">
        <f>(100*3900)/10000</f>
        <v>39</v>
      </c>
    </row>
    <row r="37" spans="2:14" ht="16.149999999999999" customHeight="1" x14ac:dyDescent="0.25">
      <c r="B37" s="170" t="s">
        <v>170</v>
      </c>
      <c r="C37" s="177" t="s">
        <v>171</v>
      </c>
      <c r="D37" s="170" t="s">
        <v>128</v>
      </c>
      <c r="E37" s="170"/>
      <c r="F37" s="172">
        <v>20</v>
      </c>
    </row>
    <row r="38" spans="2:14" ht="16.149999999999999" customHeight="1" x14ac:dyDescent="0.25">
      <c r="B38" s="170" t="s">
        <v>172</v>
      </c>
      <c r="C38" s="177" t="s">
        <v>173</v>
      </c>
      <c r="D38" s="170" t="s">
        <v>128</v>
      </c>
      <c r="E38" s="170"/>
      <c r="F38" s="172">
        <f>(275*775)/10000</f>
        <v>21.3125</v>
      </c>
    </row>
    <row r="39" spans="2:14" ht="16.149999999999999" customHeight="1" x14ac:dyDescent="0.25">
      <c r="B39" s="170" t="s">
        <v>174</v>
      </c>
      <c r="C39" s="177" t="s">
        <v>175</v>
      </c>
      <c r="D39" s="170" t="s">
        <v>128</v>
      </c>
      <c r="E39" s="170"/>
      <c r="F39" s="172">
        <f>(250*600)/10000</f>
        <v>15</v>
      </c>
    </row>
    <row r="40" spans="2:14" ht="16.149999999999999" customHeight="1" x14ac:dyDescent="0.25">
      <c r="B40" s="170" t="s">
        <v>176</v>
      </c>
      <c r="C40" s="177" t="s">
        <v>177</v>
      </c>
      <c r="D40" s="170" t="s">
        <v>128</v>
      </c>
      <c r="E40" s="170"/>
      <c r="F40" s="172">
        <v>20</v>
      </c>
    </row>
    <row r="41" spans="2:14" ht="16.149999999999999" customHeight="1" x14ac:dyDescent="0.25">
      <c r="B41" s="170" t="s">
        <v>178</v>
      </c>
      <c r="C41" s="177" t="s">
        <v>179</v>
      </c>
      <c r="D41" s="170" t="s">
        <v>128</v>
      </c>
      <c r="E41" s="170"/>
      <c r="F41" s="172">
        <v>25</v>
      </c>
    </row>
    <row r="42" spans="2:14" ht="16.149999999999999" customHeight="1" x14ac:dyDescent="0.25">
      <c r="B42" s="170" t="s">
        <v>180</v>
      </c>
      <c r="C42" s="177" t="s">
        <v>181</v>
      </c>
      <c r="D42" s="170" t="s">
        <v>128</v>
      </c>
      <c r="E42" s="170"/>
      <c r="F42" s="172">
        <v>7</v>
      </c>
      <c r="M42" s="322">
        <f>SUM(F21:F42)</f>
        <v>781.3125</v>
      </c>
    </row>
    <row r="43" spans="2:14" ht="7.9" customHeight="1" x14ac:dyDescent="0.25">
      <c r="B43" s="123"/>
      <c r="C43" s="129"/>
      <c r="D43" s="121"/>
      <c r="E43" s="121"/>
      <c r="F43" s="126"/>
    </row>
    <row r="44" spans="2:14" ht="16.149999999999999" customHeight="1" x14ac:dyDescent="0.25">
      <c r="B44" s="115" t="s">
        <v>182</v>
      </c>
      <c r="C44" s="666" t="s">
        <v>183</v>
      </c>
      <c r="D44" s="667"/>
      <c r="E44" s="667"/>
      <c r="F44" s="116"/>
    </row>
    <row r="45" spans="2:14" ht="31.15" customHeight="1" x14ac:dyDescent="0.25">
      <c r="B45" s="170" t="s">
        <v>153</v>
      </c>
      <c r="C45" s="177" t="s">
        <v>184</v>
      </c>
      <c r="D45" s="170">
        <v>4</v>
      </c>
      <c r="E45" s="170">
        <v>8</v>
      </c>
      <c r="F45" s="170">
        <f>D45*E45</f>
        <v>32</v>
      </c>
      <c r="M45" s="113">
        <f>SUM(F45:F68)</f>
        <v>1480</v>
      </c>
      <c r="N45" s="113">
        <f>M45+F83+F85</f>
        <v>1524</v>
      </c>
    </row>
    <row r="46" spans="2:14" ht="32.450000000000003" customHeight="1" x14ac:dyDescent="0.25">
      <c r="B46" s="170" t="s">
        <v>130</v>
      </c>
      <c r="C46" s="177" t="s">
        <v>185</v>
      </c>
      <c r="D46" s="170">
        <v>4</v>
      </c>
      <c r="E46" s="170">
        <v>7</v>
      </c>
      <c r="F46" s="170">
        <f>D46*E46</f>
        <v>28</v>
      </c>
    </row>
    <row r="47" spans="2:14" ht="16.149999999999999" customHeight="1" x14ac:dyDescent="0.25">
      <c r="B47" s="170" t="s">
        <v>132</v>
      </c>
      <c r="C47" s="177" t="s">
        <v>186</v>
      </c>
      <c r="D47" s="170">
        <v>8</v>
      </c>
      <c r="E47" s="170">
        <v>2</v>
      </c>
      <c r="F47" s="170">
        <f>D47*E47</f>
        <v>16</v>
      </c>
    </row>
    <row r="48" spans="2:14" ht="25.5" x14ac:dyDescent="0.25">
      <c r="B48" s="309" t="s">
        <v>187</v>
      </c>
      <c r="C48" s="310" t="s">
        <v>618</v>
      </c>
      <c r="D48" s="309">
        <v>1</v>
      </c>
      <c r="E48" s="309">
        <v>130</v>
      </c>
      <c r="F48" s="309">
        <f>D48*E48</f>
        <v>130</v>
      </c>
      <c r="M48" s="673" t="s">
        <v>620</v>
      </c>
    </row>
    <row r="49" spans="2:13" ht="89.25" x14ac:dyDescent="0.25">
      <c r="B49" s="309" t="s">
        <v>136</v>
      </c>
      <c r="C49" s="310" t="s">
        <v>619</v>
      </c>
      <c r="D49" s="309">
        <v>1</v>
      </c>
      <c r="E49" s="309">
        <v>50</v>
      </c>
      <c r="F49" s="309">
        <f>D49*E49</f>
        <v>50</v>
      </c>
      <c r="M49" s="673"/>
    </row>
    <row r="50" spans="2:13" ht="16.149999999999999" customHeight="1" x14ac:dyDescent="0.25">
      <c r="B50" s="170" t="s">
        <v>188</v>
      </c>
      <c r="C50" s="177" t="s">
        <v>189</v>
      </c>
      <c r="D50" s="170" t="s">
        <v>129</v>
      </c>
      <c r="E50" s="170"/>
      <c r="F50" s="170">
        <v>70</v>
      </c>
    </row>
    <row r="51" spans="2:13" ht="16.149999999999999" customHeight="1" x14ac:dyDescent="0.25">
      <c r="B51" s="170" t="s">
        <v>140</v>
      </c>
      <c r="C51" s="179" t="s">
        <v>814</v>
      </c>
      <c r="D51" s="170" t="s">
        <v>129</v>
      </c>
      <c r="E51" s="170"/>
      <c r="F51" s="170">
        <v>45</v>
      </c>
    </row>
    <row r="52" spans="2:13" ht="46.15" customHeight="1" x14ac:dyDescent="0.25">
      <c r="B52" s="170" t="s">
        <v>142</v>
      </c>
      <c r="C52" s="177" t="s">
        <v>190</v>
      </c>
      <c r="D52" s="170">
        <v>2</v>
      </c>
      <c r="E52" s="170">
        <v>70</v>
      </c>
      <c r="F52" s="170">
        <f t="shared" ref="F52:F60" si="0">D52*E52</f>
        <v>140</v>
      </c>
    </row>
    <row r="53" spans="2:13" ht="43.15" customHeight="1" x14ac:dyDescent="0.25">
      <c r="B53" s="170" t="s">
        <v>170</v>
      </c>
      <c r="C53" s="177" t="s">
        <v>191</v>
      </c>
      <c r="D53" s="170">
        <v>1</v>
      </c>
      <c r="E53" s="170">
        <v>165</v>
      </c>
      <c r="F53" s="170">
        <f t="shared" si="0"/>
        <v>165</v>
      </c>
    </row>
    <row r="54" spans="2:13" ht="33" customHeight="1" x14ac:dyDescent="0.25">
      <c r="B54" s="170" t="s">
        <v>172</v>
      </c>
      <c r="C54" s="177" t="s">
        <v>192</v>
      </c>
      <c r="D54" s="170">
        <v>1</v>
      </c>
      <c r="E54" s="170">
        <v>40</v>
      </c>
      <c r="F54" s="170">
        <f t="shared" si="0"/>
        <v>40</v>
      </c>
    </row>
    <row r="55" spans="2:13" ht="16.149999999999999" customHeight="1" x14ac:dyDescent="0.25">
      <c r="B55" s="170" t="s">
        <v>174</v>
      </c>
      <c r="C55" s="177" t="s">
        <v>193</v>
      </c>
      <c r="D55" s="170">
        <v>1</v>
      </c>
      <c r="E55" s="170">
        <v>18</v>
      </c>
      <c r="F55" s="170">
        <f t="shared" si="0"/>
        <v>18</v>
      </c>
    </row>
    <row r="56" spans="2:13" ht="19.899999999999999" customHeight="1" x14ac:dyDescent="0.25">
      <c r="B56" s="170" t="s">
        <v>176</v>
      </c>
      <c r="C56" s="177" t="s">
        <v>194</v>
      </c>
      <c r="D56" s="170">
        <v>2</v>
      </c>
      <c r="E56" s="170">
        <v>16</v>
      </c>
      <c r="F56" s="170">
        <f t="shared" si="0"/>
        <v>32</v>
      </c>
    </row>
    <row r="57" spans="2:13" ht="16.149999999999999" customHeight="1" x14ac:dyDescent="0.2">
      <c r="B57" s="170" t="s">
        <v>178</v>
      </c>
      <c r="C57" s="173" t="s">
        <v>195</v>
      </c>
      <c r="D57" s="170">
        <v>6</v>
      </c>
      <c r="E57" s="170">
        <v>8</v>
      </c>
      <c r="F57" s="170">
        <f t="shared" si="0"/>
        <v>48</v>
      </c>
    </row>
    <row r="58" spans="2:13" ht="16.149999999999999" customHeight="1" x14ac:dyDescent="0.2">
      <c r="B58" s="170" t="s">
        <v>170</v>
      </c>
      <c r="C58" s="173" t="s">
        <v>196</v>
      </c>
      <c r="D58" s="170">
        <v>2</v>
      </c>
      <c r="E58" s="170">
        <v>8</v>
      </c>
      <c r="F58" s="170">
        <f t="shared" si="0"/>
        <v>16</v>
      </c>
    </row>
    <row r="59" spans="2:13" ht="38.25" x14ac:dyDescent="0.25">
      <c r="B59" s="170" t="s">
        <v>172</v>
      </c>
      <c r="C59" s="179" t="s">
        <v>197</v>
      </c>
      <c r="D59" s="170">
        <v>1</v>
      </c>
      <c r="E59" s="170">
        <v>100</v>
      </c>
      <c r="F59" s="170">
        <f t="shared" si="0"/>
        <v>100</v>
      </c>
    </row>
    <row r="60" spans="2:13" ht="33" customHeight="1" x14ac:dyDescent="0.25">
      <c r="B60" s="170" t="s">
        <v>174</v>
      </c>
      <c r="C60" s="179" t="s">
        <v>198</v>
      </c>
      <c r="D60" s="170">
        <v>8</v>
      </c>
      <c r="E60" s="170">
        <v>22</v>
      </c>
      <c r="F60" s="170">
        <f t="shared" si="0"/>
        <v>176</v>
      </c>
    </row>
    <row r="61" spans="2:13" ht="44.45" customHeight="1" x14ac:dyDescent="0.25">
      <c r="B61" s="170" t="s">
        <v>176</v>
      </c>
      <c r="C61" s="177" t="s">
        <v>199</v>
      </c>
      <c r="D61" s="170" t="s">
        <v>200</v>
      </c>
      <c r="E61" s="170"/>
      <c r="F61" s="170">
        <v>16</v>
      </c>
    </row>
    <row r="62" spans="2:13" ht="31.15" customHeight="1" x14ac:dyDescent="0.2">
      <c r="B62" s="170" t="s">
        <v>178</v>
      </c>
      <c r="C62" s="180" t="s">
        <v>201</v>
      </c>
      <c r="D62" s="170">
        <v>3</v>
      </c>
      <c r="E62" s="170">
        <v>4</v>
      </c>
      <c r="F62" s="170">
        <f>D62*E62</f>
        <v>12</v>
      </c>
    </row>
    <row r="63" spans="2:13" ht="16.149999999999999" customHeight="1" x14ac:dyDescent="0.2">
      <c r="B63" s="170" t="s">
        <v>180</v>
      </c>
      <c r="C63" s="173" t="s">
        <v>202</v>
      </c>
      <c r="D63" s="170">
        <v>3</v>
      </c>
      <c r="E63" s="170">
        <v>22</v>
      </c>
      <c r="F63" s="170">
        <f>D63*E63</f>
        <v>66</v>
      </c>
    </row>
    <row r="64" spans="2:13" ht="16.149999999999999" customHeight="1" x14ac:dyDescent="0.2">
      <c r="B64" s="170" t="s">
        <v>203</v>
      </c>
      <c r="C64" s="173" t="s">
        <v>204</v>
      </c>
      <c r="D64" s="170">
        <v>1</v>
      </c>
      <c r="E64" s="170">
        <v>130</v>
      </c>
      <c r="F64" s="170">
        <f>D64*E64</f>
        <v>130</v>
      </c>
    </row>
    <row r="65" spans="2:13" ht="16.149999999999999" customHeight="1" x14ac:dyDescent="0.2">
      <c r="B65" s="170" t="s">
        <v>205</v>
      </c>
      <c r="C65" s="180" t="s">
        <v>206</v>
      </c>
      <c r="D65" s="170">
        <v>1</v>
      </c>
      <c r="E65" s="170">
        <v>60</v>
      </c>
      <c r="F65" s="170">
        <f>D65*E65</f>
        <v>60</v>
      </c>
    </row>
    <row r="66" spans="2:13" ht="16.149999999999999" customHeight="1" x14ac:dyDescent="0.2">
      <c r="B66" s="170" t="s">
        <v>207</v>
      </c>
      <c r="C66" s="173" t="s">
        <v>208</v>
      </c>
      <c r="D66" s="170" t="s">
        <v>129</v>
      </c>
      <c r="E66" s="170"/>
      <c r="F66" s="170">
        <v>35</v>
      </c>
    </row>
    <row r="67" spans="2:13" ht="16.149999999999999" customHeight="1" x14ac:dyDescent="0.2">
      <c r="B67" s="170" t="s">
        <v>209</v>
      </c>
      <c r="C67" s="173" t="s">
        <v>210</v>
      </c>
      <c r="D67" s="170" t="s">
        <v>129</v>
      </c>
      <c r="E67" s="170"/>
      <c r="F67" s="170">
        <v>40</v>
      </c>
    </row>
    <row r="68" spans="2:13" ht="16.149999999999999" customHeight="1" x14ac:dyDescent="0.25">
      <c r="B68" s="170" t="s">
        <v>211</v>
      </c>
      <c r="C68" s="171" t="s">
        <v>212</v>
      </c>
      <c r="D68" s="170" t="s">
        <v>129</v>
      </c>
      <c r="E68" s="178"/>
      <c r="F68" s="170">
        <v>15</v>
      </c>
    </row>
    <row r="69" spans="2:13" ht="7.15" customHeight="1" x14ac:dyDescent="0.25">
      <c r="B69" s="123"/>
      <c r="C69" s="129"/>
      <c r="D69" s="130"/>
      <c r="E69" s="130"/>
      <c r="F69" s="126"/>
    </row>
    <row r="70" spans="2:13" ht="16.149999999999999" customHeight="1" x14ac:dyDescent="0.25">
      <c r="B70" s="123" t="s">
        <v>213</v>
      </c>
      <c r="C70" s="666" t="s">
        <v>214</v>
      </c>
      <c r="D70" s="667"/>
      <c r="E70" s="667"/>
      <c r="F70" s="116"/>
    </row>
    <row r="71" spans="2:13" ht="16.149999999999999" customHeight="1" x14ac:dyDescent="0.25">
      <c r="B71" s="170" t="s">
        <v>153</v>
      </c>
      <c r="C71" s="177" t="s">
        <v>215</v>
      </c>
      <c r="D71" s="170">
        <v>1</v>
      </c>
      <c r="E71" s="170">
        <v>15</v>
      </c>
      <c r="F71" s="170">
        <f>D71*E71</f>
        <v>15</v>
      </c>
      <c r="M71" s="131">
        <f>SUM(F71:F78)</f>
        <v>210</v>
      </c>
    </row>
    <row r="72" spans="2:13" ht="16.149999999999999" customHeight="1" x14ac:dyDescent="0.25">
      <c r="B72" s="170" t="s">
        <v>130</v>
      </c>
      <c r="C72" s="177" t="s">
        <v>216</v>
      </c>
      <c r="D72" s="170">
        <v>1</v>
      </c>
      <c r="E72" s="170">
        <v>40</v>
      </c>
      <c r="F72" s="170">
        <f>D72*E72</f>
        <v>40</v>
      </c>
    </row>
    <row r="73" spans="2:13" ht="44.45" customHeight="1" x14ac:dyDescent="0.25">
      <c r="B73" s="170" t="s">
        <v>134</v>
      </c>
      <c r="C73" s="177" t="s">
        <v>217</v>
      </c>
      <c r="D73" s="170">
        <v>1</v>
      </c>
      <c r="E73" s="170">
        <v>35</v>
      </c>
      <c r="F73" s="170">
        <f>D73*E73</f>
        <v>35</v>
      </c>
    </row>
    <row r="74" spans="2:13" ht="33.6" customHeight="1" x14ac:dyDescent="0.25">
      <c r="B74" s="170" t="s">
        <v>132</v>
      </c>
      <c r="C74" s="177" t="s">
        <v>218</v>
      </c>
      <c r="D74" s="170">
        <v>1</v>
      </c>
      <c r="E74" s="170">
        <v>35</v>
      </c>
      <c r="F74" s="170">
        <f>D74*E74</f>
        <v>35</v>
      </c>
    </row>
    <row r="75" spans="2:13" ht="16.149999999999999" customHeight="1" x14ac:dyDescent="0.25">
      <c r="B75" s="170" t="s">
        <v>134</v>
      </c>
      <c r="C75" s="177" t="s">
        <v>219</v>
      </c>
      <c r="D75" s="170" t="s">
        <v>129</v>
      </c>
      <c r="E75" s="170"/>
      <c r="F75" s="170">
        <v>30</v>
      </c>
    </row>
    <row r="76" spans="2:13" ht="16.149999999999999" customHeight="1" x14ac:dyDescent="0.2">
      <c r="B76" s="170" t="s">
        <v>136</v>
      </c>
      <c r="C76" s="173" t="s">
        <v>220</v>
      </c>
      <c r="D76" s="170">
        <v>1</v>
      </c>
      <c r="E76" s="170">
        <v>20</v>
      </c>
      <c r="F76" s="170">
        <v>20</v>
      </c>
    </row>
    <row r="77" spans="2:13" ht="16.149999999999999" customHeight="1" x14ac:dyDescent="0.2">
      <c r="B77" s="170" t="s">
        <v>138</v>
      </c>
      <c r="C77" s="173" t="s">
        <v>221</v>
      </c>
      <c r="D77" s="170">
        <v>1</v>
      </c>
      <c r="E77" s="170">
        <v>25</v>
      </c>
      <c r="F77" s="170">
        <f>D77*E77</f>
        <v>25</v>
      </c>
    </row>
    <row r="78" spans="2:13" ht="16.149999999999999" customHeight="1" x14ac:dyDescent="0.25">
      <c r="B78" s="170" t="s">
        <v>140</v>
      </c>
      <c r="C78" s="178" t="s">
        <v>222</v>
      </c>
      <c r="D78" s="174">
        <v>10</v>
      </c>
      <c r="E78" s="170">
        <v>1</v>
      </c>
      <c r="F78" s="174">
        <f>E78*D78</f>
        <v>10</v>
      </c>
    </row>
    <row r="79" spans="2:13" ht="7.15" customHeight="1" x14ac:dyDescent="0.25">
      <c r="B79" s="123"/>
      <c r="C79" s="120"/>
      <c r="D79" s="121"/>
      <c r="E79" s="121"/>
      <c r="F79" s="126"/>
    </row>
    <row r="80" spans="2:13" ht="16.149999999999999" customHeight="1" x14ac:dyDescent="0.25">
      <c r="B80" s="123" t="s">
        <v>223</v>
      </c>
      <c r="C80" s="671" t="s">
        <v>224</v>
      </c>
      <c r="D80" s="672"/>
      <c r="E80" s="672"/>
      <c r="F80" s="132"/>
    </row>
    <row r="81" spans="2:13" ht="16.149999999999999" customHeight="1" x14ac:dyDescent="0.25">
      <c r="B81" s="170" t="s">
        <v>153</v>
      </c>
      <c r="C81" s="171" t="s">
        <v>225</v>
      </c>
      <c r="D81" s="170">
        <v>1</v>
      </c>
      <c r="E81" s="170">
        <v>15</v>
      </c>
      <c r="F81" s="174">
        <f>E81*D81</f>
        <v>15</v>
      </c>
      <c r="M81" s="133">
        <f>F81+F82+F84</f>
        <v>42</v>
      </c>
    </row>
    <row r="82" spans="2:13" ht="16.149999999999999" customHeight="1" x14ac:dyDescent="0.25">
      <c r="B82" s="170" t="s">
        <v>130</v>
      </c>
      <c r="C82" s="171" t="s">
        <v>226</v>
      </c>
      <c r="D82" s="170">
        <v>5</v>
      </c>
      <c r="E82" s="170">
        <v>3</v>
      </c>
      <c r="F82" s="174">
        <f>E82*D82</f>
        <v>15</v>
      </c>
      <c r="G82" s="113">
        <f>+F81+F82+F84</f>
        <v>42</v>
      </c>
    </row>
    <row r="83" spans="2:13" ht="16.149999999999999" customHeight="1" x14ac:dyDescent="0.25">
      <c r="B83" s="170" t="s">
        <v>132</v>
      </c>
      <c r="C83" s="171" t="s">
        <v>227</v>
      </c>
      <c r="D83" s="170">
        <v>1</v>
      </c>
      <c r="E83" s="170">
        <v>32</v>
      </c>
      <c r="F83" s="174">
        <f>E83*D83</f>
        <v>32</v>
      </c>
    </row>
    <row r="84" spans="2:13" ht="16.149999999999999" customHeight="1" x14ac:dyDescent="0.25">
      <c r="B84" s="170" t="s">
        <v>134</v>
      </c>
      <c r="C84" s="171" t="s">
        <v>228</v>
      </c>
      <c r="D84" s="170">
        <v>1</v>
      </c>
      <c r="E84" s="170">
        <v>12</v>
      </c>
      <c r="F84" s="174">
        <f>E84*D84</f>
        <v>12</v>
      </c>
    </row>
    <row r="85" spans="2:13" ht="16.149999999999999" customHeight="1" x14ac:dyDescent="0.25">
      <c r="B85" s="170" t="s">
        <v>136</v>
      </c>
      <c r="C85" s="171" t="s">
        <v>229</v>
      </c>
      <c r="D85" s="170">
        <v>1</v>
      </c>
      <c r="E85" s="170">
        <v>12</v>
      </c>
      <c r="F85" s="174">
        <f>E85*D85</f>
        <v>12</v>
      </c>
    </row>
    <row r="86" spans="2:13" ht="16.149999999999999" customHeight="1" x14ac:dyDescent="0.25">
      <c r="B86" s="170" t="s">
        <v>138</v>
      </c>
      <c r="C86" s="171" t="s">
        <v>230</v>
      </c>
      <c r="D86" s="170" t="s">
        <v>129</v>
      </c>
      <c r="E86" s="170"/>
      <c r="F86" s="174">
        <v>15</v>
      </c>
      <c r="G86" s="113">
        <f>SUM(F81:F86)</f>
        <v>101</v>
      </c>
    </row>
    <row r="87" spans="2:13" x14ac:dyDescent="0.25">
      <c r="B87" s="119"/>
      <c r="C87" s="129"/>
      <c r="D87" s="121"/>
      <c r="E87" s="121"/>
      <c r="F87" s="132"/>
      <c r="G87" s="113">
        <f>+G86-G82</f>
        <v>59</v>
      </c>
    </row>
    <row r="88" spans="2:13" ht="16.149999999999999" customHeight="1" x14ac:dyDescent="0.25">
      <c r="B88" s="117"/>
      <c r="C88" s="134" t="s">
        <v>231</v>
      </c>
      <c r="D88" s="121"/>
      <c r="E88" s="121"/>
      <c r="F88" s="135">
        <f>SUM(F4:F87)</f>
        <v>2764.4925000000003</v>
      </c>
      <c r="G88" s="113">
        <f>SUM(F21:F86)</f>
        <v>2572.3125</v>
      </c>
    </row>
    <row r="89" spans="2:13" ht="16.149999999999999" customHeight="1" x14ac:dyDescent="0.25">
      <c r="B89" s="115" t="s">
        <v>232</v>
      </c>
      <c r="C89" s="130" t="s">
        <v>233</v>
      </c>
      <c r="D89" s="130"/>
      <c r="E89" s="130"/>
      <c r="F89" s="124">
        <f>F88*4/100</f>
        <v>110.57970000000002</v>
      </c>
      <c r="G89" s="113">
        <f>+SUM(F4:F18)</f>
        <v>192.18</v>
      </c>
    </row>
    <row r="90" spans="2:13" ht="7.15" customHeight="1" x14ac:dyDescent="0.25">
      <c r="B90" s="119"/>
      <c r="C90" s="130"/>
      <c r="D90" s="130"/>
      <c r="E90" s="130"/>
      <c r="F90" s="126"/>
    </row>
    <row r="91" spans="2:13" ht="16.149999999999999" customHeight="1" x14ac:dyDescent="0.25">
      <c r="B91" s="123" t="s">
        <v>234</v>
      </c>
      <c r="C91" s="666" t="s">
        <v>113</v>
      </c>
      <c r="D91" s="667"/>
      <c r="E91" s="667"/>
      <c r="F91" s="116"/>
    </row>
    <row r="92" spans="2:13" ht="16.149999999999999" customHeight="1" x14ac:dyDescent="0.2">
      <c r="B92" s="170" t="s">
        <v>153</v>
      </c>
      <c r="C92" s="173" t="s">
        <v>235</v>
      </c>
      <c r="D92" s="174"/>
      <c r="E92" s="174"/>
      <c r="F92" s="175">
        <v>424</v>
      </c>
    </row>
    <row r="93" spans="2:13" ht="16.149999999999999" customHeight="1" x14ac:dyDescent="0.2">
      <c r="B93" s="170" t="s">
        <v>130</v>
      </c>
      <c r="C93" s="173" t="s">
        <v>236</v>
      </c>
      <c r="D93" s="176">
        <v>0.03</v>
      </c>
      <c r="E93" s="176"/>
      <c r="F93" s="175">
        <v>10</v>
      </c>
    </row>
    <row r="94" spans="2:13" ht="16.149999999999999" customHeight="1" x14ac:dyDescent="0.2">
      <c r="B94" s="182" t="s">
        <v>132</v>
      </c>
      <c r="C94" s="183" t="s">
        <v>237</v>
      </c>
      <c r="D94" s="184">
        <v>0.06</v>
      </c>
      <c r="E94" s="184"/>
      <c r="F94" s="329">
        <v>22</v>
      </c>
      <c r="M94" s="185" t="s">
        <v>274</v>
      </c>
    </row>
    <row r="95" spans="2:13" ht="16.149999999999999" customHeight="1" x14ac:dyDescent="0.25">
      <c r="B95" s="170" t="s">
        <v>187</v>
      </c>
      <c r="C95" s="171" t="s">
        <v>238</v>
      </c>
      <c r="D95" s="170" t="s">
        <v>128</v>
      </c>
      <c r="E95" s="170"/>
      <c r="F95" s="172">
        <v>15</v>
      </c>
      <c r="G95" s="113" t="e">
        <f>+F89+F93+#REF!+F95+F96+F97+F98+F99</f>
        <v>#REF!</v>
      </c>
    </row>
    <row r="96" spans="2:13" ht="16.149999999999999" customHeight="1" x14ac:dyDescent="0.25">
      <c r="B96" s="170" t="s">
        <v>136</v>
      </c>
      <c r="C96" s="171" t="s">
        <v>239</v>
      </c>
      <c r="D96" s="170" t="s">
        <v>200</v>
      </c>
      <c r="E96" s="170"/>
      <c r="F96" s="172">
        <v>32.32</v>
      </c>
    </row>
    <row r="97" spans="2:12" ht="16.149999999999999" customHeight="1" x14ac:dyDescent="0.25">
      <c r="B97" s="170" t="s">
        <v>188</v>
      </c>
      <c r="C97" s="171" t="s">
        <v>240</v>
      </c>
      <c r="D97" s="170" t="s">
        <v>128</v>
      </c>
      <c r="E97" s="170"/>
      <c r="F97" s="172">
        <v>87.34</v>
      </c>
    </row>
    <row r="98" spans="2:12" ht="16.149999999999999" customHeight="1" x14ac:dyDescent="0.25">
      <c r="B98" s="170" t="s">
        <v>140</v>
      </c>
      <c r="C98" s="171" t="s">
        <v>241</v>
      </c>
      <c r="D98" s="170" t="s">
        <v>128</v>
      </c>
      <c r="E98" s="170"/>
      <c r="F98" s="172">
        <v>75</v>
      </c>
    </row>
    <row r="99" spans="2:12" ht="16.149999999999999" customHeight="1" x14ac:dyDescent="0.25">
      <c r="B99" s="170" t="s">
        <v>142</v>
      </c>
      <c r="C99" s="171" t="s">
        <v>242</v>
      </c>
      <c r="D99" s="170" t="s">
        <v>128</v>
      </c>
      <c r="E99" s="170"/>
      <c r="F99" s="172">
        <v>25</v>
      </c>
    </row>
    <row r="100" spans="2:12" ht="16.149999999999999" customHeight="1" x14ac:dyDescent="0.25">
      <c r="B100" s="170" t="s">
        <v>170</v>
      </c>
      <c r="C100" s="171" t="s">
        <v>243</v>
      </c>
      <c r="D100" s="170" t="s">
        <v>128</v>
      </c>
      <c r="E100" s="170"/>
      <c r="F100" s="172">
        <v>300</v>
      </c>
      <c r="G100" s="113">
        <f>SUM(F93:F100)</f>
        <v>566.66</v>
      </c>
      <c r="H100" s="113">
        <v>346</v>
      </c>
    </row>
    <row r="101" spans="2:12" ht="16.149999999999999" customHeight="1" x14ac:dyDescent="0.25">
      <c r="B101" s="117" t="s">
        <v>172</v>
      </c>
      <c r="C101" s="127" t="s">
        <v>244</v>
      </c>
      <c r="D101" s="117" t="s">
        <v>128</v>
      </c>
      <c r="E101" s="117"/>
      <c r="F101" s="118">
        <v>400</v>
      </c>
      <c r="H101" s="113">
        <f>+G100-H100</f>
        <v>220.65999999999997</v>
      </c>
    </row>
    <row r="102" spans="2:12" ht="16.149999999999999" customHeight="1" x14ac:dyDescent="0.25">
      <c r="B102" s="674" t="s">
        <v>245</v>
      </c>
      <c r="C102" s="674"/>
      <c r="D102" s="123"/>
      <c r="E102" s="136"/>
      <c r="F102" s="330">
        <f>SUM(F88:F101)</f>
        <v>4265.7322000000004</v>
      </c>
      <c r="G102" s="113">
        <f>+G88+G89+F101</f>
        <v>3164.4924999999998</v>
      </c>
      <c r="H102" s="113">
        <f>+G102+F100</f>
        <v>3464.4924999999998</v>
      </c>
      <c r="I102" s="113">
        <v>300</v>
      </c>
      <c r="J102" s="113">
        <v>310</v>
      </c>
      <c r="K102" s="113">
        <f>+H102+I102+J102</f>
        <v>4074.4924999999998</v>
      </c>
      <c r="L102" s="113">
        <f>+K102-4505</f>
        <v>-430.50750000000016</v>
      </c>
    </row>
    <row r="103" spans="2:12" ht="7.15" customHeight="1" x14ac:dyDescent="0.25">
      <c r="B103" s="123"/>
      <c r="C103" s="130"/>
      <c r="D103" s="130"/>
      <c r="E103" s="130"/>
      <c r="F103" s="126"/>
    </row>
    <row r="104" spans="2:12" ht="16.149999999999999" customHeight="1" x14ac:dyDescent="0.25">
      <c r="B104" s="137" t="s">
        <v>246</v>
      </c>
      <c r="C104" s="138"/>
      <c r="D104" s="139"/>
      <c r="E104" s="139"/>
      <c r="F104" s="140"/>
      <c r="G104" s="113">
        <f>+F102-4505</f>
        <v>-239.26779999999962</v>
      </c>
    </row>
    <row r="105" spans="2:12" ht="16.149999999999999" customHeight="1" x14ac:dyDescent="0.25">
      <c r="B105" s="141" t="s">
        <v>247</v>
      </c>
      <c r="C105" s="142"/>
      <c r="D105" s="139"/>
      <c r="E105" s="139"/>
      <c r="F105" s="140"/>
    </row>
    <row r="106" spans="2:12" ht="16.149999999999999" customHeight="1" x14ac:dyDescent="0.25">
      <c r="B106" s="141" t="s">
        <v>248</v>
      </c>
      <c r="C106" s="138"/>
      <c r="D106" s="139"/>
      <c r="E106" s="139"/>
      <c r="F106" s="140"/>
      <c r="G106" s="113">
        <f>4505-F102</f>
        <v>239.26779999999962</v>
      </c>
    </row>
    <row r="107" spans="2:12" x14ac:dyDescent="0.25">
      <c r="C107" s="143"/>
    </row>
    <row r="109" spans="2:12" hidden="1" x14ac:dyDescent="0.25"/>
    <row r="110" spans="2:12" s="144" customFormat="1" hidden="1" x14ac:dyDescent="0.25">
      <c r="B110" s="113"/>
      <c r="C110" s="143"/>
      <c r="F110" s="113"/>
    </row>
    <row r="111" spans="2:12" hidden="1" x14ac:dyDescent="0.25"/>
    <row r="112" spans="2:12" hidden="1" x14ac:dyDescent="0.25"/>
    <row r="113" spans="3:9" hidden="1" x14ac:dyDescent="0.25">
      <c r="C113" s="113">
        <v>310</v>
      </c>
      <c r="E113" s="144" t="s">
        <v>249</v>
      </c>
      <c r="F113" s="113">
        <f>+F92+F93</f>
        <v>434</v>
      </c>
      <c r="G113" s="113">
        <v>3.1</v>
      </c>
      <c r="H113" s="145">
        <f>+G113*100</f>
        <v>310</v>
      </c>
      <c r="I113" s="113">
        <f>+F113-H113</f>
        <v>124</v>
      </c>
    </row>
    <row r="114" spans="3:9" hidden="1" x14ac:dyDescent="0.25">
      <c r="C114" s="113">
        <v>831.31</v>
      </c>
      <c r="E114" s="144" t="s">
        <v>250</v>
      </c>
      <c r="F114" s="113">
        <f>+SUM(F4:F18)</f>
        <v>192.18</v>
      </c>
      <c r="G114" s="113">
        <v>1.9418</v>
      </c>
      <c r="H114" s="145">
        <f t="shared" ref="H114:H124" si="1">+G114*100</f>
        <v>194.18</v>
      </c>
      <c r="I114" s="113">
        <f t="shared" ref="I114:I125" si="2">+F114-H114</f>
        <v>-2</v>
      </c>
    </row>
    <row r="115" spans="3:9" hidden="1" x14ac:dyDescent="0.25">
      <c r="C115" s="113">
        <v>1629</v>
      </c>
      <c r="E115" s="144" t="s">
        <v>34</v>
      </c>
      <c r="F115" s="113">
        <f>+SUM(F21:F42)</f>
        <v>781.3125</v>
      </c>
      <c r="G115" s="113">
        <v>8.3131000000000004</v>
      </c>
      <c r="H115" s="145">
        <f t="shared" si="1"/>
        <v>831.31000000000006</v>
      </c>
      <c r="I115" s="113">
        <f t="shared" si="2"/>
        <v>-49.997500000000059</v>
      </c>
    </row>
    <row r="116" spans="3:9" hidden="1" x14ac:dyDescent="0.25">
      <c r="C116" s="113">
        <v>220</v>
      </c>
      <c r="E116" s="144" t="s">
        <v>251</v>
      </c>
      <c r="F116" s="113">
        <f>+SUM(F45:F68)+F83+F85</f>
        <v>1524</v>
      </c>
      <c r="G116" s="113">
        <v>16.29</v>
      </c>
      <c r="H116" s="145">
        <f t="shared" si="1"/>
        <v>1629</v>
      </c>
      <c r="I116" s="113">
        <f t="shared" si="2"/>
        <v>-105</v>
      </c>
    </row>
    <row r="117" spans="3:9" hidden="1" x14ac:dyDescent="0.25">
      <c r="C117" s="113">
        <v>57</v>
      </c>
      <c r="E117" s="144" t="s">
        <v>252</v>
      </c>
      <c r="F117" s="113">
        <f>+SUM(F71:F78)</f>
        <v>210</v>
      </c>
      <c r="G117" s="113">
        <v>2.2000000000000002</v>
      </c>
      <c r="H117" s="145">
        <f t="shared" si="1"/>
        <v>220.00000000000003</v>
      </c>
      <c r="I117" s="113">
        <f t="shared" si="2"/>
        <v>-10.000000000000028</v>
      </c>
    </row>
    <row r="118" spans="3:9" hidden="1" x14ac:dyDescent="0.25">
      <c r="C118" s="113">
        <v>15</v>
      </c>
      <c r="E118" s="144" t="s">
        <v>253</v>
      </c>
      <c r="F118" s="113">
        <f>+F81+F82+F84</f>
        <v>42</v>
      </c>
      <c r="G118" s="113">
        <v>0.56999999999999995</v>
      </c>
      <c r="H118" s="145">
        <f t="shared" si="1"/>
        <v>56.999999999999993</v>
      </c>
      <c r="I118" s="113">
        <f t="shared" si="2"/>
        <v>-14.999999999999993</v>
      </c>
    </row>
    <row r="119" spans="3:9" hidden="1" x14ac:dyDescent="0.25">
      <c r="C119" s="113">
        <v>658.2</v>
      </c>
      <c r="E119" s="144" t="s">
        <v>254</v>
      </c>
      <c r="F119" s="113">
        <f>+F86</f>
        <v>15</v>
      </c>
      <c r="G119" s="113">
        <v>0.15</v>
      </c>
      <c r="H119" s="145">
        <f t="shared" si="1"/>
        <v>15</v>
      </c>
      <c r="I119" s="113">
        <f t="shared" si="2"/>
        <v>0</v>
      </c>
    </row>
    <row r="120" spans="3:9" hidden="1" x14ac:dyDescent="0.25">
      <c r="C120" s="113">
        <v>346.5</v>
      </c>
      <c r="E120" s="144" t="s">
        <v>255</v>
      </c>
      <c r="F120" s="113">
        <f>+F100</f>
        <v>300</v>
      </c>
      <c r="G120" s="113">
        <v>3.4649999999999999</v>
      </c>
      <c r="H120" s="145">
        <f t="shared" si="1"/>
        <v>346.5</v>
      </c>
      <c r="I120" s="113">
        <f t="shared" si="2"/>
        <v>-46.5</v>
      </c>
    </row>
    <row r="121" spans="3:9" hidden="1" x14ac:dyDescent="0.25">
      <c r="C121" s="113">
        <v>87.34</v>
      </c>
      <c r="E121" s="144" t="s">
        <v>256</v>
      </c>
      <c r="F121" s="113">
        <f>+F97</f>
        <v>87.34</v>
      </c>
      <c r="G121" s="113">
        <v>0.87339999999999995</v>
      </c>
      <c r="H121" s="145">
        <f t="shared" si="1"/>
        <v>87.339999999999989</v>
      </c>
      <c r="I121" s="113">
        <f t="shared" si="2"/>
        <v>0</v>
      </c>
    </row>
    <row r="122" spans="3:9" hidden="1" x14ac:dyDescent="0.25">
      <c r="C122" s="113">
        <v>147.33000000000001</v>
      </c>
      <c r="E122" s="144" t="s">
        <v>257</v>
      </c>
      <c r="F122" s="113">
        <f>+F89</f>
        <v>110.57970000000002</v>
      </c>
      <c r="G122" s="113">
        <v>1.4732000000000001</v>
      </c>
      <c r="H122" s="145">
        <f t="shared" si="1"/>
        <v>147.32</v>
      </c>
      <c r="I122" s="113">
        <f t="shared" si="2"/>
        <v>-36.740299999999976</v>
      </c>
    </row>
    <row r="123" spans="3:9" hidden="1" x14ac:dyDescent="0.25">
      <c r="C123" s="113">
        <v>203.32</v>
      </c>
      <c r="E123" s="144" t="s">
        <v>250</v>
      </c>
      <c r="F123" s="113">
        <f>+F101</f>
        <v>400</v>
      </c>
      <c r="G123" s="113">
        <v>4.6402000000000001</v>
      </c>
      <c r="H123" s="145">
        <f t="shared" si="1"/>
        <v>464.02</v>
      </c>
      <c r="I123" s="113">
        <f t="shared" si="2"/>
        <v>-64.019999999999982</v>
      </c>
    </row>
    <row r="124" spans="3:9" hidden="1" x14ac:dyDescent="0.25">
      <c r="E124" s="144" t="s">
        <v>258</v>
      </c>
      <c r="F124" s="113">
        <f>+F94+F95+F96+F98+F99</f>
        <v>169.32</v>
      </c>
      <c r="G124" s="113">
        <v>2.0331999999999999</v>
      </c>
      <c r="H124" s="145">
        <f t="shared" si="1"/>
        <v>203.32</v>
      </c>
      <c r="I124" s="113">
        <f t="shared" si="2"/>
        <v>-34</v>
      </c>
    </row>
    <row r="125" spans="3:9" hidden="1" x14ac:dyDescent="0.25">
      <c r="C125" s="113">
        <f>SUM(C113:C124)</f>
        <v>4505</v>
      </c>
      <c r="F125" s="113">
        <f>SUM(F113:F124)</f>
        <v>4265.7322000000004</v>
      </c>
      <c r="G125" s="113">
        <f>SUM(G113:G124)</f>
        <v>45.049899999999994</v>
      </c>
      <c r="H125" s="145">
        <f>SUM(H113:H124)</f>
        <v>4504.99</v>
      </c>
      <c r="I125" s="113">
        <f t="shared" si="2"/>
        <v>-239.25779999999941</v>
      </c>
    </row>
    <row r="126" spans="3:9" hidden="1" x14ac:dyDescent="0.25">
      <c r="C126" s="113">
        <v>4505</v>
      </c>
    </row>
    <row r="127" spans="3:9" hidden="1" x14ac:dyDescent="0.25">
      <c r="C127" s="113">
        <f>+C126-C125</f>
        <v>0</v>
      </c>
      <c r="F127" s="113">
        <f>+F124+F122</f>
        <v>279.8997</v>
      </c>
    </row>
    <row r="128" spans="3:9" hidden="1" x14ac:dyDescent="0.25"/>
    <row r="129" spans="3:4" hidden="1" x14ac:dyDescent="0.25"/>
    <row r="130" spans="3:4" hidden="1" x14ac:dyDescent="0.25"/>
    <row r="131" spans="3:4" hidden="1" x14ac:dyDescent="0.25"/>
    <row r="132" spans="3:4" hidden="1" x14ac:dyDescent="0.25">
      <c r="C132" s="113" t="s">
        <v>259</v>
      </c>
      <c r="D132" s="146">
        <v>310</v>
      </c>
    </row>
    <row r="133" spans="3:4" hidden="1" x14ac:dyDescent="0.25">
      <c r="C133" s="113" t="s">
        <v>107</v>
      </c>
      <c r="D133" s="146">
        <v>831.31</v>
      </c>
    </row>
    <row r="134" spans="3:4" hidden="1" x14ac:dyDescent="0.25">
      <c r="C134" s="113" t="s">
        <v>108</v>
      </c>
      <c r="D134" s="146">
        <v>1629</v>
      </c>
    </row>
    <row r="135" spans="3:4" hidden="1" x14ac:dyDescent="0.25">
      <c r="C135" s="113" t="s">
        <v>260</v>
      </c>
      <c r="D135" s="146">
        <v>220</v>
      </c>
    </row>
    <row r="136" spans="3:4" hidden="1" x14ac:dyDescent="0.25">
      <c r="C136" s="113" t="s">
        <v>110</v>
      </c>
      <c r="D136" s="146">
        <v>57</v>
      </c>
    </row>
    <row r="137" spans="3:4" hidden="1" x14ac:dyDescent="0.25">
      <c r="C137" s="113" t="s">
        <v>111</v>
      </c>
      <c r="D137" s="146">
        <v>15</v>
      </c>
    </row>
    <row r="138" spans="3:4" hidden="1" x14ac:dyDescent="0.25">
      <c r="C138" s="113" t="s">
        <v>261</v>
      </c>
      <c r="D138" s="146">
        <v>658.2</v>
      </c>
    </row>
    <row r="139" spans="3:4" hidden="1" x14ac:dyDescent="0.25">
      <c r="C139" s="113" t="s">
        <v>262</v>
      </c>
      <c r="D139" s="146">
        <v>346.5</v>
      </c>
    </row>
    <row r="140" spans="3:4" hidden="1" x14ac:dyDescent="0.25">
      <c r="C140" s="113" t="s">
        <v>263</v>
      </c>
      <c r="D140" s="146">
        <v>87.34</v>
      </c>
    </row>
    <row r="141" spans="3:4" hidden="1" x14ac:dyDescent="0.25">
      <c r="C141" s="113" t="s">
        <v>264</v>
      </c>
      <c r="D141" s="146">
        <v>1.47</v>
      </c>
    </row>
    <row r="142" spans="3:4" hidden="1" x14ac:dyDescent="0.25">
      <c r="C142" s="113" t="s">
        <v>113</v>
      </c>
      <c r="D142" s="146">
        <v>2.0299999999999998</v>
      </c>
    </row>
    <row r="143" spans="3:4" hidden="1" x14ac:dyDescent="0.25">
      <c r="D143" s="146">
        <f>SUM(D132:D142)</f>
        <v>4157.8500000000004</v>
      </c>
    </row>
    <row r="144" spans="3:4" hidden="1" x14ac:dyDescent="0.25">
      <c r="D144" s="144">
        <f>+D143-4505</f>
        <v>-347.14999999999964</v>
      </c>
    </row>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spans="2:13" hidden="1" x14ac:dyDescent="0.25"/>
    <row r="162" spans="2:13" hidden="1" x14ac:dyDescent="0.25"/>
    <row r="164" spans="2:13" ht="13.5" thickBot="1" x14ac:dyDescent="0.3"/>
    <row r="165" spans="2:13" x14ac:dyDescent="0.2">
      <c r="C165" s="150" t="s">
        <v>265</v>
      </c>
      <c r="D165" s="151">
        <v>1.1000000000000001</v>
      </c>
      <c r="E165" s="152" t="s">
        <v>266</v>
      </c>
      <c r="F165" s="152" t="s">
        <v>267</v>
      </c>
      <c r="G165" s="152"/>
      <c r="H165" s="153"/>
      <c r="I165" s="153"/>
      <c r="J165" s="153"/>
      <c r="K165" s="153"/>
      <c r="L165" s="153"/>
      <c r="M165" s="154"/>
    </row>
    <row r="166" spans="2:13" x14ac:dyDescent="0.2">
      <c r="C166" s="155"/>
      <c r="D166" s="149">
        <f>SUM(F4:F18)/10^2</f>
        <v>1.9218000000000002</v>
      </c>
      <c r="E166" s="148" t="s">
        <v>266</v>
      </c>
      <c r="F166" s="148" t="s">
        <v>268</v>
      </c>
      <c r="G166" s="148"/>
      <c r="H166" s="124"/>
      <c r="I166" s="124"/>
      <c r="J166" s="124"/>
      <c r="K166" s="124"/>
      <c r="L166" s="124"/>
      <c r="M166" s="156"/>
    </row>
    <row r="167" spans="2:13" x14ac:dyDescent="0.2">
      <c r="C167" s="155"/>
      <c r="D167" s="149">
        <f>F96/10^2</f>
        <v>0.32319999999999999</v>
      </c>
      <c r="E167" s="148" t="s">
        <v>269</v>
      </c>
      <c r="F167" s="148" t="s">
        <v>270</v>
      </c>
      <c r="G167" s="148"/>
      <c r="H167" s="124"/>
      <c r="I167" s="124"/>
      <c r="J167" s="124"/>
      <c r="K167" s="124"/>
      <c r="L167" s="124"/>
      <c r="M167" s="156"/>
    </row>
    <row r="168" spans="2:13" x14ac:dyDescent="0.2">
      <c r="C168" s="155"/>
      <c r="D168" s="149">
        <f>F95/10^2</f>
        <v>0.15</v>
      </c>
      <c r="E168" s="148" t="s">
        <v>269</v>
      </c>
      <c r="F168" s="148" t="s">
        <v>271</v>
      </c>
      <c r="G168" s="148"/>
      <c r="H168" s="124"/>
      <c r="I168" s="124"/>
      <c r="J168" s="124"/>
      <c r="K168" s="124"/>
      <c r="L168" s="124"/>
      <c r="M168" s="156"/>
    </row>
    <row r="169" spans="2:13" ht="13.5" thickBot="1" x14ac:dyDescent="0.25">
      <c r="C169" s="157"/>
      <c r="D169" s="158">
        <f>SUM(D165:D168)</f>
        <v>3.4950000000000001</v>
      </c>
      <c r="E169" s="159"/>
      <c r="F169" s="159"/>
      <c r="G169" s="159"/>
      <c r="H169" s="160"/>
      <c r="I169" s="160"/>
      <c r="J169" s="160"/>
      <c r="K169" s="160"/>
      <c r="L169" s="160"/>
      <c r="M169" s="161"/>
    </row>
    <row r="171" spans="2:13" ht="13.5" thickBot="1" x14ac:dyDescent="0.3"/>
    <row r="172" spans="2:13" x14ac:dyDescent="0.25">
      <c r="B172" s="162" t="s">
        <v>272</v>
      </c>
      <c r="C172" s="153"/>
      <c r="D172" s="163"/>
    </row>
    <row r="173" spans="2:13" x14ac:dyDescent="0.25">
      <c r="B173" s="164"/>
      <c r="C173" s="124"/>
      <c r="D173" s="165"/>
    </row>
    <row r="174" spans="2:13" x14ac:dyDescent="0.25">
      <c r="B174" s="166">
        <v>0.18</v>
      </c>
      <c r="C174" s="117">
        <f>'TPC and MoF'!D9</f>
        <v>9.1427939196000025</v>
      </c>
      <c r="D174" s="165">
        <f>C174*B174</f>
        <v>1.6457029055280004</v>
      </c>
    </row>
    <row r="175" spans="2:13" x14ac:dyDescent="0.25">
      <c r="B175" s="166">
        <v>0.12</v>
      </c>
      <c r="C175" s="117">
        <f>'TPC and MoF'!D10</f>
        <v>21.895806499999999</v>
      </c>
      <c r="D175" s="165">
        <f>C175*B175</f>
        <v>2.62749678</v>
      </c>
    </row>
    <row r="176" spans="2:13" x14ac:dyDescent="0.25">
      <c r="B176" s="166">
        <v>0.18</v>
      </c>
      <c r="C176" s="117">
        <f>'TPC and MoF'!D11</f>
        <v>3.9648000000000003</v>
      </c>
      <c r="D176" s="165">
        <f>C176*B176</f>
        <v>0.71366400000000008</v>
      </c>
    </row>
    <row r="177" spans="2:4" x14ac:dyDescent="0.25">
      <c r="B177" s="166">
        <v>0.18</v>
      </c>
      <c r="C177" s="117">
        <f>'TPC and MoF'!D13</f>
        <v>0.1</v>
      </c>
      <c r="D177" s="167">
        <f>C177*B177</f>
        <v>1.7999999999999999E-2</v>
      </c>
    </row>
    <row r="178" spans="2:4" x14ac:dyDescent="0.25">
      <c r="B178" s="166">
        <v>0.18</v>
      </c>
      <c r="C178" s="117">
        <f>D166</f>
        <v>1.9218000000000002</v>
      </c>
      <c r="D178" s="167">
        <f>C178*B178</f>
        <v>0.34592400000000001</v>
      </c>
    </row>
    <row r="179" spans="2:4" ht="13.5" thickBot="1" x14ac:dyDescent="0.3">
      <c r="B179" s="168"/>
      <c r="C179" s="160" t="s">
        <v>273</v>
      </c>
      <c r="D179" s="169">
        <f>SUM(D174:D178)</f>
        <v>5.3507876855280001</v>
      </c>
    </row>
  </sheetData>
  <mergeCells count="11">
    <mergeCell ref="M48:M49"/>
    <mergeCell ref="C70:E70"/>
    <mergeCell ref="C80:E80"/>
    <mergeCell ref="C91:E91"/>
    <mergeCell ref="B102:C102"/>
    <mergeCell ref="C44:E44"/>
    <mergeCell ref="B1:F1"/>
    <mergeCell ref="C3:E3"/>
    <mergeCell ref="C13:E13"/>
    <mergeCell ref="C20:E20"/>
    <mergeCell ref="C28:E28"/>
  </mergeCells>
  <pageMargins left="0.32" right="0.32" top="0.19" bottom="0.34" header="0.18" footer="0.24"/>
  <pageSetup paperSize="9" scale="73" fitToHeight="2" orientation="portrait" r:id="rId1"/>
  <headerFooter alignWithMargins="0">
    <oddHeader>&amp;C&amp;"Arial,Bold"&amp;11DETAILED PROJECT REPORT -CBG PLANT - FINANCIAL ASPECTS</oddHeader>
  </headerFooter>
  <rowBreaks count="1" manualBreakCount="1">
    <brk id="50" min="1" max="5"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I57"/>
  <sheetViews>
    <sheetView workbookViewId="0"/>
  </sheetViews>
  <sheetFormatPr defaultRowHeight="18" customHeight="1" x14ac:dyDescent="0.25"/>
  <cols>
    <col min="1" max="1" width="9.28515625" customWidth="1"/>
    <col min="2" max="2" width="59.28515625" style="1" customWidth="1"/>
    <col min="3" max="3" width="14.42578125" style="42" customWidth="1"/>
    <col min="4" max="4" width="15.7109375" style="42" customWidth="1"/>
    <col min="5" max="5" width="15.5703125" style="42" customWidth="1"/>
    <col min="6" max="6" width="14.85546875" style="42" customWidth="1"/>
    <col min="8" max="8" width="11" customWidth="1"/>
    <col min="9" max="9" width="10.85546875" customWidth="1"/>
  </cols>
  <sheetData>
    <row r="4" spans="2:9" ht="18" customHeight="1" x14ac:dyDescent="0.25">
      <c r="I4" s="75"/>
    </row>
    <row r="5" spans="2:9" ht="18" customHeight="1" x14ac:dyDescent="0.25">
      <c r="B5" s="40" t="s">
        <v>57</v>
      </c>
      <c r="C5" s="41"/>
      <c r="D5" s="41" t="s">
        <v>64</v>
      </c>
      <c r="E5" s="41" t="s">
        <v>58</v>
      </c>
      <c r="F5" s="41" t="s">
        <v>59</v>
      </c>
    </row>
    <row r="6" spans="2:9" ht="18" customHeight="1" x14ac:dyDescent="0.25">
      <c r="B6" s="43" t="s">
        <v>60</v>
      </c>
      <c r="C6" s="44"/>
      <c r="D6" s="44">
        <v>7250</v>
      </c>
      <c r="E6" s="44">
        <v>2</v>
      </c>
      <c r="F6" s="44">
        <f>D6*E6</f>
        <v>14500</v>
      </c>
    </row>
    <row r="7" spans="2:9" ht="18" customHeight="1" x14ac:dyDescent="0.25">
      <c r="B7" t="s">
        <v>866</v>
      </c>
      <c r="C7"/>
      <c r="D7" s="42">
        <v>7279</v>
      </c>
      <c r="E7"/>
      <c r="F7"/>
    </row>
    <row r="8" spans="2:9" ht="18" customHeight="1" x14ac:dyDescent="0.25">
      <c r="B8" t="s">
        <v>867</v>
      </c>
      <c r="C8"/>
      <c r="D8" s="42">
        <v>6361</v>
      </c>
      <c r="E8"/>
      <c r="F8"/>
    </row>
    <row r="9" spans="2:9" ht="18" customHeight="1" x14ac:dyDescent="0.25">
      <c r="B9"/>
      <c r="C9"/>
      <c r="D9"/>
      <c r="E9"/>
      <c r="F9"/>
    </row>
    <row r="10" spans="2:9" ht="18" customHeight="1" x14ac:dyDescent="0.25">
      <c r="B10" s="1" t="s">
        <v>61</v>
      </c>
    </row>
    <row r="11" spans="2:9" ht="18" customHeight="1" x14ac:dyDescent="0.25">
      <c r="B11" s="505" t="s">
        <v>879</v>
      </c>
      <c r="C11" s="506" t="s">
        <v>862</v>
      </c>
      <c r="D11" s="506">
        <f>222</f>
        <v>222</v>
      </c>
    </row>
    <row r="12" spans="2:9" ht="18" customHeight="1" x14ac:dyDescent="0.25">
      <c r="B12" s="1" t="s">
        <v>62</v>
      </c>
      <c r="C12" s="42" t="s">
        <v>863</v>
      </c>
      <c r="D12" s="42">
        <f>SUM(D11:D11)</f>
        <v>222</v>
      </c>
    </row>
    <row r="13" spans="2:9" ht="18" customHeight="1" x14ac:dyDescent="0.25">
      <c r="B13" s="1" t="s">
        <v>63</v>
      </c>
      <c r="D13" s="42">
        <v>222</v>
      </c>
    </row>
    <row r="14" spans="2:9" ht="18" customHeight="1" x14ac:dyDescent="0.25">
      <c r="B14" s="1" t="s">
        <v>72</v>
      </c>
      <c r="D14" s="42">
        <f>D12+D13</f>
        <v>444</v>
      </c>
      <c r="H14" s="53"/>
    </row>
    <row r="15" spans="2:9" ht="18" customHeight="1" x14ac:dyDescent="0.25">
      <c r="B15" s="1" t="s">
        <v>865</v>
      </c>
      <c r="D15" s="42">
        <f>D14*28</f>
        <v>12432</v>
      </c>
      <c r="H15" s="75"/>
    </row>
    <row r="16" spans="2:9" ht="18" customHeight="1" x14ac:dyDescent="0.25">
      <c r="B16" s="1" t="s">
        <v>868</v>
      </c>
      <c r="D16" s="42">
        <v>6222</v>
      </c>
    </row>
    <row r="17" spans="1:9" ht="18" customHeight="1" thickBot="1" x14ac:dyDescent="0.3"/>
    <row r="18" spans="1:9" ht="18" customHeight="1" x14ac:dyDescent="0.25">
      <c r="C18" s="47" t="s">
        <v>67</v>
      </c>
      <c r="D18" s="48" t="s">
        <v>65</v>
      </c>
      <c r="E18" s="49" t="s">
        <v>66</v>
      </c>
      <c r="H18" s="76">
        <f>D15</f>
        <v>12432</v>
      </c>
      <c r="I18" s="83">
        <f>E20</f>
        <v>6120</v>
      </c>
    </row>
    <row r="19" spans="1:9" ht="18" customHeight="1" x14ac:dyDescent="0.25">
      <c r="C19" s="50">
        <f>102*1000</f>
        <v>102000</v>
      </c>
      <c r="D19" s="46">
        <v>0.06</v>
      </c>
      <c r="E19" s="51">
        <f>C19*D19</f>
        <v>6120</v>
      </c>
      <c r="F19" s="75"/>
      <c r="H19" s="77">
        <v>1</v>
      </c>
      <c r="I19" s="82">
        <f>I18/H18</f>
        <v>0.49227799227799229</v>
      </c>
    </row>
    <row r="20" spans="1:9" ht="18" customHeight="1" x14ac:dyDescent="0.25">
      <c r="C20" s="50" t="s">
        <v>68</v>
      </c>
      <c r="D20" s="45"/>
      <c r="E20" s="51">
        <f>SUM(E19:E19)</f>
        <v>6120</v>
      </c>
      <c r="F20" s="75"/>
      <c r="H20" s="77">
        <f>F6</f>
        <v>14500</v>
      </c>
      <c r="I20" s="84">
        <f>I19*H20</f>
        <v>7138.0308880308885</v>
      </c>
    </row>
    <row r="21" spans="1:9" ht="18" customHeight="1" thickBot="1" x14ac:dyDescent="0.3">
      <c r="B21" s="467"/>
      <c r="C21" s="50" t="s">
        <v>69</v>
      </c>
      <c r="D21" s="45"/>
      <c r="E21" s="52">
        <f>120/E20</f>
        <v>1.9607843137254902E-2</v>
      </c>
      <c r="H21" s="78"/>
      <c r="I21" s="654">
        <f>E20/I20</f>
        <v>0.85737931034482751</v>
      </c>
    </row>
    <row r="22" spans="1:9" ht="18" customHeight="1" x14ac:dyDescent="0.25">
      <c r="C22" s="50" t="s">
        <v>71</v>
      </c>
      <c r="D22" s="45"/>
      <c r="E22" s="468">
        <f>E20*E21</f>
        <v>120</v>
      </c>
      <c r="I22" s="79"/>
    </row>
    <row r="23" spans="1:9" ht="18" customHeight="1" thickBot="1" x14ac:dyDescent="0.3">
      <c r="C23" s="64" t="s">
        <v>70</v>
      </c>
      <c r="D23" s="65"/>
      <c r="E23" s="66">
        <f>E20-E22</f>
        <v>6000</v>
      </c>
    </row>
    <row r="24" spans="1:9" ht="18" customHeight="1" thickBot="1" x14ac:dyDescent="0.3">
      <c r="H24" s="80">
        <v>13175</v>
      </c>
      <c r="I24" s="81">
        <f>H24*I19</f>
        <v>6485.7625482625481</v>
      </c>
    </row>
    <row r="26" spans="1:9" ht="18" customHeight="1" thickBot="1" x14ac:dyDescent="0.3"/>
    <row r="27" spans="1:9" ht="18" customHeight="1" x14ac:dyDescent="0.25">
      <c r="B27" s="305" t="s">
        <v>76</v>
      </c>
      <c r="C27" s="67"/>
      <c r="D27" s="67"/>
      <c r="E27" s="67"/>
      <c r="F27" s="68"/>
      <c r="I27" s="470"/>
    </row>
    <row r="28" spans="1:9" ht="18" customHeight="1" x14ac:dyDescent="0.25">
      <c r="A28" t="s">
        <v>78</v>
      </c>
      <c r="B28" s="69">
        <v>1</v>
      </c>
      <c r="C28" s="70" t="s">
        <v>80</v>
      </c>
      <c r="D28" s="70">
        <v>450</v>
      </c>
      <c r="E28" s="70" t="s">
        <v>77</v>
      </c>
      <c r="F28" s="471">
        <f>100000/D28</f>
        <v>222.22222222222223</v>
      </c>
    </row>
    <row r="29" spans="1:9" ht="18" customHeight="1" thickBot="1" x14ac:dyDescent="0.3">
      <c r="A29" t="s">
        <v>79</v>
      </c>
      <c r="B29" s="71"/>
      <c r="C29" s="72"/>
      <c r="D29" s="72"/>
      <c r="E29" s="72"/>
      <c r="F29" s="73"/>
    </row>
    <row r="30" spans="1:9" ht="18" customHeight="1" thickBot="1" x14ac:dyDescent="0.3">
      <c r="B30" s="71">
        <v>1</v>
      </c>
      <c r="C30" s="72" t="s">
        <v>80</v>
      </c>
      <c r="D30" s="72">
        <v>1000</v>
      </c>
      <c r="E30" s="72" t="s">
        <v>81</v>
      </c>
      <c r="F30" s="73"/>
    </row>
    <row r="32" spans="1:9" ht="18" customHeight="1" x14ac:dyDescent="0.25">
      <c r="B32" s="74" t="s">
        <v>82</v>
      </c>
      <c r="C32" s="70">
        <v>74</v>
      </c>
    </row>
    <row r="35" spans="2:9" ht="18" customHeight="1" x14ac:dyDescent="0.25">
      <c r="D35" s="333"/>
      <c r="F35" s="334"/>
    </row>
    <row r="36" spans="2:9" ht="18" customHeight="1" x14ac:dyDescent="0.25">
      <c r="D36" s="333"/>
      <c r="F36" s="334"/>
    </row>
    <row r="37" spans="2:9" ht="18" customHeight="1" x14ac:dyDescent="0.25">
      <c r="F37" s="334"/>
    </row>
    <row r="44" spans="2:9" ht="18" customHeight="1" x14ac:dyDescent="0.25">
      <c r="B44" s="422" t="s">
        <v>57</v>
      </c>
      <c r="C44" s="422"/>
      <c r="D44" s="423"/>
      <c r="E44" s="423"/>
      <c r="F44" s="423" t="s">
        <v>59</v>
      </c>
      <c r="G44" s="423"/>
      <c r="H44" s="422" t="s">
        <v>845</v>
      </c>
      <c r="I44" s="422"/>
    </row>
    <row r="45" spans="2:9" ht="18" customHeight="1" x14ac:dyDescent="0.25">
      <c r="B45" s="422"/>
      <c r="C45" s="422"/>
      <c r="D45" s="423"/>
      <c r="E45" s="423"/>
      <c r="F45" s="423"/>
      <c r="G45" s="423"/>
      <c r="H45" s="422" t="s">
        <v>846</v>
      </c>
      <c r="I45" s="422"/>
    </row>
    <row r="46" spans="2:9" ht="18" customHeight="1" x14ac:dyDescent="0.25">
      <c r="B46" s="415" t="s">
        <v>847</v>
      </c>
      <c r="C46" s="413" t="s">
        <v>848</v>
      </c>
      <c r="D46" s="413"/>
      <c r="E46" s="414"/>
      <c r="F46" s="416">
        <f>((15*15)*3.141)*10.5</f>
        <v>7420.6125000000002</v>
      </c>
      <c r="G46" s="413"/>
      <c r="H46" s="413"/>
      <c r="I46" s="417"/>
    </row>
    <row r="47" spans="2:9" ht="18" customHeight="1" x14ac:dyDescent="0.25">
      <c r="B47" s="413"/>
      <c r="C47" s="413"/>
      <c r="D47" s="414"/>
      <c r="E47" s="413"/>
      <c r="F47" s="413"/>
      <c r="G47" s="413"/>
      <c r="H47" s="413"/>
      <c r="I47" s="413"/>
    </row>
    <row r="48" spans="2:9" ht="18" customHeight="1" x14ac:dyDescent="0.25">
      <c r="B48" s="418" t="s">
        <v>849</v>
      </c>
      <c r="C48" s="414" t="s">
        <v>850</v>
      </c>
      <c r="D48" s="414" t="s">
        <v>851</v>
      </c>
      <c r="E48" s="414" t="s">
        <v>852</v>
      </c>
      <c r="F48" s="414" t="s">
        <v>853</v>
      </c>
      <c r="G48" s="414" t="s">
        <v>273</v>
      </c>
      <c r="H48" s="414" t="s">
        <v>854</v>
      </c>
      <c r="I48" s="419" t="s">
        <v>855</v>
      </c>
    </row>
    <row r="49" spans="2:9" ht="18" customHeight="1" x14ac:dyDescent="0.25">
      <c r="B49" s="420" t="s">
        <v>864</v>
      </c>
      <c r="C49" s="421">
        <v>100</v>
      </c>
      <c r="D49" s="469">
        <f>C49*6.1/100</f>
        <v>6.1</v>
      </c>
      <c r="E49" s="421">
        <f>100000/450</f>
        <v>222.22222222222223</v>
      </c>
      <c r="F49" s="421"/>
      <c r="G49" s="421"/>
      <c r="H49" s="421"/>
      <c r="I49" s="416"/>
    </row>
    <row r="50" spans="2:9" ht="18" customHeight="1" x14ac:dyDescent="0.25">
      <c r="B50" s="418"/>
      <c r="C50" s="414"/>
      <c r="D50" s="469"/>
      <c r="E50" s="421"/>
      <c r="F50" s="421"/>
      <c r="G50" s="421"/>
      <c r="H50" s="421"/>
      <c r="I50" s="416"/>
    </row>
    <row r="51" spans="2:9" ht="18" customHeight="1" x14ac:dyDescent="0.25">
      <c r="B51" s="418"/>
      <c r="C51" s="413"/>
      <c r="D51" s="416">
        <f>SUM(D49:D50)</f>
        <v>6.1</v>
      </c>
      <c r="E51" s="421">
        <f>SUM(E49:E50)</f>
        <v>222.22222222222223</v>
      </c>
      <c r="F51" s="421">
        <f>E51</f>
        <v>222.22222222222223</v>
      </c>
      <c r="G51" s="421">
        <f>E51+F51</f>
        <v>444.44444444444446</v>
      </c>
      <c r="H51" s="421">
        <f>G51*28</f>
        <v>12444.444444444445</v>
      </c>
      <c r="I51" s="416">
        <f>H51/2</f>
        <v>6222.2222222222226</v>
      </c>
    </row>
    <row r="52" spans="2:9" ht="18" customHeight="1" x14ac:dyDescent="0.25">
      <c r="B52" s="418"/>
      <c r="C52" s="413"/>
      <c r="D52" s="416"/>
      <c r="E52" s="421"/>
      <c r="F52" s="421"/>
      <c r="G52" s="421"/>
      <c r="H52" s="421"/>
      <c r="I52" s="416"/>
    </row>
    <row r="53" spans="2:9" ht="18" customHeight="1" x14ac:dyDescent="0.25">
      <c r="B53" s="418"/>
      <c r="C53" s="413"/>
      <c r="D53" s="414"/>
      <c r="E53" s="413"/>
      <c r="F53" s="414"/>
      <c r="G53" s="414"/>
      <c r="H53" s="414"/>
      <c r="I53" s="414"/>
    </row>
    <row r="54" spans="2:9" ht="18" customHeight="1" x14ac:dyDescent="0.25">
      <c r="B54" s="418" t="s">
        <v>857</v>
      </c>
      <c r="C54" s="414">
        <v>100</v>
      </c>
      <c r="D54" s="416">
        <f>C54*5.75/100</f>
        <v>5.75</v>
      </c>
      <c r="E54" s="421">
        <f>100000/400</f>
        <v>250</v>
      </c>
      <c r="F54" s="421">
        <f>E54</f>
        <v>250</v>
      </c>
      <c r="G54" s="421">
        <f>E54+F54</f>
        <v>500</v>
      </c>
      <c r="H54" s="421">
        <f>G54*29</f>
        <v>14500</v>
      </c>
      <c r="I54" s="416">
        <f>H54/2</f>
        <v>7250</v>
      </c>
    </row>
    <row r="55" spans="2:9" ht="18" customHeight="1" x14ac:dyDescent="0.25">
      <c r="B55" s="418"/>
      <c r="C55" s="414"/>
      <c r="D55" s="416"/>
      <c r="E55" s="421"/>
      <c r="F55" s="421"/>
      <c r="G55" s="421"/>
      <c r="H55" s="421"/>
      <c r="I55" s="416"/>
    </row>
    <row r="56" spans="2:9" ht="18" customHeight="1" x14ac:dyDescent="0.25">
      <c r="B56" s="418" t="s">
        <v>856</v>
      </c>
      <c r="C56" s="414">
        <v>175</v>
      </c>
      <c r="D56" s="416">
        <f>C56*3.5/100</f>
        <v>6.125</v>
      </c>
      <c r="E56" s="421">
        <f>175000/850</f>
        <v>205.88235294117646</v>
      </c>
      <c r="F56" s="421">
        <f>E56</f>
        <v>205.88235294117646</v>
      </c>
      <c r="G56" s="421">
        <f>E56+F56</f>
        <v>411.76470588235293</v>
      </c>
      <c r="H56" s="421">
        <f>G56*35</f>
        <v>14411.764705882353</v>
      </c>
      <c r="I56" s="416">
        <f>H56/2</f>
        <v>7205.8823529411766</v>
      </c>
    </row>
    <row r="57" spans="2:9" ht="18" customHeight="1" x14ac:dyDescent="0.25">
      <c r="B57" s="413"/>
      <c r="C57" s="413"/>
      <c r="D57" s="414"/>
      <c r="E57" s="413"/>
      <c r="F57" s="413"/>
      <c r="G57" s="413"/>
      <c r="H57" s="413"/>
      <c r="I57" s="413"/>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J443"/>
  <sheetViews>
    <sheetView showGridLines="0" topLeftCell="A10" zoomScaleNormal="100" workbookViewId="0"/>
  </sheetViews>
  <sheetFormatPr defaultColWidth="9.140625" defaultRowHeight="15" customHeight="1" x14ac:dyDescent="0.25"/>
  <cols>
    <col min="1" max="1" width="4.5703125" style="94" customWidth="1"/>
    <col min="2" max="2" width="50.42578125" style="93" customWidth="1"/>
    <col min="3" max="3" width="14.5703125" style="93" customWidth="1"/>
    <col min="4" max="4" width="45.140625" style="93" customWidth="1"/>
    <col min="5" max="7" width="9.140625" style="94"/>
    <col min="8" max="8" width="11" style="94" bestFit="1" customWidth="1"/>
    <col min="9" max="16384" width="9.140625" style="94"/>
  </cols>
  <sheetData>
    <row r="1" spans="1:9" ht="16.5" customHeight="1" x14ac:dyDescent="0.25"/>
    <row r="2" spans="1:9" ht="19.5" customHeight="1" x14ac:dyDescent="0.25">
      <c r="B2" s="107" t="str">
        <f>"Financial Model of " &amp; B4</f>
        <v>Financial Model of Proposed 6000 KGPD CBG plant set up M/s. NRS BIO FUEL ENERGIES LLP</v>
      </c>
      <c r="C2" s="108"/>
      <c r="D2" s="109"/>
    </row>
    <row r="3" spans="1:9" ht="9" customHeight="1" x14ac:dyDescent="0.25"/>
    <row r="4" spans="1:9" ht="19.5" customHeight="1" x14ac:dyDescent="0.25">
      <c r="B4" s="95" t="str">
        <f>'Common Assumption'!B4</f>
        <v>Proposed 6000 KGPD CBG plant set up M/s. NRS BIO FUEL ENERGIES LLP</v>
      </c>
      <c r="C4" s="95"/>
      <c r="D4" s="96"/>
    </row>
    <row r="6" spans="1:9" ht="18" customHeight="1" x14ac:dyDescent="0.25">
      <c r="B6" s="97" t="s">
        <v>102</v>
      </c>
      <c r="C6" s="97"/>
      <c r="D6" s="97"/>
    </row>
    <row r="7" spans="1:9" ht="18" customHeight="1" x14ac:dyDescent="0.25">
      <c r="B7" s="98" t="s">
        <v>2</v>
      </c>
      <c r="C7" s="98"/>
      <c r="D7" s="99" t="s">
        <v>103</v>
      </c>
    </row>
    <row r="8" spans="1:9" ht="18" customHeight="1" x14ac:dyDescent="0.25">
      <c r="A8" s="313">
        <v>1</v>
      </c>
      <c r="B8" s="93" t="s">
        <v>106</v>
      </c>
      <c r="D8" s="112">
        <f>'Final Cost Sheet NRSBF'!H30/10^2</f>
        <v>0.91252000000000011</v>
      </c>
      <c r="E8" s="100"/>
    </row>
    <row r="9" spans="1:9" ht="18" customHeight="1" x14ac:dyDescent="0.25">
      <c r="A9" s="313">
        <f>A8+1</f>
        <v>2</v>
      </c>
      <c r="B9" s="93" t="s">
        <v>107</v>
      </c>
      <c r="D9" s="112">
        <f>'Final Cost Sheet NRSBF'!H63/10^2</f>
        <v>9.1427939196000025</v>
      </c>
      <c r="E9" s="100"/>
      <c r="F9" s="312"/>
      <c r="H9" s="331"/>
    </row>
    <row r="10" spans="1:9" ht="18" customHeight="1" x14ac:dyDescent="0.25">
      <c r="A10" s="313">
        <f t="shared" ref="A10:A20" si="0">A9+1</f>
        <v>3</v>
      </c>
      <c r="B10" s="93" t="s">
        <v>108</v>
      </c>
      <c r="D10" s="112">
        <f>('Final Cost Sheet NRSBF'!H96+'Final Cost Sheet NRSBF'!H113+'Final Cost Sheet NRSBF'!H114)/10^2</f>
        <v>21.895806499999999</v>
      </c>
      <c r="E10" s="100"/>
      <c r="F10" s="312"/>
      <c r="G10" s="312">
        <f ca="1">D10/D20</f>
        <v>0.53060623560789033</v>
      </c>
    </row>
    <row r="11" spans="1:9" ht="18" customHeight="1" x14ac:dyDescent="0.25">
      <c r="A11" s="313">
        <f t="shared" si="0"/>
        <v>4</v>
      </c>
      <c r="B11" s="93" t="s">
        <v>660</v>
      </c>
      <c r="D11" s="147">
        <f>'Final Cost Sheet NRSBF'!H109/10^2</f>
        <v>3.9648000000000003</v>
      </c>
      <c r="E11" s="100"/>
      <c r="G11" s="100"/>
    </row>
    <row r="12" spans="1:9" ht="18" customHeight="1" x14ac:dyDescent="0.25">
      <c r="A12" s="313">
        <f t="shared" si="0"/>
        <v>5</v>
      </c>
      <c r="B12" s="93" t="s">
        <v>110</v>
      </c>
      <c r="D12" s="147">
        <f>'Final Cost Sheet NRSBF'!H112/10^2</f>
        <v>0.315</v>
      </c>
      <c r="E12" s="100"/>
    </row>
    <row r="13" spans="1:9" ht="18" customHeight="1" x14ac:dyDescent="0.25">
      <c r="A13" s="313">
        <f t="shared" si="0"/>
        <v>6</v>
      </c>
      <c r="B13" s="93" t="s">
        <v>843</v>
      </c>
      <c r="D13" s="112">
        <f>'Final Cost Sheet NRSBF'!H115/10^2</f>
        <v>0.1</v>
      </c>
      <c r="E13" s="100"/>
    </row>
    <row r="14" spans="1:9" ht="18" customHeight="1" x14ac:dyDescent="0.25">
      <c r="A14" s="313">
        <f t="shared" si="0"/>
        <v>7</v>
      </c>
      <c r="B14" s="93" t="s">
        <v>1019</v>
      </c>
      <c r="D14" s="112">
        <f>SUM(D9:D11)*2%</f>
        <v>0.70006800839200001</v>
      </c>
      <c r="E14" s="100"/>
    </row>
    <row r="15" spans="1:9" ht="18" customHeight="1" x14ac:dyDescent="0.25">
      <c r="A15" s="313">
        <f t="shared" si="0"/>
        <v>8</v>
      </c>
      <c r="B15" s="93" t="s">
        <v>112</v>
      </c>
      <c r="D15" s="101">
        <f>'Loan Schedule'!D17+'Loan Schedule'!E17</f>
        <v>1.6317635416666665</v>
      </c>
      <c r="E15" s="100"/>
    </row>
    <row r="16" spans="1:9" ht="18" customHeight="1" x14ac:dyDescent="0.25">
      <c r="A16" s="313">
        <f t="shared" si="0"/>
        <v>9</v>
      </c>
      <c r="B16" s="102" t="s">
        <v>104</v>
      </c>
      <c r="C16" s="102"/>
      <c r="D16" s="103">
        <f>SUM(D8:D15)</f>
        <v>38.662751969658665</v>
      </c>
      <c r="I16" s="100"/>
    </row>
    <row r="17" spans="1:10" ht="18" customHeight="1" x14ac:dyDescent="0.25">
      <c r="A17" s="313">
        <f t="shared" si="0"/>
        <v>10</v>
      </c>
      <c r="B17" s="93" t="s">
        <v>487</v>
      </c>
      <c r="D17" s="112">
        <f>'Final Cost Sheet NRSBF'!H25/10^2</f>
        <v>1.895</v>
      </c>
    </row>
    <row r="18" spans="1:10" ht="18" customHeight="1" x14ac:dyDescent="0.25">
      <c r="A18" s="313">
        <f t="shared" si="0"/>
        <v>11</v>
      </c>
      <c r="B18" s="102" t="s">
        <v>104</v>
      </c>
      <c r="C18" s="102"/>
      <c r="D18" s="103">
        <f>SUM(D16:D17)</f>
        <v>40.557751969658668</v>
      </c>
    </row>
    <row r="19" spans="1:10" ht="18" customHeight="1" x14ac:dyDescent="0.25">
      <c r="A19" s="313">
        <f t="shared" si="0"/>
        <v>12</v>
      </c>
      <c r="B19" s="93" t="s">
        <v>116</v>
      </c>
      <c r="D19" s="101">
        <f ca="1">'Working Capital Assessment'!F70</f>
        <v>0.70788916046301764</v>
      </c>
    </row>
    <row r="20" spans="1:10" ht="18" customHeight="1" x14ac:dyDescent="0.25">
      <c r="A20" s="313">
        <f t="shared" si="0"/>
        <v>13</v>
      </c>
      <c r="B20" s="411" t="s">
        <v>114</v>
      </c>
      <c r="C20" s="411"/>
      <c r="D20" s="412">
        <f ca="1">D18+D19</f>
        <v>41.265641130121686</v>
      </c>
      <c r="G20" s="100">
        <f ca="1">D20/6</f>
        <v>6.8776068550202814</v>
      </c>
    </row>
    <row r="21" spans="1:10" ht="18" customHeight="1" x14ac:dyDescent="0.25">
      <c r="B21" s="94"/>
      <c r="C21" s="94"/>
      <c r="D21" s="94"/>
    </row>
    <row r="22" spans="1:10" ht="18" customHeight="1" x14ac:dyDescent="0.25">
      <c r="B22" s="97" t="s">
        <v>105</v>
      </c>
      <c r="C22" s="97"/>
      <c r="D22" s="97"/>
    </row>
    <row r="23" spans="1:10" ht="18" customHeight="1" x14ac:dyDescent="0.25">
      <c r="B23" s="98" t="s">
        <v>2</v>
      </c>
      <c r="C23" s="98"/>
      <c r="D23" s="99" t="s">
        <v>103</v>
      </c>
    </row>
    <row r="24" spans="1:10" ht="18" customHeight="1" x14ac:dyDescent="0.25">
      <c r="A24" s="313">
        <v>1</v>
      </c>
      <c r="B24" s="483" t="s">
        <v>275</v>
      </c>
      <c r="C24" s="484"/>
      <c r="D24" s="482">
        <f ca="1">D20-D27</f>
        <v>12.835641130121687</v>
      </c>
      <c r="H24" s="100"/>
    </row>
    <row r="25" spans="1:10" ht="18" customHeight="1" x14ac:dyDescent="0.25">
      <c r="A25" s="313">
        <v>2</v>
      </c>
      <c r="B25" s="483" t="s">
        <v>276</v>
      </c>
      <c r="C25" s="484"/>
      <c r="D25" s="482">
        <v>0</v>
      </c>
      <c r="H25" s="100"/>
    </row>
    <row r="26" spans="1:10" ht="18" customHeight="1" x14ac:dyDescent="0.25">
      <c r="A26" s="313">
        <v>3</v>
      </c>
      <c r="B26" s="104" t="s">
        <v>926</v>
      </c>
      <c r="C26" s="105"/>
      <c r="D26" s="106">
        <f ca="1">D24+D25</f>
        <v>12.835641130121687</v>
      </c>
    </row>
    <row r="27" spans="1:10" ht="18" customHeight="1" thickBot="1" x14ac:dyDescent="0.3">
      <c r="A27" s="313">
        <v>4</v>
      </c>
      <c r="B27" s="104" t="s">
        <v>277</v>
      </c>
      <c r="C27" s="105"/>
      <c r="D27" s="106">
        <v>28.43</v>
      </c>
      <c r="H27" s="181"/>
      <c r="J27" s="100"/>
    </row>
    <row r="28" spans="1:10" ht="18" customHeight="1" thickBot="1" x14ac:dyDescent="0.3">
      <c r="B28" s="110" t="s">
        <v>104</v>
      </c>
      <c r="C28" s="110"/>
      <c r="D28" s="111">
        <f ca="1">D26+D27</f>
        <v>41.265641130121686</v>
      </c>
      <c r="E28" s="186">
        <f ca="1">D20-D28</f>
        <v>0</v>
      </c>
      <c r="G28" s="100">
        <f ca="1">D27/D26</f>
        <v>2.2149263688342518</v>
      </c>
    </row>
    <row r="29" spans="1:10" ht="18" customHeight="1" x14ac:dyDescent="0.25">
      <c r="B29" s="104"/>
      <c r="D29" s="105"/>
    </row>
    <row r="30" spans="1:10" ht="18" customHeight="1" x14ac:dyDescent="0.25">
      <c r="B30" s="93" t="s">
        <v>278</v>
      </c>
      <c r="D30" s="106">
        <f>'Working Capital Assessment'!F72</f>
        <v>1.5</v>
      </c>
    </row>
    <row r="31" spans="1:10" ht="18" customHeight="1" x14ac:dyDescent="0.25">
      <c r="B31" s="102" t="s">
        <v>279</v>
      </c>
      <c r="C31" s="102"/>
      <c r="D31" s="103">
        <f>D27+D30</f>
        <v>29.93</v>
      </c>
    </row>
    <row r="32" spans="1:10" ht="18" customHeight="1" x14ac:dyDescent="0.25">
      <c r="D32" s="105"/>
    </row>
    <row r="33" spans="4:4" ht="18" customHeight="1" x14ac:dyDescent="0.25">
      <c r="D33" s="105"/>
    </row>
    <row r="34" spans="4:4" ht="18" customHeight="1" x14ac:dyDescent="0.25">
      <c r="D34" s="105"/>
    </row>
    <row r="35" spans="4:4" ht="18" customHeight="1" x14ac:dyDescent="0.25">
      <c r="D35" s="105"/>
    </row>
    <row r="36" spans="4:4" ht="18" customHeight="1" x14ac:dyDescent="0.25">
      <c r="D36" s="105"/>
    </row>
    <row r="37" spans="4:4" ht="18" customHeight="1" x14ac:dyDescent="0.25">
      <c r="D37" s="105"/>
    </row>
    <row r="38" spans="4:4" ht="18" customHeight="1" x14ac:dyDescent="0.25">
      <c r="D38" s="105"/>
    </row>
    <row r="39" spans="4:4" ht="18" customHeight="1" x14ac:dyDescent="0.25">
      <c r="D39" s="105"/>
    </row>
    <row r="40" spans="4:4" ht="18" customHeight="1" x14ac:dyDescent="0.25">
      <c r="D40" s="105"/>
    </row>
    <row r="41" spans="4:4" ht="18" customHeight="1" x14ac:dyDescent="0.25">
      <c r="D41" s="105"/>
    </row>
    <row r="42" spans="4:4" ht="18" customHeight="1" x14ac:dyDescent="0.25">
      <c r="D42" s="105"/>
    </row>
    <row r="43" spans="4:4" ht="18" customHeight="1" x14ac:dyDescent="0.25">
      <c r="D43" s="105"/>
    </row>
    <row r="44" spans="4:4" ht="18" customHeight="1" x14ac:dyDescent="0.25">
      <c r="D44" s="105"/>
    </row>
    <row r="45" spans="4:4" ht="18" customHeight="1" x14ac:dyDescent="0.25">
      <c r="D45" s="105"/>
    </row>
    <row r="46" spans="4:4" ht="18" customHeight="1" x14ac:dyDescent="0.25">
      <c r="D46" s="105"/>
    </row>
    <row r="47" spans="4:4" ht="18" customHeight="1" x14ac:dyDescent="0.25">
      <c r="D47" s="105"/>
    </row>
    <row r="48" spans="4:4" x14ac:dyDescent="0.25">
      <c r="D48" s="105"/>
    </row>
    <row r="49" spans="4:4" x14ac:dyDescent="0.25">
      <c r="D49" s="105"/>
    </row>
    <row r="50" spans="4:4" ht="18" customHeight="1" x14ac:dyDescent="0.25">
      <c r="D50" s="105"/>
    </row>
    <row r="51" spans="4:4" ht="18" customHeight="1" x14ac:dyDescent="0.25">
      <c r="D51" s="105"/>
    </row>
    <row r="52" spans="4:4" ht="18" customHeight="1" x14ac:dyDescent="0.25">
      <c r="D52" s="105"/>
    </row>
    <row r="53" spans="4:4" ht="18" customHeight="1" x14ac:dyDescent="0.25">
      <c r="D53" s="105"/>
    </row>
    <row r="54" spans="4:4" ht="18" customHeight="1" x14ac:dyDescent="0.25">
      <c r="D54" s="105"/>
    </row>
    <row r="55" spans="4:4" ht="18" customHeight="1" x14ac:dyDescent="0.25">
      <c r="D55" s="105"/>
    </row>
    <row r="56" spans="4:4" ht="18" customHeight="1" x14ac:dyDescent="0.25">
      <c r="D56" s="105"/>
    </row>
    <row r="57" spans="4:4" ht="18" customHeight="1" x14ac:dyDescent="0.25">
      <c r="D57" s="105"/>
    </row>
    <row r="58" spans="4:4" ht="18" customHeight="1" x14ac:dyDescent="0.25">
      <c r="D58" s="105"/>
    </row>
    <row r="59" spans="4:4" ht="18" customHeight="1" x14ac:dyDescent="0.25">
      <c r="D59" s="105"/>
    </row>
    <row r="60" spans="4:4" ht="18" customHeight="1" x14ac:dyDescent="0.25">
      <c r="D60" s="105"/>
    </row>
    <row r="61" spans="4:4" ht="18" customHeight="1" x14ac:dyDescent="0.25">
      <c r="D61" s="105"/>
    </row>
    <row r="62" spans="4:4" ht="18" customHeight="1" x14ac:dyDescent="0.25">
      <c r="D62" s="105"/>
    </row>
    <row r="63" spans="4:4" ht="18" customHeight="1" x14ac:dyDescent="0.25">
      <c r="D63" s="105"/>
    </row>
    <row r="64" spans="4:4" ht="18" customHeight="1" x14ac:dyDescent="0.25">
      <c r="D64" s="105"/>
    </row>
    <row r="65" spans="4:4" ht="18" customHeight="1" x14ac:dyDescent="0.25">
      <c r="D65" s="105"/>
    </row>
    <row r="66" spans="4:4" ht="18" customHeight="1" x14ac:dyDescent="0.25">
      <c r="D66" s="105"/>
    </row>
    <row r="67" spans="4:4" ht="18" customHeight="1" x14ac:dyDescent="0.25">
      <c r="D67" s="105"/>
    </row>
    <row r="68" spans="4:4" ht="18" customHeight="1" x14ac:dyDescent="0.25">
      <c r="D68" s="105"/>
    </row>
    <row r="69" spans="4:4" ht="18" customHeight="1" x14ac:dyDescent="0.25">
      <c r="D69" s="105"/>
    </row>
    <row r="70" spans="4:4" ht="18" customHeight="1" x14ac:dyDescent="0.25">
      <c r="D70" s="105"/>
    </row>
    <row r="71" spans="4:4" ht="18" customHeight="1" x14ac:dyDescent="0.25">
      <c r="D71" s="105"/>
    </row>
    <row r="72" spans="4:4" ht="18" customHeight="1" x14ac:dyDescent="0.25">
      <c r="D72" s="105"/>
    </row>
    <row r="73" spans="4:4" ht="18" customHeight="1" x14ac:dyDescent="0.25">
      <c r="D73" s="105"/>
    </row>
    <row r="74" spans="4:4" ht="18" customHeight="1" x14ac:dyDescent="0.25">
      <c r="D74" s="105"/>
    </row>
    <row r="75" spans="4:4" ht="18" customHeight="1" x14ac:dyDescent="0.25">
      <c r="D75" s="105"/>
    </row>
    <row r="76" spans="4:4" ht="18" customHeight="1" x14ac:dyDescent="0.25">
      <c r="D76" s="105"/>
    </row>
    <row r="77" spans="4:4" ht="18" customHeight="1" x14ac:dyDescent="0.25">
      <c r="D77" s="105"/>
    </row>
    <row r="78" spans="4:4" ht="18" customHeight="1" x14ac:dyDescent="0.25">
      <c r="D78" s="105"/>
    </row>
    <row r="79" spans="4:4" ht="18" customHeight="1" x14ac:dyDescent="0.25">
      <c r="D79" s="105"/>
    </row>
    <row r="80" spans="4:4" ht="18" customHeight="1" x14ac:dyDescent="0.25">
      <c r="D80" s="105"/>
    </row>
    <row r="81" spans="4:4" x14ac:dyDescent="0.25">
      <c r="D81" s="105"/>
    </row>
    <row r="82" spans="4:4" x14ac:dyDescent="0.25">
      <c r="D82" s="105"/>
    </row>
    <row r="83" spans="4:4" ht="18" customHeight="1" x14ac:dyDescent="0.25">
      <c r="D83" s="105"/>
    </row>
    <row r="84" spans="4:4" ht="18" customHeight="1" x14ac:dyDescent="0.25">
      <c r="D84" s="105"/>
    </row>
    <row r="85" spans="4:4" ht="18" customHeight="1" x14ac:dyDescent="0.25">
      <c r="D85" s="105"/>
    </row>
    <row r="86" spans="4:4" ht="18" customHeight="1" x14ac:dyDescent="0.25">
      <c r="D86" s="105"/>
    </row>
    <row r="87" spans="4:4" ht="18" customHeight="1" x14ac:dyDescent="0.25">
      <c r="D87" s="105"/>
    </row>
    <row r="88" spans="4:4" x14ac:dyDescent="0.25">
      <c r="D88" s="105"/>
    </row>
    <row r="89" spans="4:4" ht="18" customHeight="1" x14ac:dyDescent="0.25">
      <c r="D89" s="105"/>
    </row>
    <row r="90" spans="4:4" ht="18" customHeight="1" x14ac:dyDescent="0.25">
      <c r="D90" s="105"/>
    </row>
    <row r="91" spans="4:4" ht="18" customHeight="1" x14ac:dyDescent="0.25">
      <c r="D91" s="105"/>
    </row>
    <row r="92" spans="4:4" x14ac:dyDescent="0.25">
      <c r="D92" s="105"/>
    </row>
    <row r="93" spans="4:4" x14ac:dyDescent="0.25">
      <c r="D93" s="105"/>
    </row>
    <row r="94" spans="4:4" ht="18" customHeight="1" x14ac:dyDescent="0.25">
      <c r="D94" s="105"/>
    </row>
    <row r="95" spans="4:4" ht="18" customHeight="1" x14ac:dyDescent="0.25">
      <c r="D95" s="105"/>
    </row>
    <row r="96" spans="4:4" ht="18" customHeight="1" x14ac:dyDescent="0.25">
      <c r="D96" s="105"/>
    </row>
    <row r="97" spans="4:4" ht="18" customHeight="1" x14ac:dyDescent="0.25">
      <c r="D97" s="105"/>
    </row>
    <row r="98" spans="4:4" ht="18" customHeight="1" x14ac:dyDescent="0.25">
      <c r="D98" s="105"/>
    </row>
    <row r="99" spans="4:4" ht="18" customHeight="1" x14ac:dyDescent="0.25">
      <c r="D99" s="105"/>
    </row>
    <row r="100" spans="4:4" ht="18" customHeight="1" x14ac:dyDescent="0.25">
      <c r="D100" s="105"/>
    </row>
    <row r="101" spans="4:4" ht="18" customHeight="1" x14ac:dyDescent="0.25">
      <c r="D101" s="105"/>
    </row>
    <row r="102" spans="4:4" ht="18" customHeight="1" x14ac:dyDescent="0.25">
      <c r="D102" s="105"/>
    </row>
    <row r="103" spans="4:4" ht="18" customHeight="1" x14ac:dyDescent="0.25">
      <c r="D103" s="105"/>
    </row>
    <row r="104" spans="4:4" ht="18" customHeight="1" x14ac:dyDescent="0.25">
      <c r="D104" s="105"/>
    </row>
    <row r="105" spans="4:4" ht="18" customHeight="1" x14ac:dyDescent="0.25">
      <c r="D105" s="105"/>
    </row>
    <row r="106" spans="4:4" ht="18" customHeight="1" x14ac:dyDescent="0.25">
      <c r="D106" s="105"/>
    </row>
    <row r="107" spans="4:4" ht="18" customHeight="1" x14ac:dyDescent="0.25">
      <c r="D107" s="105"/>
    </row>
    <row r="108" spans="4:4" ht="18" customHeight="1" x14ac:dyDescent="0.25">
      <c r="D108" s="105"/>
    </row>
    <row r="109" spans="4:4" ht="18" customHeight="1" x14ac:dyDescent="0.25">
      <c r="D109" s="105"/>
    </row>
    <row r="110" spans="4:4" ht="18" customHeight="1" x14ac:dyDescent="0.25">
      <c r="D110" s="105"/>
    </row>
    <row r="111" spans="4:4" ht="18" customHeight="1" x14ac:dyDescent="0.25">
      <c r="D111" s="105"/>
    </row>
    <row r="112" spans="4:4" ht="18" customHeight="1" x14ac:dyDescent="0.25">
      <c r="D112" s="105"/>
    </row>
    <row r="113" spans="2:4" ht="18" customHeight="1" x14ac:dyDescent="0.25">
      <c r="B113" s="656" t="s">
        <v>1041</v>
      </c>
      <c r="D113" s="105"/>
    </row>
    <row r="114" spans="2:4" ht="18" customHeight="1" x14ac:dyDescent="0.25">
      <c r="D114" s="105"/>
    </row>
    <row r="115" spans="2:4" ht="18" customHeight="1" x14ac:dyDescent="0.25">
      <c r="D115" s="105"/>
    </row>
    <row r="116" spans="2:4" ht="18" customHeight="1" x14ac:dyDescent="0.25">
      <c r="D116" s="105"/>
    </row>
    <row r="117" spans="2:4" ht="18" customHeight="1" x14ac:dyDescent="0.25">
      <c r="D117" s="105"/>
    </row>
    <row r="118" spans="2:4" ht="18" customHeight="1" x14ac:dyDescent="0.25">
      <c r="D118" s="105"/>
    </row>
    <row r="119" spans="2:4" ht="18" customHeight="1" x14ac:dyDescent="0.25">
      <c r="D119" s="105"/>
    </row>
    <row r="120" spans="2:4" ht="18" customHeight="1" x14ac:dyDescent="0.25">
      <c r="B120" s="656"/>
      <c r="D120" s="105"/>
    </row>
    <row r="121" spans="2:4" ht="18" customHeight="1" x14ac:dyDescent="0.25">
      <c r="D121" s="105"/>
    </row>
    <row r="122" spans="2:4" ht="18" customHeight="1" x14ac:dyDescent="0.25">
      <c r="D122" s="105"/>
    </row>
    <row r="123" spans="2:4" ht="18" customHeight="1" x14ac:dyDescent="0.25">
      <c r="D123" s="105"/>
    </row>
    <row r="124" spans="2:4" ht="18" customHeight="1" x14ac:dyDescent="0.25">
      <c r="D124" s="105"/>
    </row>
    <row r="125" spans="2:4" ht="18" customHeight="1" x14ac:dyDescent="0.25">
      <c r="D125" s="105"/>
    </row>
    <row r="126" spans="2:4" ht="18" customHeight="1" x14ac:dyDescent="0.25">
      <c r="D126" s="105"/>
    </row>
    <row r="127" spans="2:4" ht="18" customHeight="1" x14ac:dyDescent="0.25">
      <c r="D127" s="105"/>
    </row>
    <row r="128" spans="2:4" ht="18" customHeight="1" x14ac:dyDescent="0.25">
      <c r="D128" s="105"/>
    </row>
    <row r="129" spans="1:5" ht="18" customHeight="1" x14ac:dyDescent="0.25">
      <c r="D129" s="105"/>
    </row>
    <row r="130" spans="1:5" ht="18" customHeight="1" x14ac:dyDescent="0.25">
      <c r="A130" s="93"/>
      <c r="D130" s="105"/>
    </row>
    <row r="131" spans="1:5" ht="18" customHeight="1" x14ac:dyDescent="0.25">
      <c r="A131" s="93"/>
      <c r="D131" s="105"/>
    </row>
    <row r="132" spans="1:5" ht="18" customHeight="1" x14ac:dyDescent="0.25">
      <c r="A132" s="93"/>
      <c r="D132" s="105"/>
    </row>
    <row r="133" spans="1:5" ht="18" customHeight="1" x14ac:dyDescent="0.25">
      <c r="A133" s="93"/>
      <c r="D133" s="105"/>
    </row>
    <row r="134" spans="1:5" s="93" customFormat="1" ht="18" customHeight="1" x14ac:dyDescent="0.25">
      <c r="D134" s="105"/>
      <c r="E134" s="94"/>
    </row>
    <row r="135" spans="1:5" s="93" customFormat="1" ht="18" customHeight="1" x14ac:dyDescent="0.25">
      <c r="E135" s="94"/>
    </row>
    <row r="136" spans="1:5" s="93" customFormat="1" ht="18" customHeight="1" x14ac:dyDescent="0.25">
      <c r="E136" s="94"/>
    </row>
    <row r="137" spans="1:5" s="93" customFormat="1" ht="18" customHeight="1" x14ac:dyDescent="0.25">
      <c r="E137" s="94"/>
    </row>
    <row r="138" spans="1:5" s="93" customFormat="1" ht="18" customHeight="1" x14ac:dyDescent="0.25">
      <c r="E138" s="94"/>
    </row>
    <row r="139" spans="1:5" s="93" customFormat="1" ht="18" customHeight="1" x14ac:dyDescent="0.25">
      <c r="E139" s="94"/>
    </row>
    <row r="140" spans="1:5" s="93" customFormat="1" ht="18" customHeight="1" x14ac:dyDescent="0.25">
      <c r="E140" s="94"/>
    </row>
    <row r="141" spans="1:5" s="93" customFormat="1" ht="18" customHeight="1" x14ac:dyDescent="0.25">
      <c r="E141" s="94"/>
    </row>
    <row r="142" spans="1:5" s="93" customFormat="1" ht="18" customHeight="1" x14ac:dyDescent="0.25">
      <c r="E142" s="94"/>
    </row>
    <row r="143" spans="1:5" s="93" customFormat="1" ht="18" customHeight="1" x14ac:dyDescent="0.25">
      <c r="E143" s="94"/>
    </row>
    <row r="144" spans="1:5" s="93" customFormat="1" ht="18" customHeight="1" x14ac:dyDescent="0.25">
      <c r="E144" s="94"/>
    </row>
    <row r="145" spans="5:5" s="93" customFormat="1" ht="18" customHeight="1" x14ac:dyDescent="0.25">
      <c r="E145" s="94"/>
    </row>
    <row r="146" spans="5:5" s="93" customFormat="1" ht="18" customHeight="1" x14ac:dyDescent="0.25">
      <c r="E146" s="94"/>
    </row>
    <row r="147" spans="5:5" s="93" customFormat="1" ht="18" customHeight="1" x14ac:dyDescent="0.25">
      <c r="E147" s="94"/>
    </row>
    <row r="148" spans="5:5" s="93" customFormat="1" ht="18" customHeight="1" x14ac:dyDescent="0.25">
      <c r="E148" s="94"/>
    </row>
    <row r="149" spans="5:5" s="93" customFormat="1" ht="18" customHeight="1" x14ac:dyDescent="0.25">
      <c r="E149" s="94"/>
    </row>
    <row r="150" spans="5:5" s="93" customFormat="1" ht="18" customHeight="1" x14ac:dyDescent="0.25">
      <c r="E150" s="94"/>
    </row>
    <row r="151" spans="5:5" s="93" customFormat="1" ht="18" customHeight="1" x14ac:dyDescent="0.25">
      <c r="E151" s="94"/>
    </row>
    <row r="152" spans="5:5" s="93" customFormat="1" ht="18" customHeight="1" x14ac:dyDescent="0.25">
      <c r="E152" s="94"/>
    </row>
    <row r="153" spans="5:5" s="93" customFormat="1" ht="18" customHeight="1" x14ac:dyDescent="0.25">
      <c r="E153" s="94"/>
    </row>
    <row r="154" spans="5:5" s="93" customFormat="1" ht="18" customHeight="1" x14ac:dyDescent="0.25">
      <c r="E154" s="94"/>
    </row>
    <row r="155" spans="5:5" s="93" customFormat="1" ht="18" customHeight="1" x14ac:dyDescent="0.25">
      <c r="E155" s="94"/>
    </row>
    <row r="156" spans="5:5" s="93" customFormat="1" ht="18" customHeight="1" x14ac:dyDescent="0.25">
      <c r="E156" s="94"/>
    </row>
    <row r="157" spans="5:5" s="93" customFormat="1" ht="18" customHeight="1" x14ac:dyDescent="0.25">
      <c r="E157" s="94"/>
    </row>
    <row r="158" spans="5:5" s="93" customFormat="1" ht="18" customHeight="1" x14ac:dyDescent="0.25">
      <c r="E158" s="94"/>
    </row>
    <row r="159" spans="5:5" s="93" customFormat="1" ht="18" customHeight="1" x14ac:dyDescent="0.25">
      <c r="E159" s="94"/>
    </row>
    <row r="160" spans="5:5" s="93" customFormat="1" ht="18" customHeight="1" x14ac:dyDescent="0.25">
      <c r="E160" s="94"/>
    </row>
    <row r="161" spans="5:5" s="93" customFormat="1" ht="18" customHeight="1" x14ac:dyDescent="0.25">
      <c r="E161" s="94"/>
    </row>
    <row r="162" spans="5:5" s="93" customFormat="1" ht="18" customHeight="1" x14ac:dyDescent="0.25">
      <c r="E162" s="94"/>
    </row>
    <row r="163" spans="5:5" s="93" customFormat="1" ht="18" customHeight="1" x14ac:dyDescent="0.25">
      <c r="E163" s="94"/>
    </row>
    <row r="164" spans="5:5" s="93" customFormat="1" ht="18" customHeight="1" x14ac:dyDescent="0.25">
      <c r="E164" s="94"/>
    </row>
    <row r="165" spans="5:5" s="93" customFormat="1" ht="18" customHeight="1" x14ac:dyDescent="0.25">
      <c r="E165" s="94"/>
    </row>
    <row r="166" spans="5:5" s="93" customFormat="1" ht="18" customHeight="1" x14ac:dyDescent="0.25">
      <c r="E166" s="94"/>
    </row>
    <row r="167" spans="5:5" s="93" customFormat="1" ht="18" customHeight="1" x14ac:dyDescent="0.25">
      <c r="E167" s="94"/>
    </row>
    <row r="168" spans="5:5" s="93" customFormat="1" ht="18" customHeight="1" x14ac:dyDescent="0.25">
      <c r="E168" s="94"/>
    </row>
    <row r="169" spans="5:5" s="93" customFormat="1" ht="18" customHeight="1" x14ac:dyDescent="0.25">
      <c r="E169" s="94"/>
    </row>
    <row r="170" spans="5:5" s="93" customFormat="1" ht="18" customHeight="1" x14ac:dyDescent="0.25">
      <c r="E170" s="94"/>
    </row>
    <row r="171" spans="5:5" s="93" customFormat="1" ht="18" customHeight="1" x14ac:dyDescent="0.25">
      <c r="E171" s="94"/>
    </row>
    <row r="172" spans="5:5" s="93" customFormat="1" ht="18" customHeight="1" x14ac:dyDescent="0.25">
      <c r="E172" s="94"/>
    </row>
    <row r="173" spans="5:5" s="93" customFormat="1" ht="18" customHeight="1" x14ac:dyDescent="0.25">
      <c r="E173" s="94"/>
    </row>
    <row r="174" spans="5:5" s="93" customFormat="1" ht="18" customHeight="1" x14ac:dyDescent="0.25">
      <c r="E174" s="94"/>
    </row>
    <row r="175" spans="5:5" s="93" customFormat="1" ht="18" customHeight="1" x14ac:dyDescent="0.25">
      <c r="E175" s="94"/>
    </row>
    <row r="176" spans="5:5" s="93" customFormat="1" ht="18" customHeight="1" x14ac:dyDescent="0.25">
      <c r="E176" s="94"/>
    </row>
    <row r="177" spans="5:5" s="93" customFormat="1" ht="18" customHeight="1" x14ac:dyDescent="0.25">
      <c r="E177" s="94"/>
    </row>
    <row r="178" spans="5:5" s="93" customFormat="1" ht="18" customHeight="1" x14ac:dyDescent="0.25">
      <c r="E178" s="94"/>
    </row>
    <row r="179" spans="5:5" s="93" customFormat="1" ht="18" customHeight="1" x14ac:dyDescent="0.25">
      <c r="E179" s="94"/>
    </row>
    <row r="180" spans="5:5" s="93" customFormat="1" ht="18" customHeight="1" x14ac:dyDescent="0.25">
      <c r="E180" s="94"/>
    </row>
    <row r="181" spans="5:5" s="93" customFormat="1" ht="18" customHeight="1" x14ac:dyDescent="0.25">
      <c r="E181" s="94"/>
    </row>
    <row r="182" spans="5:5" s="93" customFormat="1" ht="18" customHeight="1" x14ac:dyDescent="0.25">
      <c r="E182" s="94"/>
    </row>
    <row r="183" spans="5:5" s="93" customFormat="1" ht="18" customHeight="1" x14ac:dyDescent="0.25">
      <c r="E183" s="94"/>
    </row>
    <row r="184" spans="5:5" s="93" customFormat="1" ht="18" customHeight="1" x14ac:dyDescent="0.25">
      <c r="E184" s="94"/>
    </row>
    <row r="185" spans="5:5" s="93" customFormat="1" ht="18" customHeight="1" x14ac:dyDescent="0.25">
      <c r="E185" s="94"/>
    </row>
    <row r="186" spans="5:5" s="93" customFormat="1" ht="18" customHeight="1" x14ac:dyDescent="0.25">
      <c r="E186" s="94"/>
    </row>
    <row r="187" spans="5:5" s="93" customFormat="1" ht="18" customHeight="1" x14ac:dyDescent="0.25">
      <c r="E187" s="94"/>
    </row>
    <row r="188" spans="5:5" s="93" customFormat="1" ht="18" customHeight="1" x14ac:dyDescent="0.25">
      <c r="E188" s="94"/>
    </row>
    <row r="189" spans="5:5" s="93" customFormat="1" ht="18" customHeight="1" x14ac:dyDescent="0.25">
      <c r="E189" s="94"/>
    </row>
    <row r="190" spans="5:5" s="93" customFormat="1" ht="18" customHeight="1" x14ac:dyDescent="0.25">
      <c r="E190" s="94"/>
    </row>
    <row r="191" spans="5:5" s="93" customFormat="1" ht="18" customHeight="1" x14ac:dyDescent="0.25">
      <c r="E191" s="94"/>
    </row>
    <row r="192" spans="5:5" s="93" customFormat="1" ht="18" customHeight="1" x14ac:dyDescent="0.25">
      <c r="E192" s="94"/>
    </row>
    <row r="193" spans="5:5" s="93" customFormat="1" ht="18" customHeight="1" x14ac:dyDescent="0.25">
      <c r="E193" s="94"/>
    </row>
    <row r="194" spans="5:5" s="93" customFormat="1" ht="18" customHeight="1" x14ac:dyDescent="0.25">
      <c r="E194" s="94"/>
    </row>
    <row r="195" spans="5:5" s="93" customFormat="1" ht="18" customHeight="1" x14ac:dyDescent="0.25">
      <c r="E195" s="94"/>
    </row>
    <row r="196" spans="5:5" s="93" customFormat="1" ht="18" customHeight="1" x14ac:dyDescent="0.25">
      <c r="E196" s="94"/>
    </row>
    <row r="197" spans="5:5" s="93" customFormat="1" ht="18" customHeight="1" x14ac:dyDescent="0.25">
      <c r="E197" s="94"/>
    </row>
    <row r="198" spans="5:5" s="93" customFormat="1" ht="18" customHeight="1" x14ac:dyDescent="0.25">
      <c r="E198" s="94"/>
    </row>
    <row r="199" spans="5:5" s="93" customFormat="1" ht="18" customHeight="1" x14ac:dyDescent="0.25">
      <c r="E199" s="94"/>
    </row>
    <row r="200" spans="5:5" s="93" customFormat="1" ht="18" customHeight="1" x14ac:dyDescent="0.25">
      <c r="E200" s="94"/>
    </row>
    <row r="201" spans="5:5" s="93" customFormat="1" ht="18" customHeight="1" x14ac:dyDescent="0.25">
      <c r="E201" s="94"/>
    </row>
    <row r="202" spans="5:5" s="93" customFormat="1" ht="18" customHeight="1" x14ac:dyDescent="0.25">
      <c r="E202" s="94"/>
    </row>
    <row r="203" spans="5:5" s="93" customFormat="1" ht="18" customHeight="1" x14ac:dyDescent="0.25">
      <c r="E203" s="94"/>
    </row>
    <row r="204" spans="5:5" s="93" customFormat="1" ht="18" customHeight="1" x14ac:dyDescent="0.25">
      <c r="E204" s="94"/>
    </row>
    <row r="205" spans="5:5" s="93" customFormat="1" ht="18" customHeight="1" x14ac:dyDescent="0.25">
      <c r="E205" s="94"/>
    </row>
    <row r="206" spans="5:5" s="93" customFormat="1" ht="18" customHeight="1" x14ac:dyDescent="0.25">
      <c r="E206" s="94"/>
    </row>
    <row r="207" spans="5:5" s="93" customFormat="1" ht="18" customHeight="1" x14ac:dyDescent="0.25">
      <c r="E207" s="94"/>
    </row>
    <row r="208" spans="5:5" s="93" customFormat="1" ht="18" customHeight="1" x14ac:dyDescent="0.25">
      <c r="E208" s="94"/>
    </row>
    <row r="209" spans="5:5" s="93" customFormat="1" ht="18" customHeight="1" x14ac:dyDescent="0.25">
      <c r="E209" s="94"/>
    </row>
    <row r="210" spans="5:5" s="93" customFormat="1" ht="18" customHeight="1" x14ac:dyDescent="0.25">
      <c r="E210" s="94"/>
    </row>
    <row r="211" spans="5:5" s="93" customFormat="1" ht="18" customHeight="1" x14ac:dyDescent="0.25">
      <c r="E211" s="94"/>
    </row>
    <row r="212" spans="5:5" s="93" customFormat="1" ht="18" customHeight="1" x14ac:dyDescent="0.25">
      <c r="E212" s="94"/>
    </row>
    <row r="213" spans="5:5" s="93" customFormat="1" ht="18" customHeight="1" x14ac:dyDescent="0.25">
      <c r="E213" s="94"/>
    </row>
    <row r="214" spans="5:5" s="93" customFormat="1" ht="18" customHeight="1" x14ac:dyDescent="0.25">
      <c r="E214" s="94"/>
    </row>
    <row r="215" spans="5:5" s="93" customFormat="1" ht="18" customHeight="1" x14ac:dyDescent="0.25">
      <c r="E215" s="94"/>
    </row>
    <row r="216" spans="5:5" s="93" customFormat="1" ht="18" customHeight="1" x14ac:dyDescent="0.25">
      <c r="E216" s="94"/>
    </row>
    <row r="217" spans="5:5" s="93" customFormat="1" ht="18" customHeight="1" x14ac:dyDescent="0.25">
      <c r="E217" s="94"/>
    </row>
    <row r="218" spans="5:5" s="93" customFormat="1" ht="18" customHeight="1" x14ac:dyDescent="0.25">
      <c r="E218" s="94"/>
    </row>
    <row r="219" spans="5:5" s="93" customFormat="1" ht="18" customHeight="1" x14ac:dyDescent="0.25">
      <c r="E219" s="94"/>
    </row>
    <row r="220" spans="5:5" s="93" customFormat="1" ht="18" customHeight="1" x14ac:dyDescent="0.25">
      <c r="E220" s="94"/>
    </row>
    <row r="221" spans="5:5" s="93" customFormat="1" ht="18" customHeight="1" x14ac:dyDescent="0.25">
      <c r="E221" s="94"/>
    </row>
    <row r="222" spans="5:5" s="93" customFormat="1" ht="18" customHeight="1" x14ac:dyDescent="0.25">
      <c r="E222" s="94"/>
    </row>
    <row r="223" spans="5:5" s="93" customFormat="1" ht="18" customHeight="1" x14ac:dyDescent="0.25">
      <c r="E223" s="94"/>
    </row>
    <row r="224" spans="5:5" s="93" customFormat="1" ht="18" customHeight="1" x14ac:dyDescent="0.25">
      <c r="E224" s="94"/>
    </row>
    <row r="225" spans="5:5" s="93" customFormat="1" ht="18" customHeight="1" x14ac:dyDescent="0.25">
      <c r="E225" s="94"/>
    </row>
    <row r="226" spans="5:5" s="93" customFormat="1" ht="18" customHeight="1" x14ac:dyDescent="0.25">
      <c r="E226" s="94"/>
    </row>
    <row r="227" spans="5:5" s="93" customFormat="1" ht="18" customHeight="1" x14ac:dyDescent="0.25">
      <c r="E227" s="94"/>
    </row>
    <row r="228" spans="5:5" s="93" customFormat="1" ht="18" customHeight="1" x14ac:dyDescent="0.25">
      <c r="E228" s="94"/>
    </row>
    <row r="229" spans="5:5" s="93" customFormat="1" ht="18" customHeight="1" x14ac:dyDescent="0.25">
      <c r="E229" s="94"/>
    </row>
    <row r="230" spans="5:5" s="93" customFormat="1" ht="18" customHeight="1" x14ac:dyDescent="0.25">
      <c r="E230" s="94"/>
    </row>
    <row r="231" spans="5:5" s="93" customFormat="1" ht="18" customHeight="1" x14ac:dyDescent="0.25">
      <c r="E231" s="94"/>
    </row>
    <row r="232" spans="5:5" s="93" customFormat="1" ht="18" customHeight="1" x14ac:dyDescent="0.25">
      <c r="E232" s="94"/>
    </row>
    <row r="233" spans="5:5" s="93" customFormat="1" ht="18" customHeight="1" x14ac:dyDescent="0.25">
      <c r="E233" s="94"/>
    </row>
    <row r="234" spans="5:5" s="93" customFormat="1" ht="18" customHeight="1" x14ac:dyDescent="0.25">
      <c r="E234" s="94"/>
    </row>
    <row r="235" spans="5:5" s="93" customFormat="1" ht="18" customHeight="1" x14ac:dyDescent="0.25">
      <c r="E235" s="94"/>
    </row>
    <row r="236" spans="5:5" s="93" customFormat="1" ht="18" customHeight="1" x14ac:dyDescent="0.25">
      <c r="E236" s="94"/>
    </row>
    <row r="237" spans="5:5" s="93" customFormat="1" ht="18" customHeight="1" x14ac:dyDescent="0.25">
      <c r="E237" s="94"/>
    </row>
    <row r="238" spans="5:5" s="93" customFormat="1" ht="18" customHeight="1" x14ac:dyDescent="0.25">
      <c r="E238" s="94"/>
    </row>
    <row r="239" spans="5:5" s="93" customFormat="1" ht="18" customHeight="1" x14ac:dyDescent="0.25">
      <c r="E239" s="94"/>
    </row>
    <row r="240" spans="5:5" s="93" customFormat="1" ht="18" customHeight="1" x14ac:dyDescent="0.25">
      <c r="E240" s="94"/>
    </row>
    <row r="241" spans="5:5" s="93" customFormat="1" ht="18" customHeight="1" x14ac:dyDescent="0.25">
      <c r="E241" s="94"/>
    </row>
    <row r="242" spans="5:5" s="93" customFormat="1" ht="18" customHeight="1" x14ac:dyDescent="0.25">
      <c r="E242" s="94"/>
    </row>
    <row r="243" spans="5:5" s="93" customFormat="1" ht="18" customHeight="1" x14ac:dyDescent="0.25">
      <c r="E243" s="94"/>
    </row>
    <row r="244" spans="5:5" s="93" customFormat="1" ht="18" customHeight="1" x14ac:dyDescent="0.25">
      <c r="E244" s="94"/>
    </row>
    <row r="245" spans="5:5" s="93" customFormat="1" ht="18" customHeight="1" x14ac:dyDescent="0.25">
      <c r="E245" s="94"/>
    </row>
    <row r="246" spans="5:5" s="93" customFormat="1" ht="18" customHeight="1" x14ac:dyDescent="0.25">
      <c r="E246" s="94"/>
    </row>
    <row r="247" spans="5:5" s="93" customFormat="1" ht="18" customHeight="1" x14ac:dyDescent="0.25">
      <c r="E247" s="94"/>
    </row>
    <row r="248" spans="5:5" s="93" customFormat="1" ht="18" customHeight="1" x14ac:dyDescent="0.25">
      <c r="E248" s="94"/>
    </row>
    <row r="249" spans="5:5" s="93" customFormat="1" ht="18" customHeight="1" x14ac:dyDescent="0.25">
      <c r="E249" s="94"/>
    </row>
    <row r="250" spans="5:5" s="93" customFormat="1" ht="18" customHeight="1" x14ac:dyDescent="0.25">
      <c r="E250" s="94"/>
    </row>
    <row r="251" spans="5:5" s="93" customFormat="1" ht="18" customHeight="1" x14ac:dyDescent="0.25">
      <c r="E251" s="94"/>
    </row>
    <row r="252" spans="5:5" s="93" customFormat="1" ht="18" customHeight="1" x14ac:dyDescent="0.25">
      <c r="E252" s="94"/>
    </row>
    <row r="253" spans="5:5" s="93" customFormat="1" ht="18" customHeight="1" x14ac:dyDescent="0.25">
      <c r="E253" s="94"/>
    </row>
    <row r="254" spans="5:5" s="93" customFormat="1" ht="18" customHeight="1" x14ac:dyDescent="0.25">
      <c r="E254" s="94"/>
    </row>
    <row r="255" spans="5:5" s="93" customFormat="1" ht="18" customHeight="1" x14ac:dyDescent="0.25">
      <c r="E255" s="94"/>
    </row>
    <row r="256" spans="5:5" s="93" customFormat="1" ht="18" customHeight="1" x14ac:dyDescent="0.25">
      <c r="E256" s="94"/>
    </row>
    <row r="257" spans="5:5" s="93" customFormat="1" ht="18" customHeight="1" x14ac:dyDescent="0.25">
      <c r="E257" s="94"/>
    </row>
    <row r="258" spans="5:5" s="93" customFormat="1" ht="18" customHeight="1" x14ac:dyDescent="0.25">
      <c r="E258" s="94"/>
    </row>
    <row r="259" spans="5:5" s="93" customFormat="1" ht="18" customHeight="1" x14ac:dyDescent="0.25">
      <c r="E259" s="94"/>
    </row>
    <row r="260" spans="5:5" s="93" customFormat="1" ht="18" customHeight="1" x14ac:dyDescent="0.25">
      <c r="E260" s="94"/>
    </row>
    <row r="261" spans="5:5" s="93" customFormat="1" ht="18" customHeight="1" x14ac:dyDescent="0.25">
      <c r="E261" s="94"/>
    </row>
    <row r="262" spans="5:5" s="93" customFormat="1" ht="18" customHeight="1" x14ac:dyDescent="0.25">
      <c r="E262" s="94"/>
    </row>
    <row r="263" spans="5:5" s="93" customFormat="1" ht="18" customHeight="1" x14ac:dyDescent="0.25">
      <c r="E263" s="94"/>
    </row>
    <row r="264" spans="5:5" s="93" customFormat="1" ht="18" customHeight="1" x14ac:dyDescent="0.25">
      <c r="E264" s="94"/>
    </row>
    <row r="265" spans="5:5" s="93" customFormat="1" ht="18" customHeight="1" x14ac:dyDescent="0.25">
      <c r="E265" s="94"/>
    </row>
    <row r="266" spans="5:5" s="93" customFormat="1" ht="18" customHeight="1" x14ac:dyDescent="0.25">
      <c r="E266" s="94"/>
    </row>
    <row r="267" spans="5:5" s="93" customFormat="1" ht="18" customHeight="1" x14ac:dyDescent="0.25">
      <c r="E267" s="94"/>
    </row>
    <row r="268" spans="5:5" s="93" customFormat="1" ht="18" customHeight="1" x14ac:dyDescent="0.25">
      <c r="E268" s="94"/>
    </row>
    <row r="269" spans="5:5" s="93" customFormat="1" ht="18" customHeight="1" x14ac:dyDescent="0.25">
      <c r="E269" s="94"/>
    </row>
    <row r="270" spans="5:5" s="93" customFormat="1" ht="18" customHeight="1" x14ac:dyDescent="0.25">
      <c r="E270" s="94"/>
    </row>
    <row r="271" spans="5:5" s="93" customFormat="1" ht="18" customHeight="1" x14ac:dyDescent="0.25">
      <c r="E271" s="94"/>
    </row>
    <row r="272" spans="5:5" s="93" customFormat="1" ht="18" customHeight="1" x14ac:dyDescent="0.25">
      <c r="E272" s="94"/>
    </row>
    <row r="273" spans="5:5" s="93" customFormat="1" ht="18" customHeight="1" x14ac:dyDescent="0.25">
      <c r="E273" s="94"/>
    </row>
    <row r="274" spans="5:5" s="93" customFormat="1" ht="18" customHeight="1" x14ac:dyDescent="0.25">
      <c r="E274" s="94"/>
    </row>
    <row r="275" spans="5:5" s="93" customFormat="1" ht="18" customHeight="1" x14ac:dyDescent="0.25">
      <c r="E275" s="94"/>
    </row>
    <row r="276" spans="5:5" s="93" customFormat="1" ht="18" customHeight="1" x14ac:dyDescent="0.25">
      <c r="E276" s="94"/>
    </row>
    <row r="277" spans="5:5" s="93" customFormat="1" ht="18" customHeight="1" x14ac:dyDescent="0.25">
      <c r="E277" s="94"/>
    </row>
    <row r="278" spans="5:5" s="93" customFormat="1" ht="18" customHeight="1" x14ac:dyDescent="0.25">
      <c r="E278" s="94"/>
    </row>
    <row r="279" spans="5:5" s="93" customFormat="1" ht="18" customHeight="1" x14ac:dyDescent="0.25">
      <c r="E279" s="94"/>
    </row>
    <row r="280" spans="5:5" s="93" customFormat="1" ht="18" customHeight="1" x14ac:dyDescent="0.25">
      <c r="E280" s="94"/>
    </row>
    <row r="281" spans="5:5" s="93" customFormat="1" ht="18" customHeight="1" x14ac:dyDescent="0.25">
      <c r="E281" s="94"/>
    </row>
    <row r="282" spans="5:5" s="93" customFormat="1" ht="18" customHeight="1" x14ac:dyDescent="0.25">
      <c r="E282" s="94"/>
    </row>
    <row r="283" spans="5:5" s="93" customFormat="1" ht="18" customHeight="1" x14ac:dyDescent="0.25">
      <c r="E283" s="94"/>
    </row>
    <row r="284" spans="5:5" s="93" customFormat="1" ht="18" customHeight="1" x14ac:dyDescent="0.25">
      <c r="E284" s="94"/>
    </row>
    <row r="285" spans="5:5" s="93" customFormat="1" ht="18" customHeight="1" x14ac:dyDescent="0.25">
      <c r="E285" s="94"/>
    </row>
    <row r="286" spans="5:5" s="93" customFormat="1" ht="18" customHeight="1" x14ac:dyDescent="0.25">
      <c r="E286" s="94"/>
    </row>
    <row r="287" spans="5:5" s="93" customFormat="1" ht="18" customHeight="1" x14ac:dyDescent="0.25">
      <c r="E287" s="94"/>
    </row>
    <row r="288" spans="5:5" s="93" customFormat="1" ht="18" customHeight="1" x14ac:dyDescent="0.25">
      <c r="E288" s="94"/>
    </row>
    <row r="289" spans="5:5" s="93" customFormat="1" ht="18" customHeight="1" x14ac:dyDescent="0.25">
      <c r="E289" s="94"/>
    </row>
    <row r="290" spans="5:5" s="93" customFormat="1" ht="18" customHeight="1" x14ac:dyDescent="0.25">
      <c r="E290" s="94"/>
    </row>
    <row r="291" spans="5:5" s="93" customFormat="1" ht="18" customHeight="1" x14ac:dyDescent="0.25">
      <c r="E291" s="94"/>
    </row>
    <row r="292" spans="5:5" s="93" customFormat="1" ht="18" customHeight="1" x14ac:dyDescent="0.25">
      <c r="E292" s="94"/>
    </row>
    <row r="293" spans="5:5" s="93" customFormat="1" ht="18" customHeight="1" x14ac:dyDescent="0.25">
      <c r="E293" s="94"/>
    </row>
    <row r="294" spans="5:5" s="93" customFormat="1" ht="18" customHeight="1" x14ac:dyDescent="0.25">
      <c r="E294" s="94"/>
    </row>
    <row r="295" spans="5:5" s="93" customFormat="1" ht="18" customHeight="1" x14ac:dyDescent="0.25">
      <c r="E295" s="94"/>
    </row>
    <row r="296" spans="5:5" s="93" customFormat="1" ht="18" customHeight="1" x14ac:dyDescent="0.25">
      <c r="E296" s="94"/>
    </row>
    <row r="297" spans="5:5" s="93" customFormat="1" ht="18" customHeight="1" x14ac:dyDescent="0.25">
      <c r="E297" s="94"/>
    </row>
    <row r="298" spans="5:5" s="93" customFormat="1" ht="18" customHeight="1" x14ac:dyDescent="0.25">
      <c r="E298" s="94"/>
    </row>
    <row r="299" spans="5:5" s="93" customFormat="1" ht="18" customHeight="1" x14ac:dyDescent="0.25">
      <c r="E299" s="94"/>
    </row>
    <row r="300" spans="5:5" s="93" customFormat="1" ht="18" customHeight="1" x14ac:dyDescent="0.25">
      <c r="E300" s="94"/>
    </row>
    <row r="301" spans="5:5" s="93" customFormat="1" ht="18" customHeight="1" x14ac:dyDescent="0.25">
      <c r="E301" s="94"/>
    </row>
    <row r="302" spans="5:5" s="93" customFormat="1" ht="18" customHeight="1" x14ac:dyDescent="0.25">
      <c r="E302" s="94"/>
    </row>
    <row r="303" spans="5:5" s="93" customFormat="1" ht="18" customHeight="1" x14ac:dyDescent="0.25">
      <c r="E303" s="94"/>
    </row>
    <row r="304" spans="5:5" s="93" customFormat="1" ht="18" customHeight="1" x14ac:dyDescent="0.25">
      <c r="E304" s="94"/>
    </row>
    <row r="305" spans="5:5" s="93" customFormat="1" ht="18" customHeight="1" x14ac:dyDescent="0.25">
      <c r="E305" s="94"/>
    </row>
    <row r="306" spans="5:5" s="93" customFormat="1" ht="18" customHeight="1" x14ac:dyDescent="0.25">
      <c r="E306" s="94"/>
    </row>
    <row r="307" spans="5:5" s="93" customFormat="1" ht="18" customHeight="1" x14ac:dyDescent="0.25">
      <c r="E307" s="94"/>
    </row>
    <row r="308" spans="5:5" s="93" customFormat="1" ht="18" customHeight="1" x14ac:dyDescent="0.25">
      <c r="E308" s="94"/>
    </row>
    <row r="309" spans="5:5" s="93" customFormat="1" ht="18" customHeight="1" x14ac:dyDescent="0.25">
      <c r="E309" s="94"/>
    </row>
    <row r="310" spans="5:5" s="93" customFormat="1" ht="18" customHeight="1" x14ac:dyDescent="0.25">
      <c r="E310" s="94"/>
    </row>
    <row r="311" spans="5:5" s="93" customFormat="1" ht="18" customHeight="1" x14ac:dyDescent="0.25">
      <c r="E311" s="94"/>
    </row>
    <row r="312" spans="5:5" s="93" customFormat="1" ht="18" customHeight="1" x14ac:dyDescent="0.25">
      <c r="E312" s="94"/>
    </row>
    <row r="313" spans="5:5" s="93" customFormat="1" ht="18" customHeight="1" x14ac:dyDescent="0.25">
      <c r="E313" s="94"/>
    </row>
    <row r="314" spans="5:5" s="93" customFormat="1" ht="18" customHeight="1" x14ac:dyDescent="0.25">
      <c r="E314" s="94"/>
    </row>
    <row r="315" spans="5:5" s="93" customFormat="1" ht="18" customHeight="1" x14ac:dyDescent="0.25">
      <c r="E315" s="94"/>
    </row>
    <row r="316" spans="5:5" s="93" customFormat="1" ht="18" customHeight="1" x14ac:dyDescent="0.25">
      <c r="E316" s="94"/>
    </row>
    <row r="317" spans="5:5" s="93" customFormat="1" ht="18" customHeight="1" x14ac:dyDescent="0.25">
      <c r="E317" s="94"/>
    </row>
    <row r="318" spans="5:5" s="93" customFormat="1" ht="18" customHeight="1" x14ac:dyDescent="0.25">
      <c r="E318" s="94"/>
    </row>
    <row r="319" spans="5:5" s="93" customFormat="1" ht="18" customHeight="1" x14ac:dyDescent="0.25">
      <c r="E319" s="94"/>
    </row>
    <row r="320" spans="5:5" s="93" customFormat="1" ht="18" customHeight="1" x14ac:dyDescent="0.25">
      <c r="E320" s="94"/>
    </row>
    <row r="321" spans="5:5" s="93" customFormat="1" ht="18" customHeight="1" x14ac:dyDescent="0.25">
      <c r="E321" s="94"/>
    </row>
    <row r="322" spans="5:5" s="93" customFormat="1" ht="18" customHeight="1" x14ac:dyDescent="0.25">
      <c r="E322" s="94"/>
    </row>
    <row r="323" spans="5:5" s="93" customFormat="1" ht="18" customHeight="1" x14ac:dyDescent="0.25">
      <c r="E323" s="94"/>
    </row>
    <row r="324" spans="5:5" s="93" customFormat="1" ht="18" customHeight="1" x14ac:dyDescent="0.25">
      <c r="E324" s="94"/>
    </row>
    <row r="325" spans="5:5" s="93" customFormat="1" ht="18" customHeight="1" x14ac:dyDescent="0.25">
      <c r="E325" s="94"/>
    </row>
    <row r="326" spans="5:5" s="93" customFormat="1" ht="18" customHeight="1" x14ac:dyDescent="0.25">
      <c r="E326" s="94"/>
    </row>
    <row r="327" spans="5:5" s="93" customFormat="1" ht="18" customHeight="1" x14ac:dyDescent="0.25">
      <c r="E327" s="94"/>
    </row>
    <row r="328" spans="5:5" s="93" customFormat="1" ht="18" customHeight="1" x14ac:dyDescent="0.25">
      <c r="E328" s="94"/>
    </row>
    <row r="329" spans="5:5" s="93" customFormat="1" ht="18" customHeight="1" x14ac:dyDescent="0.25">
      <c r="E329" s="94"/>
    </row>
    <row r="330" spans="5:5" s="93" customFormat="1" ht="18" customHeight="1" x14ac:dyDescent="0.25">
      <c r="E330" s="94"/>
    </row>
    <row r="331" spans="5:5" s="93" customFormat="1" ht="18" customHeight="1" x14ac:dyDescent="0.25">
      <c r="E331" s="94"/>
    </row>
    <row r="332" spans="5:5" s="93" customFormat="1" ht="18" customHeight="1" x14ac:dyDescent="0.25">
      <c r="E332" s="94"/>
    </row>
    <row r="333" spans="5:5" s="93" customFormat="1" ht="18" customHeight="1" x14ac:dyDescent="0.25">
      <c r="E333" s="94"/>
    </row>
    <row r="334" spans="5:5" s="93" customFormat="1" ht="18" customHeight="1" x14ac:dyDescent="0.25">
      <c r="E334" s="94"/>
    </row>
    <row r="335" spans="5:5" s="93" customFormat="1" ht="18" customHeight="1" x14ac:dyDescent="0.25">
      <c r="E335" s="94"/>
    </row>
    <row r="336" spans="5:5" s="93" customFormat="1" ht="18" customHeight="1" x14ac:dyDescent="0.25">
      <c r="E336" s="94"/>
    </row>
    <row r="337" spans="5:5" s="93" customFormat="1" ht="18" customHeight="1" x14ac:dyDescent="0.25">
      <c r="E337" s="94"/>
    </row>
    <row r="338" spans="5:5" s="93" customFormat="1" ht="18" customHeight="1" x14ac:dyDescent="0.25">
      <c r="E338" s="94"/>
    </row>
    <row r="339" spans="5:5" s="93" customFormat="1" ht="18" customHeight="1" x14ac:dyDescent="0.25">
      <c r="E339" s="94"/>
    </row>
    <row r="340" spans="5:5" s="93" customFormat="1" ht="18" customHeight="1" x14ac:dyDescent="0.25">
      <c r="E340" s="94"/>
    </row>
    <row r="341" spans="5:5" s="93" customFormat="1" ht="18" customHeight="1" x14ac:dyDescent="0.25">
      <c r="E341" s="94"/>
    </row>
    <row r="342" spans="5:5" s="93" customFormat="1" ht="18" customHeight="1" x14ac:dyDescent="0.25">
      <c r="E342" s="94"/>
    </row>
    <row r="343" spans="5:5" s="93" customFormat="1" ht="18" customHeight="1" x14ac:dyDescent="0.25">
      <c r="E343" s="94"/>
    </row>
    <row r="344" spans="5:5" s="93" customFormat="1" ht="18" customHeight="1" x14ac:dyDescent="0.25">
      <c r="E344" s="94"/>
    </row>
    <row r="345" spans="5:5" s="93" customFormat="1" ht="18" customHeight="1" x14ac:dyDescent="0.25">
      <c r="E345" s="94"/>
    </row>
    <row r="346" spans="5:5" s="93" customFormat="1" ht="18" customHeight="1" x14ac:dyDescent="0.25">
      <c r="E346" s="94"/>
    </row>
    <row r="347" spans="5:5" s="93" customFormat="1" ht="18" customHeight="1" x14ac:dyDescent="0.25">
      <c r="E347" s="94"/>
    </row>
    <row r="348" spans="5:5" s="93" customFormat="1" ht="18" customHeight="1" x14ac:dyDescent="0.25">
      <c r="E348" s="94"/>
    </row>
    <row r="349" spans="5:5" s="93" customFormat="1" ht="18" customHeight="1" x14ac:dyDescent="0.25">
      <c r="E349" s="94"/>
    </row>
    <row r="350" spans="5:5" s="93" customFormat="1" ht="18" customHeight="1" x14ac:dyDescent="0.25">
      <c r="E350" s="94"/>
    </row>
    <row r="351" spans="5:5" s="93" customFormat="1" ht="18" customHeight="1" x14ac:dyDescent="0.25">
      <c r="E351" s="94"/>
    </row>
    <row r="352" spans="5:5" s="93" customFormat="1" ht="18" customHeight="1" x14ac:dyDescent="0.25">
      <c r="E352" s="94"/>
    </row>
    <row r="353" spans="5:5" s="93" customFormat="1" ht="18" customHeight="1" x14ac:dyDescent="0.25">
      <c r="E353" s="94"/>
    </row>
    <row r="354" spans="5:5" s="93" customFormat="1" ht="18" customHeight="1" x14ac:dyDescent="0.25">
      <c r="E354" s="94"/>
    </row>
    <row r="355" spans="5:5" s="93" customFormat="1" ht="18" customHeight="1" x14ac:dyDescent="0.25">
      <c r="E355" s="94"/>
    </row>
    <row r="356" spans="5:5" s="93" customFormat="1" ht="18" customHeight="1" x14ac:dyDescent="0.25">
      <c r="E356" s="94"/>
    </row>
    <row r="357" spans="5:5" s="93" customFormat="1" ht="18" customHeight="1" x14ac:dyDescent="0.25">
      <c r="E357" s="94"/>
    </row>
    <row r="358" spans="5:5" s="93" customFormat="1" ht="18" customHeight="1" x14ac:dyDescent="0.25">
      <c r="E358" s="94"/>
    </row>
    <row r="359" spans="5:5" s="93" customFormat="1" ht="18" customHeight="1" x14ac:dyDescent="0.25">
      <c r="E359" s="94"/>
    </row>
    <row r="360" spans="5:5" s="93" customFormat="1" ht="18" customHeight="1" x14ac:dyDescent="0.25">
      <c r="E360" s="94"/>
    </row>
    <row r="361" spans="5:5" s="93" customFormat="1" ht="18" customHeight="1" x14ac:dyDescent="0.25">
      <c r="E361" s="94"/>
    </row>
    <row r="362" spans="5:5" s="93" customFormat="1" ht="18" customHeight="1" x14ac:dyDescent="0.25">
      <c r="E362" s="94"/>
    </row>
    <row r="363" spans="5:5" s="93" customFormat="1" ht="18" customHeight="1" x14ac:dyDescent="0.25">
      <c r="E363" s="94"/>
    </row>
    <row r="364" spans="5:5" s="93" customFormat="1" ht="18" customHeight="1" x14ac:dyDescent="0.25">
      <c r="E364" s="94"/>
    </row>
    <row r="365" spans="5:5" s="93" customFormat="1" ht="18" customHeight="1" x14ac:dyDescent="0.25">
      <c r="E365" s="94"/>
    </row>
    <row r="366" spans="5:5" s="93" customFormat="1" ht="18" customHeight="1" x14ac:dyDescent="0.25">
      <c r="E366" s="94"/>
    </row>
    <row r="367" spans="5:5" s="93" customFormat="1" ht="18" customHeight="1" x14ac:dyDescent="0.25">
      <c r="E367" s="94"/>
    </row>
    <row r="368" spans="5:5" s="93" customFormat="1" ht="18" customHeight="1" x14ac:dyDescent="0.25">
      <c r="E368" s="94"/>
    </row>
    <row r="369" spans="5:5" s="93" customFormat="1" ht="18" customHeight="1" x14ac:dyDescent="0.25">
      <c r="E369" s="94"/>
    </row>
    <row r="370" spans="5:5" s="93" customFormat="1" ht="18" customHeight="1" x14ac:dyDescent="0.25">
      <c r="E370" s="94"/>
    </row>
    <row r="371" spans="5:5" s="93" customFormat="1" ht="18" customHeight="1" x14ac:dyDescent="0.25">
      <c r="E371" s="94"/>
    </row>
    <row r="372" spans="5:5" s="93" customFormat="1" ht="18" customHeight="1" x14ac:dyDescent="0.25">
      <c r="E372" s="94"/>
    </row>
    <row r="373" spans="5:5" s="93" customFormat="1" ht="18" customHeight="1" x14ac:dyDescent="0.25">
      <c r="E373" s="94"/>
    </row>
    <row r="374" spans="5:5" s="93" customFormat="1" ht="18" customHeight="1" x14ac:dyDescent="0.25">
      <c r="E374" s="94"/>
    </row>
    <row r="375" spans="5:5" s="93" customFormat="1" ht="18" customHeight="1" x14ac:dyDescent="0.25">
      <c r="E375" s="94"/>
    </row>
    <row r="376" spans="5:5" s="93" customFormat="1" ht="18" customHeight="1" x14ac:dyDescent="0.25">
      <c r="E376" s="94"/>
    </row>
    <row r="377" spans="5:5" s="93" customFormat="1" ht="18" customHeight="1" x14ac:dyDescent="0.25">
      <c r="E377" s="94"/>
    </row>
    <row r="378" spans="5:5" s="93" customFormat="1" ht="18" customHeight="1" x14ac:dyDescent="0.25">
      <c r="E378" s="94"/>
    </row>
    <row r="379" spans="5:5" s="93" customFormat="1" ht="18" customHeight="1" x14ac:dyDescent="0.25">
      <c r="E379" s="94"/>
    </row>
    <row r="380" spans="5:5" s="93" customFormat="1" ht="18" customHeight="1" x14ac:dyDescent="0.25">
      <c r="E380" s="94"/>
    </row>
    <row r="381" spans="5:5" s="93" customFormat="1" ht="18" customHeight="1" x14ac:dyDescent="0.25">
      <c r="E381" s="94"/>
    </row>
    <row r="382" spans="5:5" s="93" customFormat="1" ht="18" customHeight="1" x14ac:dyDescent="0.25">
      <c r="E382" s="94"/>
    </row>
    <row r="383" spans="5:5" s="93" customFormat="1" ht="18" customHeight="1" x14ac:dyDescent="0.25">
      <c r="E383" s="94"/>
    </row>
    <row r="384" spans="5:5" s="93" customFormat="1" ht="18" customHeight="1" x14ac:dyDescent="0.25">
      <c r="E384" s="94"/>
    </row>
    <row r="385" spans="5:5" s="93" customFormat="1" ht="18" customHeight="1" x14ac:dyDescent="0.25">
      <c r="E385" s="94"/>
    </row>
    <row r="386" spans="5:5" s="93" customFormat="1" ht="18" customHeight="1" x14ac:dyDescent="0.25">
      <c r="E386" s="94"/>
    </row>
    <row r="387" spans="5:5" s="93" customFormat="1" ht="18" customHeight="1" x14ac:dyDescent="0.25">
      <c r="E387" s="94"/>
    </row>
    <row r="388" spans="5:5" s="93" customFormat="1" ht="18" customHeight="1" x14ac:dyDescent="0.25">
      <c r="E388" s="94"/>
    </row>
    <row r="389" spans="5:5" s="93" customFormat="1" ht="18" customHeight="1" x14ac:dyDescent="0.25">
      <c r="E389" s="94"/>
    </row>
    <row r="390" spans="5:5" s="93" customFormat="1" ht="18" customHeight="1" x14ac:dyDescent="0.25">
      <c r="E390" s="94"/>
    </row>
    <row r="391" spans="5:5" s="93" customFormat="1" ht="18" customHeight="1" x14ac:dyDescent="0.25">
      <c r="E391" s="94"/>
    </row>
    <row r="392" spans="5:5" s="93" customFormat="1" ht="18" customHeight="1" x14ac:dyDescent="0.25">
      <c r="E392" s="94"/>
    </row>
    <row r="393" spans="5:5" s="93" customFormat="1" ht="18" customHeight="1" x14ac:dyDescent="0.25">
      <c r="E393" s="94"/>
    </row>
    <row r="394" spans="5:5" s="93" customFormat="1" ht="18" customHeight="1" x14ac:dyDescent="0.25">
      <c r="E394" s="94"/>
    </row>
    <row r="395" spans="5:5" s="93" customFormat="1" ht="18" customHeight="1" x14ac:dyDescent="0.25">
      <c r="E395" s="94"/>
    </row>
    <row r="396" spans="5:5" s="93" customFormat="1" ht="18" customHeight="1" x14ac:dyDescent="0.25">
      <c r="E396" s="94"/>
    </row>
    <row r="397" spans="5:5" s="93" customFormat="1" ht="18" customHeight="1" x14ac:dyDescent="0.25">
      <c r="E397" s="94"/>
    </row>
    <row r="398" spans="5:5" s="93" customFormat="1" ht="18" customHeight="1" x14ac:dyDescent="0.25">
      <c r="E398" s="94"/>
    </row>
    <row r="399" spans="5:5" s="93" customFormat="1" ht="18" customHeight="1" x14ac:dyDescent="0.25">
      <c r="E399" s="94"/>
    </row>
    <row r="400" spans="5:5" s="93" customFormat="1" ht="18" customHeight="1" x14ac:dyDescent="0.25">
      <c r="E400" s="94"/>
    </row>
    <row r="401" spans="5:5" s="93" customFormat="1" ht="18" customHeight="1" x14ac:dyDescent="0.25">
      <c r="E401" s="94"/>
    </row>
    <row r="402" spans="5:5" s="93" customFormat="1" ht="18" customHeight="1" x14ac:dyDescent="0.25">
      <c r="E402" s="94"/>
    </row>
    <row r="403" spans="5:5" s="93" customFormat="1" ht="18" customHeight="1" x14ac:dyDescent="0.25">
      <c r="E403" s="94"/>
    </row>
    <row r="404" spans="5:5" s="93" customFormat="1" ht="18" customHeight="1" x14ac:dyDescent="0.25">
      <c r="E404" s="94"/>
    </row>
    <row r="405" spans="5:5" s="93" customFormat="1" ht="18" customHeight="1" x14ac:dyDescent="0.25">
      <c r="E405" s="94"/>
    </row>
    <row r="406" spans="5:5" s="93" customFormat="1" ht="18" customHeight="1" x14ac:dyDescent="0.25">
      <c r="E406" s="94"/>
    </row>
    <row r="407" spans="5:5" s="93" customFormat="1" ht="18" customHeight="1" x14ac:dyDescent="0.25">
      <c r="E407" s="94"/>
    </row>
    <row r="408" spans="5:5" s="93" customFormat="1" ht="18" customHeight="1" x14ac:dyDescent="0.25">
      <c r="E408" s="94"/>
    </row>
    <row r="409" spans="5:5" s="93" customFormat="1" ht="18" customHeight="1" x14ac:dyDescent="0.25">
      <c r="E409" s="94"/>
    </row>
    <row r="410" spans="5:5" s="93" customFormat="1" ht="18" customHeight="1" x14ac:dyDescent="0.25">
      <c r="E410" s="94"/>
    </row>
    <row r="411" spans="5:5" s="93" customFormat="1" ht="18" customHeight="1" x14ac:dyDescent="0.25">
      <c r="E411" s="94"/>
    </row>
    <row r="412" spans="5:5" s="93" customFormat="1" ht="18" customHeight="1" x14ac:dyDescent="0.25">
      <c r="E412" s="94"/>
    </row>
    <row r="413" spans="5:5" s="93" customFormat="1" ht="18" customHeight="1" x14ac:dyDescent="0.25">
      <c r="E413" s="94"/>
    </row>
    <row r="414" spans="5:5" s="93" customFormat="1" ht="18" customHeight="1" x14ac:dyDescent="0.25">
      <c r="E414" s="94"/>
    </row>
    <row r="415" spans="5:5" s="93" customFormat="1" ht="18" customHeight="1" x14ac:dyDescent="0.25">
      <c r="E415" s="94"/>
    </row>
    <row r="416" spans="5:5" s="93" customFormat="1" ht="18" customHeight="1" x14ac:dyDescent="0.25">
      <c r="E416" s="94"/>
    </row>
    <row r="417" spans="5:5" s="93" customFormat="1" ht="18" customHeight="1" x14ac:dyDescent="0.25">
      <c r="E417" s="94"/>
    </row>
    <row r="418" spans="5:5" s="93" customFormat="1" ht="18" customHeight="1" x14ac:dyDescent="0.25">
      <c r="E418" s="94"/>
    </row>
    <row r="419" spans="5:5" s="93" customFormat="1" ht="18" customHeight="1" x14ac:dyDescent="0.25">
      <c r="E419" s="94"/>
    </row>
    <row r="420" spans="5:5" s="93" customFormat="1" ht="18" customHeight="1" x14ac:dyDescent="0.25">
      <c r="E420" s="94"/>
    </row>
    <row r="421" spans="5:5" s="93" customFormat="1" ht="18" customHeight="1" x14ac:dyDescent="0.25">
      <c r="E421" s="94"/>
    </row>
    <row r="422" spans="5:5" s="93" customFormat="1" ht="18" customHeight="1" x14ac:dyDescent="0.25">
      <c r="E422" s="94"/>
    </row>
    <row r="423" spans="5:5" s="93" customFormat="1" ht="18" customHeight="1" x14ac:dyDescent="0.25">
      <c r="E423" s="94"/>
    </row>
    <row r="424" spans="5:5" s="93" customFormat="1" ht="18" customHeight="1" x14ac:dyDescent="0.25">
      <c r="E424" s="94"/>
    </row>
    <row r="425" spans="5:5" s="93" customFormat="1" ht="18" customHeight="1" x14ac:dyDescent="0.25">
      <c r="E425" s="94"/>
    </row>
    <row r="426" spans="5:5" s="93" customFormat="1" ht="18" customHeight="1" x14ac:dyDescent="0.25">
      <c r="E426" s="94"/>
    </row>
    <row r="427" spans="5:5" s="93" customFormat="1" ht="18" customHeight="1" x14ac:dyDescent="0.25">
      <c r="E427" s="94"/>
    </row>
    <row r="428" spans="5:5" s="93" customFormat="1" ht="18" customHeight="1" x14ac:dyDescent="0.25">
      <c r="E428" s="94"/>
    </row>
    <row r="429" spans="5:5" s="93" customFormat="1" ht="18" customHeight="1" x14ac:dyDescent="0.25">
      <c r="E429" s="94"/>
    </row>
    <row r="430" spans="5:5" s="93" customFormat="1" ht="18" customHeight="1" x14ac:dyDescent="0.25">
      <c r="E430" s="94"/>
    </row>
    <row r="431" spans="5:5" s="93" customFormat="1" ht="18" customHeight="1" x14ac:dyDescent="0.25">
      <c r="E431" s="94"/>
    </row>
    <row r="432" spans="5:5" s="93" customFormat="1" ht="18" customHeight="1" x14ac:dyDescent="0.25">
      <c r="E432" s="94"/>
    </row>
    <row r="433" spans="1:5" s="93" customFormat="1" ht="18" customHeight="1" x14ac:dyDescent="0.25">
      <c r="E433" s="94"/>
    </row>
    <row r="434" spans="1:5" s="93" customFormat="1" ht="18" customHeight="1" x14ac:dyDescent="0.25">
      <c r="E434" s="94"/>
    </row>
    <row r="435" spans="1:5" s="93" customFormat="1" ht="18" customHeight="1" x14ac:dyDescent="0.25">
      <c r="E435" s="94"/>
    </row>
    <row r="436" spans="1:5" s="93" customFormat="1" ht="18" customHeight="1" x14ac:dyDescent="0.25">
      <c r="E436" s="94"/>
    </row>
    <row r="437" spans="1:5" s="93" customFormat="1" ht="18" customHeight="1" x14ac:dyDescent="0.25">
      <c r="E437" s="94"/>
    </row>
    <row r="438" spans="1:5" s="93" customFormat="1" ht="18" customHeight="1" x14ac:dyDescent="0.25">
      <c r="E438" s="94"/>
    </row>
    <row r="439" spans="1:5" s="93" customFormat="1" ht="18" customHeight="1" x14ac:dyDescent="0.25">
      <c r="E439" s="94"/>
    </row>
    <row r="440" spans="1:5" s="93" customFormat="1" ht="18" customHeight="1" x14ac:dyDescent="0.25">
      <c r="A440" s="94"/>
      <c r="E440" s="94"/>
    </row>
    <row r="441" spans="1:5" s="93" customFormat="1" ht="18" customHeight="1" x14ac:dyDescent="0.25">
      <c r="A441" s="94"/>
      <c r="E441" s="94"/>
    </row>
    <row r="442" spans="1:5" s="93" customFormat="1" ht="18" customHeight="1" x14ac:dyDescent="0.25">
      <c r="A442" s="94"/>
      <c r="E442" s="94"/>
    </row>
    <row r="443" spans="1:5" s="93" customFormat="1" ht="18" customHeight="1" x14ac:dyDescent="0.25">
      <c r="A443" s="94"/>
      <c r="E443" s="94"/>
    </row>
  </sheetData>
  <scenarios current="0" sqref="C31 C32 C33 C34">
    <scenario name="10% increase in hard cost" locked="1" count="4" user="Author" comment="Created by Author on 18-04-2024">
      <inputCells r="D8" val="25.83"/>
      <inputCells r="D10" val="0.55"/>
      <inputCells r="D11" val="28.75"/>
      <inputCells r="D15" val="17.17"/>
    </scenario>
  </scenario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activeCell="H12" sqref="H12"/>
    </sheetView>
  </sheetViews>
  <sheetFormatPr defaultRowHeight="15" x14ac:dyDescent="0.25"/>
  <sheetData>
    <row r="1" spans="1:9" x14ac:dyDescent="0.25">
      <c r="A1" s="485" t="s">
        <v>1015</v>
      </c>
    </row>
    <row r="5" spans="1:9" x14ac:dyDescent="0.25">
      <c r="D5" t="s">
        <v>1016</v>
      </c>
    </row>
    <row r="7" spans="1:9" x14ac:dyDescent="0.25">
      <c r="H7">
        <v>1000</v>
      </c>
      <c r="I7">
        <v>2.2400000000000002</v>
      </c>
    </row>
    <row r="8" spans="1:9" x14ac:dyDescent="0.25">
      <c r="H8">
        <v>1</v>
      </c>
      <c r="I8">
        <f>I7/H7</f>
        <v>2.2400000000000002E-3</v>
      </c>
    </row>
    <row r="9" spans="1:9" x14ac:dyDescent="0.25">
      <c r="H9">
        <v>2800</v>
      </c>
      <c r="I9">
        <f>I8*H9</f>
        <v>6.2720000000000002</v>
      </c>
    </row>
    <row r="10" spans="1:9" x14ac:dyDescent="0.25">
      <c r="H10">
        <v>4000</v>
      </c>
      <c r="I10">
        <f>H10*I8</f>
        <v>8.9600000000000009</v>
      </c>
    </row>
    <row r="11" spans="1:9" x14ac:dyDescent="0.25">
      <c r="H11" t="s">
        <v>1017</v>
      </c>
    </row>
    <row r="12" spans="1:9" x14ac:dyDescent="0.25">
      <c r="H12" t="s">
        <v>1018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topLeftCell="A15" workbookViewId="0">
      <selection activeCell="M22" sqref="M22"/>
    </sheetView>
  </sheetViews>
  <sheetFormatPr defaultRowHeight="15" x14ac:dyDescent="0.25"/>
  <cols>
    <col min="12" max="14" width="12.5703125" bestFit="1" customWidth="1"/>
  </cols>
  <sheetData>
    <row r="1" spans="1:6" x14ac:dyDescent="0.25">
      <c r="A1" t="s">
        <v>871</v>
      </c>
    </row>
    <row r="2" spans="1:6" x14ac:dyDescent="0.25">
      <c r="A2" t="s">
        <v>872</v>
      </c>
    </row>
    <row r="8" spans="1:6" x14ac:dyDescent="0.25">
      <c r="E8" s="485" t="s">
        <v>873</v>
      </c>
    </row>
    <row r="12" spans="1:6" x14ac:dyDescent="0.25">
      <c r="E12" t="s">
        <v>874</v>
      </c>
    </row>
    <row r="15" spans="1:6" x14ac:dyDescent="0.25">
      <c r="F15" s="485" t="s">
        <v>876</v>
      </c>
    </row>
    <row r="16" spans="1:6" x14ac:dyDescent="0.25">
      <c r="F16" s="311"/>
    </row>
    <row r="17" spans="5:14" x14ac:dyDescent="0.25">
      <c r="F17" s="311"/>
    </row>
    <row r="18" spans="5:14" x14ac:dyDescent="0.25">
      <c r="F18" s="311"/>
    </row>
    <row r="19" spans="5:14" x14ac:dyDescent="0.25">
      <c r="E19" s="485" t="s">
        <v>875</v>
      </c>
      <c r="F19" s="311"/>
    </row>
    <row r="20" spans="5:14" x14ac:dyDescent="0.25">
      <c r="F20" s="311"/>
    </row>
    <row r="21" spans="5:14" x14ac:dyDescent="0.25">
      <c r="F21" s="311"/>
    </row>
    <row r="22" spans="5:14" x14ac:dyDescent="0.25">
      <c r="F22" s="311"/>
      <c r="L22" s="486">
        <v>5647105</v>
      </c>
      <c r="M22" s="486">
        <v>8974829.3800000008</v>
      </c>
    </row>
    <row r="23" spans="5:14" x14ac:dyDescent="0.25">
      <c r="N23" s="487">
        <f>M22/L22-1</f>
        <v>0.58927970703572896</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129"/>
  <sheetViews>
    <sheetView showGridLines="0" tabSelected="1" topLeftCell="A121" workbookViewId="0">
      <selection activeCell="B126" sqref="B126"/>
    </sheetView>
  </sheetViews>
  <sheetFormatPr defaultColWidth="13.7109375" defaultRowHeight="18" customHeight="1" x14ac:dyDescent="0.25"/>
  <cols>
    <col min="1" max="1" width="5" style="2" customWidth="1"/>
    <col min="2" max="2" width="47.42578125" style="2" customWidth="1"/>
    <col min="3" max="3" width="11" style="2" customWidth="1"/>
    <col min="4" max="4" width="27.5703125" style="2" customWidth="1"/>
    <col min="5" max="5" width="31.28515625" style="2" customWidth="1"/>
    <col min="6" max="16384" width="13.7109375" style="2"/>
  </cols>
  <sheetData>
    <row r="1" spans="2:9" ht="16.5" customHeight="1" x14ac:dyDescent="0.25"/>
    <row r="2" spans="2:9" ht="19.5" customHeight="1" x14ac:dyDescent="0.25">
      <c r="B2" s="22" t="str">
        <f>"Financial Model of " &amp; B4</f>
        <v>Financial Model of Proposed 6000 KGPD CBG plant set up M/s. NRS BIO FUEL ENERGIES LLP</v>
      </c>
      <c r="C2" s="23"/>
      <c r="D2" s="24"/>
      <c r="E2" s="24"/>
    </row>
    <row r="3" spans="2:9" ht="13.5" customHeight="1" x14ac:dyDescent="0.25">
      <c r="B3" s="3"/>
      <c r="C3" s="3"/>
      <c r="D3" s="3"/>
      <c r="E3" s="3"/>
      <c r="I3" s="555"/>
    </row>
    <row r="4" spans="2:9" ht="18" customHeight="1" x14ac:dyDescent="0.25">
      <c r="B4" s="4" t="s">
        <v>890</v>
      </c>
      <c r="C4" s="4"/>
      <c r="D4" s="4"/>
      <c r="E4" s="5"/>
      <c r="I4" s="555"/>
    </row>
    <row r="5" spans="2:9" ht="15.75" customHeight="1" x14ac:dyDescent="0.25">
      <c r="B5" s="3"/>
      <c r="C5" s="3"/>
      <c r="D5" s="3"/>
      <c r="E5" s="3"/>
    </row>
    <row r="6" spans="2:9" ht="18" customHeight="1" x14ac:dyDescent="0.25">
      <c r="B6" s="4" t="s">
        <v>0</v>
      </c>
      <c r="C6" s="4"/>
      <c r="D6" s="4"/>
      <c r="E6" s="5"/>
    </row>
    <row r="7" spans="2:9" ht="15.75" customHeight="1" x14ac:dyDescent="0.25">
      <c r="B7" s="3"/>
      <c r="C7" s="3"/>
      <c r="D7" s="3"/>
      <c r="E7" s="3"/>
    </row>
    <row r="8" spans="2:9" ht="18" customHeight="1" x14ac:dyDescent="0.25">
      <c r="B8" s="6" t="s">
        <v>1</v>
      </c>
      <c r="C8" s="6"/>
      <c r="D8" s="6"/>
      <c r="E8" s="6"/>
    </row>
    <row r="9" spans="2:9" ht="18" customHeight="1" x14ac:dyDescent="0.25">
      <c r="B9" s="7" t="s">
        <v>2</v>
      </c>
      <c r="C9" s="7"/>
      <c r="D9" s="7"/>
      <c r="E9" s="8" t="s">
        <v>3</v>
      </c>
    </row>
    <row r="10" spans="2:9" ht="18" customHeight="1" x14ac:dyDescent="0.25">
      <c r="B10" s="3" t="s">
        <v>4</v>
      </c>
      <c r="C10" s="3"/>
      <c r="D10" s="3" t="s">
        <v>5</v>
      </c>
      <c r="E10" s="9">
        <v>45585</v>
      </c>
    </row>
    <row r="11" spans="2:9" ht="18" customHeight="1" x14ac:dyDescent="0.25">
      <c r="B11" s="3" t="s">
        <v>6</v>
      </c>
      <c r="C11" s="3"/>
      <c r="D11" s="3" t="s">
        <v>7</v>
      </c>
      <c r="E11" s="9">
        <f>EOMONTH(E10,0)</f>
        <v>45596</v>
      </c>
    </row>
    <row r="12" spans="2:9" ht="18" customHeight="1" x14ac:dyDescent="0.25">
      <c r="B12" s="3" t="s">
        <v>8</v>
      </c>
      <c r="C12" s="3"/>
      <c r="D12" s="3" t="s">
        <v>9</v>
      </c>
      <c r="E12" s="10">
        <v>11</v>
      </c>
    </row>
    <row r="13" spans="2:9" ht="18" customHeight="1" x14ac:dyDescent="0.25">
      <c r="B13" s="3" t="s">
        <v>10</v>
      </c>
      <c r="C13" s="3"/>
      <c r="D13" s="3" t="s">
        <v>11</v>
      </c>
      <c r="E13" s="9">
        <f>EOMONTH(E11,E12)</f>
        <v>45930</v>
      </c>
    </row>
    <row r="14" spans="2:9" ht="18" customHeight="1" x14ac:dyDescent="0.25">
      <c r="B14" s="3" t="s">
        <v>12</v>
      </c>
      <c r="C14" s="3"/>
      <c r="D14" s="3" t="s">
        <v>13</v>
      </c>
      <c r="E14" s="9">
        <f>E13+1</f>
        <v>45931</v>
      </c>
    </row>
    <row r="15" spans="2:9" ht="18" customHeight="1" x14ac:dyDescent="0.25">
      <c r="B15" s="3" t="s">
        <v>14</v>
      </c>
      <c r="C15" s="3"/>
      <c r="D15" s="3" t="s">
        <v>15</v>
      </c>
      <c r="E15" s="655">
        <v>10</v>
      </c>
    </row>
    <row r="16" spans="2:9" ht="18" customHeight="1" x14ac:dyDescent="0.25">
      <c r="B16" s="3" t="s">
        <v>16</v>
      </c>
      <c r="C16" s="3"/>
      <c r="D16" s="3" t="s">
        <v>17</v>
      </c>
      <c r="E16" s="9">
        <f>EOMONTH(E14,113)</f>
        <v>49399</v>
      </c>
      <c r="F16" s="9"/>
    </row>
    <row r="17" spans="2:5" ht="18" customHeight="1" x14ac:dyDescent="0.25">
      <c r="B17" s="11"/>
      <c r="C17" s="11"/>
      <c r="D17" s="11"/>
      <c r="E17" s="11"/>
    </row>
    <row r="18" spans="2:5" ht="18" customHeight="1" x14ac:dyDescent="0.25">
      <c r="B18" s="6" t="s">
        <v>18</v>
      </c>
      <c r="C18" s="6"/>
      <c r="D18" s="6"/>
      <c r="E18" s="6"/>
    </row>
    <row r="19" spans="2:5" ht="18" customHeight="1" x14ac:dyDescent="0.25">
      <c r="B19" s="7" t="s">
        <v>2</v>
      </c>
      <c r="C19" s="7"/>
      <c r="D19" s="8" t="s">
        <v>19</v>
      </c>
      <c r="E19" s="8" t="s">
        <v>20</v>
      </c>
    </row>
    <row r="20" spans="2:5" ht="18" customHeight="1" x14ac:dyDescent="0.25">
      <c r="B20" s="12" t="s">
        <v>21</v>
      </c>
      <c r="C20" s="3"/>
      <c r="D20" s="13">
        <v>24</v>
      </c>
      <c r="E20" s="13" t="s">
        <v>22</v>
      </c>
    </row>
    <row r="21" spans="2:5" ht="18" customHeight="1" x14ac:dyDescent="0.25">
      <c r="B21" s="12" t="s">
        <v>23</v>
      </c>
      <c r="C21" s="3"/>
      <c r="D21" s="13">
        <v>365</v>
      </c>
      <c r="E21" s="13" t="s">
        <v>327</v>
      </c>
    </row>
    <row r="22" spans="2:5" ht="18" customHeight="1" x14ac:dyDescent="0.25">
      <c r="B22" s="12" t="s">
        <v>24</v>
      </c>
      <c r="C22" s="3"/>
      <c r="D22" s="13">
        <v>350</v>
      </c>
      <c r="E22" s="13" t="s">
        <v>327</v>
      </c>
    </row>
    <row r="23" spans="2:5" ht="18" customHeight="1" x14ac:dyDescent="0.25">
      <c r="B23" s="3"/>
      <c r="C23" s="3"/>
      <c r="D23" s="15"/>
      <c r="E23" s="15"/>
    </row>
    <row r="24" spans="2:5" ht="18" customHeight="1" x14ac:dyDescent="0.25">
      <c r="B24" s="472" t="s">
        <v>25</v>
      </c>
      <c r="C24" s="472"/>
      <c r="D24" s="472"/>
      <c r="E24" s="472"/>
    </row>
    <row r="25" spans="2:5" ht="18" customHeight="1" x14ac:dyDescent="0.25">
      <c r="B25" s="3" t="s">
        <v>84</v>
      </c>
      <c r="C25" s="3"/>
      <c r="D25" s="85">
        <f>'Input &amp; Output Calc.'!I20</f>
        <v>7138.0308880308885</v>
      </c>
      <c r="E25" s="13" t="s">
        <v>83</v>
      </c>
    </row>
    <row r="26" spans="2:5" ht="18" customHeight="1" x14ac:dyDescent="0.25">
      <c r="B26" s="3" t="s">
        <v>85</v>
      </c>
      <c r="C26" s="14"/>
      <c r="D26" s="85">
        <f>'Input &amp; Output Calc.'!E20</f>
        <v>6120</v>
      </c>
      <c r="E26" s="13" t="s">
        <v>83</v>
      </c>
    </row>
    <row r="27" spans="2:5" ht="18" customHeight="1" x14ac:dyDescent="0.25">
      <c r="B27" s="3" t="s">
        <v>71</v>
      </c>
      <c r="C27" s="3"/>
      <c r="D27" s="21">
        <f>'Input &amp; Output Calc.'!E21</f>
        <v>1.9607843137254902E-2</v>
      </c>
      <c r="E27" s="14" t="s">
        <v>86</v>
      </c>
    </row>
    <row r="28" spans="2:5" ht="18" customHeight="1" x14ac:dyDescent="0.25">
      <c r="B28" s="473" t="s">
        <v>68</v>
      </c>
      <c r="C28" s="473"/>
      <c r="D28" s="474">
        <f>D26-D26*D27</f>
        <v>6000</v>
      </c>
      <c r="E28" s="475" t="s">
        <v>83</v>
      </c>
    </row>
    <row r="29" spans="2:5" ht="18" customHeight="1" x14ac:dyDescent="0.25">
      <c r="B29" s="3"/>
      <c r="C29" s="3"/>
      <c r="D29" s="15"/>
      <c r="E29" s="15"/>
    </row>
    <row r="30" spans="2:5" ht="18" customHeight="1" x14ac:dyDescent="0.25">
      <c r="B30" s="472" t="s">
        <v>899</v>
      </c>
      <c r="C30" s="472"/>
      <c r="D30" s="472"/>
      <c r="E30" s="472"/>
    </row>
    <row r="31" spans="2:5" ht="16.5" customHeight="1" x14ac:dyDescent="0.25">
      <c r="B31" s="477" t="s">
        <v>897</v>
      </c>
      <c r="D31" s="85">
        <f>D28</f>
        <v>6000</v>
      </c>
      <c r="E31" s="16" t="s">
        <v>83</v>
      </c>
    </row>
    <row r="32" spans="2:5" ht="18.75" customHeight="1" x14ac:dyDescent="0.25">
      <c r="B32" s="478" t="s">
        <v>900</v>
      </c>
      <c r="D32" s="85">
        <v>20000</v>
      </c>
      <c r="E32" s="16" t="s">
        <v>83</v>
      </c>
    </row>
    <row r="33" spans="2:5" ht="20.25" customHeight="1" x14ac:dyDescent="0.25">
      <c r="B33" s="3" t="s">
        <v>901</v>
      </c>
      <c r="C33" s="3"/>
      <c r="D33" s="85">
        <v>10000</v>
      </c>
      <c r="E33" s="16" t="s">
        <v>83</v>
      </c>
    </row>
    <row r="35" spans="2:5" ht="18" customHeight="1" x14ac:dyDescent="0.25">
      <c r="B35" s="472" t="s">
        <v>26</v>
      </c>
      <c r="C35" s="472"/>
      <c r="D35" s="472"/>
      <c r="E35" s="472"/>
    </row>
    <row r="36" spans="2:5" ht="21.75" customHeight="1" x14ac:dyDescent="0.25">
      <c r="B36" s="477" t="s">
        <v>898</v>
      </c>
      <c r="D36" s="17">
        <v>70.48</v>
      </c>
      <c r="E36" s="17" t="s">
        <v>90</v>
      </c>
    </row>
    <row r="37" spans="2:5" ht="15" x14ac:dyDescent="0.25">
      <c r="B37" s="478" t="s">
        <v>900</v>
      </c>
      <c r="C37" s="3"/>
      <c r="D37" s="17">
        <v>10</v>
      </c>
      <c r="E37" s="17" t="s">
        <v>90</v>
      </c>
    </row>
    <row r="38" spans="2:5" ht="18" customHeight="1" x14ac:dyDescent="0.25">
      <c r="B38" s="3" t="s">
        <v>901</v>
      </c>
      <c r="C38" s="479"/>
      <c r="D38" s="17">
        <v>7.5</v>
      </c>
      <c r="E38" s="17" t="s">
        <v>90</v>
      </c>
    </row>
    <row r="39" spans="2:5" ht="18" customHeight="1" x14ac:dyDescent="0.25">
      <c r="B39" s="3" t="s">
        <v>27</v>
      </c>
      <c r="C39" s="3"/>
      <c r="D39" s="19">
        <v>0.05</v>
      </c>
      <c r="E39" s="17" t="s">
        <v>328</v>
      </c>
    </row>
    <row r="40" spans="2:5" ht="18" customHeight="1" x14ac:dyDescent="0.25">
      <c r="B40" s="3" t="s">
        <v>609</v>
      </c>
      <c r="C40" s="3"/>
      <c r="D40" s="19">
        <v>0.05</v>
      </c>
      <c r="E40" s="17"/>
    </row>
    <row r="41" spans="2:5" ht="18" customHeight="1" x14ac:dyDescent="0.25">
      <c r="B41" s="3" t="s">
        <v>858</v>
      </c>
      <c r="C41" s="3"/>
      <c r="D41" s="17">
        <f>'Final Cost Sheet NRSBF'!G118/10^2</f>
        <v>4.7145507996000013</v>
      </c>
      <c r="E41" s="17"/>
    </row>
    <row r="42" spans="2:5" ht="18" customHeight="1" x14ac:dyDescent="0.25">
      <c r="B42" s="3"/>
      <c r="C42" s="3"/>
      <c r="D42" s="3"/>
      <c r="E42" s="3"/>
    </row>
    <row r="43" spans="2:5" ht="18" customHeight="1" x14ac:dyDescent="0.25">
      <c r="B43" s="7" t="s">
        <v>97</v>
      </c>
      <c r="C43" s="7"/>
      <c r="D43" s="7"/>
      <c r="E43" s="7"/>
    </row>
    <row r="44" spans="2:5" ht="18" customHeight="1" x14ac:dyDescent="0.25">
      <c r="B44" s="479" t="s">
        <v>877</v>
      </c>
      <c r="C44" s="479"/>
      <c r="D44" s="480">
        <f>'Input &amp; Output Calc.'!C19</f>
        <v>102000</v>
      </c>
      <c r="E44" s="481" t="s">
        <v>96</v>
      </c>
    </row>
    <row r="45" spans="2:5" ht="18" customHeight="1" x14ac:dyDescent="0.25">
      <c r="B45" s="3" t="s">
        <v>878</v>
      </c>
      <c r="C45" s="3"/>
      <c r="D45" s="17">
        <f>1250/1000+0.25</f>
        <v>1.5</v>
      </c>
      <c r="E45" s="17" t="s">
        <v>90</v>
      </c>
    </row>
    <row r="46" spans="2:5" ht="18" customHeight="1" x14ac:dyDescent="0.25">
      <c r="B46" s="3" t="s">
        <v>28</v>
      </c>
      <c r="C46" s="3"/>
      <c r="D46" s="19">
        <v>0.05</v>
      </c>
      <c r="E46" s="17" t="s">
        <v>328</v>
      </c>
    </row>
    <row r="47" spans="2:5" ht="18" customHeight="1" x14ac:dyDescent="0.25">
      <c r="B47" s="3"/>
      <c r="C47" s="3"/>
      <c r="D47" s="3"/>
      <c r="E47" s="3"/>
    </row>
    <row r="48" spans="2:5" ht="18" customHeight="1" x14ac:dyDescent="0.25">
      <c r="B48" s="7" t="s">
        <v>280</v>
      </c>
      <c r="C48" s="7"/>
      <c r="D48" s="7"/>
      <c r="E48" s="7"/>
    </row>
    <row r="49" spans="2:7" ht="18" customHeight="1" x14ac:dyDescent="0.25">
      <c r="B49" s="3" t="s">
        <v>321</v>
      </c>
      <c r="C49" s="187"/>
      <c r="D49" s="85">
        <v>500</v>
      </c>
      <c r="E49" s="16" t="s">
        <v>322</v>
      </c>
    </row>
    <row r="50" spans="2:7" ht="18" customHeight="1" x14ac:dyDescent="0.25">
      <c r="B50" s="3" t="s">
        <v>622</v>
      </c>
      <c r="C50" s="187"/>
      <c r="D50" s="16">
        <f>D49*85.3%</f>
        <v>426.5</v>
      </c>
      <c r="E50" s="16"/>
    </row>
    <row r="51" spans="2:7" ht="18" customHeight="1" x14ac:dyDescent="0.25">
      <c r="B51" s="3" t="s">
        <v>323</v>
      </c>
      <c r="C51" s="187"/>
      <c r="D51" s="85">
        <v>6000</v>
      </c>
      <c r="E51" s="16" t="s">
        <v>324</v>
      </c>
      <c r="G51" s="181"/>
    </row>
    <row r="52" spans="2:7" ht="18" customHeight="1" x14ac:dyDescent="0.25">
      <c r="B52" s="3" t="s">
        <v>283</v>
      </c>
      <c r="C52" s="187"/>
      <c r="D52" s="85">
        <v>14</v>
      </c>
      <c r="E52" s="16" t="s">
        <v>22</v>
      </c>
    </row>
    <row r="53" spans="2:7" ht="18" customHeight="1" x14ac:dyDescent="0.25">
      <c r="B53" s="3" t="s">
        <v>282</v>
      </c>
      <c r="C53" s="187"/>
      <c r="D53" s="16">
        <v>10</v>
      </c>
      <c r="E53" s="16" t="s">
        <v>281</v>
      </c>
    </row>
    <row r="54" spans="2:7" ht="18" customHeight="1" x14ac:dyDescent="0.25">
      <c r="B54" s="3" t="s">
        <v>320</v>
      </c>
      <c r="C54" s="3"/>
      <c r="D54" s="19">
        <v>0.05</v>
      </c>
      <c r="E54" s="17" t="s">
        <v>328</v>
      </c>
    </row>
    <row r="55" spans="2:7" ht="18" customHeight="1" x14ac:dyDescent="0.25">
      <c r="B55" s="3"/>
      <c r="C55" s="3"/>
      <c r="D55" s="3"/>
    </row>
    <row r="56" spans="2:7" ht="18" customHeight="1" x14ac:dyDescent="0.25">
      <c r="B56" s="7" t="s">
        <v>29</v>
      </c>
      <c r="C56" s="7"/>
      <c r="D56" s="7"/>
      <c r="E56" s="7"/>
    </row>
    <row r="57" spans="2:7" ht="18" customHeight="1" x14ac:dyDescent="0.25">
      <c r="B57" s="3" t="s">
        <v>30</v>
      </c>
      <c r="C57" s="3"/>
      <c r="D57" s="85">
        <f>'sal &amp; wages'!F28</f>
        <v>6450000</v>
      </c>
      <c r="E57" s="16" t="s">
        <v>326</v>
      </c>
    </row>
    <row r="58" spans="2:7" ht="18" customHeight="1" x14ac:dyDescent="0.25">
      <c r="B58" s="3" t="s">
        <v>40</v>
      </c>
      <c r="C58" s="3"/>
      <c r="D58" s="21">
        <v>0.1</v>
      </c>
      <c r="E58" s="21" t="s">
        <v>328</v>
      </c>
    </row>
    <row r="59" spans="2:7" ht="18" customHeight="1" thickBot="1" x14ac:dyDescent="0.3">
      <c r="B59" s="3"/>
      <c r="C59" s="3"/>
      <c r="D59" s="21"/>
      <c r="E59" s="21"/>
    </row>
    <row r="60" spans="2:7" ht="18" customHeight="1" x14ac:dyDescent="0.25">
      <c r="B60" s="629" t="s">
        <v>1026</v>
      </c>
      <c r="C60" s="630"/>
      <c r="D60" s="630"/>
      <c r="E60" s="631"/>
    </row>
    <row r="61" spans="2:7" ht="18" customHeight="1" x14ac:dyDescent="0.25">
      <c r="B61" s="632" t="s">
        <v>1026</v>
      </c>
      <c r="C61" s="633"/>
      <c r="D61" s="634">
        <v>2.25</v>
      </c>
      <c r="E61" s="635" t="s">
        <v>331</v>
      </c>
    </row>
    <row r="62" spans="2:7" ht="18" customHeight="1" x14ac:dyDescent="0.25">
      <c r="B62" s="632" t="s">
        <v>1027</v>
      </c>
      <c r="C62" s="633"/>
      <c r="D62" s="636">
        <v>0.05</v>
      </c>
      <c r="E62" s="637" t="s">
        <v>328</v>
      </c>
    </row>
    <row r="63" spans="2:7" ht="18" customHeight="1" x14ac:dyDescent="0.25">
      <c r="B63" s="632"/>
      <c r="C63" s="633"/>
      <c r="D63" s="638"/>
      <c r="E63" s="635"/>
    </row>
    <row r="64" spans="2:7" ht="18" customHeight="1" x14ac:dyDescent="0.25">
      <c r="B64" s="639" t="s">
        <v>1028</v>
      </c>
      <c r="C64" s="640"/>
      <c r="D64" s="640"/>
      <c r="E64" s="641"/>
    </row>
    <row r="65" spans="2:9" ht="18" customHeight="1" x14ac:dyDescent="0.25">
      <c r="B65" s="632" t="s">
        <v>1028</v>
      </c>
      <c r="C65" s="633"/>
      <c r="D65" s="634">
        <v>6.5</v>
      </c>
      <c r="E65" s="635" t="s">
        <v>331</v>
      </c>
    </row>
    <row r="66" spans="2:9" ht="18" customHeight="1" thickBot="1" x14ac:dyDescent="0.3">
      <c r="B66" s="642" t="s">
        <v>1027</v>
      </c>
      <c r="C66" s="643"/>
      <c r="D66" s="644">
        <v>0.05</v>
      </c>
      <c r="E66" s="645" t="s">
        <v>328</v>
      </c>
    </row>
    <row r="67" spans="2:9" ht="18" customHeight="1" x14ac:dyDescent="0.25">
      <c r="B67" s="3"/>
      <c r="C67" s="3"/>
      <c r="D67" s="21"/>
      <c r="E67" s="21"/>
      <c r="H67" s="2">
        <v>20</v>
      </c>
      <c r="I67" s="2">
        <v>10</v>
      </c>
    </row>
    <row r="68" spans="2:9" ht="18" customHeight="1" x14ac:dyDescent="0.25">
      <c r="B68" s="7" t="s">
        <v>329</v>
      </c>
      <c r="C68" s="7"/>
      <c r="D68" s="7"/>
      <c r="E68" s="7"/>
      <c r="H68" s="328">
        <v>1</v>
      </c>
      <c r="I68" s="2">
        <f>I67/H67</f>
        <v>0.5</v>
      </c>
    </row>
    <row r="69" spans="2:9" ht="18" customHeight="1" x14ac:dyDescent="0.25">
      <c r="B69" s="3" t="s">
        <v>330</v>
      </c>
      <c r="C69" s="3"/>
      <c r="D69" s="16">
        <f>(20/20)+(20/50)</f>
        <v>1.4</v>
      </c>
      <c r="E69" s="21" t="s">
        <v>331</v>
      </c>
    </row>
    <row r="70" spans="2:9" ht="18" customHeight="1" x14ac:dyDescent="0.25">
      <c r="B70" s="3" t="s">
        <v>332</v>
      </c>
      <c r="C70" s="3"/>
      <c r="D70" s="19">
        <v>0.05</v>
      </c>
      <c r="E70" s="17" t="s">
        <v>328</v>
      </c>
    </row>
    <row r="71" spans="2:9" ht="18" customHeight="1" x14ac:dyDescent="0.25">
      <c r="B71" s="3"/>
      <c r="C71" s="3"/>
      <c r="D71" s="21"/>
      <c r="E71" s="21"/>
    </row>
    <row r="72" spans="2:9" ht="18" customHeight="1" x14ac:dyDescent="0.25">
      <c r="B72" s="7" t="s">
        <v>333</v>
      </c>
      <c r="C72" s="7"/>
      <c r="D72" s="7"/>
      <c r="E72" s="7"/>
    </row>
    <row r="73" spans="2:9" ht="18" customHeight="1" x14ac:dyDescent="0.25">
      <c r="B73" s="3" t="s">
        <v>335</v>
      </c>
      <c r="C73" s="3"/>
      <c r="D73" s="20">
        <v>0.03</v>
      </c>
      <c r="E73" s="21" t="s">
        <v>336</v>
      </c>
    </row>
    <row r="74" spans="2:9" ht="18" customHeight="1" x14ac:dyDescent="0.25">
      <c r="B74" s="3"/>
      <c r="C74" s="3"/>
      <c r="D74" s="21"/>
      <c r="E74" s="21"/>
    </row>
    <row r="75" spans="2:9" ht="18" customHeight="1" x14ac:dyDescent="0.25">
      <c r="B75" s="7" t="s">
        <v>32</v>
      </c>
      <c r="C75" s="7"/>
      <c r="D75" s="7"/>
      <c r="E75" s="7"/>
    </row>
    <row r="76" spans="2:9" ht="18" customHeight="1" x14ac:dyDescent="0.25">
      <c r="B76" s="3" t="s">
        <v>337</v>
      </c>
      <c r="C76" s="3"/>
      <c r="D76" s="20">
        <v>1.4999999999999999E-2</v>
      </c>
      <c r="E76" s="21" t="s">
        <v>336</v>
      </c>
    </row>
    <row r="77" spans="2:9" ht="18" customHeight="1" x14ac:dyDescent="0.25">
      <c r="B77" s="3"/>
      <c r="C77" s="3"/>
      <c r="D77" s="21"/>
      <c r="E77" s="21"/>
    </row>
    <row r="78" spans="2:9" ht="18" customHeight="1" x14ac:dyDescent="0.25">
      <c r="B78" s="7" t="s">
        <v>33</v>
      </c>
      <c r="C78" s="7"/>
      <c r="D78" s="7"/>
      <c r="E78" s="7"/>
    </row>
    <row r="79" spans="2:9" ht="18" customHeight="1" x14ac:dyDescent="0.25">
      <c r="B79" s="3" t="s">
        <v>34</v>
      </c>
      <c r="C79" s="3"/>
      <c r="D79" s="21">
        <v>5.0000000000000001E-3</v>
      </c>
      <c r="E79" s="21" t="s">
        <v>338</v>
      </c>
    </row>
    <row r="80" spans="2:9" ht="18" customHeight="1" x14ac:dyDescent="0.25">
      <c r="B80" s="3" t="s">
        <v>35</v>
      </c>
      <c r="C80" s="3"/>
      <c r="D80" s="21">
        <v>5.0000000000000001E-3</v>
      </c>
      <c r="E80" s="21" t="s">
        <v>338</v>
      </c>
    </row>
    <row r="81" spans="2:5" ht="18" customHeight="1" x14ac:dyDescent="0.25">
      <c r="B81" s="3" t="str">
        <f>'TPC and MoF'!B11</f>
        <v>Electricity Infrastructure</v>
      </c>
      <c r="C81" s="3"/>
      <c r="D81" s="21">
        <v>5.0000000000000001E-3</v>
      </c>
      <c r="E81" s="21" t="s">
        <v>338</v>
      </c>
    </row>
    <row r="82" spans="2:5" ht="18" customHeight="1" x14ac:dyDescent="0.25">
      <c r="B82" s="3" t="str">
        <f>'TPC and MoF'!B12</f>
        <v>Vehicles</v>
      </c>
      <c r="C82" s="3"/>
      <c r="D82" s="21">
        <v>2.5000000000000001E-3</v>
      </c>
      <c r="E82" s="21" t="s">
        <v>338</v>
      </c>
    </row>
    <row r="83" spans="2:5" ht="18" customHeight="1" x14ac:dyDescent="0.25">
      <c r="B83" s="3" t="str">
        <f>'TPC and MoF'!B13</f>
        <v>Office equipment &amp; Furniture</v>
      </c>
      <c r="C83" s="3"/>
      <c r="D83" s="21">
        <v>2.5000000000000001E-3</v>
      </c>
      <c r="E83" s="21" t="s">
        <v>338</v>
      </c>
    </row>
    <row r="84" spans="2:5" ht="18" customHeight="1" x14ac:dyDescent="0.25">
      <c r="B84" s="3" t="s">
        <v>1020</v>
      </c>
      <c r="C84" s="3"/>
      <c r="D84" s="21">
        <v>5.0000000000000001E-3</v>
      </c>
      <c r="E84" s="21" t="s">
        <v>338</v>
      </c>
    </row>
    <row r="85" spans="2:5" ht="18" customHeight="1" x14ac:dyDescent="0.25">
      <c r="B85" s="3" t="s">
        <v>332</v>
      </c>
      <c r="C85" s="3"/>
      <c r="D85" s="19">
        <v>0.05</v>
      </c>
      <c r="E85" s="17" t="s">
        <v>328</v>
      </c>
    </row>
    <row r="86" spans="2:5" ht="18" customHeight="1" x14ac:dyDescent="0.25">
      <c r="B86" s="3"/>
      <c r="C86" s="3"/>
      <c r="D86" s="21"/>
      <c r="E86" s="21"/>
    </row>
    <row r="87" spans="2:5" ht="18" customHeight="1" x14ac:dyDescent="0.25">
      <c r="B87" s="7" t="s">
        <v>36</v>
      </c>
      <c r="C87" s="7"/>
      <c r="D87" s="7"/>
      <c r="E87" s="7"/>
    </row>
    <row r="88" spans="2:5" ht="18" customHeight="1" x14ac:dyDescent="0.25">
      <c r="B88" s="18" t="s">
        <v>36</v>
      </c>
      <c r="C88" s="3"/>
      <c r="D88" s="20">
        <v>1.4999999999999999E-2</v>
      </c>
      <c r="E88" s="21" t="s">
        <v>336</v>
      </c>
    </row>
    <row r="89" spans="2:5" ht="18" customHeight="1" x14ac:dyDescent="0.25">
      <c r="B89" s="3" t="s">
        <v>346</v>
      </c>
      <c r="C89" s="3"/>
      <c r="D89" s="20">
        <v>1.4999999999999999E-2</v>
      </c>
      <c r="E89" s="21" t="s">
        <v>336</v>
      </c>
    </row>
    <row r="90" spans="2:5" ht="18" customHeight="1" x14ac:dyDescent="0.25">
      <c r="B90" s="3"/>
      <c r="C90" s="3"/>
      <c r="D90" s="21"/>
      <c r="E90" s="21"/>
    </row>
    <row r="91" spans="2:5" ht="18" customHeight="1" x14ac:dyDescent="0.25">
      <c r="B91" s="7" t="s">
        <v>37</v>
      </c>
      <c r="C91" s="7"/>
      <c r="D91" s="7"/>
      <c r="E91" s="7"/>
    </row>
    <row r="92" spans="2:5" ht="18" customHeight="1" x14ac:dyDescent="0.25">
      <c r="B92" s="18" t="s">
        <v>37</v>
      </c>
      <c r="C92" s="3"/>
      <c r="D92" s="20">
        <v>2.5000000000000001E-3</v>
      </c>
      <c r="E92" s="21" t="s">
        <v>344</v>
      </c>
    </row>
    <row r="93" spans="2:5" ht="18" customHeight="1" x14ac:dyDescent="0.25">
      <c r="B93" s="3" t="s">
        <v>39</v>
      </c>
      <c r="C93" s="3"/>
      <c r="D93" s="16">
        <v>10</v>
      </c>
      <c r="E93" s="21" t="s">
        <v>348</v>
      </c>
    </row>
    <row r="94" spans="2:5" ht="18" customHeight="1" x14ac:dyDescent="0.25">
      <c r="B94" s="3"/>
      <c r="C94" s="3"/>
      <c r="D94" s="21"/>
      <c r="E94" s="21"/>
    </row>
    <row r="95" spans="2:5" ht="18" customHeight="1" x14ac:dyDescent="0.25">
      <c r="B95" s="7" t="s">
        <v>41</v>
      </c>
      <c r="C95" s="7"/>
      <c r="D95" s="7"/>
      <c r="E95" s="7"/>
    </row>
    <row r="96" spans="2:5" ht="18" customHeight="1" x14ac:dyDescent="0.25">
      <c r="B96" s="3" t="s">
        <v>42</v>
      </c>
      <c r="C96" s="3"/>
      <c r="D96" s="13">
        <v>60</v>
      </c>
      <c r="E96" s="13" t="s">
        <v>327</v>
      </c>
    </row>
    <row r="97" spans="2:5" ht="18" customHeight="1" x14ac:dyDescent="0.25">
      <c r="B97" s="3" t="s">
        <v>43</v>
      </c>
      <c r="C97" s="3"/>
      <c r="D97" s="13">
        <v>30</v>
      </c>
      <c r="E97" s="13" t="s">
        <v>327</v>
      </c>
    </row>
    <row r="98" spans="2:5" ht="18" customHeight="1" x14ac:dyDescent="0.25">
      <c r="B98" s="3" t="s">
        <v>44</v>
      </c>
      <c r="C98" s="3"/>
      <c r="D98" s="13">
        <v>15</v>
      </c>
      <c r="E98" s="13" t="s">
        <v>327</v>
      </c>
    </row>
    <row r="99" spans="2:5" ht="18" customHeight="1" x14ac:dyDescent="0.25">
      <c r="B99" s="3" t="s">
        <v>443</v>
      </c>
      <c r="C99" s="3"/>
      <c r="D99" s="13">
        <v>15</v>
      </c>
      <c r="E99" s="13" t="s">
        <v>327</v>
      </c>
    </row>
    <row r="100" spans="2:5" ht="18" customHeight="1" x14ac:dyDescent="0.25">
      <c r="B100" s="3" t="s">
        <v>444</v>
      </c>
      <c r="C100" s="3"/>
      <c r="D100" s="13">
        <v>15</v>
      </c>
      <c r="E100" s="13" t="s">
        <v>327</v>
      </c>
    </row>
    <row r="101" spans="2:5" ht="18" customHeight="1" x14ac:dyDescent="0.25">
      <c r="B101" s="3" t="s">
        <v>450</v>
      </c>
      <c r="C101" s="3"/>
      <c r="D101" s="13">
        <v>30</v>
      </c>
      <c r="E101" s="13" t="s">
        <v>327</v>
      </c>
    </row>
    <row r="102" spans="2:5" ht="18" customHeight="1" x14ac:dyDescent="0.25">
      <c r="B102" s="3" t="s">
        <v>451</v>
      </c>
      <c r="C102" s="3"/>
      <c r="D102" s="13">
        <v>25</v>
      </c>
      <c r="E102" s="13" t="s">
        <v>327</v>
      </c>
    </row>
    <row r="103" spans="2:5" ht="18" customHeight="1" x14ac:dyDescent="0.25">
      <c r="B103" s="3"/>
      <c r="C103" s="3"/>
      <c r="D103" s="3"/>
      <c r="E103" s="3"/>
    </row>
    <row r="104" spans="2:5" ht="18" customHeight="1" x14ac:dyDescent="0.25">
      <c r="B104" s="7" t="s">
        <v>45</v>
      </c>
      <c r="C104" s="7"/>
      <c r="D104" s="7"/>
      <c r="E104" s="7"/>
    </row>
    <row r="105" spans="2:5" ht="18" customHeight="1" x14ac:dyDescent="0.25">
      <c r="B105" s="3" t="s">
        <v>46</v>
      </c>
      <c r="C105" s="3"/>
      <c r="D105" s="21">
        <v>9.5000000000000001E-2</v>
      </c>
      <c r="E105" s="14" t="s">
        <v>445</v>
      </c>
    </row>
    <row r="106" spans="2:5" ht="18" customHeight="1" x14ac:dyDescent="0.25">
      <c r="B106" s="3" t="s">
        <v>47</v>
      </c>
      <c r="C106" s="3"/>
      <c r="D106" s="21">
        <v>9.5000000000000001E-2</v>
      </c>
      <c r="E106" s="14" t="s">
        <v>445</v>
      </c>
    </row>
    <row r="107" spans="2:5" ht="18" customHeight="1" x14ac:dyDescent="0.25">
      <c r="B107" s="3" t="s">
        <v>262</v>
      </c>
      <c r="C107" s="3"/>
      <c r="D107" s="21">
        <v>9.5000000000000001E-2</v>
      </c>
      <c r="E107" s="14"/>
    </row>
    <row r="108" spans="2:5" ht="18" customHeight="1" x14ac:dyDescent="0.25">
      <c r="B108" s="3" t="s">
        <v>48</v>
      </c>
      <c r="C108" s="3"/>
      <c r="D108" s="16"/>
      <c r="E108" s="14" t="s">
        <v>446</v>
      </c>
    </row>
    <row r="109" spans="2:5" ht="18" customHeight="1" x14ac:dyDescent="0.25">
      <c r="B109" s="3" t="s">
        <v>49</v>
      </c>
      <c r="C109" s="3"/>
      <c r="D109" s="16">
        <v>13</v>
      </c>
      <c r="E109" s="14" t="s">
        <v>447</v>
      </c>
    </row>
    <row r="110" spans="2:5" ht="18" customHeight="1" x14ac:dyDescent="0.25">
      <c r="B110" s="3" t="s">
        <v>50</v>
      </c>
      <c r="C110" s="3"/>
      <c r="D110" s="16">
        <v>6</v>
      </c>
      <c r="E110" s="14" t="s">
        <v>447</v>
      </c>
    </row>
    <row r="111" spans="2:5" ht="18" customHeight="1" x14ac:dyDescent="0.25">
      <c r="B111" s="3"/>
      <c r="C111" s="3"/>
      <c r="D111" s="16"/>
      <c r="E111" s="14"/>
    </row>
    <row r="112" spans="2:5" ht="18" customHeight="1" x14ac:dyDescent="0.25">
      <c r="B112" s="7" t="s">
        <v>466</v>
      </c>
      <c r="C112" s="7"/>
      <c r="D112" s="7"/>
      <c r="E112" s="7"/>
    </row>
    <row r="113" spans="2:6" ht="18" customHeight="1" x14ac:dyDescent="0.25">
      <c r="B113" s="3" t="s">
        <v>604</v>
      </c>
      <c r="D113" s="20">
        <f>15%*(1+7%)*(1+4%)</f>
        <v>0.16692000000000001</v>
      </c>
      <c r="E113" s="14" t="s">
        <v>464</v>
      </c>
      <c r="F113" s="273" t="s">
        <v>465</v>
      </c>
    </row>
    <row r="114" spans="2:6" ht="18" customHeight="1" x14ac:dyDescent="0.25">
      <c r="B114" s="54" t="s">
        <v>467</v>
      </c>
      <c r="C114" s="54"/>
      <c r="D114" s="54"/>
      <c r="E114" s="54"/>
    </row>
    <row r="115" spans="2:6" ht="18" customHeight="1" x14ac:dyDescent="0.25">
      <c r="B115" s="2" t="s">
        <v>551</v>
      </c>
      <c r="D115" s="15">
        <v>0.25</v>
      </c>
      <c r="E115" s="14" t="s">
        <v>445</v>
      </c>
    </row>
    <row r="116" spans="2:6" ht="18" customHeight="1" x14ac:dyDescent="0.25">
      <c r="B116" s="2" t="s">
        <v>468</v>
      </c>
      <c r="D116" s="15">
        <v>7.0000000000000007E-2</v>
      </c>
      <c r="E116" s="14" t="s">
        <v>445</v>
      </c>
    </row>
    <row r="117" spans="2:6" ht="18" customHeight="1" x14ac:dyDescent="0.25">
      <c r="B117" s="2" t="s">
        <v>469</v>
      </c>
      <c r="D117" s="15">
        <v>0.04</v>
      </c>
      <c r="E117" s="14" t="s">
        <v>445</v>
      </c>
    </row>
    <row r="118" spans="2:6" ht="18" customHeight="1" x14ac:dyDescent="0.25">
      <c r="B118" s="207" t="s">
        <v>470</v>
      </c>
      <c r="C118" s="207"/>
      <c r="D118" s="275">
        <f>D115*(1+D116)*(1+D117)</f>
        <v>0.2782</v>
      </c>
      <c r="E118" s="274" t="s">
        <v>445</v>
      </c>
    </row>
    <row r="119" spans="2:6" ht="18" customHeight="1" x14ac:dyDescent="0.25">
      <c r="E119" s="14"/>
    </row>
    <row r="121" spans="2:6" ht="18" customHeight="1" thickBot="1" x14ac:dyDescent="0.3"/>
    <row r="122" spans="2:6" ht="18" customHeight="1" x14ac:dyDescent="0.25">
      <c r="B122" s="690" t="s">
        <v>1042</v>
      </c>
      <c r="C122" s="691"/>
      <c r="D122" s="691"/>
      <c r="E122" s="692"/>
    </row>
    <row r="123" spans="2:6" ht="18" customHeight="1" x14ac:dyDescent="0.25">
      <c r="B123" s="693"/>
      <c r="C123" s="694"/>
      <c r="D123" s="694"/>
      <c r="E123" s="695"/>
    </row>
    <row r="124" spans="2:6" ht="18" customHeight="1" x14ac:dyDescent="0.25">
      <c r="B124" s="693" t="s">
        <v>1049</v>
      </c>
      <c r="C124" s="694"/>
      <c r="D124" s="634">
        <v>80</v>
      </c>
      <c r="E124" s="696" t="s">
        <v>1044</v>
      </c>
    </row>
    <row r="125" spans="2:6" ht="18" customHeight="1" x14ac:dyDescent="0.25">
      <c r="B125" s="693" t="s">
        <v>1050</v>
      </c>
      <c r="C125" s="694"/>
      <c r="D125" s="634">
        <v>75</v>
      </c>
      <c r="E125" s="696" t="s">
        <v>1044</v>
      </c>
    </row>
    <row r="126" spans="2:6" ht="18" customHeight="1" x14ac:dyDescent="0.25">
      <c r="B126" s="697" t="s">
        <v>1043</v>
      </c>
      <c r="C126" s="207"/>
      <c r="D126" s="689">
        <f>SUM(D124:D125)/10^2</f>
        <v>1.55</v>
      </c>
      <c r="E126" s="698" t="s">
        <v>1045</v>
      </c>
    </row>
    <row r="127" spans="2:6" ht="18" customHeight="1" x14ac:dyDescent="0.25">
      <c r="B127" s="693"/>
      <c r="C127" s="694"/>
      <c r="D127" s="694"/>
      <c r="E127" s="695"/>
    </row>
    <row r="128" spans="2:6" ht="18" customHeight="1" x14ac:dyDescent="0.25">
      <c r="B128" s="693" t="s">
        <v>1046</v>
      </c>
      <c r="C128" s="694"/>
      <c r="D128" s="634">
        <v>6</v>
      </c>
      <c r="E128" s="696" t="s">
        <v>1047</v>
      </c>
    </row>
    <row r="129" spans="2:5" ht="18" customHeight="1" thickBot="1" x14ac:dyDescent="0.3">
      <c r="B129" s="699" t="s">
        <v>1048</v>
      </c>
      <c r="C129" s="700"/>
      <c r="D129" s="701">
        <f>D126*D128</f>
        <v>9.3000000000000007</v>
      </c>
      <c r="E129" s="702" t="s">
        <v>1045</v>
      </c>
    </row>
  </sheetData>
  <dataValidations count="1">
    <dataValidation type="list" allowBlank="1" showInputMessage="1" showErrorMessage="1" sqref="D105:D107">
      <formula1>"9%,9.5%,11.5%"</formula1>
    </dataValidation>
  </dataValidation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24"/>
  <sheetViews>
    <sheetView showGridLines="0" workbookViewId="0"/>
  </sheetViews>
  <sheetFormatPr defaultColWidth="13.7109375" defaultRowHeight="18" customHeight="1" x14ac:dyDescent="0.25"/>
  <cols>
    <col min="1" max="1" width="4.85546875" style="1" customWidth="1"/>
    <col min="2" max="2" width="50.85546875" style="1" customWidth="1"/>
    <col min="3" max="3" width="7.140625" style="1" customWidth="1"/>
    <col min="4" max="15" width="12.7109375" style="1" customWidth="1"/>
    <col min="16" max="16384" width="13.7109375" style="1"/>
  </cols>
  <sheetData>
    <row r="1" spans="2:16" ht="15.75" customHeight="1" x14ac:dyDescent="0.25"/>
    <row r="2" spans="2:16" s="2" customFormat="1" ht="18" customHeight="1" x14ac:dyDescent="0.25">
      <c r="B2" s="34" t="str">
        <f>"Financial Model of " &amp; B4</f>
        <v>Financial Model of Proposed 6000 KGPD CBG plant set up M/s. NRS BIO FUEL ENERGIES LLP</v>
      </c>
      <c r="C2" s="35"/>
      <c r="D2" s="35"/>
      <c r="E2" s="35"/>
      <c r="F2" s="35"/>
      <c r="G2" s="35"/>
      <c r="H2" s="35"/>
      <c r="I2" s="35"/>
      <c r="J2" s="35"/>
      <c r="K2" s="35"/>
      <c r="L2" s="35"/>
      <c r="M2" s="35"/>
      <c r="N2" s="35"/>
      <c r="O2" s="35"/>
      <c r="P2" s="25"/>
    </row>
    <row r="3" spans="2:16" s="2" customFormat="1" ht="12" customHeight="1" x14ac:dyDescent="0.25">
      <c r="C3" s="25"/>
      <c r="D3" s="25"/>
      <c r="E3" s="25"/>
      <c r="F3" s="25"/>
      <c r="G3" s="25"/>
      <c r="H3" s="25"/>
      <c r="I3" s="25"/>
      <c r="J3" s="25"/>
      <c r="K3" s="25"/>
      <c r="L3" s="25"/>
      <c r="M3" s="25"/>
      <c r="N3" s="25"/>
      <c r="O3" s="25"/>
      <c r="P3" s="25"/>
    </row>
    <row r="4" spans="2:16" s="2" customFormat="1" ht="18" customHeight="1" x14ac:dyDescent="0.25">
      <c r="B4" s="26" t="str">
        <f>'Common Assumption'!B4</f>
        <v>Proposed 6000 KGPD CBG plant set up M/s. NRS BIO FUEL ENERGIES LLP</v>
      </c>
      <c r="C4" s="26"/>
      <c r="D4" s="27"/>
      <c r="E4" s="27"/>
      <c r="F4" s="27"/>
      <c r="G4" s="27"/>
      <c r="H4" s="27"/>
      <c r="I4" s="27"/>
      <c r="J4" s="27"/>
      <c r="K4" s="27"/>
      <c r="L4" s="27"/>
      <c r="M4" s="27"/>
      <c r="N4" s="27"/>
      <c r="O4" s="27"/>
      <c r="P4" s="25"/>
    </row>
    <row r="5" spans="2:16" s="2" customFormat="1" ht="13.5" customHeight="1" x14ac:dyDescent="0.25">
      <c r="C5" s="25"/>
      <c r="D5" s="25"/>
      <c r="F5" s="28"/>
      <c r="P5" s="25"/>
    </row>
    <row r="6" spans="2:16" s="2" customFormat="1" ht="18" customHeight="1" x14ac:dyDescent="0.25">
      <c r="B6" s="26" t="s">
        <v>51</v>
      </c>
      <c r="C6" s="26"/>
      <c r="D6" s="27"/>
      <c r="E6" s="27"/>
      <c r="F6" s="27"/>
      <c r="G6" s="27"/>
      <c r="H6" s="27"/>
      <c r="I6" s="27"/>
      <c r="J6" s="27"/>
      <c r="K6" s="27"/>
      <c r="L6" s="27"/>
      <c r="M6" s="27"/>
      <c r="N6" s="27"/>
      <c r="O6" s="27"/>
      <c r="P6" s="25"/>
    </row>
    <row r="7" spans="2:16" s="2" customFormat="1" ht="12.75" customHeight="1" x14ac:dyDescent="0.25">
      <c r="C7" s="25"/>
      <c r="D7" s="25"/>
      <c r="F7" s="28"/>
      <c r="O7" s="25"/>
      <c r="P7" s="25"/>
    </row>
    <row r="8" spans="2:16" s="2" customFormat="1" ht="18" customHeight="1" x14ac:dyDescent="0.25">
      <c r="C8" s="25"/>
      <c r="D8" s="675" t="s">
        <v>8</v>
      </c>
      <c r="E8" s="675"/>
      <c r="F8" s="676" t="s">
        <v>52</v>
      </c>
      <c r="G8" s="676"/>
      <c r="H8" s="676"/>
      <c r="I8" s="676"/>
      <c r="J8" s="676"/>
      <c r="K8" s="676"/>
      <c r="L8" s="676"/>
      <c r="M8" s="676"/>
      <c r="N8" s="676"/>
      <c r="O8" s="676"/>
      <c r="P8" s="25"/>
    </row>
    <row r="9" spans="2:16" s="2" customFormat="1" ht="18" customHeight="1" x14ac:dyDescent="0.25">
      <c r="B9" s="29" t="s">
        <v>53</v>
      </c>
      <c r="C9" s="30" t="s">
        <v>54</v>
      </c>
      <c r="D9" s="31">
        <f>EOMONTH('Common Assumption'!E11,5)</f>
        <v>45747</v>
      </c>
      <c r="E9" s="31">
        <f>'Common Assumption'!E13</f>
        <v>45930</v>
      </c>
      <c r="F9" s="31">
        <f>DATE(YEAR(E9)+1,MONTH(E9)-6,DAY(E9)+1)</f>
        <v>46112</v>
      </c>
      <c r="G9" s="31">
        <f>DATE(YEAR(F9)+1,MONTH(F9),DAY(F9))</f>
        <v>46477</v>
      </c>
      <c r="H9" s="31">
        <f t="shared" ref="H9:O9" si="0">DATE(YEAR(G9)+1,MONTH(G9),DAY(G9))</f>
        <v>46843</v>
      </c>
      <c r="I9" s="31">
        <f t="shared" si="0"/>
        <v>47208</v>
      </c>
      <c r="J9" s="31">
        <f t="shared" si="0"/>
        <v>47573</v>
      </c>
      <c r="K9" s="31">
        <f t="shared" si="0"/>
        <v>47938</v>
      </c>
      <c r="L9" s="31">
        <f t="shared" si="0"/>
        <v>48304</v>
      </c>
      <c r="M9" s="31">
        <f t="shared" si="0"/>
        <v>48669</v>
      </c>
      <c r="N9" s="31">
        <f t="shared" si="0"/>
        <v>49034</v>
      </c>
      <c r="O9" s="31">
        <f t="shared" si="0"/>
        <v>49399</v>
      </c>
      <c r="P9" s="25"/>
    </row>
    <row r="10" spans="2:16" s="32" customFormat="1" ht="18" customHeight="1" x14ac:dyDescent="0.25">
      <c r="B10" s="37" t="s">
        <v>55</v>
      </c>
      <c r="C10" s="38"/>
      <c r="D10" s="36">
        <v>0</v>
      </c>
      <c r="E10" s="36">
        <v>0</v>
      </c>
      <c r="F10" s="39">
        <v>1</v>
      </c>
      <c r="G10" s="39">
        <f>F10+1</f>
        <v>2</v>
      </c>
      <c r="H10" s="39">
        <f t="shared" ref="H10:O10" si="1">G10+1</f>
        <v>3</v>
      </c>
      <c r="I10" s="39">
        <f t="shared" si="1"/>
        <v>4</v>
      </c>
      <c r="J10" s="39">
        <f t="shared" si="1"/>
        <v>5</v>
      </c>
      <c r="K10" s="39">
        <f t="shared" si="1"/>
        <v>6</v>
      </c>
      <c r="L10" s="39">
        <f t="shared" si="1"/>
        <v>7</v>
      </c>
      <c r="M10" s="39">
        <f t="shared" si="1"/>
        <v>8</v>
      </c>
      <c r="N10" s="39">
        <f t="shared" si="1"/>
        <v>9</v>
      </c>
      <c r="O10" s="39">
        <f t="shared" si="1"/>
        <v>10</v>
      </c>
      <c r="P10" s="33"/>
    </row>
    <row r="11" spans="2:16" s="32" customFormat="1" ht="18" customHeight="1" x14ac:dyDescent="0.25">
      <c r="B11" s="37" t="s">
        <v>56</v>
      </c>
      <c r="C11" s="38">
        <f>'Common Assumption'!E12</f>
        <v>11</v>
      </c>
      <c r="D11" s="36">
        <f>MONTH(D9-'Common Assumption'!E11)</f>
        <v>5</v>
      </c>
      <c r="E11" s="36">
        <f>C11-D11</f>
        <v>6</v>
      </c>
      <c r="F11" s="38">
        <f>MONTH(F9-E9)</f>
        <v>6</v>
      </c>
      <c r="G11" s="38">
        <f t="shared" ref="G11:M11" si="2">MONTH(G9-F9)</f>
        <v>12</v>
      </c>
      <c r="H11" s="38">
        <f t="shared" si="2"/>
        <v>12</v>
      </c>
      <c r="I11" s="38">
        <f t="shared" si="2"/>
        <v>12</v>
      </c>
      <c r="J11" s="38">
        <f t="shared" si="2"/>
        <v>12</v>
      </c>
      <c r="K11" s="38">
        <f t="shared" si="2"/>
        <v>12</v>
      </c>
      <c r="L11" s="38">
        <f t="shared" si="2"/>
        <v>12</v>
      </c>
      <c r="M11" s="38">
        <f t="shared" si="2"/>
        <v>12</v>
      </c>
      <c r="N11" s="38">
        <f t="shared" ref="N11" si="3">MONTH(N9-M9)</f>
        <v>12</v>
      </c>
      <c r="O11" s="38">
        <f t="shared" ref="O11" si="4">MONTH(O9-N9)</f>
        <v>12</v>
      </c>
      <c r="P11" s="33"/>
    </row>
    <row r="13" spans="2:16" ht="18" customHeight="1" x14ac:dyDescent="0.25">
      <c r="B13" s="59" t="s">
        <v>73</v>
      </c>
      <c r="C13" s="60"/>
      <c r="D13" s="60"/>
      <c r="E13" s="60"/>
      <c r="F13" s="61"/>
      <c r="G13" s="61"/>
      <c r="H13" s="61"/>
      <c r="I13" s="61"/>
      <c r="J13" s="61"/>
      <c r="K13" s="61"/>
      <c r="L13" s="61"/>
      <c r="M13" s="61"/>
      <c r="N13" s="61"/>
      <c r="O13" s="61"/>
    </row>
    <row r="14" spans="2:16" ht="18" customHeight="1" x14ac:dyDescent="0.25">
      <c r="B14" s="54" t="s">
        <v>607</v>
      </c>
      <c r="C14" s="2"/>
      <c r="D14" s="2"/>
      <c r="E14" s="2"/>
      <c r="F14" s="55"/>
      <c r="G14" s="55"/>
      <c r="H14" s="55"/>
    </row>
    <row r="15" spans="2:16" ht="18" customHeight="1" x14ac:dyDescent="0.25">
      <c r="B15" s="2" t="s">
        <v>87</v>
      </c>
      <c r="C15" s="2"/>
      <c r="D15" s="2"/>
      <c r="E15" s="2"/>
      <c r="F15" s="57">
        <f>'Input &amp; Output Calc.'!D16</f>
        <v>6222</v>
      </c>
      <c r="G15" s="58">
        <f>F15</f>
        <v>6222</v>
      </c>
      <c r="H15" s="58">
        <f t="shared" ref="H15:O15" si="5">G15</f>
        <v>6222</v>
      </c>
      <c r="I15" s="58">
        <f t="shared" si="5"/>
        <v>6222</v>
      </c>
      <c r="J15" s="58">
        <f t="shared" si="5"/>
        <v>6222</v>
      </c>
      <c r="K15" s="58">
        <f t="shared" si="5"/>
        <v>6222</v>
      </c>
      <c r="L15" s="58">
        <f t="shared" si="5"/>
        <v>6222</v>
      </c>
      <c r="M15" s="58">
        <f t="shared" si="5"/>
        <v>6222</v>
      </c>
      <c r="N15" s="58">
        <f t="shared" si="5"/>
        <v>6222</v>
      </c>
      <c r="O15" s="58">
        <f t="shared" si="5"/>
        <v>6222</v>
      </c>
    </row>
    <row r="16" spans="2:16" ht="18" customHeight="1" x14ac:dyDescent="0.25">
      <c r="B16" s="2" t="s">
        <v>88</v>
      </c>
      <c r="C16" s="14"/>
      <c r="D16" s="2"/>
      <c r="E16" s="2"/>
      <c r="F16" s="58">
        <f>'Common Assumption'!D26</f>
        <v>6120</v>
      </c>
      <c r="G16" s="58">
        <f>F16</f>
        <v>6120</v>
      </c>
      <c r="H16" s="58">
        <f t="shared" ref="H16:O17" si="6">G16</f>
        <v>6120</v>
      </c>
      <c r="I16" s="58">
        <f t="shared" si="6"/>
        <v>6120</v>
      </c>
      <c r="J16" s="58">
        <f t="shared" si="6"/>
        <v>6120</v>
      </c>
      <c r="K16" s="58">
        <f t="shared" si="6"/>
        <v>6120</v>
      </c>
      <c r="L16" s="58">
        <f t="shared" si="6"/>
        <v>6120</v>
      </c>
      <c r="M16" s="58">
        <f t="shared" si="6"/>
        <v>6120</v>
      </c>
      <c r="N16" s="58">
        <f t="shared" si="6"/>
        <v>6120</v>
      </c>
      <c r="O16" s="58">
        <f t="shared" si="6"/>
        <v>6120</v>
      </c>
    </row>
    <row r="17" spans="2:15" ht="18" customHeight="1" x14ac:dyDescent="0.25">
      <c r="B17" s="2" t="s">
        <v>869</v>
      </c>
      <c r="C17" s="14"/>
      <c r="D17" s="2"/>
      <c r="E17" s="2"/>
      <c r="F17" s="58">
        <f>'Input &amp; Output Calc.'!E22</f>
        <v>120</v>
      </c>
      <c r="G17" s="58">
        <f>F17</f>
        <v>120</v>
      </c>
      <c r="H17" s="58">
        <f t="shared" si="6"/>
        <v>120</v>
      </c>
      <c r="I17" s="58">
        <f t="shared" si="6"/>
        <v>120</v>
      </c>
      <c r="J17" s="58">
        <f t="shared" si="6"/>
        <v>120</v>
      </c>
      <c r="K17" s="58">
        <f t="shared" si="6"/>
        <v>120</v>
      </c>
      <c r="L17" s="58">
        <f t="shared" si="6"/>
        <v>120</v>
      </c>
      <c r="M17" s="58">
        <f t="shared" si="6"/>
        <v>120</v>
      </c>
      <c r="N17" s="58">
        <f t="shared" si="6"/>
        <v>120</v>
      </c>
      <c r="O17" s="58">
        <f t="shared" si="6"/>
        <v>120</v>
      </c>
    </row>
    <row r="18" spans="2:15" ht="18" customHeight="1" x14ac:dyDescent="0.25">
      <c r="B18" s="2" t="s">
        <v>870</v>
      </c>
      <c r="C18" s="14"/>
      <c r="D18" s="2"/>
      <c r="E18" s="2"/>
      <c r="F18" s="58">
        <f>F16-F17</f>
        <v>6000</v>
      </c>
      <c r="G18" s="58">
        <f t="shared" ref="G18:O18" si="7">G16-G17</f>
        <v>6000</v>
      </c>
      <c r="H18" s="58">
        <f t="shared" si="7"/>
        <v>6000</v>
      </c>
      <c r="I18" s="58">
        <f t="shared" si="7"/>
        <v>6000</v>
      </c>
      <c r="J18" s="58">
        <f t="shared" si="7"/>
        <v>6000</v>
      </c>
      <c r="K18" s="58">
        <f t="shared" si="7"/>
        <v>6000</v>
      </c>
      <c r="L18" s="58">
        <f t="shared" si="7"/>
        <v>6000</v>
      </c>
      <c r="M18" s="58">
        <f t="shared" si="7"/>
        <v>6000</v>
      </c>
      <c r="N18" s="58">
        <f t="shared" si="7"/>
        <v>6000</v>
      </c>
      <c r="O18" s="58">
        <f t="shared" si="7"/>
        <v>6000</v>
      </c>
    </row>
    <row r="19" spans="2:15" ht="18" customHeight="1" x14ac:dyDescent="0.25">
      <c r="B19" s="2" t="s">
        <v>24</v>
      </c>
      <c r="C19" s="2"/>
      <c r="D19" s="2"/>
      <c r="E19" s="2"/>
      <c r="F19" s="57">
        <f>'Common Assumption'!D22</f>
        <v>350</v>
      </c>
      <c r="G19" s="58">
        <f>F19</f>
        <v>350</v>
      </c>
      <c r="H19" s="58">
        <f t="shared" ref="H19:O19" si="8">G19</f>
        <v>350</v>
      </c>
      <c r="I19" s="58">
        <f t="shared" si="8"/>
        <v>350</v>
      </c>
      <c r="J19" s="58">
        <f t="shared" si="8"/>
        <v>350</v>
      </c>
      <c r="K19" s="58">
        <f t="shared" si="8"/>
        <v>350</v>
      </c>
      <c r="L19" s="58">
        <f t="shared" si="8"/>
        <v>350</v>
      </c>
      <c r="M19" s="58">
        <f t="shared" si="8"/>
        <v>350</v>
      </c>
      <c r="N19" s="58">
        <f t="shared" si="8"/>
        <v>350</v>
      </c>
      <c r="O19" s="58">
        <f t="shared" si="8"/>
        <v>350</v>
      </c>
    </row>
    <row r="20" spans="2:15" ht="18" customHeight="1" x14ac:dyDescent="0.25">
      <c r="B20" s="2" t="s">
        <v>74</v>
      </c>
      <c r="C20" s="2"/>
      <c r="D20" s="2"/>
      <c r="E20" s="2"/>
      <c r="F20" s="58">
        <f t="shared" ref="F20:O20" si="9">IF(F11&lt;12,F9-E9,F19)</f>
        <v>182</v>
      </c>
      <c r="G20" s="58">
        <f t="shared" si="9"/>
        <v>350</v>
      </c>
      <c r="H20" s="58">
        <f t="shared" si="9"/>
        <v>350</v>
      </c>
      <c r="I20" s="58">
        <f t="shared" si="9"/>
        <v>350</v>
      </c>
      <c r="J20" s="58">
        <f t="shared" si="9"/>
        <v>350</v>
      </c>
      <c r="K20" s="58">
        <f t="shared" si="9"/>
        <v>350</v>
      </c>
      <c r="L20" s="58">
        <f t="shared" si="9"/>
        <v>350</v>
      </c>
      <c r="M20" s="58">
        <f t="shared" si="9"/>
        <v>350</v>
      </c>
      <c r="N20" s="58">
        <f t="shared" si="9"/>
        <v>350</v>
      </c>
      <c r="O20" s="58">
        <f t="shared" si="9"/>
        <v>350</v>
      </c>
    </row>
    <row r="21" spans="2:15" ht="15.75" customHeight="1" x14ac:dyDescent="0.25">
      <c r="B21" s="2"/>
      <c r="C21" s="2"/>
      <c r="D21" s="2"/>
      <c r="E21" s="2"/>
      <c r="F21" s="58"/>
      <c r="G21" s="58"/>
      <c r="H21" s="58"/>
      <c r="I21" s="58"/>
      <c r="J21" s="58"/>
      <c r="K21" s="58"/>
      <c r="L21" s="58"/>
      <c r="M21" s="58"/>
      <c r="N21" s="58"/>
      <c r="O21" s="58"/>
    </row>
    <row r="22" spans="2:15" ht="19.5" customHeight="1" x14ac:dyDescent="0.25">
      <c r="B22" s="54" t="s">
        <v>927</v>
      </c>
      <c r="C22" s="2"/>
      <c r="D22" s="2"/>
      <c r="E22" s="2"/>
      <c r="F22" s="58"/>
      <c r="G22" s="58"/>
      <c r="H22" s="58"/>
      <c r="I22" s="58"/>
      <c r="J22" s="58"/>
      <c r="K22" s="58"/>
      <c r="L22" s="58"/>
      <c r="M22" s="58"/>
      <c r="N22" s="58"/>
      <c r="O22" s="58"/>
    </row>
    <row r="23" spans="2:15" ht="18" customHeight="1" x14ac:dyDescent="0.25">
      <c r="B23" s="2" t="s">
        <v>1012</v>
      </c>
      <c r="C23" s="2"/>
      <c r="D23" s="2"/>
      <c r="E23" s="2"/>
      <c r="F23" s="58">
        <f>'Common Assumption'!D31</f>
        <v>6000</v>
      </c>
      <c r="G23" s="58">
        <f>F23</f>
        <v>6000</v>
      </c>
      <c r="H23" s="58">
        <f t="shared" ref="H23:O23" si="10">G23</f>
        <v>6000</v>
      </c>
      <c r="I23" s="58">
        <f t="shared" si="10"/>
        <v>6000</v>
      </c>
      <c r="J23" s="58">
        <f t="shared" si="10"/>
        <v>6000</v>
      </c>
      <c r="K23" s="58">
        <f t="shared" si="10"/>
        <v>6000</v>
      </c>
      <c r="L23" s="58">
        <f t="shared" si="10"/>
        <v>6000</v>
      </c>
      <c r="M23" s="58">
        <f t="shared" si="10"/>
        <v>6000</v>
      </c>
      <c r="N23" s="58">
        <f t="shared" si="10"/>
        <v>6000</v>
      </c>
      <c r="O23" s="58">
        <f t="shared" si="10"/>
        <v>6000</v>
      </c>
    </row>
    <row r="24" spans="2:15" ht="18" customHeight="1" x14ac:dyDescent="0.25">
      <c r="B24" s="2" t="s">
        <v>89</v>
      </c>
      <c r="C24" s="2"/>
      <c r="D24" s="2"/>
      <c r="E24" s="2"/>
      <c r="F24" s="58">
        <f t="shared" ref="F24:O24" si="11">F23*F20</f>
        <v>1092000</v>
      </c>
      <c r="G24" s="58">
        <f t="shared" si="11"/>
        <v>2100000</v>
      </c>
      <c r="H24" s="58">
        <f t="shared" si="11"/>
        <v>2100000</v>
      </c>
      <c r="I24" s="58">
        <f t="shared" si="11"/>
        <v>2100000</v>
      </c>
      <c r="J24" s="58">
        <f t="shared" si="11"/>
        <v>2100000</v>
      </c>
      <c r="K24" s="58">
        <f t="shared" si="11"/>
        <v>2100000</v>
      </c>
      <c r="L24" s="58">
        <f t="shared" si="11"/>
        <v>2100000</v>
      </c>
      <c r="M24" s="58">
        <f t="shared" si="11"/>
        <v>2100000</v>
      </c>
      <c r="N24" s="58">
        <f t="shared" si="11"/>
        <v>2100000</v>
      </c>
      <c r="O24" s="58">
        <f t="shared" si="11"/>
        <v>2100000</v>
      </c>
    </row>
    <row r="25" spans="2:15" ht="18" customHeight="1" x14ac:dyDescent="0.25">
      <c r="B25" s="2" t="s">
        <v>91</v>
      </c>
      <c r="C25" s="2"/>
      <c r="D25" s="2"/>
      <c r="E25" s="2"/>
      <c r="F25" s="55">
        <f>'Common Assumption'!D36</f>
        <v>70.48</v>
      </c>
      <c r="G25" s="55">
        <f>F25*(1+G26)</f>
        <v>74.004000000000005</v>
      </c>
      <c r="H25" s="55">
        <f t="shared" ref="H25:O25" si="12">G25*(1+H26)</f>
        <v>77.704200000000014</v>
      </c>
      <c r="I25" s="55">
        <f t="shared" si="12"/>
        <v>81.589410000000015</v>
      </c>
      <c r="J25" s="55">
        <f t="shared" si="12"/>
        <v>85.668880500000014</v>
      </c>
      <c r="K25" s="55">
        <f t="shared" si="12"/>
        <v>89.952324525000023</v>
      </c>
      <c r="L25" s="55">
        <f t="shared" si="12"/>
        <v>94.449940751250026</v>
      </c>
      <c r="M25" s="55">
        <f t="shared" si="12"/>
        <v>99.17243778881253</v>
      </c>
      <c r="N25" s="55">
        <f t="shared" si="12"/>
        <v>104.13105967825317</v>
      </c>
      <c r="O25" s="55">
        <f t="shared" si="12"/>
        <v>109.33761266216582</v>
      </c>
    </row>
    <row r="26" spans="2:15" ht="18" customHeight="1" x14ac:dyDescent="0.25">
      <c r="B26" s="2" t="s">
        <v>75</v>
      </c>
      <c r="C26" s="2"/>
      <c r="D26" s="2"/>
      <c r="E26" s="2"/>
      <c r="F26" s="15"/>
      <c r="G26" s="15">
        <f>'Common Assumption'!D39</f>
        <v>0.05</v>
      </c>
      <c r="H26" s="15">
        <f t="shared" ref="H26" si="13">G26</f>
        <v>0.05</v>
      </c>
      <c r="I26" s="15">
        <f t="shared" ref="I26" si="14">H26</f>
        <v>0.05</v>
      </c>
      <c r="J26" s="15">
        <f t="shared" ref="J26" si="15">I26</f>
        <v>0.05</v>
      </c>
      <c r="K26" s="15">
        <f t="shared" ref="K26" si="16">J26</f>
        <v>0.05</v>
      </c>
      <c r="L26" s="15">
        <f t="shared" ref="L26" si="17">K26</f>
        <v>0.05</v>
      </c>
      <c r="M26" s="15">
        <f t="shared" ref="M26" si="18">L26</f>
        <v>0.05</v>
      </c>
      <c r="N26" s="15">
        <f t="shared" ref="N26" si="19">M26</f>
        <v>0.05</v>
      </c>
      <c r="O26" s="15">
        <f t="shared" ref="O26" si="20">N26</f>
        <v>0.05</v>
      </c>
    </row>
    <row r="27" spans="2:15" ht="18" customHeight="1" x14ac:dyDescent="0.25">
      <c r="B27" s="62" t="s">
        <v>933</v>
      </c>
      <c r="C27" s="62"/>
      <c r="D27" s="62"/>
      <c r="E27" s="62"/>
      <c r="F27" s="63">
        <f>F25*F24/10^7</f>
        <v>7.6964160000000001</v>
      </c>
      <c r="G27" s="63">
        <f t="shared" ref="G27:O27" si="21">G25*G24/10^7</f>
        <v>15.540839999999999</v>
      </c>
      <c r="H27" s="63">
        <f t="shared" si="21"/>
        <v>16.317882000000004</v>
      </c>
      <c r="I27" s="63">
        <f t="shared" si="21"/>
        <v>17.133776100000002</v>
      </c>
      <c r="J27" s="63">
        <f t="shared" si="21"/>
        <v>17.990464905000003</v>
      </c>
      <c r="K27" s="63">
        <f t="shared" si="21"/>
        <v>18.889988150250005</v>
      </c>
      <c r="L27" s="63">
        <f t="shared" si="21"/>
        <v>19.834487557762507</v>
      </c>
      <c r="M27" s="63">
        <f t="shared" si="21"/>
        <v>20.826211935650633</v>
      </c>
      <c r="N27" s="63">
        <f t="shared" si="21"/>
        <v>21.867522532433163</v>
      </c>
      <c r="O27" s="63">
        <f t="shared" si="21"/>
        <v>22.960898659054823</v>
      </c>
    </row>
    <row r="28" spans="2:15" ht="18" customHeight="1" x14ac:dyDescent="0.25">
      <c r="B28" s="2"/>
      <c r="C28" s="2"/>
      <c r="D28" s="2"/>
      <c r="E28" s="2"/>
      <c r="F28" s="58"/>
      <c r="G28" s="58"/>
      <c r="H28" s="58"/>
      <c r="I28" s="58"/>
      <c r="J28" s="58"/>
      <c r="K28" s="58"/>
      <c r="L28" s="58"/>
      <c r="M28" s="58"/>
      <c r="N28" s="58"/>
      <c r="O28" s="58"/>
    </row>
    <row r="29" spans="2:15" ht="18" customHeight="1" x14ac:dyDescent="0.25">
      <c r="B29" s="88" t="s">
        <v>608</v>
      </c>
      <c r="C29" s="88"/>
      <c r="D29" s="88"/>
      <c r="E29" s="88"/>
      <c r="F29" s="89">
        <f>F27</f>
        <v>7.6964160000000001</v>
      </c>
      <c r="G29" s="89">
        <f t="shared" ref="G29:O29" si="22">G27</f>
        <v>15.540839999999999</v>
      </c>
      <c r="H29" s="89">
        <f t="shared" si="22"/>
        <v>16.317882000000004</v>
      </c>
      <c r="I29" s="89">
        <f t="shared" si="22"/>
        <v>17.133776100000002</v>
      </c>
      <c r="J29" s="89">
        <f t="shared" si="22"/>
        <v>17.990464905000003</v>
      </c>
      <c r="K29" s="89">
        <f t="shared" si="22"/>
        <v>18.889988150250005</v>
      </c>
      <c r="L29" s="89">
        <f t="shared" si="22"/>
        <v>19.834487557762507</v>
      </c>
      <c r="M29" s="89">
        <f t="shared" si="22"/>
        <v>20.826211935650633</v>
      </c>
      <c r="N29" s="89">
        <f t="shared" si="22"/>
        <v>21.867522532433163</v>
      </c>
      <c r="O29" s="89">
        <f t="shared" si="22"/>
        <v>22.960898659054823</v>
      </c>
    </row>
    <row r="31" spans="2:15" ht="18" customHeight="1" x14ac:dyDescent="0.25">
      <c r="B31" s="54" t="s">
        <v>928</v>
      </c>
      <c r="C31" s="25"/>
      <c r="D31" s="14"/>
      <c r="E31" s="14"/>
      <c r="F31" s="14"/>
      <c r="G31" s="25"/>
      <c r="H31" s="25"/>
      <c r="I31" s="25"/>
      <c r="J31" s="25"/>
      <c r="K31" s="25"/>
      <c r="L31" s="25"/>
      <c r="M31" s="25"/>
      <c r="N31" s="25"/>
    </row>
    <row r="32" spans="2:15" ht="18" customHeight="1" x14ac:dyDescent="0.25">
      <c r="B32" s="87" t="s">
        <v>929</v>
      </c>
      <c r="C32" s="25"/>
      <c r="D32" s="14"/>
      <c r="E32" s="14"/>
      <c r="F32" s="57">
        <f>'Common Assumption'!D32</f>
        <v>20000</v>
      </c>
      <c r="G32" s="58">
        <f>F32</f>
        <v>20000</v>
      </c>
      <c r="H32" s="58">
        <f t="shared" ref="H32:O32" si="23">G32</f>
        <v>20000</v>
      </c>
      <c r="I32" s="58">
        <f t="shared" si="23"/>
        <v>20000</v>
      </c>
      <c r="J32" s="58">
        <f t="shared" si="23"/>
        <v>20000</v>
      </c>
      <c r="K32" s="58">
        <f t="shared" si="23"/>
        <v>20000</v>
      </c>
      <c r="L32" s="58">
        <f t="shared" si="23"/>
        <v>20000</v>
      </c>
      <c r="M32" s="58">
        <f t="shared" si="23"/>
        <v>20000</v>
      </c>
      <c r="N32" s="58">
        <f t="shared" si="23"/>
        <v>20000</v>
      </c>
      <c r="O32" s="58">
        <f t="shared" si="23"/>
        <v>20000</v>
      </c>
    </row>
    <row r="33" spans="2:15" ht="18" customHeight="1" x14ac:dyDescent="0.25">
      <c r="B33" s="2" t="s">
        <v>930</v>
      </c>
      <c r="C33" s="25"/>
      <c r="D33" s="25"/>
      <c r="E33" s="25"/>
      <c r="F33" s="58">
        <f t="shared" ref="F33:O33" si="24">F32*F20</f>
        <v>3640000</v>
      </c>
      <c r="G33" s="58">
        <f t="shared" si="24"/>
        <v>7000000</v>
      </c>
      <c r="H33" s="58">
        <f t="shared" si="24"/>
        <v>7000000</v>
      </c>
      <c r="I33" s="58">
        <f t="shared" si="24"/>
        <v>7000000</v>
      </c>
      <c r="J33" s="58">
        <f t="shared" si="24"/>
        <v>7000000</v>
      </c>
      <c r="K33" s="58">
        <f t="shared" si="24"/>
        <v>7000000</v>
      </c>
      <c r="L33" s="58">
        <f t="shared" si="24"/>
        <v>7000000</v>
      </c>
      <c r="M33" s="58">
        <f t="shared" si="24"/>
        <v>7000000</v>
      </c>
      <c r="N33" s="58">
        <f t="shared" si="24"/>
        <v>7000000</v>
      </c>
      <c r="O33" s="58">
        <f t="shared" si="24"/>
        <v>7000000</v>
      </c>
    </row>
    <row r="34" spans="2:15" ht="18" customHeight="1" x14ac:dyDescent="0.25">
      <c r="B34" s="2" t="s">
        <v>931</v>
      </c>
      <c r="C34" s="2"/>
      <c r="D34" s="2"/>
      <c r="E34" s="2"/>
      <c r="F34" s="56">
        <f>'Common Assumption'!D37</f>
        <v>10</v>
      </c>
      <c r="G34" s="55">
        <f>F34*(1+G35)</f>
        <v>10.5</v>
      </c>
      <c r="H34" s="55">
        <f t="shared" ref="H34:O34" si="25">G34*(1+H35)</f>
        <v>11.025</v>
      </c>
      <c r="I34" s="55">
        <f t="shared" si="25"/>
        <v>11.576250000000002</v>
      </c>
      <c r="J34" s="55">
        <f t="shared" si="25"/>
        <v>12.155062500000001</v>
      </c>
      <c r="K34" s="55">
        <f t="shared" si="25"/>
        <v>12.762815625000002</v>
      </c>
      <c r="L34" s="55">
        <f t="shared" si="25"/>
        <v>13.400956406250003</v>
      </c>
      <c r="M34" s="55">
        <f t="shared" si="25"/>
        <v>14.071004226562504</v>
      </c>
      <c r="N34" s="55">
        <f t="shared" si="25"/>
        <v>14.774554437890631</v>
      </c>
      <c r="O34" s="55">
        <f t="shared" si="25"/>
        <v>15.513282159785163</v>
      </c>
    </row>
    <row r="35" spans="2:15" ht="18" customHeight="1" x14ac:dyDescent="0.25">
      <c r="B35" s="2" t="s">
        <v>75</v>
      </c>
      <c r="C35" s="2"/>
      <c r="D35" s="2"/>
      <c r="E35" s="2"/>
      <c r="F35" s="14"/>
      <c r="G35" s="14">
        <f>'Common Assumption'!D39</f>
        <v>0.05</v>
      </c>
      <c r="H35" s="14">
        <f t="shared" ref="H35:O35" si="26">G35</f>
        <v>0.05</v>
      </c>
      <c r="I35" s="14">
        <f t="shared" si="26"/>
        <v>0.05</v>
      </c>
      <c r="J35" s="14">
        <f t="shared" si="26"/>
        <v>0.05</v>
      </c>
      <c r="K35" s="14">
        <f t="shared" si="26"/>
        <v>0.05</v>
      </c>
      <c r="L35" s="14">
        <f t="shared" si="26"/>
        <v>0.05</v>
      </c>
      <c r="M35" s="14">
        <f t="shared" si="26"/>
        <v>0.05</v>
      </c>
      <c r="N35" s="14">
        <f t="shared" si="26"/>
        <v>0.05</v>
      </c>
      <c r="O35" s="14">
        <f t="shared" si="26"/>
        <v>0.05</v>
      </c>
    </row>
    <row r="36" spans="2:15" ht="18" customHeight="1" x14ac:dyDescent="0.25">
      <c r="B36" s="62" t="s">
        <v>932</v>
      </c>
      <c r="C36" s="62"/>
      <c r="D36" s="62"/>
      <c r="E36" s="62"/>
      <c r="F36" s="63">
        <f>F33*F34/10^7</f>
        <v>3.64</v>
      </c>
      <c r="G36" s="63">
        <f t="shared" ref="G36:O36" si="27">G33*G34/10^7</f>
        <v>7.35</v>
      </c>
      <c r="H36" s="63">
        <f t="shared" si="27"/>
        <v>7.7175000000000002</v>
      </c>
      <c r="I36" s="63">
        <f t="shared" si="27"/>
        <v>8.1033750000000015</v>
      </c>
      <c r="J36" s="63">
        <f t="shared" si="27"/>
        <v>8.5085437500000012</v>
      </c>
      <c r="K36" s="63">
        <f t="shared" si="27"/>
        <v>8.9339709375000016</v>
      </c>
      <c r="L36" s="63">
        <f t="shared" si="27"/>
        <v>9.3806694843750034</v>
      </c>
      <c r="M36" s="63">
        <f t="shared" si="27"/>
        <v>9.8497029585937526</v>
      </c>
      <c r="N36" s="63">
        <f t="shared" si="27"/>
        <v>10.342188106523441</v>
      </c>
      <c r="O36" s="63">
        <f t="shared" si="27"/>
        <v>10.859297511849613</v>
      </c>
    </row>
    <row r="38" spans="2:15" ht="18" customHeight="1" x14ac:dyDescent="0.25">
      <c r="B38" s="54" t="s">
        <v>934</v>
      </c>
      <c r="C38" s="25"/>
      <c r="D38" s="14"/>
      <c r="E38" s="14"/>
      <c r="F38" s="14"/>
      <c r="G38" s="25"/>
      <c r="H38" s="25"/>
      <c r="I38" s="25"/>
      <c r="J38" s="25"/>
      <c r="K38" s="25"/>
      <c r="L38" s="25"/>
      <c r="M38" s="25"/>
      <c r="N38" s="25"/>
    </row>
    <row r="39" spans="2:15" ht="18" customHeight="1" x14ac:dyDescent="0.25">
      <c r="B39" s="87" t="s">
        <v>935</v>
      </c>
      <c r="C39" s="25"/>
      <c r="D39" s="14"/>
      <c r="E39" s="14"/>
      <c r="F39" s="57">
        <f>'Common Assumption'!D33</f>
        <v>10000</v>
      </c>
      <c r="G39" s="58">
        <f>F39</f>
        <v>10000</v>
      </c>
      <c r="H39" s="58">
        <f t="shared" ref="H39" si="28">G39</f>
        <v>10000</v>
      </c>
      <c r="I39" s="58">
        <f t="shared" ref="I39" si="29">H39</f>
        <v>10000</v>
      </c>
      <c r="J39" s="58">
        <f t="shared" ref="J39" si="30">I39</f>
        <v>10000</v>
      </c>
      <c r="K39" s="58">
        <f t="shared" ref="K39" si="31">J39</f>
        <v>10000</v>
      </c>
      <c r="L39" s="58">
        <f t="shared" ref="L39" si="32">K39</f>
        <v>10000</v>
      </c>
      <c r="M39" s="58">
        <f t="shared" ref="M39" si="33">L39</f>
        <v>10000</v>
      </c>
      <c r="N39" s="58">
        <f t="shared" ref="N39" si="34">M39</f>
        <v>10000</v>
      </c>
      <c r="O39" s="58">
        <f t="shared" ref="O39" si="35">N39</f>
        <v>10000</v>
      </c>
    </row>
    <row r="40" spans="2:15" ht="18" customHeight="1" x14ac:dyDescent="0.25">
      <c r="B40" s="2" t="s">
        <v>936</v>
      </c>
      <c r="C40" s="25"/>
      <c r="D40" s="25"/>
      <c r="E40" s="25"/>
      <c r="F40" s="58">
        <f>F39*F20</f>
        <v>1820000</v>
      </c>
      <c r="G40" s="58">
        <f t="shared" ref="G40:O40" si="36">G39*G20</f>
        <v>3500000</v>
      </c>
      <c r="H40" s="58">
        <f t="shared" si="36"/>
        <v>3500000</v>
      </c>
      <c r="I40" s="58">
        <f t="shared" si="36"/>
        <v>3500000</v>
      </c>
      <c r="J40" s="58">
        <f t="shared" si="36"/>
        <v>3500000</v>
      </c>
      <c r="K40" s="58">
        <f t="shared" si="36"/>
        <v>3500000</v>
      </c>
      <c r="L40" s="58">
        <f t="shared" si="36"/>
        <v>3500000</v>
      </c>
      <c r="M40" s="58">
        <f t="shared" si="36"/>
        <v>3500000</v>
      </c>
      <c r="N40" s="58">
        <f t="shared" si="36"/>
        <v>3500000</v>
      </c>
      <c r="O40" s="58">
        <f t="shared" si="36"/>
        <v>3500000</v>
      </c>
    </row>
    <row r="41" spans="2:15" ht="18" customHeight="1" x14ac:dyDescent="0.25">
      <c r="B41" s="2" t="s">
        <v>937</v>
      </c>
      <c r="C41" s="2"/>
      <c r="D41" s="2"/>
      <c r="E41" s="2"/>
      <c r="F41" s="56">
        <f>'Common Assumption'!D38</f>
        <v>7.5</v>
      </c>
      <c r="G41" s="55">
        <f>F41*(1+G42)</f>
        <v>7.875</v>
      </c>
      <c r="H41" s="55">
        <f t="shared" ref="H41" si="37">G41*(1+H42)</f>
        <v>8.2687500000000007</v>
      </c>
      <c r="I41" s="55">
        <f t="shared" ref="I41" si="38">H41*(1+I42)</f>
        <v>8.6821875000000013</v>
      </c>
      <c r="J41" s="55">
        <f t="shared" ref="J41" si="39">I41*(1+J42)</f>
        <v>9.1162968750000015</v>
      </c>
      <c r="K41" s="55">
        <f t="shared" ref="K41" si="40">J41*(1+K42)</f>
        <v>9.5721117187500013</v>
      </c>
      <c r="L41" s="55">
        <f t="shared" ref="L41" si="41">K41*(1+L42)</f>
        <v>10.050717304687502</v>
      </c>
      <c r="M41" s="55">
        <f t="shared" ref="M41" si="42">L41*(1+M42)</f>
        <v>10.553253169921877</v>
      </c>
      <c r="N41" s="55">
        <f t="shared" ref="N41" si="43">M41*(1+N42)</f>
        <v>11.080915828417972</v>
      </c>
      <c r="O41" s="55">
        <f t="shared" ref="O41" si="44">N41*(1+O42)</f>
        <v>11.634961619838871</v>
      </c>
    </row>
    <row r="42" spans="2:15" ht="18" customHeight="1" x14ac:dyDescent="0.25">
      <c r="B42" s="2" t="s">
        <v>75</v>
      </c>
      <c r="C42" s="2"/>
      <c r="D42" s="2"/>
      <c r="E42" s="2"/>
      <c r="F42" s="14"/>
      <c r="G42" s="14">
        <f>'Common Assumption'!D46</f>
        <v>0.05</v>
      </c>
      <c r="H42" s="14">
        <f t="shared" ref="H42" si="45">G42</f>
        <v>0.05</v>
      </c>
      <c r="I42" s="14">
        <f t="shared" ref="I42" si="46">H42</f>
        <v>0.05</v>
      </c>
      <c r="J42" s="14">
        <f t="shared" ref="J42" si="47">I42</f>
        <v>0.05</v>
      </c>
      <c r="K42" s="14">
        <f t="shared" ref="K42" si="48">J42</f>
        <v>0.05</v>
      </c>
      <c r="L42" s="14">
        <f t="shared" ref="L42" si="49">K42</f>
        <v>0.05</v>
      </c>
      <c r="M42" s="14">
        <f t="shared" ref="M42" si="50">L42</f>
        <v>0.05</v>
      </c>
      <c r="N42" s="14">
        <f t="shared" ref="N42" si="51">M42</f>
        <v>0.05</v>
      </c>
      <c r="O42" s="14">
        <f t="shared" ref="O42" si="52">N42</f>
        <v>0.05</v>
      </c>
    </row>
    <row r="43" spans="2:15" ht="18" customHeight="1" x14ac:dyDescent="0.25">
      <c r="B43" s="62" t="s">
        <v>934</v>
      </c>
      <c r="C43" s="62"/>
      <c r="D43" s="62"/>
      <c r="E43" s="62"/>
      <c r="F43" s="63">
        <f>F40*F41/10^7</f>
        <v>1.365</v>
      </c>
      <c r="G43" s="63">
        <f t="shared" ref="G43:O43" si="53">G40*G41/10^7</f>
        <v>2.7562500000000001</v>
      </c>
      <c r="H43" s="63">
        <f t="shared" si="53"/>
        <v>2.8940625000000004</v>
      </c>
      <c r="I43" s="63">
        <f t="shared" si="53"/>
        <v>3.0387656250000004</v>
      </c>
      <c r="J43" s="63">
        <f t="shared" si="53"/>
        <v>3.1907039062500004</v>
      </c>
      <c r="K43" s="63">
        <f t="shared" si="53"/>
        <v>3.3502391015625004</v>
      </c>
      <c r="L43" s="63">
        <f t="shared" si="53"/>
        <v>3.5177510566406256</v>
      </c>
      <c r="M43" s="63">
        <f t="shared" si="53"/>
        <v>3.6936386094726572</v>
      </c>
      <c r="N43" s="63">
        <f t="shared" si="53"/>
        <v>3.8783205399462899</v>
      </c>
      <c r="O43" s="63">
        <f t="shared" si="53"/>
        <v>4.0722365669436043</v>
      </c>
    </row>
    <row r="45" spans="2:15" ht="18" customHeight="1" x14ac:dyDescent="0.25">
      <c r="B45" s="62" t="s">
        <v>92</v>
      </c>
      <c r="C45" s="62"/>
      <c r="D45" s="62"/>
      <c r="E45" s="62"/>
      <c r="F45" s="63">
        <f>F29+F36+F43</f>
        <v>12.701416</v>
      </c>
      <c r="G45" s="63">
        <f t="shared" ref="G45:O45" si="54">G29+G36+G43</f>
        <v>25.647089999999999</v>
      </c>
      <c r="H45" s="63">
        <f t="shared" si="54"/>
        <v>26.929444500000006</v>
      </c>
      <c r="I45" s="63">
        <f t="shared" si="54"/>
        <v>28.275916725000005</v>
      </c>
      <c r="J45" s="63">
        <f t="shared" si="54"/>
        <v>29.689712561250005</v>
      </c>
      <c r="K45" s="63">
        <f t="shared" si="54"/>
        <v>31.174198189312506</v>
      </c>
      <c r="L45" s="63">
        <f t="shared" si="54"/>
        <v>32.73290809877814</v>
      </c>
      <c r="M45" s="63">
        <f t="shared" si="54"/>
        <v>34.369553503717043</v>
      </c>
      <c r="N45" s="63">
        <f t="shared" si="54"/>
        <v>36.088031178902895</v>
      </c>
      <c r="O45" s="63">
        <f t="shared" si="54"/>
        <v>37.89243273784804</v>
      </c>
    </row>
    <row r="46" spans="2:15" ht="18" customHeight="1" x14ac:dyDescent="0.25">
      <c r="B46" s="1" t="s">
        <v>115</v>
      </c>
      <c r="C46" s="306">
        <f>'Common Assumption'!D40</f>
        <v>0.05</v>
      </c>
      <c r="F46" s="86">
        <f>F45*$C$46</f>
        <v>0.63507080000000005</v>
      </c>
      <c r="G46" s="86">
        <f t="shared" ref="G46:H46" si="55">G45*$C$46</f>
        <v>1.2823545000000001</v>
      </c>
      <c r="H46" s="86">
        <f t="shared" si="55"/>
        <v>1.3464722250000003</v>
      </c>
      <c r="I46" s="86">
        <f>'Common Assumption'!D41-SUM(F46:H46)</f>
        <v>1.4506532746000009</v>
      </c>
      <c r="J46" s="86"/>
    </row>
    <row r="47" spans="2:15" ht="18" customHeight="1" x14ac:dyDescent="0.25">
      <c r="F47" s="86"/>
      <c r="G47" s="86"/>
      <c r="H47" s="86"/>
      <c r="I47" s="86"/>
      <c r="J47" s="86"/>
    </row>
    <row r="48" spans="2:15" ht="18" customHeight="1" x14ac:dyDescent="0.25">
      <c r="B48" s="88" t="s">
        <v>117</v>
      </c>
      <c r="C48" s="88"/>
      <c r="D48" s="88"/>
      <c r="E48" s="88"/>
      <c r="F48" s="89">
        <f>F45+F46</f>
        <v>13.336486799999999</v>
      </c>
      <c r="G48" s="89">
        <f t="shared" ref="G48:O48" si="56">G45+G46</f>
        <v>26.929444499999999</v>
      </c>
      <c r="H48" s="89">
        <f t="shared" si="56"/>
        <v>28.275916725000005</v>
      </c>
      <c r="I48" s="89">
        <f t="shared" si="56"/>
        <v>29.726569999600006</v>
      </c>
      <c r="J48" s="89">
        <f t="shared" si="56"/>
        <v>29.689712561250005</v>
      </c>
      <c r="K48" s="89">
        <f t="shared" si="56"/>
        <v>31.174198189312506</v>
      </c>
      <c r="L48" s="89">
        <f t="shared" si="56"/>
        <v>32.73290809877814</v>
      </c>
      <c r="M48" s="89">
        <f t="shared" si="56"/>
        <v>34.369553503717043</v>
      </c>
      <c r="N48" s="89">
        <f t="shared" si="56"/>
        <v>36.088031178902895</v>
      </c>
      <c r="O48" s="89">
        <f t="shared" si="56"/>
        <v>37.89243273784804</v>
      </c>
    </row>
    <row r="50" spans="2:15" ht="20.25" customHeight="1" x14ac:dyDescent="0.25">
      <c r="B50" s="59" t="s">
        <v>93</v>
      </c>
      <c r="C50" s="60"/>
      <c r="D50" s="60"/>
      <c r="E50" s="60"/>
      <c r="F50" s="61"/>
      <c r="G50" s="61"/>
      <c r="H50" s="61"/>
      <c r="I50" s="61"/>
      <c r="J50" s="61"/>
      <c r="K50" s="61"/>
      <c r="L50" s="61"/>
      <c r="M50" s="61"/>
      <c r="N50" s="61"/>
      <c r="O50" s="61"/>
    </row>
    <row r="51" spans="2:15" ht="18" customHeight="1" x14ac:dyDescent="0.25">
      <c r="B51" s="54" t="s">
        <v>94</v>
      </c>
      <c r="C51" s="2"/>
      <c r="D51" s="2"/>
      <c r="E51" s="2"/>
      <c r="F51" s="2"/>
      <c r="G51" s="2"/>
      <c r="H51" s="2"/>
      <c r="I51" s="2"/>
      <c r="J51" s="2"/>
      <c r="K51" s="2"/>
      <c r="L51" s="2"/>
      <c r="M51" s="2"/>
      <c r="N51" s="2"/>
    </row>
    <row r="52" spans="2:15" ht="30" x14ac:dyDescent="0.25">
      <c r="B52" s="12" t="s">
        <v>938</v>
      </c>
      <c r="C52" s="2"/>
      <c r="D52" s="2"/>
      <c r="E52" s="2"/>
      <c r="F52" s="91">
        <f>'Common Assumption'!D44</f>
        <v>102000</v>
      </c>
      <c r="G52" s="92">
        <f>F52</f>
        <v>102000</v>
      </c>
      <c r="H52" s="92">
        <f t="shared" ref="H52:O52" si="57">G52</f>
        <v>102000</v>
      </c>
      <c r="I52" s="92">
        <f t="shared" si="57"/>
        <v>102000</v>
      </c>
      <c r="J52" s="92">
        <f t="shared" si="57"/>
        <v>102000</v>
      </c>
      <c r="K52" s="92">
        <f t="shared" si="57"/>
        <v>102000</v>
      </c>
      <c r="L52" s="92">
        <f t="shared" si="57"/>
        <v>102000</v>
      </c>
      <c r="M52" s="92">
        <f t="shared" si="57"/>
        <v>102000</v>
      </c>
      <c r="N52" s="92">
        <f t="shared" si="57"/>
        <v>102000</v>
      </c>
      <c r="O52" s="92">
        <f t="shared" si="57"/>
        <v>102000</v>
      </c>
    </row>
    <row r="53" spans="2:15" ht="18" customHeight="1" x14ac:dyDescent="0.25">
      <c r="B53" s="2" t="s">
        <v>98</v>
      </c>
      <c r="C53" s="2"/>
      <c r="D53" s="2"/>
      <c r="E53" s="2"/>
      <c r="F53" s="92">
        <f>F52*F20</f>
        <v>18564000</v>
      </c>
      <c r="G53" s="92">
        <f t="shared" ref="G53:O53" si="58">G52*G20</f>
        <v>35700000</v>
      </c>
      <c r="H53" s="92">
        <f t="shared" si="58"/>
        <v>35700000</v>
      </c>
      <c r="I53" s="92">
        <f t="shared" si="58"/>
        <v>35700000</v>
      </c>
      <c r="J53" s="92">
        <f t="shared" si="58"/>
        <v>35700000</v>
      </c>
      <c r="K53" s="92">
        <f t="shared" si="58"/>
        <v>35700000</v>
      </c>
      <c r="L53" s="92">
        <f t="shared" si="58"/>
        <v>35700000</v>
      </c>
      <c r="M53" s="92">
        <f t="shared" si="58"/>
        <v>35700000</v>
      </c>
      <c r="N53" s="92">
        <f t="shared" si="58"/>
        <v>35700000</v>
      </c>
      <c r="O53" s="92">
        <f t="shared" si="58"/>
        <v>35700000</v>
      </c>
    </row>
    <row r="54" spans="2:15" ht="18" customHeight="1" x14ac:dyDescent="0.25">
      <c r="B54" s="2" t="s">
        <v>99</v>
      </c>
      <c r="C54" s="2"/>
      <c r="D54" s="2"/>
      <c r="E54" s="2"/>
      <c r="F54" s="90">
        <f>'Common Assumption'!D45</f>
        <v>1.5</v>
      </c>
      <c r="G54" s="86">
        <f>F54*(1+G55)</f>
        <v>1.5750000000000002</v>
      </c>
      <c r="H54" s="86">
        <f t="shared" ref="H54:O54" si="59">G54*(1+H55)</f>
        <v>1.6537500000000003</v>
      </c>
      <c r="I54" s="86">
        <f t="shared" si="59"/>
        <v>1.7364375000000003</v>
      </c>
      <c r="J54" s="86">
        <f t="shared" si="59"/>
        <v>1.8232593750000003</v>
      </c>
      <c r="K54" s="86">
        <f t="shared" si="59"/>
        <v>1.9144223437500005</v>
      </c>
      <c r="L54" s="86">
        <f t="shared" si="59"/>
        <v>2.0101434609375008</v>
      </c>
      <c r="M54" s="86">
        <f t="shared" si="59"/>
        <v>2.1106506339843758</v>
      </c>
      <c r="N54" s="86">
        <f t="shared" si="59"/>
        <v>2.2161831656835949</v>
      </c>
      <c r="O54" s="86">
        <f t="shared" si="59"/>
        <v>2.3269923239677746</v>
      </c>
    </row>
    <row r="55" spans="2:15" ht="18" customHeight="1" x14ac:dyDescent="0.25">
      <c r="B55" s="2" t="s">
        <v>95</v>
      </c>
      <c r="C55" s="2"/>
      <c r="D55" s="2"/>
      <c r="E55" s="2"/>
      <c r="F55" s="14"/>
      <c r="G55" s="14">
        <f>'Common Assumption'!D46</f>
        <v>0.05</v>
      </c>
      <c r="H55" s="14">
        <f>G55</f>
        <v>0.05</v>
      </c>
      <c r="I55" s="14">
        <f t="shared" ref="I55:O55" si="60">H55</f>
        <v>0.05</v>
      </c>
      <c r="J55" s="14">
        <f t="shared" si="60"/>
        <v>0.05</v>
      </c>
      <c r="K55" s="14">
        <f t="shared" si="60"/>
        <v>0.05</v>
      </c>
      <c r="L55" s="14">
        <f t="shared" si="60"/>
        <v>0.05</v>
      </c>
      <c r="M55" s="14">
        <f t="shared" si="60"/>
        <v>0.05</v>
      </c>
      <c r="N55" s="14">
        <f t="shared" si="60"/>
        <v>0.05</v>
      </c>
      <c r="O55" s="14">
        <f t="shared" si="60"/>
        <v>0.05</v>
      </c>
    </row>
    <row r="56" spans="2:15" ht="18" customHeight="1" x14ac:dyDescent="0.25">
      <c r="B56" s="62" t="s">
        <v>100</v>
      </c>
      <c r="C56" s="62"/>
      <c r="D56" s="62"/>
      <c r="E56" s="62"/>
      <c r="F56" s="63">
        <f>F53*F54/10^7</f>
        <v>2.7846000000000002</v>
      </c>
      <c r="G56" s="63">
        <f t="shared" ref="G56:O56" si="61">G53*G54/10^7</f>
        <v>5.6227500000000008</v>
      </c>
      <c r="H56" s="63">
        <f t="shared" si="61"/>
        <v>5.9038875000000006</v>
      </c>
      <c r="I56" s="63">
        <f t="shared" si="61"/>
        <v>6.199081875000001</v>
      </c>
      <c r="J56" s="63">
        <f t="shared" si="61"/>
        <v>6.5090359687500019</v>
      </c>
      <c r="K56" s="63">
        <f t="shared" si="61"/>
        <v>6.8344877671875013</v>
      </c>
      <c r="L56" s="63">
        <f t="shared" si="61"/>
        <v>7.1762121555468781</v>
      </c>
      <c r="M56" s="63">
        <f t="shared" si="61"/>
        <v>7.5350227633242222</v>
      </c>
      <c r="N56" s="63">
        <f t="shared" si="61"/>
        <v>7.9117739014904336</v>
      </c>
      <c r="O56" s="63">
        <f t="shared" si="61"/>
        <v>8.3073625965649551</v>
      </c>
    </row>
    <row r="58" spans="2:15" ht="18" customHeight="1" x14ac:dyDescent="0.25">
      <c r="B58" s="88" t="s">
        <v>101</v>
      </c>
      <c r="C58" s="88"/>
      <c r="D58" s="88"/>
      <c r="E58" s="88"/>
      <c r="F58" s="89">
        <f>F56</f>
        <v>2.7846000000000002</v>
      </c>
      <c r="G58" s="89">
        <f t="shared" ref="G58:O58" si="62">G56</f>
        <v>5.6227500000000008</v>
      </c>
      <c r="H58" s="89">
        <f t="shared" si="62"/>
        <v>5.9038875000000006</v>
      </c>
      <c r="I58" s="89">
        <f t="shared" si="62"/>
        <v>6.199081875000001</v>
      </c>
      <c r="J58" s="89">
        <f t="shared" si="62"/>
        <v>6.5090359687500019</v>
      </c>
      <c r="K58" s="89">
        <f t="shared" si="62"/>
        <v>6.8344877671875013</v>
      </c>
      <c r="L58" s="89">
        <f t="shared" si="62"/>
        <v>7.1762121555468781</v>
      </c>
      <c r="M58" s="89">
        <f t="shared" si="62"/>
        <v>7.5350227633242222</v>
      </c>
      <c r="N58" s="89">
        <f t="shared" si="62"/>
        <v>7.9117739014904336</v>
      </c>
      <c r="O58" s="89">
        <f t="shared" si="62"/>
        <v>8.3073625965649551</v>
      </c>
    </row>
    <row r="60" spans="2:15" ht="18" customHeight="1" x14ac:dyDescent="0.25">
      <c r="B60" s="54" t="s">
        <v>284</v>
      </c>
      <c r="C60" s="25"/>
      <c r="D60" s="25"/>
      <c r="E60" s="25"/>
      <c r="F60" s="25"/>
      <c r="G60" s="25"/>
      <c r="H60" s="25"/>
      <c r="I60" s="25"/>
    </row>
    <row r="61" spans="2:15" ht="18" customHeight="1" x14ac:dyDescent="0.25">
      <c r="B61" s="2" t="s">
        <v>325</v>
      </c>
      <c r="C61" s="25"/>
      <c r="D61" s="25"/>
      <c r="E61" s="25"/>
      <c r="F61" s="56">
        <f>'Common Assumption'!D51</f>
        <v>6000</v>
      </c>
      <c r="G61" s="55">
        <f>F61</f>
        <v>6000</v>
      </c>
      <c r="H61" s="55">
        <f t="shared" ref="H61:O61" si="63">G61</f>
        <v>6000</v>
      </c>
      <c r="I61" s="55">
        <f t="shared" si="63"/>
        <v>6000</v>
      </c>
      <c r="J61" s="55">
        <f t="shared" si="63"/>
        <v>6000</v>
      </c>
      <c r="K61" s="55">
        <f t="shared" si="63"/>
        <v>6000</v>
      </c>
      <c r="L61" s="55">
        <f t="shared" si="63"/>
        <v>6000</v>
      </c>
      <c r="M61" s="55">
        <f t="shared" si="63"/>
        <v>6000</v>
      </c>
      <c r="N61" s="55">
        <f t="shared" si="63"/>
        <v>6000</v>
      </c>
      <c r="O61" s="55">
        <f t="shared" si="63"/>
        <v>6000</v>
      </c>
    </row>
    <row r="62" spans="2:15" ht="18" customHeight="1" x14ac:dyDescent="0.25">
      <c r="B62" s="2" t="s">
        <v>286</v>
      </c>
      <c r="C62" s="25"/>
      <c r="D62" s="25"/>
      <c r="E62" s="25"/>
      <c r="F62" s="25">
        <f t="shared" ref="F62:O62" si="64">F61*F20</f>
        <v>1092000</v>
      </c>
      <c r="G62" s="25">
        <f t="shared" si="64"/>
        <v>2100000</v>
      </c>
      <c r="H62" s="25">
        <f t="shared" si="64"/>
        <v>2100000</v>
      </c>
      <c r="I62" s="25">
        <f t="shared" si="64"/>
        <v>2100000</v>
      </c>
      <c r="J62" s="25">
        <f t="shared" si="64"/>
        <v>2100000</v>
      </c>
      <c r="K62" s="25">
        <f t="shared" si="64"/>
        <v>2100000</v>
      </c>
      <c r="L62" s="25">
        <f t="shared" si="64"/>
        <v>2100000</v>
      </c>
      <c r="M62" s="25">
        <f t="shared" si="64"/>
        <v>2100000</v>
      </c>
      <c r="N62" s="25">
        <f t="shared" si="64"/>
        <v>2100000</v>
      </c>
      <c r="O62" s="25">
        <f t="shared" si="64"/>
        <v>2100000</v>
      </c>
    </row>
    <row r="63" spans="2:15" ht="18" customHeight="1" x14ac:dyDescent="0.25">
      <c r="B63" s="2" t="s">
        <v>287</v>
      </c>
      <c r="C63" s="25"/>
      <c r="D63" s="25"/>
      <c r="E63" s="25"/>
      <c r="F63" s="56">
        <f>'Common Assumption'!D53</f>
        <v>10</v>
      </c>
      <c r="G63" s="55">
        <f>F63*(1+G64)</f>
        <v>10.5</v>
      </c>
      <c r="H63" s="55">
        <f t="shared" ref="H63:I63" si="65">G63*(1+H64)</f>
        <v>11.025</v>
      </c>
      <c r="I63" s="55">
        <f t="shared" si="65"/>
        <v>11.576250000000002</v>
      </c>
      <c r="J63" s="55">
        <f t="shared" ref="J63" si="66">I63*(1+J64)</f>
        <v>12.155062500000001</v>
      </c>
      <c r="K63" s="55">
        <f t="shared" ref="K63" si="67">J63*(1+K64)</f>
        <v>12.762815625000002</v>
      </c>
      <c r="L63" s="55">
        <f t="shared" ref="L63" si="68">K63*(1+L64)</f>
        <v>13.400956406250003</v>
      </c>
      <c r="M63" s="55">
        <f t="shared" ref="M63" si="69">L63*(1+M64)</f>
        <v>14.071004226562504</v>
      </c>
      <c r="N63" s="55">
        <f t="shared" ref="N63" si="70">M63*(1+N64)</f>
        <v>14.774554437890631</v>
      </c>
      <c r="O63" s="55">
        <f t="shared" ref="O63" si="71">N63*(1+O64)</f>
        <v>15.513282159785163</v>
      </c>
    </row>
    <row r="64" spans="2:15" ht="18" customHeight="1" x14ac:dyDescent="0.25">
      <c r="B64" s="2" t="s">
        <v>285</v>
      </c>
      <c r="C64" s="2"/>
      <c r="D64" s="2"/>
      <c r="E64" s="2"/>
      <c r="F64" s="14"/>
      <c r="G64" s="14">
        <f>'Common Assumption'!D54</f>
        <v>0.05</v>
      </c>
      <c r="H64" s="14">
        <f>G64</f>
        <v>0.05</v>
      </c>
      <c r="I64" s="14">
        <f t="shared" ref="I64:O64" si="72">H64</f>
        <v>0.05</v>
      </c>
      <c r="J64" s="14">
        <f t="shared" si="72"/>
        <v>0.05</v>
      </c>
      <c r="K64" s="14">
        <f t="shared" si="72"/>
        <v>0.05</v>
      </c>
      <c r="L64" s="14">
        <f t="shared" si="72"/>
        <v>0.05</v>
      </c>
      <c r="M64" s="14">
        <f t="shared" si="72"/>
        <v>0.05</v>
      </c>
      <c r="N64" s="14">
        <f t="shared" si="72"/>
        <v>0.05</v>
      </c>
      <c r="O64" s="14">
        <f t="shared" si="72"/>
        <v>0.05</v>
      </c>
    </row>
    <row r="65" spans="2:15" ht="18" customHeight="1" x14ac:dyDescent="0.25">
      <c r="B65" s="62" t="s">
        <v>288</v>
      </c>
      <c r="C65" s="62"/>
      <c r="D65" s="62"/>
      <c r="E65" s="62"/>
      <c r="F65" s="63">
        <f>F62*F63/10^7</f>
        <v>1.0920000000000001</v>
      </c>
      <c r="G65" s="63">
        <f t="shared" ref="G65:O65" si="73">G62*G63/10^7</f>
        <v>2.2050000000000001</v>
      </c>
      <c r="H65" s="63">
        <f t="shared" si="73"/>
        <v>2.3152499999999998</v>
      </c>
      <c r="I65" s="63">
        <f t="shared" si="73"/>
        <v>2.4310125000000005</v>
      </c>
      <c r="J65" s="63">
        <f t="shared" si="73"/>
        <v>2.5525631250000003</v>
      </c>
      <c r="K65" s="63">
        <f t="shared" si="73"/>
        <v>2.6801912812500004</v>
      </c>
      <c r="L65" s="63">
        <f t="shared" si="73"/>
        <v>2.8142008453125009</v>
      </c>
      <c r="M65" s="63">
        <f t="shared" si="73"/>
        <v>2.954910887578126</v>
      </c>
      <c r="N65" s="63">
        <f t="shared" si="73"/>
        <v>3.1026564319570324</v>
      </c>
      <c r="O65" s="63">
        <f t="shared" si="73"/>
        <v>3.2577892535548845</v>
      </c>
    </row>
    <row r="67" spans="2:15" ht="18" customHeight="1" x14ac:dyDescent="0.25">
      <c r="B67" s="54" t="s">
        <v>30</v>
      </c>
      <c r="C67" s="25"/>
      <c r="D67" s="25"/>
      <c r="E67" s="25"/>
      <c r="F67" s="25"/>
      <c r="G67" s="25"/>
      <c r="H67" s="25"/>
      <c r="I67" s="25"/>
      <c r="J67" s="25"/>
      <c r="K67" s="25"/>
      <c r="L67" s="25"/>
      <c r="M67" s="25"/>
      <c r="N67" s="25"/>
    </row>
    <row r="68" spans="2:15" ht="18" customHeight="1" x14ac:dyDescent="0.25">
      <c r="B68" s="2" t="s">
        <v>289</v>
      </c>
      <c r="C68" s="25"/>
      <c r="D68" s="25"/>
      <c r="E68" s="25"/>
      <c r="F68" s="57">
        <f>'Common Assumption'!D57</f>
        <v>6450000</v>
      </c>
      <c r="G68" s="58">
        <f>F68*(1+G70)</f>
        <v>7095000.0000000009</v>
      </c>
      <c r="H68" s="58">
        <f t="shared" ref="H68:O68" si="74">G68*(1+H70)</f>
        <v>7804500.0000000019</v>
      </c>
      <c r="I68" s="58">
        <f t="shared" si="74"/>
        <v>8584950.0000000019</v>
      </c>
      <c r="J68" s="58">
        <f t="shared" si="74"/>
        <v>9443445.0000000037</v>
      </c>
      <c r="K68" s="58">
        <f t="shared" si="74"/>
        <v>10387789.500000006</v>
      </c>
      <c r="L68" s="58">
        <f t="shared" si="74"/>
        <v>11426568.450000007</v>
      </c>
      <c r="M68" s="58">
        <f t="shared" si="74"/>
        <v>12569225.295000009</v>
      </c>
      <c r="N68" s="58">
        <f t="shared" si="74"/>
        <v>13826147.824500011</v>
      </c>
      <c r="O68" s="58">
        <f t="shared" si="74"/>
        <v>15208762.606950013</v>
      </c>
    </row>
    <row r="69" spans="2:15" ht="18" customHeight="1" x14ac:dyDescent="0.25">
      <c r="B69" s="2" t="s">
        <v>290</v>
      </c>
      <c r="C69" s="25"/>
      <c r="D69" s="25"/>
      <c r="E69" s="25"/>
      <c r="F69" s="58">
        <f t="shared" ref="F69:O69" si="75">F68/12*F11</f>
        <v>3225000</v>
      </c>
      <c r="G69" s="58">
        <f t="shared" si="75"/>
        <v>7095000.0000000019</v>
      </c>
      <c r="H69" s="58">
        <f t="shared" si="75"/>
        <v>7804500.0000000019</v>
      </c>
      <c r="I69" s="58">
        <f t="shared" si="75"/>
        <v>8584950.0000000019</v>
      </c>
      <c r="J69" s="58">
        <f t="shared" si="75"/>
        <v>9443445.0000000037</v>
      </c>
      <c r="K69" s="58">
        <f t="shared" si="75"/>
        <v>10387789.500000006</v>
      </c>
      <c r="L69" s="58">
        <f t="shared" si="75"/>
        <v>11426568.450000007</v>
      </c>
      <c r="M69" s="58">
        <f t="shared" si="75"/>
        <v>12569225.295000009</v>
      </c>
      <c r="N69" s="58">
        <f t="shared" si="75"/>
        <v>13826147.824500009</v>
      </c>
      <c r="O69" s="58">
        <f t="shared" si="75"/>
        <v>15208762.606950015</v>
      </c>
    </row>
    <row r="70" spans="2:15" ht="18" customHeight="1" x14ac:dyDescent="0.25">
      <c r="B70" s="2" t="s">
        <v>285</v>
      </c>
      <c r="C70" s="2"/>
      <c r="D70" s="2"/>
      <c r="E70" s="2"/>
      <c r="F70" s="14"/>
      <c r="G70" s="188">
        <f>'Common Assumption'!D58</f>
        <v>0.1</v>
      </c>
      <c r="H70" s="14">
        <f>G70</f>
        <v>0.1</v>
      </c>
      <c r="I70" s="14">
        <f t="shared" ref="I70:O70" si="76">H70</f>
        <v>0.1</v>
      </c>
      <c r="J70" s="14">
        <f t="shared" si="76"/>
        <v>0.1</v>
      </c>
      <c r="K70" s="14">
        <f t="shared" si="76"/>
        <v>0.1</v>
      </c>
      <c r="L70" s="14">
        <f t="shared" si="76"/>
        <v>0.1</v>
      </c>
      <c r="M70" s="14">
        <f t="shared" si="76"/>
        <v>0.1</v>
      </c>
      <c r="N70" s="14">
        <f t="shared" si="76"/>
        <v>0.1</v>
      </c>
      <c r="O70" s="14">
        <f t="shared" si="76"/>
        <v>0.1</v>
      </c>
    </row>
    <row r="71" spans="2:15" ht="18" customHeight="1" x14ac:dyDescent="0.25">
      <c r="B71" s="189" t="s">
        <v>291</v>
      </c>
      <c r="C71" s="189"/>
      <c r="D71" s="189"/>
      <c r="E71" s="189"/>
      <c r="F71" s="190">
        <f>F69/10^7</f>
        <v>0.32250000000000001</v>
      </c>
      <c r="G71" s="190">
        <f t="shared" ref="G71:O71" si="77">G69/10^7</f>
        <v>0.70950000000000024</v>
      </c>
      <c r="H71" s="190">
        <f t="shared" si="77"/>
        <v>0.7804500000000002</v>
      </c>
      <c r="I71" s="190">
        <f t="shared" si="77"/>
        <v>0.85849500000000023</v>
      </c>
      <c r="J71" s="190">
        <f t="shared" si="77"/>
        <v>0.94434450000000036</v>
      </c>
      <c r="K71" s="190">
        <f t="shared" si="77"/>
        <v>1.0387789500000006</v>
      </c>
      <c r="L71" s="190">
        <f t="shared" si="77"/>
        <v>1.1426568450000008</v>
      </c>
      <c r="M71" s="190">
        <f t="shared" si="77"/>
        <v>1.2569225295000008</v>
      </c>
      <c r="N71" s="190">
        <f t="shared" si="77"/>
        <v>1.382614782450001</v>
      </c>
      <c r="O71" s="190">
        <f t="shared" si="77"/>
        <v>1.5208762606950015</v>
      </c>
    </row>
    <row r="73" spans="2:15" ht="18" customHeight="1" x14ac:dyDescent="0.25">
      <c r="B73" s="54" t="s">
        <v>1026</v>
      </c>
      <c r="C73" s="25"/>
      <c r="D73" s="25"/>
      <c r="E73" s="25"/>
      <c r="F73" s="25"/>
      <c r="G73" s="25"/>
      <c r="H73" s="25"/>
      <c r="I73" s="25"/>
      <c r="J73" s="25"/>
      <c r="K73" s="25"/>
      <c r="L73" s="25"/>
      <c r="M73" s="25"/>
      <c r="N73" s="25"/>
    </row>
    <row r="74" spans="2:15" ht="18" customHeight="1" x14ac:dyDescent="0.25">
      <c r="B74" s="2" t="s">
        <v>936</v>
      </c>
      <c r="C74" s="2"/>
      <c r="D74" s="2"/>
      <c r="E74" s="2"/>
      <c r="F74" s="58">
        <f>F40</f>
        <v>1820000</v>
      </c>
      <c r="G74" s="58">
        <f t="shared" ref="G74:O74" si="78">G40</f>
        <v>3500000</v>
      </c>
      <c r="H74" s="58">
        <f t="shared" si="78"/>
        <v>3500000</v>
      </c>
      <c r="I74" s="58">
        <f t="shared" si="78"/>
        <v>3500000</v>
      </c>
      <c r="J74" s="58">
        <f t="shared" si="78"/>
        <v>3500000</v>
      </c>
      <c r="K74" s="58">
        <f t="shared" si="78"/>
        <v>3500000</v>
      </c>
      <c r="L74" s="58">
        <f t="shared" si="78"/>
        <v>3500000</v>
      </c>
      <c r="M74" s="58">
        <f t="shared" si="78"/>
        <v>3500000</v>
      </c>
      <c r="N74" s="58">
        <f t="shared" si="78"/>
        <v>3500000</v>
      </c>
      <c r="O74" s="58">
        <f t="shared" si="78"/>
        <v>3500000</v>
      </c>
    </row>
    <row r="75" spans="2:15" ht="18" customHeight="1" x14ac:dyDescent="0.25">
      <c r="B75" s="2" t="s">
        <v>1029</v>
      </c>
      <c r="C75" s="55">
        <f>'Common Assumption'!D61</f>
        <v>2.25</v>
      </c>
      <c r="D75" s="25"/>
      <c r="E75" s="25"/>
      <c r="F75" s="55">
        <f>C75</f>
        <v>2.25</v>
      </c>
      <c r="G75" s="55">
        <f>F75*(1+G76)</f>
        <v>2.3625000000000003</v>
      </c>
      <c r="H75" s="55">
        <f t="shared" ref="H75:O75" si="79">G75*(1+H76)</f>
        <v>2.4806250000000003</v>
      </c>
      <c r="I75" s="55">
        <f t="shared" si="79"/>
        <v>2.6046562500000006</v>
      </c>
      <c r="J75" s="55">
        <f t="shared" si="79"/>
        <v>2.7348890625000006</v>
      </c>
      <c r="K75" s="55">
        <f t="shared" si="79"/>
        <v>2.8716335156250006</v>
      </c>
      <c r="L75" s="55">
        <f t="shared" si="79"/>
        <v>3.0152151914062508</v>
      </c>
      <c r="M75" s="55">
        <f t="shared" si="79"/>
        <v>3.1659759509765637</v>
      </c>
      <c r="N75" s="55">
        <f t="shared" si="79"/>
        <v>3.3242747485253918</v>
      </c>
      <c r="O75" s="55">
        <f t="shared" si="79"/>
        <v>3.4904884859516616</v>
      </c>
    </row>
    <row r="76" spans="2:15" ht="18" customHeight="1" x14ac:dyDescent="0.25">
      <c r="B76" s="2" t="s">
        <v>285</v>
      </c>
      <c r="C76" s="2"/>
      <c r="D76" s="2"/>
      <c r="E76" s="2"/>
      <c r="F76" s="14"/>
      <c r="G76" s="188">
        <f>'Common Assumption'!D62</f>
        <v>0.05</v>
      </c>
      <c r="H76" s="14">
        <f>G76</f>
        <v>0.05</v>
      </c>
      <c r="I76" s="14">
        <f t="shared" ref="I76" si="80">H76</f>
        <v>0.05</v>
      </c>
      <c r="J76" s="14">
        <f t="shared" ref="J76" si="81">I76</f>
        <v>0.05</v>
      </c>
      <c r="K76" s="14">
        <f t="shared" ref="K76" si="82">J76</f>
        <v>0.05</v>
      </c>
      <c r="L76" s="14">
        <f t="shared" ref="L76" si="83">K76</f>
        <v>0.05</v>
      </c>
      <c r="M76" s="14">
        <f t="shared" ref="M76" si="84">L76</f>
        <v>0.05</v>
      </c>
      <c r="N76" s="14">
        <f t="shared" ref="N76" si="85">M76</f>
        <v>0.05</v>
      </c>
      <c r="O76" s="14">
        <f t="shared" ref="O76" si="86">N76</f>
        <v>0.05</v>
      </c>
    </row>
    <row r="77" spans="2:15" ht="18" customHeight="1" x14ac:dyDescent="0.25">
      <c r="B77" s="189" t="s">
        <v>1030</v>
      </c>
      <c r="C77" s="189"/>
      <c r="D77" s="189"/>
      <c r="E77" s="189"/>
      <c r="F77" s="190">
        <f>F74*F75/10^7</f>
        <v>0.40949999999999998</v>
      </c>
      <c r="G77" s="190">
        <f t="shared" ref="G77:O77" si="87">G74*G75/10^7</f>
        <v>0.82687500000000014</v>
      </c>
      <c r="H77" s="190">
        <f t="shared" si="87"/>
        <v>0.86821875000000015</v>
      </c>
      <c r="I77" s="190">
        <f t="shared" si="87"/>
        <v>0.91162968750000017</v>
      </c>
      <c r="J77" s="190">
        <f t="shared" si="87"/>
        <v>0.95721117187500016</v>
      </c>
      <c r="K77" s="190">
        <f t="shared" si="87"/>
        <v>1.0050717304687502</v>
      </c>
      <c r="L77" s="190">
        <f t="shared" si="87"/>
        <v>1.0553253169921879</v>
      </c>
      <c r="M77" s="190">
        <f t="shared" si="87"/>
        <v>1.1080915828417974</v>
      </c>
      <c r="N77" s="190">
        <f t="shared" si="87"/>
        <v>1.1634961619838871</v>
      </c>
      <c r="O77" s="190">
        <f t="shared" si="87"/>
        <v>1.2216709700830815</v>
      </c>
    </row>
    <row r="79" spans="2:15" ht="18" customHeight="1" x14ac:dyDescent="0.25">
      <c r="B79" s="54" t="s">
        <v>1028</v>
      </c>
      <c r="C79" s="25"/>
      <c r="D79" s="25"/>
      <c r="E79" s="25"/>
      <c r="F79" s="25"/>
      <c r="G79" s="25"/>
      <c r="H79" s="25"/>
      <c r="I79" s="25"/>
      <c r="J79" s="25"/>
      <c r="K79" s="25"/>
      <c r="L79" s="25"/>
      <c r="M79" s="25"/>
      <c r="N79" s="25"/>
    </row>
    <row r="80" spans="2:15" ht="18" customHeight="1" x14ac:dyDescent="0.25">
      <c r="B80" s="2" t="s">
        <v>930</v>
      </c>
      <c r="C80" s="2"/>
      <c r="D80" s="2"/>
      <c r="E80" s="2"/>
      <c r="F80" s="58">
        <f>F33</f>
        <v>3640000</v>
      </c>
      <c r="G80" s="58">
        <f t="shared" ref="G80:O80" si="88">G33</f>
        <v>7000000</v>
      </c>
      <c r="H80" s="58">
        <f t="shared" si="88"/>
        <v>7000000</v>
      </c>
      <c r="I80" s="58">
        <f t="shared" si="88"/>
        <v>7000000</v>
      </c>
      <c r="J80" s="58">
        <f t="shared" si="88"/>
        <v>7000000</v>
      </c>
      <c r="K80" s="58">
        <f t="shared" si="88"/>
        <v>7000000</v>
      </c>
      <c r="L80" s="58">
        <f t="shared" si="88"/>
        <v>7000000</v>
      </c>
      <c r="M80" s="58">
        <f t="shared" si="88"/>
        <v>7000000</v>
      </c>
      <c r="N80" s="58">
        <f t="shared" si="88"/>
        <v>7000000</v>
      </c>
      <c r="O80" s="58">
        <f t="shared" si="88"/>
        <v>7000000</v>
      </c>
    </row>
    <row r="81" spans="2:15" ht="18" customHeight="1" x14ac:dyDescent="0.25">
      <c r="B81" s="2" t="s">
        <v>1029</v>
      </c>
      <c r="C81" s="55">
        <f>'Common Assumption'!D65</f>
        <v>6.5</v>
      </c>
      <c r="D81" s="25"/>
      <c r="E81" s="25"/>
      <c r="F81" s="55">
        <f>C81</f>
        <v>6.5</v>
      </c>
      <c r="G81" s="55">
        <f>F81*(1+G82)</f>
        <v>6.8250000000000002</v>
      </c>
      <c r="H81" s="55">
        <f t="shared" ref="H81:O81" si="89">G81*(1+H82)</f>
        <v>7.1662500000000007</v>
      </c>
      <c r="I81" s="55">
        <f t="shared" si="89"/>
        <v>7.5245625000000009</v>
      </c>
      <c r="J81" s="55">
        <f t="shared" si="89"/>
        <v>7.9007906250000017</v>
      </c>
      <c r="K81" s="55">
        <f t="shared" si="89"/>
        <v>8.2958301562500019</v>
      </c>
      <c r="L81" s="55">
        <f t="shared" si="89"/>
        <v>8.7106216640625025</v>
      </c>
      <c r="M81" s="55">
        <f t="shared" si="89"/>
        <v>9.1461527472656279</v>
      </c>
      <c r="N81" s="55">
        <f t="shared" si="89"/>
        <v>9.6034603846289102</v>
      </c>
      <c r="O81" s="55">
        <f t="shared" si="89"/>
        <v>10.083633403860356</v>
      </c>
    </row>
    <row r="82" spans="2:15" ht="18" customHeight="1" x14ac:dyDescent="0.25">
      <c r="B82" s="2" t="s">
        <v>285</v>
      </c>
      <c r="C82" s="2"/>
      <c r="D82" s="2"/>
      <c r="E82" s="2"/>
      <c r="F82" s="14"/>
      <c r="G82" s="188">
        <f>'Common Assumption'!D66</f>
        <v>0.05</v>
      </c>
      <c r="H82" s="14">
        <f>G82</f>
        <v>0.05</v>
      </c>
      <c r="I82" s="14">
        <f t="shared" ref="I82" si="90">H82</f>
        <v>0.05</v>
      </c>
      <c r="J82" s="14">
        <f t="shared" ref="J82" si="91">I82</f>
        <v>0.05</v>
      </c>
      <c r="K82" s="14">
        <f t="shared" ref="K82" si="92">J82</f>
        <v>0.05</v>
      </c>
      <c r="L82" s="14">
        <f t="shared" ref="L82" si="93">K82</f>
        <v>0.05</v>
      </c>
      <c r="M82" s="14">
        <f t="shared" ref="M82" si="94">L82</f>
        <v>0.05</v>
      </c>
      <c r="N82" s="14">
        <f t="shared" ref="N82" si="95">M82</f>
        <v>0.05</v>
      </c>
      <c r="O82" s="14">
        <f t="shared" ref="O82" si="96">N82</f>
        <v>0.05</v>
      </c>
    </row>
    <row r="83" spans="2:15" ht="18" customHeight="1" x14ac:dyDescent="0.25">
      <c r="B83" s="189" t="s">
        <v>1031</v>
      </c>
      <c r="C83" s="189"/>
      <c r="D83" s="189"/>
      <c r="E83" s="189"/>
      <c r="F83" s="190">
        <f>F80*F81/10^7</f>
        <v>2.3660000000000001</v>
      </c>
      <c r="G83" s="190">
        <f t="shared" ref="G83:O83" si="97">G80*G81/10^7</f>
        <v>4.7774999999999999</v>
      </c>
      <c r="H83" s="190">
        <f t="shared" si="97"/>
        <v>5.0163750000000009</v>
      </c>
      <c r="I83" s="190">
        <f t="shared" si="97"/>
        <v>5.2671937500000006</v>
      </c>
      <c r="J83" s="190">
        <f t="shared" si="97"/>
        <v>5.5305534375000018</v>
      </c>
      <c r="K83" s="190">
        <f t="shared" si="97"/>
        <v>5.8070811093750017</v>
      </c>
      <c r="L83" s="190">
        <f t="shared" si="97"/>
        <v>6.0974351648437519</v>
      </c>
      <c r="M83" s="190">
        <f t="shared" si="97"/>
        <v>6.4023069230859395</v>
      </c>
      <c r="N83" s="190">
        <f t="shared" si="97"/>
        <v>6.722422269240238</v>
      </c>
      <c r="O83" s="190">
        <f t="shared" si="97"/>
        <v>7.0585433827022497</v>
      </c>
    </row>
    <row r="85" spans="2:15" ht="18" customHeight="1" x14ac:dyDescent="0.25">
      <c r="B85" s="54" t="s">
        <v>329</v>
      </c>
      <c r="C85" s="25"/>
      <c r="D85" s="25"/>
      <c r="E85" s="25"/>
      <c r="F85" s="25"/>
      <c r="G85" s="25"/>
      <c r="H85" s="25"/>
      <c r="I85" s="25"/>
      <c r="J85" s="25"/>
      <c r="K85" s="25"/>
      <c r="L85" s="25"/>
      <c r="M85" s="25"/>
      <c r="N85" s="25"/>
    </row>
    <row r="86" spans="2:15" ht="18" customHeight="1" x14ac:dyDescent="0.25">
      <c r="B86" s="2" t="s">
        <v>939</v>
      </c>
      <c r="C86" s="2"/>
      <c r="D86" s="2"/>
      <c r="E86" s="2"/>
      <c r="F86" s="58">
        <f t="shared" ref="F86:O86" si="98">F33+F40</f>
        <v>5460000</v>
      </c>
      <c r="G86" s="58">
        <f t="shared" si="98"/>
        <v>10500000</v>
      </c>
      <c r="H86" s="58">
        <f t="shared" si="98"/>
        <v>10500000</v>
      </c>
      <c r="I86" s="58">
        <f t="shared" si="98"/>
        <v>10500000</v>
      </c>
      <c r="J86" s="58">
        <f t="shared" si="98"/>
        <v>10500000</v>
      </c>
      <c r="K86" s="58">
        <f t="shared" si="98"/>
        <v>10500000</v>
      </c>
      <c r="L86" s="58">
        <f t="shared" si="98"/>
        <v>10500000</v>
      </c>
      <c r="M86" s="58">
        <f t="shared" si="98"/>
        <v>10500000</v>
      </c>
      <c r="N86" s="58">
        <f t="shared" si="98"/>
        <v>10500000</v>
      </c>
      <c r="O86" s="58">
        <f t="shared" si="98"/>
        <v>10500000</v>
      </c>
    </row>
    <row r="87" spans="2:15" ht="18" customHeight="1" x14ac:dyDescent="0.25">
      <c r="B87" s="2" t="s">
        <v>940</v>
      </c>
      <c r="C87" s="55">
        <f>'Common Assumption'!D69</f>
        <v>1.4</v>
      </c>
      <c r="D87" s="25"/>
      <c r="E87" s="25"/>
      <c r="F87" s="25">
        <f>C87</f>
        <v>1.4</v>
      </c>
      <c r="G87" s="55">
        <f>F87*(1+G88)</f>
        <v>1.47</v>
      </c>
      <c r="H87" s="55">
        <f t="shared" ref="H87:O87" si="99">G87*(1+H88)</f>
        <v>1.5435000000000001</v>
      </c>
      <c r="I87" s="55">
        <f t="shared" si="99"/>
        <v>1.6206750000000001</v>
      </c>
      <c r="J87" s="55">
        <f t="shared" si="99"/>
        <v>1.7017087500000001</v>
      </c>
      <c r="K87" s="55">
        <f t="shared" si="99"/>
        <v>1.7867941875000002</v>
      </c>
      <c r="L87" s="55">
        <f t="shared" si="99"/>
        <v>1.8761338968750003</v>
      </c>
      <c r="M87" s="55">
        <f t="shared" si="99"/>
        <v>1.9699405917187505</v>
      </c>
      <c r="N87" s="55">
        <f t="shared" si="99"/>
        <v>2.068437621304688</v>
      </c>
      <c r="O87" s="55">
        <f t="shared" si="99"/>
        <v>2.1718595023699225</v>
      </c>
    </row>
    <row r="88" spans="2:15" ht="18" customHeight="1" x14ac:dyDescent="0.25">
      <c r="B88" s="2" t="s">
        <v>285</v>
      </c>
      <c r="C88" s="2"/>
      <c r="D88" s="2"/>
      <c r="E88" s="2"/>
      <c r="F88" s="14"/>
      <c r="G88" s="188">
        <f>'Common Assumption'!D70</f>
        <v>0.05</v>
      </c>
      <c r="H88" s="14">
        <f>G88</f>
        <v>0.05</v>
      </c>
      <c r="I88" s="14">
        <f t="shared" ref="I88:O88" si="100">H88</f>
        <v>0.05</v>
      </c>
      <c r="J88" s="14">
        <f t="shared" si="100"/>
        <v>0.05</v>
      </c>
      <c r="K88" s="14">
        <f t="shared" si="100"/>
        <v>0.05</v>
      </c>
      <c r="L88" s="14">
        <f t="shared" si="100"/>
        <v>0.05</v>
      </c>
      <c r="M88" s="14">
        <f t="shared" si="100"/>
        <v>0.05</v>
      </c>
      <c r="N88" s="14">
        <f t="shared" si="100"/>
        <v>0.05</v>
      </c>
      <c r="O88" s="14">
        <f t="shared" si="100"/>
        <v>0.05</v>
      </c>
    </row>
    <row r="89" spans="2:15" ht="18" customHeight="1" x14ac:dyDescent="0.25">
      <c r="B89" s="189" t="s">
        <v>31</v>
      </c>
      <c r="C89" s="189"/>
      <c r="D89" s="189"/>
      <c r="E89" s="189"/>
      <c r="F89" s="190">
        <f>F87*F86/10^7</f>
        <v>0.76439999999999986</v>
      </c>
      <c r="G89" s="190">
        <f t="shared" ref="G89:O89" si="101">G87*G86/10^7</f>
        <v>1.5435000000000001</v>
      </c>
      <c r="H89" s="190">
        <f t="shared" si="101"/>
        <v>1.6206750000000001</v>
      </c>
      <c r="I89" s="190">
        <f t="shared" si="101"/>
        <v>1.7017087500000001</v>
      </c>
      <c r="J89" s="190">
        <f t="shared" si="101"/>
        <v>1.7867941875</v>
      </c>
      <c r="K89" s="190">
        <f t="shared" si="101"/>
        <v>1.8761338968750003</v>
      </c>
      <c r="L89" s="190">
        <f t="shared" si="101"/>
        <v>1.9699405917187505</v>
      </c>
      <c r="M89" s="190">
        <f t="shared" si="101"/>
        <v>2.068437621304688</v>
      </c>
      <c r="N89" s="190">
        <f t="shared" si="101"/>
        <v>2.1718595023699225</v>
      </c>
      <c r="O89" s="190">
        <f t="shared" si="101"/>
        <v>2.2804524774884185</v>
      </c>
    </row>
    <row r="91" spans="2:15" ht="18" customHeight="1" x14ac:dyDescent="0.25">
      <c r="B91" s="54" t="s">
        <v>333</v>
      </c>
      <c r="C91" s="25"/>
      <c r="D91" s="25"/>
      <c r="E91" s="25"/>
      <c r="F91" s="25"/>
      <c r="G91" s="25"/>
      <c r="H91" s="25"/>
      <c r="I91" s="25"/>
      <c r="J91" s="25"/>
      <c r="K91" s="25"/>
      <c r="L91" s="25"/>
      <c r="M91" s="25"/>
      <c r="N91" s="25"/>
    </row>
    <row r="92" spans="2:15" ht="18" customHeight="1" x14ac:dyDescent="0.25">
      <c r="B92" s="2" t="s">
        <v>334</v>
      </c>
      <c r="C92" s="25"/>
      <c r="D92" s="25"/>
      <c r="E92" s="25"/>
      <c r="F92" s="55">
        <f t="shared" ref="F92:O92" si="102">F48</f>
        <v>13.336486799999999</v>
      </c>
      <c r="G92" s="55">
        <f t="shared" si="102"/>
        <v>26.929444499999999</v>
      </c>
      <c r="H92" s="55">
        <f t="shared" si="102"/>
        <v>28.275916725000005</v>
      </c>
      <c r="I92" s="55">
        <f t="shared" si="102"/>
        <v>29.726569999600006</v>
      </c>
      <c r="J92" s="55">
        <f t="shared" si="102"/>
        <v>29.689712561250005</v>
      </c>
      <c r="K92" s="55">
        <f t="shared" si="102"/>
        <v>31.174198189312506</v>
      </c>
      <c r="L92" s="55">
        <f t="shared" si="102"/>
        <v>32.73290809877814</v>
      </c>
      <c r="M92" s="55">
        <f t="shared" si="102"/>
        <v>34.369553503717043</v>
      </c>
      <c r="N92" s="55">
        <f t="shared" si="102"/>
        <v>36.088031178902895</v>
      </c>
      <c r="O92" s="55">
        <f t="shared" si="102"/>
        <v>37.89243273784804</v>
      </c>
    </row>
    <row r="93" spans="2:15" ht="18" customHeight="1" x14ac:dyDescent="0.25">
      <c r="B93" s="2" t="s">
        <v>610</v>
      </c>
      <c r="C93" s="201">
        <f>'Common Assumption'!D73</f>
        <v>0.03</v>
      </c>
      <c r="D93" s="25"/>
      <c r="E93" s="25"/>
      <c r="F93" s="55">
        <f>F92*$C$93</f>
        <v>0.40009460399999996</v>
      </c>
      <c r="G93" s="55">
        <f t="shared" ref="G93:O93" si="103">G92*$C$93</f>
        <v>0.80788333499999998</v>
      </c>
      <c r="H93" s="55">
        <f t="shared" si="103"/>
        <v>0.84827750175000016</v>
      </c>
      <c r="I93" s="55">
        <f t="shared" si="103"/>
        <v>0.89179709998800016</v>
      </c>
      <c r="J93" s="55">
        <f t="shared" si="103"/>
        <v>0.8906913768375001</v>
      </c>
      <c r="K93" s="55">
        <f t="shared" si="103"/>
        <v>0.93522594567937511</v>
      </c>
      <c r="L93" s="55">
        <f t="shared" si="103"/>
        <v>0.98198724296334416</v>
      </c>
      <c r="M93" s="55">
        <f t="shared" si="103"/>
        <v>1.0310866051115113</v>
      </c>
      <c r="N93" s="55">
        <f t="shared" si="103"/>
        <v>1.0826409353670867</v>
      </c>
      <c r="O93" s="55">
        <f t="shared" si="103"/>
        <v>1.1367729821354411</v>
      </c>
    </row>
    <row r="94" spans="2:15" ht="18" customHeight="1" x14ac:dyDescent="0.25">
      <c r="B94" s="189" t="s">
        <v>333</v>
      </c>
      <c r="C94" s="189"/>
      <c r="D94" s="189"/>
      <c r="E94" s="189"/>
      <c r="F94" s="190">
        <f>F93</f>
        <v>0.40009460399999996</v>
      </c>
      <c r="G94" s="190">
        <f t="shared" ref="G94:O94" si="104">G93</f>
        <v>0.80788333499999998</v>
      </c>
      <c r="H94" s="190">
        <f t="shared" si="104"/>
        <v>0.84827750175000016</v>
      </c>
      <c r="I94" s="190">
        <f t="shared" si="104"/>
        <v>0.89179709998800016</v>
      </c>
      <c r="J94" s="190">
        <f t="shared" si="104"/>
        <v>0.8906913768375001</v>
      </c>
      <c r="K94" s="190">
        <f t="shared" si="104"/>
        <v>0.93522594567937511</v>
      </c>
      <c r="L94" s="190">
        <f t="shared" si="104"/>
        <v>0.98198724296334416</v>
      </c>
      <c r="M94" s="190">
        <f t="shared" si="104"/>
        <v>1.0310866051115113</v>
      </c>
      <c r="N94" s="190">
        <f t="shared" si="104"/>
        <v>1.0826409353670867</v>
      </c>
      <c r="O94" s="190">
        <f t="shared" si="104"/>
        <v>1.1367729821354411</v>
      </c>
    </row>
    <row r="96" spans="2:15" ht="18" customHeight="1" x14ac:dyDescent="0.25">
      <c r="B96" s="54" t="s">
        <v>32</v>
      </c>
      <c r="C96" s="25"/>
      <c r="D96" s="25"/>
      <c r="E96" s="25"/>
      <c r="F96" s="25"/>
      <c r="G96" s="25"/>
      <c r="H96" s="25"/>
      <c r="I96" s="25"/>
      <c r="J96" s="25"/>
      <c r="K96" s="25"/>
      <c r="L96" s="25"/>
      <c r="M96" s="25"/>
      <c r="N96" s="25"/>
    </row>
    <row r="97" spans="2:15" ht="30" x14ac:dyDescent="0.25">
      <c r="B97" s="202" t="s">
        <v>941</v>
      </c>
      <c r="C97" s="203">
        <f>'Common Assumption'!D76</f>
        <v>1.4999999999999999E-2</v>
      </c>
      <c r="D97" s="189"/>
      <c r="E97" s="189"/>
      <c r="F97" s="190">
        <f t="shared" ref="F97:O97" si="105">$C$97*F48</f>
        <v>0.20004730199999998</v>
      </c>
      <c r="G97" s="190">
        <f t="shared" si="105"/>
        <v>0.40394166749999999</v>
      </c>
      <c r="H97" s="190">
        <f t="shared" si="105"/>
        <v>0.42413875087500008</v>
      </c>
      <c r="I97" s="190">
        <f t="shared" si="105"/>
        <v>0.44589854999400008</v>
      </c>
      <c r="J97" s="190">
        <f t="shared" si="105"/>
        <v>0.44534568841875005</v>
      </c>
      <c r="K97" s="190">
        <f t="shared" si="105"/>
        <v>0.46761297283968756</v>
      </c>
      <c r="L97" s="190">
        <f t="shared" si="105"/>
        <v>0.49099362148167208</v>
      </c>
      <c r="M97" s="190">
        <f t="shared" si="105"/>
        <v>0.51554330255575564</v>
      </c>
      <c r="N97" s="190">
        <f t="shared" si="105"/>
        <v>0.54132046768354336</v>
      </c>
      <c r="O97" s="190">
        <f t="shared" si="105"/>
        <v>0.56838649106772055</v>
      </c>
    </row>
    <row r="98" spans="2:15" ht="18" customHeight="1" x14ac:dyDescent="0.25">
      <c r="F98" s="206"/>
      <c r="G98" s="206"/>
    </row>
    <row r="99" spans="2:15" ht="18" customHeight="1" x14ac:dyDescent="0.25">
      <c r="B99" s="54" t="s">
        <v>33</v>
      </c>
      <c r="C99" s="25"/>
      <c r="D99" s="25"/>
      <c r="E99" s="25"/>
      <c r="F99" s="25"/>
      <c r="G99" s="25"/>
      <c r="H99" s="25"/>
      <c r="I99" s="25"/>
      <c r="J99" s="25"/>
      <c r="K99" s="25"/>
      <c r="L99" s="25"/>
      <c r="M99" s="25"/>
      <c r="N99" s="25"/>
    </row>
    <row r="100" spans="2:15" ht="18" customHeight="1" x14ac:dyDescent="0.25">
      <c r="B100" s="2" t="s">
        <v>34</v>
      </c>
      <c r="C100" s="201">
        <f>'Common Assumption'!D79</f>
        <v>5.0000000000000001E-3</v>
      </c>
      <c r="D100" s="25"/>
      <c r="E100" s="25"/>
      <c r="F100" s="55">
        <f>$C$100*'Depreciation Schedule'!F17</f>
        <v>4.7779239588160057E-2</v>
      </c>
      <c r="G100" s="55">
        <f>F100*(1+G107)</f>
        <v>5.0168201567568065E-2</v>
      </c>
      <c r="H100" s="55">
        <f t="shared" ref="H100:O100" si="106">G100*(1+H107)</f>
        <v>5.2676611645946468E-2</v>
      </c>
      <c r="I100" s="55">
        <f t="shared" si="106"/>
        <v>5.5310442228243793E-2</v>
      </c>
      <c r="J100" s="55">
        <f t="shared" si="106"/>
        <v>5.8075964339655985E-2</v>
      </c>
      <c r="K100" s="55">
        <f t="shared" si="106"/>
        <v>6.0979762556638784E-2</v>
      </c>
      <c r="L100" s="55">
        <f t="shared" si="106"/>
        <v>6.4028750684470725E-2</v>
      </c>
      <c r="M100" s="55">
        <f t="shared" si="106"/>
        <v>6.7230188218694267E-2</v>
      </c>
      <c r="N100" s="55">
        <f t="shared" si="106"/>
        <v>7.0591697629628983E-2</v>
      </c>
      <c r="O100" s="55">
        <f t="shared" si="106"/>
        <v>7.4121282511110428E-2</v>
      </c>
    </row>
    <row r="101" spans="2:15" ht="18" customHeight="1" x14ac:dyDescent="0.25">
      <c r="B101" s="2" t="s">
        <v>35</v>
      </c>
      <c r="C101" s="201">
        <f>'Common Assumption'!D80</f>
        <v>5.0000000000000001E-3</v>
      </c>
      <c r="D101" s="25"/>
      <c r="E101" s="25"/>
      <c r="F101" s="55">
        <f>$C$101*'Depreciation Schedule'!F18</f>
        <v>0.11442508646036091</v>
      </c>
      <c r="G101" s="55">
        <f>F101*(1+G107)</f>
        <v>0.12014634078337896</v>
      </c>
      <c r="H101" s="55">
        <f t="shared" ref="H101:O101" si="107">G101*(1+H107)</f>
        <v>0.12615365782254792</v>
      </c>
      <c r="I101" s="55">
        <f t="shared" si="107"/>
        <v>0.13246134071367532</v>
      </c>
      <c r="J101" s="55">
        <f t="shared" si="107"/>
        <v>0.1390844077493591</v>
      </c>
      <c r="K101" s="55">
        <f t="shared" si="107"/>
        <v>0.14603862813682705</v>
      </c>
      <c r="L101" s="55">
        <f t="shared" si="107"/>
        <v>0.1533405595436684</v>
      </c>
      <c r="M101" s="55">
        <f t="shared" si="107"/>
        <v>0.16100758752085184</v>
      </c>
      <c r="N101" s="55">
        <f t="shared" si="107"/>
        <v>0.16905796689689445</v>
      </c>
      <c r="O101" s="55">
        <f t="shared" si="107"/>
        <v>0.17751086524173917</v>
      </c>
    </row>
    <row r="102" spans="2:15" ht="18" customHeight="1" x14ac:dyDescent="0.25">
      <c r="B102" s="2" t="str">
        <f>'Common Assumption'!B81</f>
        <v>Electricity Infrastructure</v>
      </c>
      <c r="C102" s="201">
        <f>'Common Assumption'!D81</f>
        <v>5.0000000000000001E-3</v>
      </c>
      <c r="D102" s="25"/>
      <c r="E102" s="25"/>
      <c r="F102" s="55">
        <f>$C$102*'Depreciation Schedule'!F19</f>
        <v>2.0719610524418865E-2</v>
      </c>
      <c r="G102" s="55">
        <f>F102*(1+G107)</f>
        <v>2.175559105063981E-2</v>
      </c>
      <c r="H102" s="55">
        <f t="shared" ref="H102:O102" si="108">G102*(1+H107)</f>
        <v>2.2843370603171802E-2</v>
      </c>
      <c r="I102" s="55">
        <f t="shared" si="108"/>
        <v>2.3985539133330392E-2</v>
      </c>
      <c r="J102" s="55">
        <f t="shared" si="108"/>
        <v>2.5184816089996911E-2</v>
      </c>
      <c r="K102" s="55">
        <f t="shared" si="108"/>
        <v>2.6444056894496758E-2</v>
      </c>
      <c r="L102" s="55">
        <f t="shared" si="108"/>
        <v>2.7766259739221599E-2</v>
      </c>
      <c r="M102" s="55">
        <f t="shared" si="108"/>
        <v>2.915457272618268E-2</v>
      </c>
      <c r="N102" s="55">
        <f t="shared" si="108"/>
        <v>3.0612301362491816E-2</v>
      </c>
      <c r="O102" s="55">
        <f t="shared" si="108"/>
        <v>3.2142916430616411E-2</v>
      </c>
    </row>
    <row r="103" spans="2:15" ht="18" customHeight="1" x14ac:dyDescent="0.25">
      <c r="B103" s="2" t="str">
        <f>'Common Assumption'!B82</f>
        <v>Vehicles</v>
      </c>
      <c r="C103" s="201">
        <f>'Common Assumption'!D82</f>
        <v>2.5000000000000001E-3</v>
      </c>
      <c r="D103" s="25"/>
      <c r="E103" s="25"/>
      <c r="F103" s="55">
        <f>$C$103*'Depreciation Schedule'!F20</f>
        <v>8.2307774858655436E-4</v>
      </c>
      <c r="G103" s="55">
        <f>F103*(1+G107)</f>
        <v>8.6423163601588213E-4</v>
      </c>
      <c r="H103" s="55">
        <f t="shared" ref="H103:O103" si="109">G103*(1+H107)</f>
        <v>9.0744321781667623E-4</v>
      </c>
      <c r="I103" s="55">
        <f t="shared" si="109"/>
        <v>9.528153787075101E-4</v>
      </c>
      <c r="J103" s="55">
        <f t="shared" si="109"/>
        <v>1.0004561476428856E-3</v>
      </c>
      <c r="K103" s="55">
        <f t="shared" si="109"/>
        <v>1.0504789550250299E-3</v>
      </c>
      <c r="L103" s="55">
        <f t="shared" si="109"/>
        <v>1.1030029027762813E-3</v>
      </c>
      <c r="M103" s="55">
        <f t="shared" si="109"/>
        <v>1.1581530479150954E-3</v>
      </c>
      <c r="N103" s="55">
        <f t="shared" si="109"/>
        <v>1.2160607003108503E-3</v>
      </c>
      <c r="O103" s="55">
        <f t="shared" si="109"/>
        <v>1.2768637353263929E-3</v>
      </c>
    </row>
    <row r="104" spans="2:15" ht="18" customHeight="1" x14ac:dyDescent="0.25">
      <c r="B104" s="2" t="str">
        <f>'Common Assumption'!B83</f>
        <v>Office equipment &amp; Furniture</v>
      </c>
      <c r="C104" s="201">
        <f>'Common Assumption'!D83</f>
        <v>2.5000000000000001E-3</v>
      </c>
      <c r="D104" s="25"/>
      <c r="E104" s="25"/>
      <c r="F104" s="55">
        <f>$C$104*'Depreciation Schedule'!F21</f>
        <v>2.6129452336081093E-4</v>
      </c>
      <c r="G104" s="55">
        <f>F104*(1+G107)</f>
        <v>2.7435924952885147E-4</v>
      </c>
      <c r="H104" s="55">
        <f t="shared" ref="H104:O104" si="110">G104*(1+H107)</f>
        <v>2.8807721200529404E-4</v>
      </c>
      <c r="I104" s="55">
        <f t="shared" si="110"/>
        <v>3.0248107260555878E-4</v>
      </c>
      <c r="J104" s="55">
        <f t="shared" si="110"/>
        <v>3.1760512623583672E-4</v>
      </c>
      <c r="K104" s="55">
        <f t="shared" si="110"/>
        <v>3.3348538254762857E-4</v>
      </c>
      <c r="L104" s="55">
        <f t="shared" si="110"/>
        <v>3.5015965167501002E-4</v>
      </c>
      <c r="M104" s="55">
        <f t="shared" si="110"/>
        <v>3.6766763425876055E-4</v>
      </c>
      <c r="N104" s="55">
        <f t="shared" si="110"/>
        <v>3.8605101597169857E-4</v>
      </c>
      <c r="O104" s="55">
        <f t="shared" si="110"/>
        <v>4.0535356677028349E-4</v>
      </c>
    </row>
    <row r="105" spans="2:15" ht="18" customHeight="1" x14ac:dyDescent="0.25">
      <c r="B105" s="2" t="s">
        <v>1020</v>
      </c>
      <c r="C105" s="201">
        <f>'Common Assumption'!D84</f>
        <v>5.0000000000000001E-3</v>
      </c>
      <c r="D105" s="25"/>
      <c r="E105" s="25"/>
      <c r="F105" s="55">
        <f>$C$105*'Depreciation Schedule'!F22</f>
        <v>3.6584787314587965E-3</v>
      </c>
      <c r="G105" s="55">
        <f>F105*(1+G107)</f>
        <v>3.8414026680317365E-3</v>
      </c>
      <c r="H105" s="55">
        <f t="shared" ref="H105:O105" si="111">G105*(1+H107)</f>
        <v>4.0334728014333231E-3</v>
      </c>
      <c r="I105" s="55">
        <f t="shared" si="111"/>
        <v>4.2351464415049892E-3</v>
      </c>
      <c r="J105" s="55">
        <f t="shared" si="111"/>
        <v>4.4469037635802393E-3</v>
      </c>
      <c r="K105" s="55">
        <f t="shared" si="111"/>
        <v>4.6692489517592512E-3</v>
      </c>
      <c r="L105" s="55">
        <f t="shared" si="111"/>
        <v>4.9027113993472139E-3</v>
      </c>
      <c r="M105" s="55">
        <f t="shared" si="111"/>
        <v>5.147846969314575E-3</v>
      </c>
      <c r="N105" s="55">
        <f t="shared" si="111"/>
        <v>5.4052393177803039E-3</v>
      </c>
      <c r="O105" s="55">
        <f t="shared" si="111"/>
        <v>5.6755012836693193E-3</v>
      </c>
    </row>
    <row r="106" spans="2:15" ht="18" customHeight="1" x14ac:dyDescent="0.25">
      <c r="B106" s="195" t="s">
        <v>339</v>
      </c>
      <c r="C106" s="195"/>
      <c r="D106" s="195"/>
      <c r="E106" s="195"/>
      <c r="F106" s="204">
        <f>SUM(F100:F105)</f>
        <v>0.18766678757634603</v>
      </c>
      <c r="G106" s="204">
        <f>SUM(G100:G105)</f>
        <v>0.1970501269551633</v>
      </c>
      <c r="H106" s="204">
        <f t="shared" ref="H106:O106" si="112">SUM(H100:H105)</f>
        <v>0.2069026333029215</v>
      </c>
      <c r="I106" s="204">
        <f t="shared" si="112"/>
        <v>0.21724776496806758</v>
      </c>
      <c r="J106" s="204">
        <f t="shared" si="112"/>
        <v>0.22811015321647093</v>
      </c>
      <c r="K106" s="204">
        <f t="shared" si="112"/>
        <v>0.23951566087729448</v>
      </c>
      <c r="L106" s="204">
        <f t="shared" si="112"/>
        <v>0.25149144392115924</v>
      </c>
      <c r="M106" s="204">
        <f t="shared" si="112"/>
        <v>0.26406601611721725</v>
      </c>
      <c r="N106" s="204">
        <f t="shared" si="112"/>
        <v>0.2772693169230781</v>
      </c>
      <c r="O106" s="204">
        <f t="shared" si="112"/>
        <v>0.29113278276923199</v>
      </c>
    </row>
    <row r="107" spans="2:15" ht="18" customHeight="1" x14ac:dyDescent="0.25">
      <c r="B107" s="2" t="s">
        <v>340</v>
      </c>
      <c r="C107" s="2"/>
      <c r="D107" s="2"/>
      <c r="E107" s="2"/>
      <c r="F107" s="14"/>
      <c r="G107" s="188">
        <f>'[1]Common Assumption'!$D$89</f>
        <v>0.05</v>
      </c>
      <c r="H107" s="205">
        <f>G107</f>
        <v>0.05</v>
      </c>
      <c r="I107" s="205">
        <f t="shared" ref="I107:O107" si="113">H107</f>
        <v>0.05</v>
      </c>
      <c r="J107" s="205">
        <f t="shared" si="113"/>
        <v>0.05</v>
      </c>
      <c r="K107" s="205">
        <f t="shared" si="113"/>
        <v>0.05</v>
      </c>
      <c r="L107" s="205">
        <f t="shared" si="113"/>
        <v>0.05</v>
      </c>
      <c r="M107" s="205">
        <f t="shared" si="113"/>
        <v>0.05</v>
      </c>
      <c r="N107" s="205">
        <f t="shared" si="113"/>
        <v>0.05</v>
      </c>
      <c r="O107" s="205">
        <f t="shared" si="113"/>
        <v>0.05</v>
      </c>
    </row>
    <row r="108" spans="2:15" ht="18" customHeight="1" x14ac:dyDescent="0.25">
      <c r="B108" s="189" t="s">
        <v>471</v>
      </c>
      <c r="C108" s="189"/>
      <c r="D108" s="189"/>
      <c r="E108" s="189"/>
      <c r="F108" s="190">
        <f t="shared" ref="F108:O108" si="114">F106*F11/12</f>
        <v>9.3833393788173014E-2</v>
      </c>
      <c r="G108" s="190">
        <f t="shared" si="114"/>
        <v>0.1970501269551633</v>
      </c>
      <c r="H108" s="190">
        <f t="shared" si="114"/>
        <v>0.2069026333029215</v>
      </c>
      <c r="I108" s="190">
        <f t="shared" si="114"/>
        <v>0.21724776496806761</v>
      </c>
      <c r="J108" s="190">
        <f t="shared" si="114"/>
        <v>0.22811015321647096</v>
      </c>
      <c r="K108" s="190">
        <f t="shared" si="114"/>
        <v>0.23951566087729448</v>
      </c>
      <c r="L108" s="190">
        <f t="shared" si="114"/>
        <v>0.25149144392115924</v>
      </c>
      <c r="M108" s="190">
        <f t="shared" si="114"/>
        <v>0.26406601611721725</v>
      </c>
      <c r="N108" s="190">
        <f t="shared" si="114"/>
        <v>0.2772693169230781</v>
      </c>
      <c r="O108" s="190">
        <f t="shared" si="114"/>
        <v>0.29113278276923199</v>
      </c>
    </row>
    <row r="110" spans="2:15" ht="18" customHeight="1" x14ac:dyDescent="0.25">
      <c r="B110" s="54" t="s">
        <v>36</v>
      </c>
      <c r="C110" s="25"/>
      <c r="D110" s="25"/>
      <c r="E110" s="25"/>
      <c r="F110" s="25"/>
      <c r="G110" s="25"/>
      <c r="H110" s="25"/>
      <c r="I110" s="25"/>
      <c r="J110" s="25"/>
      <c r="K110" s="25"/>
      <c r="L110" s="25"/>
      <c r="M110" s="25"/>
      <c r="N110" s="25"/>
    </row>
    <row r="111" spans="2:15" ht="18" customHeight="1" x14ac:dyDescent="0.25">
      <c r="B111" s="2" t="s">
        <v>349</v>
      </c>
      <c r="C111" s="201">
        <f>'Common Assumption'!D88</f>
        <v>1.4999999999999999E-2</v>
      </c>
      <c r="D111" s="25"/>
      <c r="E111" s="25"/>
      <c r="F111" s="55">
        <f t="shared" ref="F111:O111" si="115">$C$111*F48</f>
        <v>0.20004730199999998</v>
      </c>
      <c r="G111" s="55">
        <f t="shared" si="115"/>
        <v>0.40394166749999999</v>
      </c>
      <c r="H111" s="55">
        <f t="shared" si="115"/>
        <v>0.42413875087500008</v>
      </c>
      <c r="I111" s="55">
        <f t="shared" si="115"/>
        <v>0.44589854999400008</v>
      </c>
      <c r="J111" s="55">
        <f t="shared" si="115"/>
        <v>0.44534568841875005</v>
      </c>
      <c r="K111" s="55">
        <f t="shared" si="115"/>
        <v>0.46761297283968756</v>
      </c>
      <c r="L111" s="55">
        <f t="shared" si="115"/>
        <v>0.49099362148167208</v>
      </c>
      <c r="M111" s="55">
        <f t="shared" si="115"/>
        <v>0.51554330255575564</v>
      </c>
      <c r="N111" s="55">
        <f t="shared" si="115"/>
        <v>0.54132046768354336</v>
      </c>
      <c r="O111" s="55">
        <f t="shared" si="115"/>
        <v>0.56838649106772055</v>
      </c>
    </row>
    <row r="112" spans="2:15" ht="18" customHeight="1" x14ac:dyDescent="0.25">
      <c r="B112" s="189" t="s">
        <v>341</v>
      </c>
      <c r="C112" s="189"/>
      <c r="D112" s="189"/>
      <c r="E112" s="189"/>
      <c r="F112" s="190">
        <f>F111</f>
        <v>0.20004730199999998</v>
      </c>
      <c r="G112" s="190">
        <f t="shared" ref="G112:O112" si="116">G111</f>
        <v>0.40394166749999999</v>
      </c>
      <c r="H112" s="190">
        <f t="shared" si="116"/>
        <v>0.42413875087500008</v>
      </c>
      <c r="I112" s="190">
        <f t="shared" si="116"/>
        <v>0.44589854999400008</v>
      </c>
      <c r="J112" s="190">
        <f t="shared" si="116"/>
        <v>0.44534568841875005</v>
      </c>
      <c r="K112" s="190">
        <f t="shared" si="116"/>
        <v>0.46761297283968756</v>
      </c>
      <c r="L112" s="190">
        <f t="shared" si="116"/>
        <v>0.49099362148167208</v>
      </c>
      <c r="M112" s="190">
        <f t="shared" si="116"/>
        <v>0.51554330255575564</v>
      </c>
      <c r="N112" s="190">
        <f t="shared" si="116"/>
        <v>0.54132046768354336</v>
      </c>
      <c r="O112" s="190">
        <f t="shared" si="116"/>
        <v>0.56838649106772055</v>
      </c>
    </row>
    <row r="114" spans="2:15" ht="18" customHeight="1" x14ac:dyDescent="0.25">
      <c r="B114" s="54" t="s">
        <v>37</v>
      </c>
      <c r="C114" s="25"/>
      <c r="D114" s="25"/>
      <c r="E114" s="25"/>
      <c r="F114" s="25"/>
      <c r="G114" s="25"/>
      <c r="H114" s="25"/>
      <c r="I114" s="25"/>
      <c r="J114" s="25"/>
      <c r="K114" s="25"/>
      <c r="L114" s="25"/>
      <c r="M114" s="25"/>
      <c r="N114" s="25"/>
    </row>
    <row r="115" spans="2:15" ht="18" customHeight="1" x14ac:dyDescent="0.25">
      <c r="B115" s="2" t="s">
        <v>342</v>
      </c>
      <c r="C115" s="201">
        <f>'Common Assumption'!D92</f>
        <v>2.5000000000000001E-3</v>
      </c>
      <c r="D115" s="25"/>
      <c r="E115" s="25"/>
      <c r="F115" s="55">
        <f>$C$115*BS!F34</f>
        <v>9.3843187190873381E-2</v>
      </c>
      <c r="G115" s="55">
        <f>$C$115*BS!G34</f>
        <v>8.8090854790835588E-2</v>
      </c>
      <c r="H115" s="55">
        <f>$C$115*BS!H34</f>
        <v>8.2338522390797794E-2</v>
      </c>
      <c r="I115" s="55">
        <f>$C$115*BS!I34</f>
        <v>7.6586189990760001E-2</v>
      </c>
      <c r="J115" s="55">
        <f>$C$115*BS!J34</f>
        <v>7.0833857590722207E-2</v>
      </c>
      <c r="K115" s="55">
        <f>$C$115*BS!K34</f>
        <v>6.5106348170403699E-2</v>
      </c>
      <c r="L115" s="55">
        <f>$C$115*BS!L34</f>
        <v>5.915543193261167E-2</v>
      </c>
      <c r="M115" s="55">
        <f>$C$115*BS!M34</f>
        <v>5.3452745492012427E-2</v>
      </c>
      <c r="N115" s="55">
        <f>$C$115*BS!N34</f>
        <v>4.779892929273552E-2</v>
      </c>
      <c r="O115" s="55">
        <f>$C$115*BS!O34</f>
        <v>4.1412059473623732E-2</v>
      </c>
    </row>
    <row r="116" spans="2:15" ht="18" customHeight="1" x14ac:dyDescent="0.25">
      <c r="B116" s="189" t="s">
        <v>343</v>
      </c>
      <c r="C116" s="189"/>
      <c r="D116" s="189"/>
      <c r="E116" s="189"/>
      <c r="F116" s="190">
        <f>F115</f>
        <v>9.3843187190873381E-2</v>
      </c>
      <c r="G116" s="190">
        <f t="shared" ref="G116:O116" si="117">G115</f>
        <v>8.8090854790835588E-2</v>
      </c>
      <c r="H116" s="190">
        <f t="shared" si="117"/>
        <v>8.2338522390797794E-2</v>
      </c>
      <c r="I116" s="190">
        <f t="shared" si="117"/>
        <v>7.6586189990760001E-2</v>
      </c>
      <c r="J116" s="190">
        <f t="shared" si="117"/>
        <v>7.0833857590722207E-2</v>
      </c>
      <c r="K116" s="190">
        <f t="shared" si="117"/>
        <v>6.5106348170403699E-2</v>
      </c>
      <c r="L116" s="190">
        <f t="shared" si="117"/>
        <v>5.915543193261167E-2</v>
      </c>
      <c r="M116" s="190">
        <f t="shared" si="117"/>
        <v>5.3452745492012427E-2</v>
      </c>
      <c r="N116" s="190">
        <f t="shared" si="117"/>
        <v>4.779892929273552E-2</v>
      </c>
      <c r="O116" s="190">
        <f t="shared" si="117"/>
        <v>4.1412059473623732E-2</v>
      </c>
    </row>
    <row r="118" spans="2:15" ht="18" customHeight="1" x14ac:dyDescent="0.25">
      <c r="B118" s="54" t="s">
        <v>38</v>
      </c>
      <c r="C118" s="25"/>
      <c r="D118" s="25"/>
      <c r="E118" s="25"/>
      <c r="F118" s="25"/>
      <c r="G118" s="25"/>
      <c r="H118" s="25"/>
      <c r="I118" s="25"/>
      <c r="J118" s="25"/>
      <c r="K118" s="25"/>
      <c r="L118" s="25"/>
      <c r="M118" s="25"/>
      <c r="N118" s="25"/>
    </row>
    <row r="119" spans="2:15" ht="18" customHeight="1" x14ac:dyDescent="0.25">
      <c r="B119" s="12" t="s">
        <v>1024</v>
      </c>
      <c r="C119" s="201">
        <f>'Common Assumption'!D89</f>
        <v>1.4999999999999999E-2</v>
      </c>
      <c r="D119" s="25"/>
      <c r="E119" s="25"/>
      <c r="F119" s="55">
        <f t="shared" ref="F119:O119" si="118">$C$119*F48</f>
        <v>0.20004730199999998</v>
      </c>
      <c r="G119" s="55">
        <f t="shared" si="118"/>
        <v>0.40394166749999999</v>
      </c>
      <c r="H119" s="55">
        <f t="shared" si="118"/>
        <v>0.42413875087500008</v>
      </c>
      <c r="I119" s="55">
        <f t="shared" si="118"/>
        <v>0.44589854999400008</v>
      </c>
      <c r="J119" s="55">
        <f t="shared" si="118"/>
        <v>0.44534568841875005</v>
      </c>
      <c r="K119" s="55">
        <f t="shared" si="118"/>
        <v>0.46761297283968756</v>
      </c>
      <c r="L119" s="55">
        <f t="shared" si="118"/>
        <v>0.49099362148167208</v>
      </c>
      <c r="M119" s="55">
        <f t="shared" si="118"/>
        <v>0.51554330255575564</v>
      </c>
      <c r="N119" s="55">
        <f t="shared" si="118"/>
        <v>0.54132046768354336</v>
      </c>
      <c r="O119" s="55">
        <f t="shared" si="118"/>
        <v>0.56838649106772055</v>
      </c>
    </row>
    <row r="120" spans="2:15" ht="18" customHeight="1" x14ac:dyDescent="0.25">
      <c r="B120" s="189" t="s">
        <v>345</v>
      </c>
      <c r="C120" s="189"/>
      <c r="D120" s="189"/>
      <c r="E120" s="189"/>
      <c r="F120" s="190">
        <f>F119</f>
        <v>0.20004730199999998</v>
      </c>
      <c r="G120" s="190">
        <f t="shared" ref="G120:O120" si="119">G119</f>
        <v>0.40394166749999999</v>
      </c>
      <c r="H120" s="190">
        <f t="shared" si="119"/>
        <v>0.42413875087500008</v>
      </c>
      <c r="I120" s="190">
        <f t="shared" si="119"/>
        <v>0.44589854999400008</v>
      </c>
      <c r="J120" s="190">
        <f t="shared" si="119"/>
        <v>0.44534568841875005</v>
      </c>
      <c r="K120" s="190">
        <f t="shared" si="119"/>
        <v>0.46761297283968756</v>
      </c>
      <c r="L120" s="190">
        <f t="shared" si="119"/>
        <v>0.49099362148167208</v>
      </c>
      <c r="M120" s="190">
        <f t="shared" si="119"/>
        <v>0.51554330255575564</v>
      </c>
      <c r="N120" s="190">
        <f t="shared" si="119"/>
        <v>0.54132046768354336</v>
      </c>
      <c r="O120" s="190">
        <f t="shared" si="119"/>
        <v>0.56838649106772055</v>
      </c>
    </row>
    <row r="122" spans="2:15" ht="18" customHeight="1" x14ac:dyDescent="0.25">
      <c r="B122" s="54" t="s">
        <v>39</v>
      </c>
      <c r="C122" s="25"/>
      <c r="D122" s="25"/>
      <c r="E122" s="25"/>
      <c r="F122" s="25"/>
      <c r="G122" s="25"/>
      <c r="H122" s="25"/>
      <c r="I122" s="25"/>
      <c r="J122" s="25"/>
      <c r="K122" s="25"/>
      <c r="L122" s="25"/>
      <c r="M122" s="25"/>
      <c r="N122" s="25"/>
    </row>
    <row r="123" spans="2:15" ht="30" x14ac:dyDescent="0.25">
      <c r="B123" s="12" t="s">
        <v>1025</v>
      </c>
      <c r="C123" s="55">
        <f>'Common Assumption'!D93</f>
        <v>10</v>
      </c>
      <c r="D123" s="25"/>
      <c r="E123" s="25"/>
      <c r="F123" s="55">
        <f>$C$123</f>
        <v>10</v>
      </c>
      <c r="G123" s="55">
        <f t="shared" ref="G123:O123" si="120">$C$123</f>
        <v>10</v>
      </c>
      <c r="H123" s="55">
        <f t="shared" si="120"/>
        <v>10</v>
      </c>
      <c r="I123" s="55">
        <f t="shared" si="120"/>
        <v>10</v>
      </c>
      <c r="J123" s="55">
        <f t="shared" si="120"/>
        <v>10</v>
      </c>
      <c r="K123" s="55">
        <f t="shared" si="120"/>
        <v>10</v>
      </c>
      <c r="L123" s="55">
        <f t="shared" si="120"/>
        <v>10</v>
      </c>
      <c r="M123" s="55">
        <f t="shared" si="120"/>
        <v>10</v>
      </c>
      <c r="N123" s="55">
        <f t="shared" si="120"/>
        <v>10</v>
      </c>
      <c r="O123" s="55">
        <f t="shared" si="120"/>
        <v>10</v>
      </c>
    </row>
    <row r="124" spans="2:15" ht="18" customHeight="1" x14ac:dyDescent="0.25">
      <c r="B124" s="189" t="s">
        <v>347</v>
      </c>
      <c r="C124" s="189"/>
      <c r="D124" s="189"/>
      <c r="E124" s="189"/>
      <c r="F124" s="190">
        <f>F123/10^2</f>
        <v>0.1</v>
      </c>
      <c r="G124" s="190">
        <f t="shared" ref="G124:O124" si="121">G123/10^2</f>
        <v>0.1</v>
      </c>
      <c r="H124" s="190">
        <f t="shared" si="121"/>
        <v>0.1</v>
      </c>
      <c r="I124" s="190">
        <f t="shared" si="121"/>
        <v>0.1</v>
      </c>
      <c r="J124" s="190">
        <f t="shared" si="121"/>
        <v>0.1</v>
      </c>
      <c r="K124" s="190">
        <f t="shared" si="121"/>
        <v>0.1</v>
      </c>
      <c r="L124" s="190">
        <f t="shared" si="121"/>
        <v>0.1</v>
      </c>
      <c r="M124" s="190">
        <f t="shared" si="121"/>
        <v>0.1</v>
      </c>
      <c r="N124" s="190">
        <f t="shared" si="121"/>
        <v>0.1</v>
      </c>
      <c r="O124" s="190">
        <f t="shared" si="121"/>
        <v>0.1</v>
      </c>
    </row>
  </sheetData>
  <mergeCells count="2">
    <mergeCell ref="D8:E8"/>
    <mergeCell ref="F8:O8"/>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topLeftCell="A4" workbookViewId="0">
      <selection activeCell="Q17" sqref="Q17"/>
    </sheetView>
  </sheetViews>
  <sheetFormatPr defaultRowHeight="15" x14ac:dyDescent="0.25"/>
  <cols>
    <col min="2" max="2" width="12.140625" bestFit="1" customWidth="1"/>
  </cols>
  <sheetData>
    <row r="1" spans="1:2" x14ac:dyDescent="0.25">
      <c r="A1" t="s">
        <v>891</v>
      </c>
    </row>
    <row r="3" spans="1:2" ht="18.75" x14ac:dyDescent="0.3">
      <c r="B3" s="527" t="s">
        <v>892</v>
      </c>
    </row>
    <row r="7" spans="1:2" x14ac:dyDescent="0.25">
      <c r="B7" t="s">
        <v>896</v>
      </c>
    </row>
    <row r="12" spans="1:2" x14ac:dyDescent="0.25">
      <c r="B12" t="s">
        <v>894</v>
      </c>
    </row>
    <row r="13" spans="1:2" x14ac:dyDescent="0.25">
      <c r="B13" t="s">
        <v>893</v>
      </c>
    </row>
    <row r="14" spans="1:2" x14ac:dyDescent="0.25">
      <c r="B14" t="s">
        <v>895</v>
      </c>
    </row>
    <row r="17" spans="18:18" x14ac:dyDescent="0.25">
      <c r="R17">
        <v>80000</v>
      </c>
    </row>
    <row r="18" spans="18:18" x14ac:dyDescent="0.25">
      <c r="R18">
        <v>125000</v>
      </c>
    </row>
    <row r="19" spans="18:18" x14ac:dyDescent="0.25">
      <c r="R19">
        <f>R18-R17</f>
        <v>45000</v>
      </c>
    </row>
    <row r="20" spans="18:18" x14ac:dyDescent="0.25">
      <c r="R20">
        <v>15000</v>
      </c>
    </row>
    <row r="21" spans="18:18" x14ac:dyDescent="0.25">
      <c r="R21">
        <f>R19+R20</f>
        <v>60000</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
  <sheetViews>
    <sheetView showGridLines="0" workbookViewId="0"/>
  </sheetViews>
  <sheetFormatPr defaultColWidth="13.7109375" defaultRowHeight="18" customHeight="1" x14ac:dyDescent="0.25"/>
  <cols>
    <col min="1" max="1" width="6.28515625" style="1" customWidth="1"/>
    <col min="2" max="2" width="50.85546875" style="1" customWidth="1"/>
    <col min="3" max="3" width="7.140625" style="1" customWidth="1"/>
    <col min="4" max="15" width="12.7109375" style="1" customWidth="1"/>
    <col min="16" max="16384" width="13.7109375" style="1"/>
  </cols>
  <sheetData>
    <row r="1" spans="1:16" ht="15.75" customHeight="1" x14ac:dyDescent="0.25"/>
    <row r="2" spans="1:16" s="2" customFormat="1" ht="18" customHeight="1" x14ac:dyDescent="0.25">
      <c r="B2" s="34" t="str">
        <f>"Financial Model of " &amp; B4</f>
        <v>Financial Model of Proposed 6000 KGPD CBG plant set up M/s. NRS BIO FUEL ENERGIES LLP</v>
      </c>
      <c r="C2" s="35"/>
      <c r="D2" s="35"/>
      <c r="E2" s="35"/>
      <c r="F2" s="35"/>
      <c r="G2" s="35"/>
      <c r="H2" s="35"/>
      <c r="I2" s="35"/>
      <c r="J2" s="35"/>
      <c r="K2" s="35"/>
      <c r="L2" s="35"/>
      <c r="M2" s="35"/>
      <c r="N2" s="35"/>
      <c r="O2" s="35"/>
      <c r="P2" s="25"/>
    </row>
    <row r="3" spans="1:16" s="2" customFormat="1" ht="12" customHeight="1" x14ac:dyDescent="0.25">
      <c r="C3" s="25"/>
      <c r="D3" s="25"/>
      <c r="E3" s="25"/>
      <c r="F3" s="25"/>
      <c r="G3" s="25"/>
      <c r="H3" s="25"/>
      <c r="I3" s="25"/>
      <c r="J3" s="25"/>
      <c r="K3" s="25"/>
      <c r="L3" s="25"/>
      <c r="M3" s="25"/>
      <c r="N3" s="25"/>
      <c r="O3" s="25"/>
      <c r="P3" s="25"/>
    </row>
    <row r="4" spans="1:16" s="2" customFormat="1" ht="18" customHeight="1" x14ac:dyDescent="0.25">
      <c r="B4" s="26" t="str">
        <f>'Common Assumption'!B4</f>
        <v>Proposed 6000 KGPD CBG plant set up M/s. NRS BIO FUEL ENERGIES LLP</v>
      </c>
      <c r="C4" s="26"/>
      <c r="D4" s="27"/>
      <c r="E4" s="27"/>
      <c r="F4" s="27"/>
      <c r="G4" s="27"/>
      <c r="H4" s="27"/>
      <c r="I4" s="27"/>
      <c r="J4" s="27"/>
      <c r="K4" s="27"/>
      <c r="L4" s="27"/>
      <c r="M4" s="27"/>
      <c r="N4" s="27"/>
      <c r="O4" s="27"/>
      <c r="P4" s="25"/>
    </row>
    <row r="5" spans="1:16" s="2" customFormat="1" ht="13.5" customHeight="1" x14ac:dyDescent="0.25">
      <c r="C5" s="25"/>
      <c r="D5" s="25"/>
      <c r="F5" s="28"/>
      <c r="P5" s="25"/>
    </row>
    <row r="6" spans="1:16" s="2" customFormat="1" ht="18" customHeight="1" x14ac:dyDescent="0.25">
      <c r="B6" s="26" t="s">
        <v>350</v>
      </c>
      <c r="C6" s="26"/>
      <c r="D6" s="27"/>
      <c r="E6" s="27"/>
      <c r="F6" s="27"/>
      <c r="G6" s="27"/>
      <c r="H6" s="27"/>
      <c r="I6" s="27"/>
      <c r="J6" s="27"/>
      <c r="K6" s="27"/>
      <c r="L6" s="27"/>
      <c r="M6" s="27"/>
      <c r="N6" s="27"/>
      <c r="O6" s="27"/>
      <c r="P6" s="25"/>
    </row>
    <row r="7" spans="1:16" s="2" customFormat="1" ht="12.75" customHeight="1" x14ac:dyDescent="0.25">
      <c r="C7" s="25"/>
      <c r="D7" s="25"/>
      <c r="F7" s="28"/>
      <c r="O7" s="25"/>
      <c r="P7" s="25"/>
    </row>
    <row r="8" spans="1:16" s="2" customFormat="1" ht="18" customHeight="1" x14ac:dyDescent="0.25">
      <c r="C8" s="25"/>
      <c r="D8" s="675" t="s">
        <v>8</v>
      </c>
      <c r="E8" s="675"/>
      <c r="F8" s="676" t="s">
        <v>52</v>
      </c>
      <c r="G8" s="676"/>
      <c r="H8" s="676"/>
      <c r="I8" s="676"/>
      <c r="J8" s="676"/>
      <c r="K8" s="676"/>
      <c r="L8" s="676"/>
      <c r="M8" s="676"/>
      <c r="N8" s="676"/>
      <c r="O8" s="676"/>
      <c r="P8" s="25"/>
    </row>
    <row r="9" spans="1:16" s="2" customFormat="1" ht="18" customHeight="1" x14ac:dyDescent="0.25">
      <c r="B9" s="29" t="s">
        <v>53</v>
      </c>
      <c r="C9" s="30" t="s">
        <v>54</v>
      </c>
      <c r="D9" s="31">
        <f>EOMONTH('Common Assumption'!E11,5)</f>
        <v>45747</v>
      </c>
      <c r="E9" s="31">
        <f>'Common Assumption'!E13</f>
        <v>45930</v>
      </c>
      <c r="F9" s="31">
        <f>DATE(YEAR(E9)+1,MONTH(E9)-6,DAY(E9)+1)</f>
        <v>46112</v>
      </c>
      <c r="G9" s="31">
        <f>DATE(YEAR(F9)+1,MONTH(F9),DAY(F9))</f>
        <v>46477</v>
      </c>
      <c r="H9" s="31">
        <f t="shared" ref="H9:O9" si="0">DATE(YEAR(G9)+1,MONTH(G9),DAY(G9))</f>
        <v>46843</v>
      </c>
      <c r="I9" s="31">
        <f t="shared" si="0"/>
        <v>47208</v>
      </c>
      <c r="J9" s="31">
        <f t="shared" si="0"/>
        <v>47573</v>
      </c>
      <c r="K9" s="31">
        <f t="shared" si="0"/>
        <v>47938</v>
      </c>
      <c r="L9" s="31">
        <f t="shared" si="0"/>
        <v>48304</v>
      </c>
      <c r="M9" s="31">
        <f t="shared" si="0"/>
        <v>48669</v>
      </c>
      <c r="N9" s="31">
        <f t="shared" si="0"/>
        <v>49034</v>
      </c>
      <c r="O9" s="31">
        <f t="shared" si="0"/>
        <v>49399</v>
      </c>
      <c r="P9" s="25"/>
    </row>
    <row r="10" spans="1:16" s="32" customFormat="1" ht="18" customHeight="1" x14ac:dyDescent="0.25">
      <c r="B10" s="37" t="s">
        <v>55</v>
      </c>
      <c r="C10" s="38"/>
      <c r="D10" s="36">
        <v>0</v>
      </c>
      <c r="E10" s="36">
        <v>0</v>
      </c>
      <c r="F10" s="39">
        <v>1</v>
      </c>
      <c r="G10" s="39">
        <f>F10+1</f>
        <v>2</v>
      </c>
      <c r="H10" s="39">
        <f t="shared" ref="H10:O10" si="1">G10+1</f>
        <v>3</v>
      </c>
      <c r="I10" s="39">
        <f t="shared" si="1"/>
        <v>4</v>
      </c>
      <c r="J10" s="39">
        <f t="shared" si="1"/>
        <v>5</v>
      </c>
      <c r="K10" s="39">
        <f t="shared" si="1"/>
        <v>6</v>
      </c>
      <c r="L10" s="39">
        <f t="shared" si="1"/>
        <v>7</v>
      </c>
      <c r="M10" s="39">
        <f t="shared" si="1"/>
        <v>8</v>
      </c>
      <c r="N10" s="39">
        <f t="shared" si="1"/>
        <v>9</v>
      </c>
      <c r="O10" s="39">
        <f t="shared" si="1"/>
        <v>10</v>
      </c>
      <c r="P10" s="33"/>
    </row>
    <row r="11" spans="1:16" s="32" customFormat="1" ht="18" customHeight="1" x14ac:dyDescent="0.25">
      <c r="B11" s="37" t="s">
        <v>56</v>
      </c>
      <c r="C11" s="38">
        <f>'Common Assumption'!E12</f>
        <v>11</v>
      </c>
      <c r="D11" s="36">
        <f>MONTH(D9-'Common Assumption'!E11)</f>
        <v>5</v>
      </c>
      <c r="E11" s="36">
        <f>C11-D11</f>
        <v>6</v>
      </c>
      <c r="F11" s="38">
        <f>MONTH(F9-E9)</f>
        <v>6</v>
      </c>
      <c r="G11" s="38">
        <f t="shared" ref="G11:O11" si="2">MONTH(G9-F9)</f>
        <v>12</v>
      </c>
      <c r="H11" s="38">
        <f t="shared" si="2"/>
        <v>12</v>
      </c>
      <c r="I11" s="38">
        <f t="shared" si="2"/>
        <v>12</v>
      </c>
      <c r="J11" s="38">
        <f t="shared" si="2"/>
        <v>12</v>
      </c>
      <c r="K11" s="38">
        <f t="shared" si="2"/>
        <v>12</v>
      </c>
      <c r="L11" s="38">
        <f t="shared" si="2"/>
        <v>12</v>
      </c>
      <c r="M11" s="38">
        <f t="shared" si="2"/>
        <v>12</v>
      </c>
      <c r="N11" s="38">
        <f t="shared" si="2"/>
        <v>12</v>
      </c>
      <c r="O11" s="38">
        <f t="shared" si="2"/>
        <v>12</v>
      </c>
      <c r="P11" s="33"/>
    </row>
    <row r="12" spans="1:16" ht="18" customHeight="1" x14ac:dyDescent="0.25">
      <c r="B12" s="54" t="s">
        <v>351</v>
      </c>
      <c r="C12" s="2"/>
      <c r="D12" s="2"/>
      <c r="E12" s="2"/>
      <c r="F12" s="2"/>
      <c r="G12" s="2"/>
      <c r="H12" s="2"/>
      <c r="I12" s="2"/>
      <c r="J12" s="2"/>
      <c r="K12" s="2"/>
      <c r="L12" s="2"/>
      <c r="M12" s="2"/>
      <c r="N12" s="2"/>
    </row>
    <row r="13" spans="1:16" ht="18" customHeight="1" x14ac:dyDescent="0.25">
      <c r="A13" s="307">
        <v>0</v>
      </c>
      <c r="B13" s="207" t="s">
        <v>351</v>
      </c>
      <c r="C13" s="207"/>
      <c r="D13" s="207"/>
      <c r="E13" s="207"/>
      <c r="F13" s="208">
        <f>'Revenue &amp; Expense Modelling'!F48*(1-$A$13)</f>
        <v>13.336486799999999</v>
      </c>
      <c r="G13" s="208">
        <f>'Revenue &amp; Expense Modelling'!G48*(1-$A$13)</f>
        <v>26.929444499999999</v>
      </c>
      <c r="H13" s="208">
        <f>'Revenue &amp; Expense Modelling'!H48*(1-$A$13)</f>
        <v>28.275916725000005</v>
      </c>
      <c r="I13" s="208">
        <f>'Revenue &amp; Expense Modelling'!I48*(1-$A$13)</f>
        <v>29.726569999600006</v>
      </c>
      <c r="J13" s="208">
        <f>'Revenue &amp; Expense Modelling'!J48*(1-$A$13)</f>
        <v>29.689712561250005</v>
      </c>
      <c r="K13" s="208">
        <f>'Revenue &amp; Expense Modelling'!K48*(1-$A$13)</f>
        <v>31.174198189312506</v>
      </c>
      <c r="L13" s="208">
        <f>'Revenue &amp; Expense Modelling'!L48*(1-$A$13)</f>
        <v>32.73290809877814</v>
      </c>
      <c r="M13" s="208">
        <f>'Revenue &amp; Expense Modelling'!M48*(1-$A$13)</f>
        <v>34.369553503717043</v>
      </c>
      <c r="N13" s="208">
        <f>'Revenue &amp; Expense Modelling'!N48*(1-$A$13)</f>
        <v>36.088031178902895</v>
      </c>
      <c r="O13" s="208">
        <f>'Revenue &amp; Expense Modelling'!O48*(1-$A$13)</f>
        <v>37.89243273784804</v>
      </c>
    </row>
    <row r="14" spans="1:16" ht="18" customHeight="1" x14ac:dyDescent="0.25">
      <c r="B14" s="54" t="s">
        <v>352</v>
      </c>
      <c r="C14" s="2"/>
      <c r="D14" s="2"/>
      <c r="E14" s="2"/>
      <c r="F14" s="55"/>
      <c r="G14" s="55"/>
      <c r="H14" s="55"/>
      <c r="I14" s="55"/>
      <c r="J14" s="55"/>
      <c r="K14" s="55"/>
      <c r="L14" s="55"/>
      <c r="M14" s="55"/>
      <c r="N14" s="55"/>
    </row>
    <row r="15" spans="1:16" ht="18" customHeight="1" x14ac:dyDescent="0.25">
      <c r="A15" s="307">
        <v>0</v>
      </c>
      <c r="B15" s="2" t="s">
        <v>353</v>
      </c>
      <c r="C15" s="2"/>
      <c r="D15" s="2"/>
      <c r="E15" s="2"/>
      <c r="F15" s="56">
        <f>'Revenue &amp; Expense Modelling'!F58*(1+$A$15)</f>
        <v>2.7846000000000002</v>
      </c>
      <c r="G15" s="56">
        <f>'Revenue &amp; Expense Modelling'!G58*(1+$A$15)</f>
        <v>5.6227500000000008</v>
      </c>
      <c r="H15" s="56">
        <f>'Revenue &amp; Expense Modelling'!H58*(1+$A$15)</f>
        <v>5.9038875000000006</v>
      </c>
      <c r="I15" s="56">
        <f>'Revenue &amp; Expense Modelling'!I58*(1+$A$15)</f>
        <v>6.199081875000001</v>
      </c>
      <c r="J15" s="56">
        <f>'Revenue &amp; Expense Modelling'!J58*(1+$A$15)</f>
        <v>6.5090359687500019</v>
      </c>
      <c r="K15" s="56">
        <f>'Revenue &amp; Expense Modelling'!K58*(1+$A$15)</f>
        <v>6.8344877671875013</v>
      </c>
      <c r="L15" s="56">
        <f>'Revenue &amp; Expense Modelling'!L58*(1+$A$15)</f>
        <v>7.1762121555468781</v>
      </c>
      <c r="M15" s="56">
        <f>'Revenue &amp; Expense Modelling'!M58*(1+$A$15)</f>
        <v>7.5350227633242222</v>
      </c>
      <c r="N15" s="56">
        <f>'Revenue &amp; Expense Modelling'!N58*(1+$A$15)</f>
        <v>7.9117739014904336</v>
      </c>
      <c r="O15" s="56">
        <f>'Revenue &amp; Expense Modelling'!O58*(1+$A$15)</f>
        <v>8.3073625965649551</v>
      </c>
    </row>
    <row r="16" spans="1:16" ht="18" customHeight="1" x14ac:dyDescent="0.25">
      <c r="B16" s="2" t="s">
        <v>354</v>
      </c>
      <c r="C16" s="2"/>
      <c r="D16" s="2"/>
      <c r="E16" s="2"/>
      <c r="F16" s="56">
        <f>'Revenue &amp; Expense Modelling'!F65</f>
        <v>1.0920000000000001</v>
      </c>
      <c r="G16" s="56">
        <f>'Revenue &amp; Expense Modelling'!G65</f>
        <v>2.2050000000000001</v>
      </c>
      <c r="H16" s="56">
        <f>'Revenue &amp; Expense Modelling'!H65</f>
        <v>2.3152499999999998</v>
      </c>
      <c r="I16" s="56">
        <f>'Revenue &amp; Expense Modelling'!I65</f>
        <v>2.4310125000000005</v>
      </c>
      <c r="J16" s="56">
        <f>'Revenue &amp; Expense Modelling'!J65</f>
        <v>2.5525631250000003</v>
      </c>
      <c r="K16" s="56">
        <f>'Revenue &amp; Expense Modelling'!K65</f>
        <v>2.6801912812500004</v>
      </c>
      <c r="L16" s="56">
        <f>'Revenue &amp; Expense Modelling'!L65</f>
        <v>2.8142008453125009</v>
      </c>
      <c r="M16" s="56">
        <f>'Revenue &amp; Expense Modelling'!M65</f>
        <v>2.954910887578126</v>
      </c>
      <c r="N16" s="56">
        <f>'Revenue &amp; Expense Modelling'!N65</f>
        <v>3.1026564319570324</v>
      </c>
      <c r="O16" s="56">
        <f>'Revenue &amp; Expense Modelling'!O65</f>
        <v>3.2577892535548845</v>
      </c>
    </row>
    <row r="17" spans="2:15" ht="18" customHeight="1" x14ac:dyDescent="0.25">
      <c r="B17" s="2" t="s">
        <v>30</v>
      </c>
      <c r="C17" s="2"/>
      <c r="D17" s="2"/>
      <c r="E17" s="2"/>
      <c r="F17" s="56">
        <f>'Revenue &amp; Expense Modelling'!F71</f>
        <v>0.32250000000000001</v>
      </c>
      <c r="G17" s="56">
        <f>'Revenue &amp; Expense Modelling'!G71</f>
        <v>0.70950000000000024</v>
      </c>
      <c r="H17" s="56">
        <f>'Revenue &amp; Expense Modelling'!H71</f>
        <v>0.7804500000000002</v>
      </c>
      <c r="I17" s="56">
        <f>'Revenue &amp; Expense Modelling'!I71</f>
        <v>0.85849500000000023</v>
      </c>
      <c r="J17" s="56">
        <f>'Revenue &amp; Expense Modelling'!J71</f>
        <v>0.94434450000000036</v>
      </c>
      <c r="K17" s="56">
        <f>'Revenue &amp; Expense Modelling'!K71</f>
        <v>1.0387789500000006</v>
      </c>
      <c r="L17" s="56">
        <f>'Revenue &amp; Expense Modelling'!L71</f>
        <v>1.1426568450000008</v>
      </c>
      <c r="M17" s="56">
        <f>'Revenue &amp; Expense Modelling'!M71</f>
        <v>1.2569225295000008</v>
      </c>
      <c r="N17" s="56">
        <f>'Revenue &amp; Expense Modelling'!N71</f>
        <v>1.382614782450001</v>
      </c>
      <c r="O17" s="56">
        <f>'Revenue &amp; Expense Modelling'!O71</f>
        <v>1.5208762606950015</v>
      </c>
    </row>
    <row r="18" spans="2:15" ht="18" customHeight="1" x14ac:dyDescent="0.25">
      <c r="B18" s="2" t="s">
        <v>1030</v>
      </c>
      <c r="C18" s="2"/>
      <c r="D18" s="2"/>
      <c r="E18" s="2"/>
      <c r="F18" s="56">
        <f>'Revenue &amp; Expense Modelling'!F77</f>
        <v>0.40949999999999998</v>
      </c>
      <c r="G18" s="56">
        <f>'Revenue &amp; Expense Modelling'!G77</f>
        <v>0.82687500000000014</v>
      </c>
      <c r="H18" s="56">
        <f>'Revenue &amp; Expense Modelling'!H77</f>
        <v>0.86821875000000015</v>
      </c>
      <c r="I18" s="56">
        <f>'Revenue &amp; Expense Modelling'!I77</f>
        <v>0.91162968750000017</v>
      </c>
      <c r="J18" s="56">
        <f>'Revenue &amp; Expense Modelling'!J77</f>
        <v>0.95721117187500016</v>
      </c>
      <c r="K18" s="56">
        <f>'Revenue &amp; Expense Modelling'!K77</f>
        <v>1.0050717304687502</v>
      </c>
      <c r="L18" s="56">
        <f>'Revenue &amp; Expense Modelling'!L77</f>
        <v>1.0553253169921879</v>
      </c>
      <c r="M18" s="56">
        <f>'Revenue &amp; Expense Modelling'!M77</f>
        <v>1.1080915828417974</v>
      </c>
      <c r="N18" s="56">
        <f>'Revenue &amp; Expense Modelling'!N77</f>
        <v>1.1634961619838871</v>
      </c>
      <c r="O18" s="56">
        <f>'Revenue &amp; Expense Modelling'!O77</f>
        <v>1.2216709700830815</v>
      </c>
    </row>
    <row r="19" spans="2:15" ht="18" customHeight="1" x14ac:dyDescent="0.25">
      <c r="B19" s="2" t="s">
        <v>1031</v>
      </c>
      <c r="C19" s="2"/>
      <c r="D19" s="2"/>
      <c r="E19" s="2"/>
      <c r="F19" s="56">
        <f>'Revenue &amp; Expense Modelling'!F83</f>
        <v>2.3660000000000001</v>
      </c>
      <c r="G19" s="56">
        <f>'Revenue &amp; Expense Modelling'!G83</f>
        <v>4.7774999999999999</v>
      </c>
      <c r="H19" s="56">
        <f>'Revenue &amp; Expense Modelling'!H83</f>
        <v>5.0163750000000009</v>
      </c>
      <c r="I19" s="56">
        <f>'Revenue &amp; Expense Modelling'!I83</f>
        <v>5.2671937500000006</v>
      </c>
      <c r="J19" s="56">
        <f>'Revenue &amp; Expense Modelling'!J83</f>
        <v>5.5305534375000018</v>
      </c>
      <c r="K19" s="56">
        <f>'Revenue &amp; Expense Modelling'!K83</f>
        <v>5.8070811093750017</v>
      </c>
      <c r="L19" s="56">
        <f>'Revenue &amp; Expense Modelling'!L83</f>
        <v>6.0974351648437519</v>
      </c>
      <c r="M19" s="56">
        <f>'Revenue &amp; Expense Modelling'!M83</f>
        <v>6.4023069230859395</v>
      </c>
      <c r="N19" s="56">
        <f>'Revenue &amp; Expense Modelling'!N83</f>
        <v>6.722422269240238</v>
      </c>
      <c r="O19" s="56">
        <f>'Revenue &amp; Expense Modelling'!O83</f>
        <v>7.0585433827022497</v>
      </c>
    </row>
    <row r="20" spans="2:15" ht="18" customHeight="1" x14ac:dyDescent="0.25">
      <c r="B20" s="2" t="s">
        <v>355</v>
      </c>
      <c r="C20" s="2"/>
      <c r="D20" s="2"/>
      <c r="E20" s="2"/>
      <c r="F20" s="56">
        <f>'Revenue &amp; Expense Modelling'!F108</f>
        <v>9.3833393788173014E-2</v>
      </c>
      <c r="G20" s="56">
        <f>'Revenue &amp; Expense Modelling'!G108</f>
        <v>0.1970501269551633</v>
      </c>
      <c r="H20" s="56">
        <f>'Revenue &amp; Expense Modelling'!H108</f>
        <v>0.2069026333029215</v>
      </c>
      <c r="I20" s="56">
        <f>'Revenue &amp; Expense Modelling'!I108</f>
        <v>0.21724776496806761</v>
      </c>
      <c r="J20" s="56">
        <f>'Revenue &amp; Expense Modelling'!J108</f>
        <v>0.22811015321647096</v>
      </c>
      <c r="K20" s="56">
        <f>'Revenue &amp; Expense Modelling'!K108</f>
        <v>0.23951566087729448</v>
      </c>
      <c r="L20" s="56">
        <f>'Revenue &amp; Expense Modelling'!L108</f>
        <v>0.25149144392115924</v>
      </c>
      <c r="M20" s="56">
        <f>'Revenue &amp; Expense Modelling'!M108</f>
        <v>0.26406601611721725</v>
      </c>
      <c r="N20" s="56">
        <f>'Revenue &amp; Expense Modelling'!N108</f>
        <v>0.2772693169230781</v>
      </c>
      <c r="O20" s="56">
        <f>'Revenue &amp; Expense Modelling'!O108</f>
        <v>0.29113278276923199</v>
      </c>
    </row>
    <row r="21" spans="2:15" ht="18" customHeight="1" x14ac:dyDescent="0.25">
      <c r="B21" s="2" t="s">
        <v>343</v>
      </c>
      <c r="C21" s="2"/>
      <c r="D21" s="2"/>
      <c r="E21" s="2"/>
      <c r="F21" s="56">
        <f>'Revenue &amp; Expense Modelling'!F116</f>
        <v>9.3843187190873381E-2</v>
      </c>
      <c r="G21" s="56">
        <f>'Revenue &amp; Expense Modelling'!G116</f>
        <v>8.8090854790835588E-2</v>
      </c>
      <c r="H21" s="56">
        <f>'Revenue &amp; Expense Modelling'!H116</f>
        <v>8.2338522390797794E-2</v>
      </c>
      <c r="I21" s="56">
        <f>'Revenue &amp; Expense Modelling'!I116</f>
        <v>7.6586189990760001E-2</v>
      </c>
      <c r="J21" s="56">
        <f>'Revenue &amp; Expense Modelling'!J116</f>
        <v>7.0833857590722207E-2</v>
      </c>
      <c r="K21" s="56">
        <f>'Revenue &amp; Expense Modelling'!K116</f>
        <v>6.5106348170403699E-2</v>
      </c>
      <c r="L21" s="56">
        <f>'Revenue &amp; Expense Modelling'!L116</f>
        <v>5.915543193261167E-2</v>
      </c>
      <c r="M21" s="56">
        <f>'Revenue &amp; Expense Modelling'!M116</f>
        <v>5.3452745492012427E-2</v>
      </c>
      <c r="N21" s="56">
        <f>'Revenue &amp; Expense Modelling'!N116</f>
        <v>4.779892929273552E-2</v>
      </c>
      <c r="O21" s="56">
        <f>'Revenue &amp; Expense Modelling'!O116</f>
        <v>4.1412059473623732E-2</v>
      </c>
    </row>
    <row r="22" spans="2:15" ht="18" customHeight="1" x14ac:dyDescent="0.25">
      <c r="B22" s="2" t="s">
        <v>356</v>
      </c>
      <c r="C22" s="2"/>
      <c r="D22" s="2"/>
      <c r="E22" s="2"/>
      <c r="F22" s="56">
        <f>'Depreciation Schedule'!F42</f>
        <v>1.125477093309319</v>
      </c>
      <c r="G22" s="56">
        <f>'Depreciation Schedule'!G42</f>
        <v>2.3009329600151176</v>
      </c>
      <c r="H22" s="56">
        <f>'Depreciation Schedule'!H42</f>
        <v>2.3009329600151176</v>
      </c>
      <c r="I22" s="56">
        <f>'Depreciation Schedule'!I42</f>
        <v>2.3009329600151176</v>
      </c>
      <c r="J22" s="56">
        <f>'Depreciation Schedule'!J42</f>
        <v>2.3009329600151176</v>
      </c>
      <c r="K22" s="56">
        <f>'Depreciation Schedule'!K42</f>
        <v>2.2910037681274065</v>
      </c>
      <c r="L22" s="56">
        <f>'Depreciation Schedule'!L42</f>
        <v>2.2810745762396958</v>
      </c>
      <c r="M22" s="56">
        <f>'Depreciation Schedule'!M42</f>
        <v>2.2810745762396958</v>
      </c>
      <c r="N22" s="56">
        <f>'Depreciation Schedule'!N42</f>
        <v>2.2615264797107648</v>
      </c>
      <c r="O22" s="56">
        <f>'Depreciation Schedule'!O42</f>
        <v>2.2419783831818343</v>
      </c>
    </row>
    <row r="23" spans="2:15" ht="18" customHeight="1" x14ac:dyDescent="0.25">
      <c r="B23" s="207" t="s">
        <v>357</v>
      </c>
      <c r="C23" s="207"/>
      <c r="D23" s="207"/>
      <c r="E23" s="207"/>
      <c r="F23" s="209">
        <f>SUM(F15:F22)</f>
        <v>8.287753674288366</v>
      </c>
      <c r="G23" s="209">
        <f t="shared" ref="G23:O23" si="3">SUM(G15:G22)</f>
        <v>16.727698941761115</v>
      </c>
      <c r="H23" s="209">
        <f t="shared" si="3"/>
        <v>17.474355365708838</v>
      </c>
      <c r="I23" s="209">
        <f t="shared" si="3"/>
        <v>18.262179727473949</v>
      </c>
      <c r="J23" s="209">
        <f t="shared" si="3"/>
        <v>19.093585173947311</v>
      </c>
      <c r="K23" s="209">
        <f t="shared" si="3"/>
        <v>19.961236615456361</v>
      </c>
      <c r="L23" s="209">
        <f t="shared" si="3"/>
        <v>20.877551779788789</v>
      </c>
      <c r="M23" s="209">
        <f t="shared" si="3"/>
        <v>21.855848024179011</v>
      </c>
      <c r="N23" s="209">
        <f t="shared" si="3"/>
        <v>22.869558273048167</v>
      </c>
      <c r="O23" s="209">
        <f t="shared" si="3"/>
        <v>23.940765689024865</v>
      </c>
    </row>
    <row r="25" spans="2:15" ht="18" customHeight="1" x14ac:dyDescent="0.25">
      <c r="B25" s="2" t="s">
        <v>358</v>
      </c>
      <c r="C25" s="2"/>
      <c r="D25" s="2"/>
      <c r="E25" s="2"/>
      <c r="F25" s="55">
        <f>E27</f>
        <v>0</v>
      </c>
      <c r="G25" s="55">
        <f t="shared" ref="G25:O25" si="4">F27</f>
        <v>0.45900000000000002</v>
      </c>
      <c r="H25" s="55">
        <f t="shared" si="4"/>
        <v>0.4819500000000001</v>
      </c>
      <c r="I25" s="55">
        <f t="shared" si="4"/>
        <v>0.50604749999999998</v>
      </c>
      <c r="J25" s="55">
        <f t="shared" si="4"/>
        <v>0.53134987500000008</v>
      </c>
      <c r="K25" s="55">
        <f t="shared" si="4"/>
        <v>0.5579173687500002</v>
      </c>
      <c r="L25" s="55">
        <f t="shared" si="4"/>
        <v>0.58581323718750011</v>
      </c>
      <c r="M25" s="55">
        <f t="shared" si="4"/>
        <v>0.61510389904687524</v>
      </c>
      <c r="N25" s="55">
        <f t="shared" si="4"/>
        <v>0.64585909399921904</v>
      </c>
      <c r="O25" s="55">
        <f t="shared" si="4"/>
        <v>0.67815204869918</v>
      </c>
    </row>
    <row r="26" spans="2:15" ht="18" customHeight="1" x14ac:dyDescent="0.25">
      <c r="B26" s="2" t="s">
        <v>359</v>
      </c>
      <c r="C26" s="2"/>
      <c r="D26" s="2"/>
      <c r="E26" s="2"/>
      <c r="F26" s="55">
        <f>F23+F25</f>
        <v>8.287753674288366</v>
      </c>
      <c r="G26" s="55">
        <f t="shared" ref="G26:O26" si="5">G23+G25</f>
        <v>17.186698941761115</v>
      </c>
      <c r="H26" s="55">
        <f t="shared" si="5"/>
        <v>17.95630536570884</v>
      </c>
      <c r="I26" s="55">
        <f t="shared" si="5"/>
        <v>18.76822722747395</v>
      </c>
      <c r="J26" s="55">
        <f t="shared" si="5"/>
        <v>19.624935048947311</v>
      </c>
      <c r="K26" s="55">
        <f t="shared" si="5"/>
        <v>20.519153984206362</v>
      </c>
      <c r="L26" s="55">
        <f t="shared" si="5"/>
        <v>21.46336501697629</v>
      </c>
      <c r="M26" s="55">
        <f t="shared" si="5"/>
        <v>22.470951923225886</v>
      </c>
      <c r="N26" s="55">
        <f t="shared" si="5"/>
        <v>23.515417367047387</v>
      </c>
      <c r="O26" s="55">
        <f t="shared" si="5"/>
        <v>24.618917737724043</v>
      </c>
    </row>
    <row r="27" spans="2:15" ht="18" customHeight="1" x14ac:dyDescent="0.25">
      <c r="B27" s="2" t="s">
        <v>360</v>
      </c>
      <c r="C27" s="2"/>
      <c r="D27" s="2"/>
      <c r="E27" s="16">
        <v>0</v>
      </c>
      <c r="F27" s="56">
        <f>'Working Capital Assessment'!F41</f>
        <v>0.45900000000000002</v>
      </c>
      <c r="G27" s="56">
        <f>'Working Capital Assessment'!G41</f>
        <v>0.4819500000000001</v>
      </c>
      <c r="H27" s="56">
        <f>'Working Capital Assessment'!H41</f>
        <v>0.50604749999999998</v>
      </c>
      <c r="I27" s="56">
        <f>'Working Capital Assessment'!I41</f>
        <v>0.53134987500000008</v>
      </c>
      <c r="J27" s="56">
        <f>'Working Capital Assessment'!J41</f>
        <v>0.5579173687500002</v>
      </c>
      <c r="K27" s="56">
        <f>'Working Capital Assessment'!K41</f>
        <v>0.58581323718750011</v>
      </c>
      <c r="L27" s="56">
        <f>'Working Capital Assessment'!L41</f>
        <v>0.61510389904687524</v>
      </c>
      <c r="M27" s="56">
        <f>'Working Capital Assessment'!M41</f>
        <v>0.64585909399921904</v>
      </c>
      <c r="N27" s="56">
        <f>'Working Capital Assessment'!N41</f>
        <v>0.67815204869918</v>
      </c>
      <c r="O27" s="56">
        <f>'Working Capital Assessment'!O41</f>
        <v>0.71205965113413905</v>
      </c>
    </row>
    <row r="28" spans="2:15" ht="18" customHeight="1" x14ac:dyDescent="0.25">
      <c r="B28" s="2" t="s">
        <v>359</v>
      </c>
      <c r="C28" s="2"/>
      <c r="D28" s="2"/>
      <c r="E28" s="2"/>
      <c r="F28" s="55">
        <f>F26-F27</f>
        <v>7.8287536742883663</v>
      </c>
      <c r="G28" s="55">
        <f t="shared" ref="G28:O28" si="6">G26-G27</f>
        <v>16.704748941761114</v>
      </c>
      <c r="H28" s="55">
        <f t="shared" si="6"/>
        <v>17.450257865708839</v>
      </c>
      <c r="I28" s="55">
        <f t="shared" si="6"/>
        <v>18.23687735247395</v>
      </c>
      <c r="J28" s="55">
        <f t="shared" si="6"/>
        <v>19.06701768019731</v>
      </c>
      <c r="K28" s="55">
        <f t="shared" si="6"/>
        <v>19.93334074701886</v>
      </c>
      <c r="L28" s="55">
        <f t="shared" si="6"/>
        <v>20.848261117929415</v>
      </c>
      <c r="M28" s="55">
        <f t="shared" si="6"/>
        <v>21.825092829226666</v>
      </c>
      <c r="N28" s="55">
        <f t="shared" si="6"/>
        <v>22.837265318348209</v>
      </c>
      <c r="O28" s="55">
        <f t="shared" si="6"/>
        <v>23.906858086589903</v>
      </c>
    </row>
    <row r="29" spans="2:15" ht="18" customHeight="1" x14ac:dyDescent="0.25">
      <c r="B29" s="2" t="s">
        <v>361</v>
      </c>
      <c r="C29" s="2"/>
      <c r="D29" s="2"/>
      <c r="E29" s="2"/>
      <c r="F29" s="55">
        <f>E31</f>
        <v>0</v>
      </c>
      <c r="G29" s="55">
        <f t="shared" ref="G29:O29" ca="1" si="7">F31</f>
        <v>0.59609799550419029</v>
      </c>
      <c r="H29" s="55">
        <f t="shared" ca="1" si="7"/>
        <v>0.71099370975062903</v>
      </c>
      <c r="I29" s="55">
        <f t="shared" ca="1" si="7"/>
        <v>0.74635280447093699</v>
      </c>
      <c r="J29" s="55">
        <f t="shared" ca="1" si="7"/>
        <v>0.7801327461758174</v>
      </c>
      <c r="K29" s="55">
        <f t="shared" ca="1" si="7"/>
        <v>0.81563631889204624</v>
      </c>
      <c r="L29" s="55">
        <f t="shared" ca="1" si="7"/>
        <v>0.85269768764017428</v>
      </c>
      <c r="M29" s="55">
        <f t="shared" ca="1" si="7"/>
        <v>0.89182022488642154</v>
      </c>
      <c r="N29" s="55">
        <f t="shared" ca="1" si="7"/>
        <v>0.93357176934711306</v>
      </c>
      <c r="O29" s="55">
        <f t="shared" ca="1" si="7"/>
        <v>0.97688371593268464</v>
      </c>
    </row>
    <row r="30" spans="2:15" ht="18" customHeight="1" x14ac:dyDescent="0.25">
      <c r="B30" s="2" t="s">
        <v>359</v>
      </c>
      <c r="C30" s="2"/>
      <c r="D30" s="2"/>
      <c r="E30" s="2"/>
      <c r="F30" s="55">
        <f>F28+F29</f>
        <v>7.8287536742883663</v>
      </c>
      <c r="G30" s="55">
        <f t="shared" ref="G30:O30" ca="1" si="8">G28+G29</f>
        <v>17.300846937265305</v>
      </c>
      <c r="H30" s="55">
        <f t="shared" ca="1" si="8"/>
        <v>18.161251575459467</v>
      </c>
      <c r="I30" s="55">
        <f t="shared" ca="1" si="8"/>
        <v>18.983230156944888</v>
      </c>
      <c r="J30" s="55">
        <f t="shared" ca="1" si="8"/>
        <v>19.847150426373126</v>
      </c>
      <c r="K30" s="55">
        <f t="shared" ca="1" si="8"/>
        <v>20.748977065910907</v>
      </c>
      <c r="L30" s="55">
        <f t="shared" ca="1" si="8"/>
        <v>21.700958805569588</v>
      </c>
      <c r="M30" s="55">
        <f t="shared" ca="1" si="8"/>
        <v>22.716913054113085</v>
      </c>
      <c r="N30" s="55">
        <f t="shared" ca="1" si="8"/>
        <v>23.770837087695323</v>
      </c>
      <c r="O30" s="55">
        <f t="shared" ca="1" si="8"/>
        <v>24.883741802522586</v>
      </c>
    </row>
    <row r="31" spans="2:15" ht="18" customHeight="1" x14ac:dyDescent="0.25">
      <c r="B31" s="2" t="s">
        <v>362</v>
      </c>
      <c r="C31" s="2"/>
      <c r="D31" s="2"/>
      <c r="E31" s="16">
        <v>0</v>
      </c>
      <c r="F31" s="56">
        <f ca="1">'Working Capital Assessment'!F46</f>
        <v>0.59609799550419029</v>
      </c>
      <c r="G31" s="56">
        <f ca="1">'Working Capital Assessment'!G46</f>
        <v>0.71099370975062903</v>
      </c>
      <c r="H31" s="56">
        <f ca="1">'Working Capital Assessment'!H46</f>
        <v>0.74635280447093699</v>
      </c>
      <c r="I31" s="56">
        <f ca="1">'Working Capital Assessment'!I46</f>
        <v>0.7801327461758174</v>
      </c>
      <c r="J31" s="56">
        <f ca="1">'Working Capital Assessment'!J46</f>
        <v>0.81563631889204624</v>
      </c>
      <c r="K31" s="56">
        <f ca="1">'Working Capital Assessment'!K46</f>
        <v>0.85269768764017428</v>
      </c>
      <c r="L31" s="56">
        <f ca="1">'Working Capital Assessment'!L46</f>
        <v>0.89182022488642154</v>
      </c>
      <c r="M31" s="56">
        <f ca="1">'Working Capital Assessment'!M46</f>
        <v>0.93357176934711306</v>
      </c>
      <c r="N31" s="56">
        <f ca="1">'Working Capital Assessment'!N46</f>
        <v>0.97688371593268464</v>
      </c>
      <c r="O31" s="56">
        <f ca="1">'Working Capital Assessment'!O46</f>
        <v>1.0226195261310651</v>
      </c>
    </row>
    <row r="32" spans="2:15" ht="18" customHeight="1" x14ac:dyDescent="0.25">
      <c r="B32" s="207" t="s">
        <v>363</v>
      </c>
      <c r="C32" s="207"/>
      <c r="D32" s="207"/>
      <c r="E32" s="207"/>
      <c r="F32" s="209">
        <f ca="1">F30-F31</f>
        <v>7.2326556787841758</v>
      </c>
      <c r="G32" s="209">
        <f t="shared" ref="G32:L32" ca="1" si="9">G30-G31</f>
        <v>16.589853227514677</v>
      </c>
      <c r="H32" s="209">
        <f t="shared" ca="1" si="9"/>
        <v>17.414898770988529</v>
      </c>
      <c r="I32" s="209">
        <f t="shared" ca="1" si="9"/>
        <v>18.203097410769072</v>
      </c>
      <c r="J32" s="209">
        <f t="shared" ca="1" si="9"/>
        <v>19.03151410748108</v>
      </c>
      <c r="K32" s="209">
        <f t="shared" ca="1" si="9"/>
        <v>19.896279378270734</v>
      </c>
      <c r="L32" s="209">
        <f t="shared" ca="1" si="9"/>
        <v>20.809138580683168</v>
      </c>
      <c r="M32" s="209">
        <f ca="1">M30-M31</f>
        <v>21.783341284765971</v>
      </c>
      <c r="N32" s="209">
        <f t="shared" ref="N32" ca="1" si="10">N30-N31</f>
        <v>22.79395337176264</v>
      </c>
      <c r="O32" s="209">
        <f t="shared" ref="O32" ca="1" si="11">O30-O31</f>
        <v>23.861122276391519</v>
      </c>
    </row>
    <row r="33" spans="2:15" ht="18" customHeight="1" x14ac:dyDescent="0.25">
      <c r="B33" s="2" t="s">
        <v>364</v>
      </c>
      <c r="C33" s="2"/>
      <c r="D33" s="2"/>
      <c r="E33" s="2"/>
      <c r="F33" s="55">
        <f>'Revenue &amp; Expense Modelling'!F89+'Revenue &amp; Expense Modelling'!F94+'Revenue &amp; Expense Modelling'!F97+'Revenue &amp; Expense Modelling'!F112+'Revenue &amp; Expense Modelling'!F120+'Revenue &amp; Expense Modelling'!F124</f>
        <v>1.8646365099999997</v>
      </c>
      <c r="G33" s="55">
        <f>'Revenue &amp; Expense Modelling'!G89+'Revenue &amp; Expense Modelling'!G94+'Revenue &amp; Expense Modelling'!G97+'Revenue &amp; Expense Modelling'!G112+'Revenue &amp; Expense Modelling'!G120+'Revenue &amp; Expense Modelling'!G124</f>
        <v>3.6632083374999995</v>
      </c>
      <c r="H33" s="55">
        <f>'Revenue &amp; Expense Modelling'!H89+'Revenue &amp; Expense Modelling'!H94+'Revenue &amp; Expense Modelling'!H97+'Revenue &amp; Expense Modelling'!H112+'Revenue &amp; Expense Modelling'!H120+'Revenue &amp; Expense Modelling'!H124</f>
        <v>3.8413687543750008</v>
      </c>
      <c r="I33" s="55">
        <f>'Revenue &amp; Expense Modelling'!I89+'Revenue &amp; Expense Modelling'!I94+'Revenue &amp; Expense Modelling'!I97+'Revenue &amp; Expense Modelling'!I112+'Revenue &amp; Expense Modelling'!I120+'Revenue &amp; Expense Modelling'!I124</f>
        <v>4.0312014999700008</v>
      </c>
      <c r="J33" s="55">
        <f>'Revenue &amp; Expense Modelling'!J89+'Revenue &amp; Expense Modelling'!J94+'Revenue &amp; Expense Modelling'!J97+'Revenue &amp; Expense Modelling'!J112+'Revenue &amp; Expense Modelling'!J120+'Revenue &amp; Expense Modelling'!J124</f>
        <v>4.1135226295937501</v>
      </c>
      <c r="K33" s="55">
        <f>'Revenue &amp; Expense Modelling'!K89+'Revenue &amp; Expense Modelling'!K94+'Revenue &amp; Expense Modelling'!K97+'Revenue &amp; Expense Modelling'!K112+'Revenue &amp; Expense Modelling'!K120+'Revenue &amp; Expense Modelling'!K124</f>
        <v>4.3141987610734374</v>
      </c>
      <c r="L33" s="55">
        <f>'Revenue &amp; Expense Modelling'!L89+'Revenue &amp; Expense Modelling'!L94+'Revenue &amp; Expense Modelling'!L97+'Revenue &amp; Expense Modelling'!L112+'Revenue &amp; Expense Modelling'!L120+'Revenue &amp; Expense Modelling'!L124</f>
        <v>4.5249086991271099</v>
      </c>
      <c r="M33" s="55">
        <f>'Revenue &amp; Expense Modelling'!M89+'Revenue &amp; Expense Modelling'!M94+'Revenue &amp; Expense Modelling'!M97+'Revenue &amp; Expense Modelling'!M112+'Revenue &amp; Expense Modelling'!M120+'Revenue &amp; Expense Modelling'!M124</f>
        <v>4.7461541340834659</v>
      </c>
      <c r="N33" s="55">
        <f>'Revenue &amp; Expense Modelling'!N89+'Revenue &amp; Expense Modelling'!N94+'Revenue &amp; Expense Modelling'!N97+'Revenue &amp; Expense Modelling'!N112+'Revenue &amp; Expense Modelling'!N120+'Revenue &amp; Expense Modelling'!N124</f>
        <v>4.9784618407876389</v>
      </c>
      <c r="O33" s="55">
        <f>'Revenue &amp; Expense Modelling'!O89+'Revenue &amp; Expense Modelling'!O94+'Revenue &amp; Expense Modelling'!O97+'Revenue &amp; Expense Modelling'!O112+'Revenue &amp; Expense Modelling'!O120+'Revenue &amp; Expense Modelling'!O124</f>
        <v>5.2223849328270209</v>
      </c>
    </row>
    <row r="34" spans="2:15" ht="18" customHeight="1" x14ac:dyDescent="0.25">
      <c r="B34" s="2" t="s">
        <v>365</v>
      </c>
      <c r="C34" s="2"/>
      <c r="D34" s="2"/>
      <c r="E34" s="2"/>
      <c r="F34" s="56">
        <f>'TPC and MoF'!$D$17/5</f>
        <v>0.379</v>
      </c>
      <c r="G34" s="56">
        <f>'TPC and MoF'!$D$17/5</f>
        <v>0.379</v>
      </c>
      <c r="H34" s="56">
        <f>'TPC and MoF'!$D$17/5</f>
        <v>0.379</v>
      </c>
      <c r="I34" s="56">
        <f>'TPC and MoF'!$D$17/5</f>
        <v>0.379</v>
      </c>
      <c r="J34" s="56">
        <f>'TPC and MoF'!$D$17/5</f>
        <v>0.379</v>
      </c>
      <c r="K34" s="56">
        <v>0</v>
      </c>
      <c r="L34" s="56">
        <v>0</v>
      </c>
      <c r="M34" s="56">
        <v>0</v>
      </c>
      <c r="N34" s="56">
        <v>0</v>
      </c>
      <c r="O34" s="56">
        <v>0</v>
      </c>
    </row>
    <row r="35" spans="2:15" ht="18" customHeight="1" x14ac:dyDescent="0.25">
      <c r="B35" s="207" t="s">
        <v>457</v>
      </c>
      <c r="C35" s="207"/>
      <c r="D35" s="207"/>
      <c r="E35" s="207"/>
      <c r="F35" s="209">
        <f ca="1">F32+F33+F34</f>
        <v>9.4762921887841749</v>
      </c>
      <c r="G35" s="209">
        <f t="shared" ref="G35:L35" ca="1" si="12">G32+G33+G34</f>
        <v>20.632061565014677</v>
      </c>
      <c r="H35" s="209">
        <f t="shared" ca="1" si="12"/>
        <v>21.635267525363531</v>
      </c>
      <c r="I35" s="209">
        <f t="shared" ca="1" si="12"/>
        <v>22.613298910739072</v>
      </c>
      <c r="J35" s="209">
        <f t="shared" ca="1" si="12"/>
        <v>23.52403673707483</v>
      </c>
      <c r="K35" s="209">
        <f t="shared" ca="1" si="12"/>
        <v>24.210478139344172</v>
      </c>
      <c r="L35" s="209">
        <f t="shared" ca="1" si="12"/>
        <v>25.334047279810278</v>
      </c>
      <c r="M35" s="209">
        <f ca="1">M32+M33+M34</f>
        <v>26.529495418849436</v>
      </c>
      <c r="N35" s="209">
        <f t="shared" ref="N35" ca="1" si="13">N32+N33+N34</f>
        <v>27.772415212550278</v>
      </c>
      <c r="O35" s="209">
        <f t="shared" ref="O35" ca="1" si="14">O32+O33+O34</f>
        <v>29.083507209218538</v>
      </c>
    </row>
    <row r="36" spans="2:15" ht="18" customHeight="1" x14ac:dyDescent="0.25">
      <c r="B36" s="2" t="s">
        <v>366</v>
      </c>
      <c r="C36" s="2"/>
      <c r="D36" s="2"/>
      <c r="E36" s="2"/>
      <c r="F36" s="55">
        <f ca="1">F13-F35</f>
        <v>3.8601946112158245</v>
      </c>
      <c r="G36" s="55">
        <f t="shared" ref="G36:O36" ca="1" si="15">G13-G35</f>
        <v>6.2973829349853219</v>
      </c>
      <c r="H36" s="55">
        <f t="shared" ca="1" si="15"/>
        <v>6.6406491996364743</v>
      </c>
      <c r="I36" s="55">
        <f t="shared" ca="1" si="15"/>
        <v>7.1132710888609338</v>
      </c>
      <c r="J36" s="55">
        <f t="shared" ca="1" si="15"/>
        <v>6.1656758241751746</v>
      </c>
      <c r="K36" s="55">
        <f t="shared" ca="1" si="15"/>
        <v>6.9637200499683338</v>
      </c>
      <c r="L36" s="55">
        <f t="shared" ca="1" si="15"/>
        <v>7.3988608189678615</v>
      </c>
      <c r="M36" s="55">
        <f t="shared" ca="1" si="15"/>
        <v>7.8400580848676071</v>
      </c>
      <c r="N36" s="55">
        <f t="shared" ca="1" si="15"/>
        <v>8.3156159663526168</v>
      </c>
      <c r="O36" s="55">
        <f t="shared" ca="1" si="15"/>
        <v>8.8089255286295014</v>
      </c>
    </row>
    <row r="37" spans="2:15" ht="18" customHeight="1" x14ac:dyDescent="0.25">
      <c r="B37" s="54" t="s">
        <v>367</v>
      </c>
      <c r="C37" s="2"/>
      <c r="D37" s="2"/>
      <c r="E37" s="2"/>
      <c r="F37" s="2"/>
      <c r="G37" s="2"/>
      <c r="H37" s="2"/>
      <c r="I37" s="2"/>
      <c r="J37" s="2"/>
      <c r="K37" s="2"/>
      <c r="L37" s="2"/>
      <c r="M37" s="2"/>
      <c r="N37" s="2"/>
      <c r="O37" s="2"/>
    </row>
    <row r="38" spans="2:15" ht="18" customHeight="1" x14ac:dyDescent="0.25">
      <c r="B38" s="2" t="s">
        <v>368</v>
      </c>
      <c r="C38" s="2"/>
      <c r="D38" s="2"/>
      <c r="E38" s="2"/>
      <c r="F38" s="56">
        <f>'Loan Schedule'!F18</f>
        <v>1.350425</v>
      </c>
      <c r="G38" s="56">
        <f>'Loan Schedule'!G18</f>
        <v>2.5508177824999998</v>
      </c>
      <c r="H38" s="56">
        <f>'Loan Schedule'!H18</f>
        <v>2.2507533474999994</v>
      </c>
      <c r="I38" s="56">
        <f>'Loan Schedule'!I18</f>
        <v>1.9506889124999989</v>
      </c>
      <c r="J38" s="56">
        <f>'Loan Schedule'!J18</f>
        <v>1.6506244774999985</v>
      </c>
      <c r="K38" s="56">
        <f>'Loan Schedule'!K18</f>
        <v>1.3505600424999984</v>
      </c>
      <c r="L38" s="56">
        <f>'Loan Schedule'!L18</f>
        <v>1.0504956074999978</v>
      </c>
      <c r="M38" s="56">
        <f>'Loan Schedule'!M18</f>
        <v>0.73841238999999759</v>
      </c>
      <c r="N38" s="56">
        <f>'Loan Schedule'!N18</f>
        <v>0.40080613999999787</v>
      </c>
      <c r="O38" s="56">
        <f>'Loan Schedule'!O18</f>
        <v>6.1039209999999039E-2</v>
      </c>
    </row>
    <row r="39" spans="2:15" ht="18" customHeight="1" x14ac:dyDescent="0.25">
      <c r="B39" s="2" t="s">
        <v>369</v>
      </c>
      <c r="C39" s="2"/>
      <c r="D39" s="2"/>
      <c r="E39" s="2"/>
      <c r="F39" s="56">
        <f>'Working Capital Assessment'!F74</f>
        <v>7.4099999999999999E-2</v>
      </c>
      <c r="G39" s="56">
        <f>'Working Capital Assessment'!G74</f>
        <v>0.14250000000000002</v>
      </c>
      <c r="H39" s="56">
        <f>'Working Capital Assessment'!H74</f>
        <v>0.14250000000000002</v>
      </c>
      <c r="I39" s="56">
        <f>'Working Capital Assessment'!I74</f>
        <v>0.14250000000000002</v>
      </c>
      <c r="J39" s="56">
        <f>'Working Capital Assessment'!J74</f>
        <v>0.14250000000000002</v>
      </c>
      <c r="K39" s="56">
        <f>'Working Capital Assessment'!K74</f>
        <v>0.14250000000000002</v>
      </c>
      <c r="L39" s="56">
        <f>'Working Capital Assessment'!L74</f>
        <v>0.14250000000000002</v>
      </c>
      <c r="M39" s="56">
        <f>'Working Capital Assessment'!M74</f>
        <v>0.14250000000000002</v>
      </c>
      <c r="N39" s="56">
        <f>'Working Capital Assessment'!N74</f>
        <v>0.14250000000000002</v>
      </c>
      <c r="O39" s="56">
        <f>'Working Capital Assessment'!O74</f>
        <v>0.14250000000000002</v>
      </c>
    </row>
    <row r="40" spans="2:15" ht="18" customHeight="1" x14ac:dyDescent="0.25">
      <c r="B40" s="2" t="s">
        <v>370</v>
      </c>
      <c r="C40" s="2"/>
      <c r="D40" s="2"/>
      <c r="E40" s="2"/>
      <c r="F40" s="55">
        <f>SUM(F38:F39)</f>
        <v>1.424525</v>
      </c>
      <c r="G40" s="55">
        <f t="shared" ref="G40:O40" si="16">SUM(G38:G39)</f>
        <v>2.6933177824999999</v>
      </c>
      <c r="H40" s="55">
        <f t="shared" si="16"/>
        <v>2.3932533474999995</v>
      </c>
      <c r="I40" s="55">
        <f t="shared" si="16"/>
        <v>2.0931889124999987</v>
      </c>
      <c r="J40" s="55">
        <f t="shared" si="16"/>
        <v>1.7931244774999986</v>
      </c>
      <c r="K40" s="55">
        <f t="shared" si="16"/>
        <v>1.4930600424999985</v>
      </c>
      <c r="L40" s="55">
        <f t="shared" si="16"/>
        <v>1.1929956074999979</v>
      </c>
      <c r="M40" s="55">
        <f t="shared" si="16"/>
        <v>0.88091238999999755</v>
      </c>
      <c r="N40" s="55">
        <f t="shared" si="16"/>
        <v>0.54330613999999788</v>
      </c>
      <c r="O40" s="55">
        <f t="shared" si="16"/>
        <v>0.20353920999999905</v>
      </c>
    </row>
    <row r="41" spans="2:15" ht="18" customHeight="1" x14ac:dyDescent="0.25">
      <c r="B41" s="207" t="s">
        <v>371</v>
      </c>
      <c r="C41" s="207"/>
      <c r="D41" s="207"/>
      <c r="E41" s="207"/>
      <c r="F41" s="209">
        <f ca="1">F36-F40</f>
        <v>2.4356696112158245</v>
      </c>
      <c r="G41" s="209">
        <f t="shared" ref="G41:L41" ca="1" si="17">G36-G40</f>
        <v>3.604065152485322</v>
      </c>
      <c r="H41" s="209">
        <f t="shared" ca="1" si="17"/>
        <v>4.2473958521364743</v>
      </c>
      <c r="I41" s="209">
        <f t="shared" ca="1" si="17"/>
        <v>5.0200821763609351</v>
      </c>
      <c r="J41" s="209">
        <f t="shared" ca="1" si="17"/>
        <v>4.3725513466751762</v>
      </c>
      <c r="K41" s="209">
        <f t="shared" ca="1" si="17"/>
        <v>5.4706600074683358</v>
      </c>
      <c r="L41" s="209">
        <f t="shared" ca="1" si="17"/>
        <v>6.2058652114678639</v>
      </c>
      <c r="M41" s="209">
        <f ca="1">M36-M40</f>
        <v>6.95914569486761</v>
      </c>
      <c r="N41" s="209">
        <f t="shared" ref="N41" ca="1" si="18">N36-N40</f>
        <v>7.7723098263526191</v>
      </c>
      <c r="O41" s="209">
        <f t="shared" ref="O41" ca="1" si="19">O36-O40</f>
        <v>8.6053863186295025</v>
      </c>
    </row>
    <row r="42" spans="2:15" ht="18" customHeight="1" x14ac:dyDescent="0.25">
      <c r="B42" s="2" t="s">
        <v>372</v>
      </c>
      <c r="C42" s="276"/>
      <c r="D42" s="2"/>
      <c r="E42" s="2"/>
      <c r="F42" s="55">
        <f ca="1">'Tax Calculations'!F37</f>
        <v>0.40656197150414547</v>
      </c>
      <c r="G42" s="55">
        <f ca="1">'Tax Calculations'!G37</f>
        <v>0.60159055525284999</v>
      </c>
      <c r="H42" s="55">
        <f ca="1">'Tax Calculations'!H37</f>
        <v>0.70897531563862037</v>
      </c>
      <c r="I42" s="55">
        <f ca="1">'Tax Calculations'!I37</f>
        <v>0.8379521168781674</v>
      </c>
      <c r="J42" s="55">
        <f ca="1">'Tax Calculations'!J37</f>
        <v>0.72986627078702049</v>
      </c>
      <c r="K42" s="55">
        <f ca="1">'Tax Calculations'!K37</f>
        <v>0.9131625684466147</v>
      </c>
      <c r="L42" s="55">
        <f ca="1">'Tax Calculations'!L37</f>
        <v>1.035883021098216</v>
      </c>
      <c r="M42" s="55">
        <f ca="1">'Tax Calculations'!M37</f>
        <v>1.1616205993873017</v>
      </c>
      <c r="N42" s="55">
        <f ca="1">'Tax Calculations'!N37</f>
        <v>1.2973539562147793</v>
      </c>
      <c r="O42" s="55">
        <f ca="1">'Tax Calculations'!O37</f>
        <v>2.4529812286183486</v>
      </c>
    </row>
    <row r="43" spans="2:15" ht="18" customHeight="1" x14ac:dyDescent="0.25">
      <c r="B43" s="29" t="s">
        <v>373</v>
      </c>
      <c r="C43" s="29"/>
      <c r="D43" s="29"/>
      <c r="E43" s="29"/>
      <c r="F43" s="210">
        <f ca="1">F41-F42</f>
        <v>2.029107639711679</v>
      </c>
      <c r="G43" s="210">
        <f t="shared" ref="G43:L43" ca="1" si="20">G41-G42</f>
        <v>3.0024745972324718</v>
      </c>
      <c r="H43" s="210">
        <f t="shared" ca="1" si="20"/>
        <v>3.538420536497854</v>
      </c>
      <c r="I43" s="210">
        <f t="shared" ca="1" si="20"/>
        <v>4.1821300594827679</v>
      </c>
      <c r="J43" s="210">
        <f t="shared" ca="1" si="20"/>
        <v>3.6426850758881555</v>
      </c>
      <c r="K43" s="210">
        <f t="shared" ca="1" si="20"/>
        <v>4.5574974390217209</v>
      </c>
      <c r="L43" s="210">
        <f t="shared" ca="1" si="20"/>
        <v>5.1699821903696481</v>
      </c>
      <c r="M43" s="210">
        <f ca="1">M41-M42</f>
        <v>5.7975250954803084</v>
      </c>
      <c r="N43" s="210">
        <f t="shared" ref="N43" ca="1" si="21">N41-N42</f>
        <v>6.4749558701378396</v>
      </c>
      <c r="O43" s="210">
        <f t="shared" ref="O43" ca="1" si="22">O41-O42</f>
        <v>6.152405090011154</v>
      </c>
    </row>
    <row r="46" spans="2:15" ht="18" customHeight="1" x14ac:dyDescent="0.25">
      <c r="B46" s="54" t="s">
        <v>473</v>
      </c>
      <c r="C46" s="2"/>
      <c r="D46" s="2"/>
      <c r="E46" s="2"/>
      <c r="F46" s="2"/>
      <c r="G46" s="2"/>
      <c r="H46" s="2"/>
    </row>
    <row r="47" spans="2:15" ht="18" customHeight="1" x14ac:dyDescent="0.25">
      <c r="B47" s="2" t="s">
        <v>474</v>
      </c>
      <c r="C47" s="2"/>
      <c r="D47" s="2"/>
      <c r="E47" s="2"/>
      <c r="F47" s="55">
        <f ca="1">F43</f>
        <v>2.029107639711679</v>
      </c>
      <c r="G47" s="55">
        <f t="shared" ref="G47:O47" ca="1" si="23">G43</f>
        <v>3.0024745972324718</v>
      </c>
      <c r="H47" s="55">
        <f t="shared" ca="1" si="23"/>
        <v>3.538420536497854</v>
      </c>
      <c r="I47" s="55">
        <f t="shared" ca="1" si="23"/>
        <v>4.1821300594827679</v>
      </c>
      <c r="J47" s="55">
        <f t="shared" ca="1" si="23"/>
        <v>3.6426850758881555</v>
      </c>
      <c r="K47" s="55">
        <f t="shared" ca="1" si="23"/>
        <v>4.5574974390217209</v>
      </c>
      <c r="L47" s="55">
        <f t="shared" ca="1" si="23"/>
        <v>5.1699821903696481</v>
      </c>
      <c r="M47" s="55">
        <f t="shared" ca="1" si="23"/>
        <v>5.7975250954803084</v>
      </c>
      <c r="N47" s="55">
        <f t="shared" ca="1" si="23"/>
        <v>6.4749558701378396</v>
      </c>
      <c r="O47" s="55">
        <f t="shared" ca="1" si="23"/>
        <v>6.152405090011154</v>
      </c>
    </row>
    <row r="48" spans="2:15" ht="18" customHeight="1" x14ac:dyDescent="0.25">
      <c r="B48" s="2" t="s">
        <v>475</v>
      </c>
      <c r="C48" s="2"/>
      <c r="D48" s="2"/>
      <c r="E48" s="2"/>
      <c r="F48" s="55">
        <f>F22</f>
        <v>1.125477093309319</v>
      </c>
      <c r="G48" s="55">
        <f t="shared" ref="G48:O48" si="24">G22</f>
        <v>2.3009329600151176</v>
      </c>
      <c r="H48" s="55">
        <f t="shared" si="24"/>
        <v>2.3009329600151176</v>
      </c>
      <c r="I48" s="55">
        <f t="shared" si="24"/>
        <v>2.3009329600151176</v>
      </c>
      <c r="J48" s="55">
        <f t="shared" si="24"/>
        <v>2.3009329600151176</v>
      </c>
      <c r="K48" s="55">
        <f t="shared" si="24"/>
        <v>2.2910037681274065</v>
      </c>
      <c r="L48" s="55">
        <f t="shared" si="24"/>
        <v>2.2810745762396958</v>
      </c>
      <c r="M48" s="55">
        <f t="shared" si="24"/>
        <v>2.2810745762396958</v>
      </c>
      <c r="N48" s="55">
        <f t="shared" si="24"/>
        <v>2.2615264797107648</v>
      </c>
      <c r="O48" s="55">
        <f t="shared" si="24"/>
        <v>2.2419783831818343</v>
      </c>
    </row>
    <row r="49" spans="2:15" ht="18" customHeight="1" x14ac:dyDescent="0.25">
      <c r="B49" s="2" t="s">
        <v>365</v>
      </c>
      <c r="C49" s="2"/>
      <c r="D49" s="2"/>
      <c r="E49" s="2"/>
      <c r="F49" s="55">
        <f>F34</f>
        <v>0.379</v>
      </c>
      <c r="G49" s="55">
        <f t="shared" ref="G49:O49" si="25">G34</f>
        <v>0.379</v>
      </c>
      <c r="H49" s="55">
        <f t="shared" si="25"/>
        <v>0.379</v>
      </c>
      <c r="I49" s="55">
        <f t="shared" si="25"/>
        <v>0.379</v>
      </c>
      <c r="J49" s="55">
        <f t="shared" si="25"/>
        <v>0.379</v>
      </c>
      <c r="K49" s="55">
        <f t="shared" si="25"/>
        <v>0</v>
      </c>
      <c r="L49" s="55">
        <f t="shared" si="25"/>
        <v>0</v>
      </c>
      <c r="M49" s="55">
        <f t="shared" si="25"/>
        <v>0</v>
      </c>
      <c r="N49" s="55">
        <f t="shared" si="25"/>
        <v>0</v>
      </c>
      <c r="O49" s="55">
        <f t="shared" si="25"/>
        <v>0</v>
      </c>
    </row>
    <row r="50" spans="2:15" ht="18" customHeight="1" x14ac:dyDescent="0.25">
      <c r="B50" s="207" t="s">
        <v>473</v>
      </c>
      <c r="C50" s="207"/>
      <c r="D50" s="207"/>
      <c r="E50" s="207"/>
      <c r="F50" s="209">
        <f ca="1">SUM(F47:F49)</f>
        <v>3.533584733020998</v>
      </c>
      <c r="G50" s="209">
        <f t="shared" ref="G50:O50" ca="1" si="26">SUM(G47:G49)</f>
        <v>5.6824075572475898</v>
      </c>
      <c r="H50" s="209">
        <f t="shared" ca="1" si="26"/>
        <v>6.2183534965129716</v>
      </c>
      <c r="I50" s="209">
        <f t="shared" ca="1" si="26"/>
        <v>6.8620630194978851</v>
      </c>
      <c r="J50" s="209">
        <f t="shared" ca="1" si="26"/>
        <v>6.3226180359032735</v>
      </c>
      <c r="K50" s="209">
        <f t="shared" ca="1" si="26"/>
        <v>6.8485012071491269</v>
      </c>
      <c r="L50" s="209">
        <f t="shared" ca="1" si="26"/>
        <v>7.4510567666093444</v>
      </c>
      <c r="M50" s="209">
        <f t="shared" ca="1" si="26"/>
        <v>8.0785996717200046</v>
      </c>
      <c r="N50" s="209">
        <f t="shared" ca="1" si="26"/>
        <v>8.7364823498486039</v>
      </c>
      <c r="O50" s="209">
        <f t="shared" ca="1" si="26"/>
        <v>8.3943834731929883</v>
      </c>
    </row>
    <row r="51" spans="2:15" ht="18" customHeight="1" x14ac:dyDescent="0.25">
      <c r="B51" s="2" t="s">
        <v>476</v>
      </c>
      <c r="C51" s="2"/>
      <c r="D51" s="2"/>
      <c r="E51" s="2"/>
      <c r="F51" s="55">
        <f>CFS!F24</f>
        <v>0</v>
      </c>
      <c r="G51" s="55">
        <f>CFS!G24</f>
        <v>3.1585729999999992</v>
      </c>
      <c r="H51" s="55">
        <f>CFS!H24</f>
        <v>3.1585729999999992</v>
      </c>
      <c r="I51" s="55">
        <f>CFS!I24</f>
        <v>3.1585729999999992</v>
      </c>
      <c r="J51" s="55">
        <f>CFS!J24</f>
        <v>3.1585729999999992</v>
      </c>
      <c r="K51" s="55">
        <f>CFS!K24</f>
        <v>3.1585729999999992</v>
      </c>
      <c r="L51" s="55">
        <f>CFS!L24</f>
        <v>3.1585729999999992</v>
      </c>
      <c r="M51" s="55">
        <f>CFS!M24</f>
        <v>3.4116</v>
      </c>
      <c r="N51" s="55">
        <f>CFS!N24</f>
        <v>3.6959</v>
      </c>
      <c r="O51" s="55">
        <f>CFS!O24</f>
        <v>2.371061999999978</v>
      </c>
    </row>
    <row r="52" spans="2:15" ht="18" customHeight="1" x14ac:dyDescent="0.25">
      <c r="B52" s="207" t="s">
        <v>477</v>
      </c>
      <c r="C52" s="207"/>
      <c r="D52" s="207"/>
      <c r="E52" s="207"/>
      <c r="F52" s="209">
        <f ca="1">F50-F51</f>
        <v>3.533584733020998</v>
      </c>
      <c r="G52" s="209">
        <f t="shared" ref="G52:O52" ca="1" si="27">G50-G51</f>
        <v>2.5238345572475906</v>
      </c>
      <c r="H52" s="209">
        <f t="shared" ca="1" si="27"/>
        <v>3.0597804965129725</v>
      </c>
      <c r="I52" s="209">
        <f t="shared" ca="1" si="27"/>
        <v>3.7034900194978859</v>
      </c>
      <c r="J52" s="209">
        <f t="shared" ca="1" si="27"/>
        <v>3.1640450359032743</v>
      </c>
      <c r="K52" s="209">
        <f t="shared" ca="1" si="27"/>
        <v>3.6899282071491277</v>
      </c>
      <c r="L52" s="209">
        <f t="shared" ca="1" si="27"/>
        <v>4.2924837666093456</v>
      </c>
      <c r="M52" s="209">
        <f t="shared" ca="1" si="27"/>
        <v>4.6669996717200046</v>
      </c>
      <c r="N52" s="209">
        <f t="shared" ca="1" si="27"/>
        <v>5.040582349848604</v>
      </c>
      <c r="O52" s="209">
        <f t="shared" ca="1" si="27"/>
        <v>6.0233214731930103</v>
      </c>
    </row>
    <row r="53" spans="2:15" ht="18" customHeight="1" x14ac:dyDescent="0.25">
      <c r="B53" s="212" t="s">
        <v>478</v>
      </c>
      <c r="C53" s="212"/>
      <c r="D53" s="212"/>
      <c r="E53" s="212"/>
      <c r="F53" s="277">
        <f ca="1">E53+F52</f>
        <v>3.533584733020998</v>
      </c>
      <c r="G53" s="277">
        <f t="shared" ref="G53:O53" ca="1" si="28">F53+G52</f>
        <v>6.0574192902685891</v>
      </c>
      <c r="H53" s="277">
        <f t="shared" ca="1" si="28"/>
        <v>9.117199786781562</v>
      </c>
      <c r="I53" s="277">
        <f t="shared" ca="1" si="28"/>
        <v>12.820689806279448</v>
      </c>
      <c r="J53" s="277">
        <f t="shared" ca="1" si="28"/>
        <v>15.984734842182723</v>
      </c>
      <c r="K53" s="277">
        <f t="shared" ca="1" si="28"/>
        <v>19.674663049331851</v>
      </c>
      <c r="L53" s="277">
        <f t="shared" ca="1" si="28"/>
        <v>23.967146815941199</v>
      </c>
      <c r="M53" s="277">
        <f t="shared" ca="1" si="28"/>
        <v>28.634146487661205</v>
      </c>
      <c r="N53" s="277">
        <f t="shared" ca="1" si="28"/>
        <v>33.674728837509811</v>
      </c>
      <c r="O53" s="277">
        <f t="shared" ca="1" si="28"/>
        <v>39.698050310702818</v>
      </c>
    </row>
    <row r="54" spans="2:15" ht="18" customHeight="1" x14ac:dyDescent="0.25">
      <c r="B54" s="2"/>
      <c r="C54" s="2"/>
      <c r="D54" s="2"/>
      <c r="E54" s="2"/>
      <c r="F54" s="2"/>
      <c r="G54" s="2"/>
      <c r="H54" s="2"/>
    </row>
    <row r="55" spans="2:15" ht="18" customHeight="1" x14ac:dyDescent="0.25">
      <c r="B55" s="2"/>
      <c r="C55" s="2"/>
      <c r="D55" s="2"/>
      <c r="E55" s="2"/>
      <c r="F55" s="2"/>
      <c r="G55" s="2"/>
      <c r="H55" s="2"/>
    </row>
    <row r="56" spans="2:15" ht="18" customHeight="1" x14ac:dyDescent="0.25">
      <c r="B56" s="54" t="s">
        <v>479</v>
      </c>
      <c r="C56" s="25"/>
      <c r="D56" s="25"/>
      <c r="E56" s="25"/>
      <c r="F56" s="25"/>
      <c r="G56" s="25"/>
      <c r="H56" s="25"/>
    </row>
    <row r="57" spans="2:15" ht="18" customHeight="1" x14ac:dyDescent="0.25">
      <c r="B57" s="2" t="s">
        <v>351</v>
      </c>
      <c r="C57" s="25"/>
      <c r="D57" s="25"/>
      <c r="E57" s="25"/>
      <c r="F57" s="55">
        <f>F13</f>
        <v>13.336486799999999</v>
      </c>
      <c r="G57" s="55">
        <f t="shared" ref="G57:O57" si="29">G13</f>
        <v>26.929444499999999</v>
      </c>
      <c r="H57" s="55">
        <f t="shared" si="29"/>
        <v>28.275916725000005</v>
      </c>
      <c r="I57" s="55">
        <f t="shared" si="29"/>
        <v>29.726569999600006</v>
      </c>
      <c r="J57" s="55">
        <f t="shared" si="29"/>
        <v>29.689712561250005</v>
      </c>
      <c r="K57" s="55">
        <f t="shared" si="29"/>
        <v>31.174198189312506</v>
      </c>
      <c r="L57" s="55">
        <f t="shared" si="29"/>
        <v>32.73290809877814</v>
      </c>
      <c r="M57" s="55">
        <f t="shared" si="29"/>
        <v>34.369553503717043</v>
      </c>
      <c r="N57" s="55">
        <f t="shared" si="29"/>
        <v>36.088031178902895</v>
      </c>
      <c r="O57" s="55">
        <f t="shared" si="29"/>
        <v>37.89243273784804</v>
      </c>
    </row>
    <row r="58" spans="2:15" ht="18" customHeight="1" x14ac:dyDescent="0.25">
      <c r="B58" s="2" t="s">
        <v>480</v>
      </c>
      <c r="C58" s="25"/>
      <c r="D58" s="25"/>
      <c r="E58" s="25"/>
      <c r="F58" s="55">
        <f ca="1">F36+F22</f>
        <v>4.985671704525144</v>
      </c>
      <c r="G58" s="55">
        <f t="shared" ref="G58:O58" ca="1" si="30">G36+G22</f>
        <v>8.5983158950004395</v>
      </c>
      <c r="H58" s="55">
        <f t="shared" ca="1" si="30"/>
        <v>8.9415821596515919</v>
      </c>
      <c r="I58" s="55">
        <f t="shared" ca="1" si="30"/>
        <v>9.4142040488760514</v>
      </c>
      <c r="J58" s="55">
        <f t="shared" ca="1" si="30"/>
        <v>8.4666087841902922</v>
      </c>
      <c r="K58" s="55">
        <f t="shared" ca="1" si="30"/>
        <v>9.2547238180957407</v>
      </c>
      <c r="L58" s="55">
        <f t="shared" ca="1" si="30"/>
        <v>9.6799353952075577</v>
      </c>
      <c r="M58" s="55">
        <f t="shared" ca="1" si="30"/>
        <v>10.121132661107303</v>
      </c>
      <c r="N58" s="55">
        <f t="shared" ca="1" si="30"/>
        <v>10.577142446063382</v>
      </c>
      <c r="O58" s="55">
        <f t="shared" ca="1" si="30"/>
        <v>11.050903911811336</v>
      </c>
    </row>
    <row r="59" spans="2:15" ht="18" customHeight="1" x14ac:dyDescent="0.25">
      <c r="B59" s="2" t="s">
        <v>366</v>
      </c>
      <c r="C59" s="25"/>
      <c r="D59" s="25"/>
      <c r="E59" s="25"/>
      <c r="F59" s="55">
        <f ca="1">F36</f>
        <v>3.8601946112158245</v>
      </c>
      <c r="G59" s="55">
        <f t="shared" ref="G59:O59" ca="1" si="31">G36</f>
        <v>6.2973829349853219</v>
      </c>
      <c r="H59" s="55">
        <f t="shared" ca="1" si="31"/>
        <v>6.6406491996364743</v>
      </c>
      <c r="I59" s="55">
        <f t="shared" ca="1" si="31"/>
        <v>7.1132710888609338</v>
      </c>
      <c r="J59" s="55">
        <f t="shared" ca="1" si="31"/>
        <v>6.1656758241751746</v>
      </c>
      <c r="K59" s="55">
        <f t="shared" ca="1" si="31"/>
        <v>6.9637200499683338</v>
      </c>
      <c r="L59" s="55">
        <f t="shared" ca="1" si="31"/>
        <v>7.3988608189678615</v>
      </c>
      <c r="M59" s="55">
        <f t="shared" ca="1" si="31"/>
        <v>7.8400580848676071</v>
      </c>
      <c r="N59" s="55">
        <f t="shared" ca="1" si="31"/>
        <v>8.3156159663526168</v>
      </c>
      <c r="O59" s="55">
        <f t="shared" ca="1" si="31"/>
        <v>8.8089255286295014</v>
      </c>
    </row>
    <row r="60" spans="2:15" ht="18" customHeight="1" x14ac:dyDescent="0.25">
      <c r="B60" s="2" t="s">
        <v>474</v>
      </c>
      <c r="C60" s="25"/>
      <c r="D60" s="25"/>
      <c r="E60" s="25"/>
      <c r="F60" s="55">
        <f ca="1">F43</f>
        <v>2.029107639711679</v>
      </c>
      <c r="G60" s="55">
        <f t="shared" ref="G60:O60" ca="1" si="32">G43</f>
        <v>3.0024745972324718</v>
      </c>
      <c r="H60" s="55">
        <f t="shared" ca="1" si="32"/>
        <v>3.538420536497854</v>
      </c>
      <c r="I60" s="55">
        <f t="shared" ca="1" si="32"/>
        <v>4.1821300594827679</v>
      </c>
      <c r="J60" s="55">
        <f t="shared" ca="1" si="32"/>
        <v>3.6426850758881555</v>
      </c>
      <c r="K60" s="55">
        <f t="shared" ca="1" si="32"/>
        <v>4.5574974390217209</v>
      </c>
      <c r="L60" s="55">
        <f t="shared" ca="1" si="32"/>
        <v>5.1699821903696481</v>
      </c>
      <c r="M60" s="55">
        <f t="shared" ca="1" si="32"/>
        <v>5.7975250954803084</v>
      </c>
      <c r="N60" s="55">
        <f t="shared" ca="1" si="32"/>
        <v>6.4749558701378396</v>
      </c>
      <c r="O60" s="55">
        <f t="shared" ca="1" si="32"/>
        <v>6.152405090011154</v>
      </c>
    </row>
    <row r="61" spans="2:15" ht="18" customHeight="1" x14ac:dyDescent="0.25">
      <c r="B61" s="2"/>
      <c r="C61" s="25"/>
      <c r="D61" s="25"/>
      <c r="E61" s="25"/>
      <c r="F61" s="25"/>
      <c r="G61" s="25"/>
      <c r="H61" s="25"/>
    </row>
    <row r="62" spans="2:15" ht="18" customHeight="1" x14ac:dyDescent="0.25">
      <c r="B62" s="195" t="s">
        <v>481</v>
      </c>
      <c r="C62" s="194"/>
      <c r="D62" s="194"/>
      <c r="E62" s="194"/>
      <c r="F62" s="332">
        <f ca="1">F58/F57</f>
        <v>0.37383696165958369</v>
      </c>
      <c r="G62" s="332">
        <f t="shared" ref="G62:O62" ca="1" si="33">G58/G57</f>
        <v>0.3192905035601622</v>
      </c>
      <c r="H62" s="332">
        <f t="shared" ca="1" si="33"/>
        <v>0.31622607488251436</v>
      </c>
      <c r="I62" s="332">
        <f t="shared" ca="1" si="33"/>
        <v>0.3166932494735426</v>
      </c>
      <c r="J62" s="332">
        <f t="shared" ca="1" si="33"/>
        <v>0.28516977948923022</v>
      </c>
      <c r="K62" s="332">
        <f t="shared" ca="1" si="33"/>
        <v>0.2968712703337002</v>
      </c>
      <c r="L62" s="332">
        <f t="shared" ca="1" si="33"/>
        <v>0.2957248823109882</v>
      </c>
      <c r="M62" s="332">
        <f t="shared" ca="1" si="33"/>
        <v>0.29447960852947103</v>
      </c>
      <c r="N62" s="332">
        <f t="shared" ca="1" si="33"/>
        <v>0.29309280945885435</v>
      </c>
      <c r="O62" s="332">
        <f t="shared" ca="1" si="33"/>
        <v>0.29163880789246288</v>
      </c>
    </row>
    <row r="63" spans="2:15" ht="18" customHeight="1" x14ac:dyDescent="0.25">
      <c r="B63" s="195" t="s">
        <v>595</v>
      </c>
      <c r="C63" s="194"/>
      <c r="D63" s="194"/>
      <c r="E63" s="194"/>
      <c r="F63" s="677">
        <f ca="1">AVERAGE(F62:O62)</f>
        <v>0.30830239475905097</v>
      </c>
      <c r="G63" s="677"/>
      <c r="H63" s="677"/>
      <c r="I63" s="677"/>
      <c r="J63" s="677"/>
      <c r="K63" s="677"/>
      <c r="L63" s="677"/>
      <c r="M63" s="677"/>
      <c r="N63" s="677"/>
      <c r="O63" s="677"/>
    </row>
    <row r="64" spans="2:15" ht="18" customHeight="1" x14ac:dyDescent="0.25">
      <c r="B64" s="195" t="s">
        <v>482</v>
      </c>
      <c r="C64" s="194"/>
      <c r="D64" s="194"/>
      <c r="E64" s="194"/>
      <c r="F64" s="332">
        <f ca="1">F59/F57</f>
        <v>0.28944613893486737</v>
      </c>
      <c r="G64" s="332">
        <f t="shared" ref="G64:O64" ca="1" si="34">G59/G57</f>
        <v>0.23384748745876738</v>
      </c>
      <c r="H64" s="332">
        <f t="shared" ca="1" si="34"/>
        <v>0.23485177383356695</v>
      </c>
      <c r="I64" s="332">
        <f t="shared" ca="1" si="34"/>
        <v>0.23929000516900029</v>
      </c>
      <c r="J64" s="332">
        <f t="shared" ca="1" si="34"/>
        <v>0.20767044515689934</v>
      </c>
      <c r="K64" s="332">
        <f t="shared" ca="1" si="34"/>
        <v>0.22338088722216809</v>
      </c>
      <c r="L64" s="332">
        <f t="shared" ca="1" si="34"/>
        <v>0.2260373809940843</v>
      </c>
      <c r="M64" s="332">
        <f t="shared" ca="1" si="34"/>
        <v>0.22811055965622917</v>
      </c>
      <c r="N64" s="332">
        <f t="shared" ca="1" si="34"/>
        <v>0.23042586959451353</v>
      </c>
      <c r="O64" s="332">
        <f t="shared" ca="1" si="34"/>
        <v>0.23247189193611462</v>
      </c>
    </row>
    <row r="65" spans="2:15" ht="18" customHeight="1" x14ac:dyDescent="0.25">
      <c r="B65" s="195" t="s">
        <v>595</v>
      </c>
      <c r="C65" s="194"/>
      <c r="D65" s="194"/>
      <c r="E65" s="194"/>
      <c r="F65" s="677">
        <f ca="1">AVERAGE(F64:O64)</f>
        <v>0.23455324399562111</v>
      </c>
      <c r="G65" s="677"/>
      <c r="H65" s="677"/>
      <c r="I65" s="677"/>
      <c r="J65" s="677"/>
      <c r="K65" s="677"/>
      <c r="L65" s="677"/>
      <c r="M65" s="677"/>
      <c r="N65" s="677"/>
      <c r="O65" s="677"/>
    </row>
    <row r="66" spans="2:15" ht="18" customHeight="1" x14ac:dyDescent="0.25">
      <c r="B66" s="195" t="s">
        <v>483</v>
      </c>
      <c r="C66" s="194"/>
      <c r="D66" s="194"/>
      <c r="E66" s="194"/>
      <c r="F66" s="332">
        <f ca="1">F60/F57</f>
        <v>0.15214708867043447</v>
      </c>
      <c r="G66" s="332">
        <f t="shared" ref="G66:O66" ca="1" si="35">G60/G57</f>
        <v>0.11149411556679054</v>
      </c>
      <c r="H66" s="332">
        <f t="shared" ca="1" si="35"/>
        <v>0.12513902098775734</v>
      </c>
      <c r="I66" s="332">
        <f t="shared" ca="1" si="35"/>
        <v>0.14068659988485188</v>
      </c>
      <c r="J66" s="332">
        <f t="shared" ca="1" si="35"/>
        <v>0.12269182695431222</v>
      </c>
      <c r="K66" s="332">
        <f t="shared" ca="1" si="35"/>
        <v>0.14619453598598645</v>
      </c>
      <c r="L66" s="332">
        <f t="shared" ca="1" si="35"/>
        <v>0.15794448127762392</v>
      </c>
      <c r="M66" s="332">
        <f t="shared" ca="1" si="35"/>
        <v>0.16868200207643985</v>
      </c>
      <c r="N66" s="332">
        <f t="shared" ca="1" si="35"/>
        <v>0.17942114486763983</v>
      </c>
      <c r="O66" s="332">
        <f t="shared" ca="1" si="35"/>
        <v>0.16236500655884142</v>
      </c>
    </row>
    <row r="67" spans="2:15" ht="18" customHeight="1" x14ac:dyDescent="0.25">
      <c r="B67" s="195" t="s">
        <v>595</v>
      </c>
      <c r="C67" s="194"/>
      <c r="D67" s="194"/>
      <c r="E67" s="194"/>
      <c r="F67" s="677">
        <f ca="1">AVERAGE(F66:O66)</f>
        <v>0.14667658228306779</v>
      </c>
      <c r="G67" s="677"/>
      <c r="H67" s="677"/>
      <c r="I67" s="677"/>
      <c r="J67" s="677"/>
      <c r="K67" s="677"/>
      <c r="L67" s="677"/>
      <c r="M67" s="677"/>
      <c r="N67" s="677"/>
      <c r="O67" s="677"/>
    </row>
    <row r="68" spans="2:15" ht="18" customHeight="1" x14ac:dyDescent="0.25">
      <c r="B68" s="195" t="s">
        <v>484</v>
      </c>
      <c r="C68" s="194"/>
      <c r="D68" s="194"/>
      <c r="E68" s="194"/>
      <c r="F68" s="25"/>
      <c r="G68" s="332">
        <f>G57/F57-1</f>
        <v>1.0192307692307692</v>
      </c>
      <c r="H68" s="332">
        <f t="shared" ref="H68:O68" si="36">H57/G57-1</f>
        <v>5.0000000000000266E-2</v>
      </c>
      <c r="I68" s="332">
        <f t="shared" si="36"/>
        <v>5.1303492251319804E-2</v>
      </c>
      <c r="J68" s="332">
        <f t="shared" si="36"/>
        <v>-1.2398819759729118E-3</v>
      </c>
      <c r="K68" s="332">
        <f t="shared" si="36"/>
        <v>5.0000000000000044E-2</v>
      </c>
      <c r="L68" s="332">
        <f t="shared" si="36"/>
        <v>5.0000000000000266E-2</v>
      </c>
      <c r="M68" s="332">
        <f t="shared" si="36"/>
        <v>4.9999999999999822E-2</v>
      </c>
      <c r="N68" s="332">
        <f t="shared" si="36"/>
        <v>5.0000000000000044E-2</v>
      </c>
      <c r="O68" s="332">
        <f t="shared" si="36"/>
        <v>5.0000000000000044E-2</v>
      </c>
    </row>
    <row r="69" spans="2:15" ht="18" customHeight="1" x14ac:dyDescent="0.25">
      <c r="B69" s="195" t="s">
        <v>595</v>
      </c>
      <c r="C69" s="194"/>
      <c r="D69" s="194"/>
      <c r="E69" s="194"/>
      <c r="F69" s="677">
        <f>AVERAGE(F68:O68)</f>
        <v>0.15214381994512405</v>
      </c>
      <c r="G69" s="677"/>
      <c r="H69" s="677"/>
      <c r="I69" s="677"/>
      <c r="J69" s="677"/>
      <c r="K69" s="677"/>
      <c r="L69" s="677"/>
      <c r="M69" s="677"/>
      <c r="N69" s="677"/>
      <c r="O69" s="677"/>
    </row>
  </sheetData>
  <mergeCells count="6">
    <mergeCell ref="F69:O69"/>
    <mergeCell ref="D8:E8"/>
    <mergeCell ref="F8:O8"/>
    <mergeCell ref="F63:O63"/>
    <mergeCell ref="F65:O65"/>
    <mergeCell ref="F67:O67"/>
  </mergeCells>
  <dataValidations count="1">
    <dataValidation type="list" allowBlank="1" showInputMessage="1" showErrorMessage="1" sqref="A13 A15">
      <formula1>"0%,5%,10%"</formula1>
    </dataValidation>
  </dataValidations>
  <pageMargins left="0.7" right="0.7" top="0.75" bottom="0.75" header="0.3" footer="0.3"/>
  <pageSetup orientation="portrait" r:id="rId1"/>
  <ignoredErrors>
    <ignoredError sqref="F64 F66" 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7"/>
  <sheetViews>
    <sheetView showGridLines="0" workbookViewId="0"/>
  </sheetViews>
  <sheetFormatPr defaultColWidth="13.7109375" defaultRowHeight="18" customHeight="1" x14ac:dyDescent="0.25"/>
  <cols>
    <col min="1" max="1" width="4.85546875" style="1" customWidth="1"/>
    <col min="2" max="2" width="50.85546875" style="1" customWidth="1"/>
    <col min="3" max="3" width="7.140625" style="1" customWidth="1"/>
    <col min="4" max="15" width="12.7109375" style="1" customWidth="1"/>
    <col min="16" max="16" width="13.7109375" style="1" customWidth="1"/>
    <col min="17" max="16384" width="13.7109375" style="1"/>
  </cols>
  <sheetData>
    <row r="1" spans="2:16" ht="15.75" customHeight="1" x14ac:dyDescent="0.25"/>
    <row r="2" spans="2:16" s="2" customFormat="1" ht="18" customHeight="1" x14ac:dyDescent="0.25">
      <c r="B2" s="34" t="str">
        <f>"Financial Model of " &amp; B4</f>
        <v>Financial Model of Proposed 6000 KGPD CBG plant set up M/s. NRS BIO FUEL ENERGIES LLP</v>
      </c>
      <c r="C2" s="35"/>
      <c r="D2" s="35"/>
      <c r="E2" s="35"/>
      <c r="F2" s="35"/>
      <c r="G2" s="35"/>
      <c r="H2" s="35"/>
      <c r="I2" s="35"/>
      <c r="J2" s="35"/>
      <c r="K2" s="35"/>
      <c r="L2" s="35"/>
      <c r="M2" s="35"/>
      <c r="N2" s="35"/>
      <c r="O2" s="35"/>
      <c r="P2" s="25"/>
    </row>
    <row r="3" spans="2:16" s="2" customFormat="1" ht="12" customHeight="1" x14ac:dyDescent="0.25">
      <c r="C3" s="25"/>
      <c r="D3" s="25"/>
      <c r="E3" s="25"/>
      <c r="F3" s="25"/>
      <c r="G3" s="25"/>
      <c r="H3" s="25"/>
      <c r="I3" s="25"/>
      <c r="J3" s="25"/>
      <c r="K3" s="25"/>
      <c r="L3" s="25"/>
      <c r="M3" s="25"/>
      <c r="N3" s="25"/>
      <c r="O3" s="25"/>
      <c r="P3" s="25"/>
    </row>
    <row r="4" spans="2:16" s="2" customFormat="1" ht="18" customHeight="1" x14ac:dyDescent="0.25">
      <c r="B4" s="26" t="str">
        <f>'Common Assumption'!B4</f>
        <v>Proposed 6000 KGPD CBG plant set up M/s. NRS BIO FUEL ENERGIES LLP</v>
      </c>
      <c r="C4" s="26"/>
      <c r="D4" s="27"/>
      <c r="E4" s="27"/>
      <c r="F4" s="27"/>
      <c r="G4" s="27"/>
      <c r="H4" s="27"/>
      <c r="I4" s="27"/>
      <c r="J4" s="27"/>
      <c r="K4" s="27"/>
      <c r="L4" s="27"/>
      <c r="M4" s="27"/>
      <c r="N4" s="27"/>
      <c r="O4" s="27"/>
      <c r="P4" s="25"/>
    </row>
    <row r="5" spans="2:16" s="2" customFormat="1" ht="13.5" customHeight="1" x14ac:dyDescent="0.25">
      <c r="C5" s="25"/>
      <c r="D5" s="25"/>
      <c r="F5" s="28"/>
      <c r="P5" s="25"/>
    </row>
    <row r="6" spans="2:16" s="2" customFormat="1" ht="18" customHeight="1" x14ac:dyDescent="0.25">
      <c r="B6" s="26" t="s">
        <v>485</v>
      </c>
      <c r="C6" s="26"/>
      <c r="D6" s="27"/>
      <c r="E6" s="27"/>
      <c r="F6" s="27"/>
      <c r="G6" s="27"/>
      <c r="H6" s="27"/>
      <c r="I6" s="27"/>
      <c r="J6" s="27"/>
      <c r="K6" s="27"/>
      <c r="L6" s="27"/>
      <c r="M6" s="27"/>
      <c r="N6" s="27"/>
      <c r="O6" s="27"/>
      <c r="P6" s="25"/>
    </row>
    <row r="7" spans="2:16" s="2" customFormat="1" ht="12.75" customHeight="1" x14ac:dyDescent="0.25">
      <c r="C7" s="25"/>
      <c r="D7" s="25"/>
      <c r="F7" s="28"/>
      <c r="O7" s="25"/>
      <c r="P7" s="25"/>
    </row>
    <row r="8" spans="2:16" s="2" customFormat="1" ht="18" customHeight="1" x14ac:dyDescent="0.25">
      <c r="C8" s="25"/>
      <c r="D8" s="675" t="s">
        <v>8</v>
      </c>
      <c r="E8" s="675"/>
      <c r="F8" s="676" t="s">
        <v>52</v>
      </c>
      <c r="G8" s="676"/>
      <c r="H8" s="676"/>
      <c r="I8" s="676"/>
      <c r="J8" s="676"/>
      <c r="K8" s="676"/>
      <c r="L8" s="676"/>
      <c r="M8" s="676"/>
      <c r="N8" s="676"/>
      <c r="O8" s="676"/>
      <c r="P8" s="25"/>
    </row>
    <row r="9" spans="2:16" s="2" customFormat="1" ht="18" customHeight="1" x14ac:dyDescent="0.25">
      <c r="B9" s="29" t="s">
        <v>53</v>
      </c>
      <c r="C9" s="30" t="s">
        <v>54</v>
      </c>
      <c r="D9" s="31">
        <f>EOMONTH('Common Assumption'!E11,5)</f>
        <v>45747</v>
      </c>
      <c r="E9" s="31">
        <f>'Common Assumption'!E13</f>
        <v>45930</v>
      </c>
      <c r="F9" s="31">
        <f>DATE(YEAR(E9)+1,MONTH(E9)-6,DAY(E9)+1)</f>
        <v>46112</v>
      </c>
      <c r="G9" s="31">
        <f>DATE(YEAR(F9)+1,MONTH(F9),DAY(F9))</f>
        <v>46477</v>
      </c>
      <c r="H9" s="31">
        <f t="shared" ref="H9:O9" si="0">DATE(YEAR(G9)+1,MONTH(G9),DAY(G9))</f>
        <v>46843</v>
      </c>
      <c r="I9" s="31">
        <f t="shared" si="0"/>
        <v>47208</v>
      </c>
      <c r="J9" s="31">
        <f t="shared" si="0"/>
        <v>47573</v>
      </c>
      <c r="K9" s="31">
        <f t="shared" si="0"/>
        <v>47938</v>
      </c>
      <c r="L9" s="31">
        <f t="shared" si="0"/>
        <v>48304</v>
      </c>
      <c r="M9" s="31">
        <f t="shared" si="0"/>
        <v>48669</v>
      </c>
      <c r="N9" s="31">
        <f t="shared" si="0"/>
        <v>49034</v>
      </c>
      <c r="O9" s="31">
        <f t="shared" si="0"/>
        <v>49399</v>
      </c>
      <c r="P9" s="25"/>
    </row>
    <row r="10" spans="2:16" s="32" customFormat="1" ht="18" customHeight="1" x14ac:dyDescent="0.25">
      <c r="B10" s="37" t="s">
        <v>55</v>
      </c>
      <c r="C10" s="38"/>
      <c r="D10" s="36">
        <v>0</v>
      </c>
      <c r="E10" s="36">
        <v>0</v>
      </c>
      <c r="F10" s="39">
        <v>1</v>
      </c>
      <c r="G10" s="39">
        <f>F10+1</f>
        <v>2</v>
      </c>
      <c r="H10" s="39">
        <f t="shared" ref="H10:O10" si="1">G10+1</f>
        <v>3</v>
      </c>
      <c r="I10" s="39">
        <f t="shared" si="1"/>
        <v>4</v>
      </c>
      <c r="J10" s="39">
        <f t="shared" si="1"/>
        <v>5</v>
      </c>
      <c r="K10" s="39">
        <f t="shared" si="1"/>
        <v>6</v>
      </c>
      <c r="L10" s="39">
        <f t="shared" si="1"/>
        <v>7</v>
      </c>
      <c r="M10" s="39">
        <f t="shared" si="1"/>
        <v>8</v>
      </c>
      <c r="N10" s="39">
        <f t="shared" si="1"/>
        <v>9</v>
      </c>
      <c r="O10" s="39">
        <f t="shared" si="1"/>
        <v>10</v>
      </c>
      <c r="P10" s="33"/>
    </row>
    <row r="11" spans="2:16" s="32" customFormat="1" ht="18" customHeight="1" x14ac:dyDescent="0.25">
      <c r="B11" s="37" t="s">
        <v>56</v>
      </c>
      <c r="C11" s="38">
        <f>'Common Assumption'!E12</f>
        <v>11</v>
      </c>
      <c r="D11" s="36">
        <f>MONTH(D9-'Common Assumption'!E11)</f>
        <v>5</v>
      </c>
      <c r="E11" s="36">
        <f>C11-D11</f>
        <v>6</v>
      </c>
      <c r="F11" s="38">
        <f>MONTH(F9-E9)</f>
        <v>6</v>
      </c>
      <c r="G11" s="38">
        <f t="shared" ref="G11:O11" si="2">MONTH(G9-F9)</f>
        <v>12</v>
      </c>
      <c r="H11" s="38">
        <f t="shared" si="2"/>
        <v>12</v>
      </c>
      <c r="I11" s="38">
        <f t="shared" si="2"/>
        <v>12</v>
      </c>
      <c r="J11" s="38">
        <f t="shared" si="2"/>
        <v>12</v>
      </c>
      <c r="K11" s="38">
        <f t="shared" si="2"/>
        <v>12</v>
      </c>
      <c r="L11" s="38">
        <f t="shared" si="2"/>
        <v>12</v>
      </c>
      <c r="M11" s="38">
        <f t="shared" si="2"/>
        <v>12</v>
      </c>
      <c r="N11" s="38">
        <f t="shared" si="2"/>
        <v>12</v>
      </c>
      <c r="O11" s="38">
        <f t="shared" si="2"/>
        <v>12</v>
      </c>
      <c r="P11" s="33"/>
    </row>
    <row r="12" spans="2:16" ht="18" customHeight="1" x14ac:dyDescent="0.25">
      <c r="B12" s="278" t="s">
        <v>488</v>
      </c>
    </row>
    <row r="13" spans="2:16" ht="18" customHeight="1" x14ac:dyDescent="0.25">
      <c r="B13" s="1" t="s">
        <v>489</v>
      </c>
      <c r="D13" s="248">
        <f ca="1">'TPC and MoF'!D24-'TPC and MoF'!D19</f>
        <v>12.12775196965867</v>
      </c>
      <c r="E13" s="248">
        <f ca="1">D13</f>
        <v>12.12775196965867</v>
      </c>
      <c r="F13" s="248">
        <f ca="1">'TPC and MoF'!D24</f>
        <v>12.835641130121687</v>
      </c>
      <c r="G13" s="248">
        <f t="shared" ref="G13:O13" ca="1" si="3">F13</f>
        <v>12.835641130121687</v>
      </c>
      <c r="H13" s="248">
        <f t="shared" ca="1" si="3"/>
        <v>12.835641130121687</v>
      </c>
      <c r="I13" s="248">
        <f t="shared" ca="1" si="3"/>
        <v>12.835641130121687</v>
      </c>
      <c r="J13" s="248">
        <f t="shared" ca="1" si="3"/>
        <v>12.835641130121687</v>
      </c>
      <c r="K13" s="248">
        <f t="shared" ca="1" si="3"/>
        <v>12.835641130121687</v>
      </c>
      <c r="L13" s="248">
        <f t="shared" ca="1" si="3"/>
        <v>12.835641130121687</v>
      </c>
      <c r="M13" s="248">
        <f t="shared" ca="1" si="3"/>
        <v>12.835641130121687</v>
      </c>
      <c r="N13" s="248">
        <f t="shared" ca="1" si="3"/>
        <v>12.835641130121687</v>
      </c>
      <c r="O13" s="248">
        <f t="shared" ca="1" si="3"/>
        <v>12.835641130121687</v>
      </c>
    </row>
    <row r="14" spans="2:16" ht="18" customHeight="1" x14ac:dyDescent="0.25">
      <c r="B14" s="1" t="s">
        <v>490</v>
      </c>
      <c r="D14" s="249">
        <v>0</v>
      </c>
      <c r="E14" s="249">
        <v>0</v>
      </c>
      <c r="F14" s="248">
        <f ca="1">E14+IS!F43</f>
        <v>2.029107639711679</v>
      </c>
      <c r="G14" s="248">
        <f ca="1">F14+IS!G43</f>
        <v>5.0315822369441507</v>
      </c>
      <c r="H14" s="248">
        <f ca="1">G14+IS!H43</f>
        <v>8.5700027734420043</v>
      </c>
      <c r="I14" s="248">
        <f ca="1">H14+IS!I43</f>
        <v>12.752132832924772</v>
      </c>
      <c r="J14" s="248">
        <f ca="1">I14+IS!J43</f>
        <v>16.394817908812929</v>
      </c>
      <c r="K14" s="248">
        <f ca="1">J14+IS!K43</f>
        <v>20.952315347834649</v>
      </c>
      <c r="L14" s="248">
        <f ca="1">K14+IS!L43</f>
        <v>26.122297538204297</v>
      </c>
      <c r="M14" s="248">
        <f ca="1">L14+IS!M43</f>
        <v>31.919822633684603</v>
      </c>
      <c r="N14" s="248">
        <f ca="1">M14+IS!N43</f>
        <v>38.394778503822444</v>
      </c>
      <c r="O14" s="248">
        <f ca="1">N14+IS!O43</f>
        <v>44.547183593833594</v>
      </c>
    </row>
    <row r="15" spans="2:16" ht="18" customHeight="1" x14ac:dyDescent="0.25">
      <c r="B15" s="1" t="s">
        <v>491</v>
      </c>
      <c r="D15" s="248">
        <f>C15+CFS!D15-BS!D19</f>
        <v>14.215</v>
      </c>
      <c r="E15" s="248">
        <f>D15+CFS!E15-BS!E19</f>
        <v>28.43</v>
      </c>
      <c r="F15" s="248">
        <f>E15+CFS!F15-BS!F19</f>
        <v>25.271426999999999</v>
      </c>
      <c r="G15" s="248">
        <f>F15+CFS!G15-BS!G19</f>
        <v>22.112853999999999</v>
      </c>
      <c r="H15" s="248">
        <f>G15+CFS!H15-BS!H19</f>
        <v>18.954280999999998</v>
      </c>
      <c r="I15" s="248">
        <f>H15+CFS!I15-BS!I19</f>
        <v>15.795707999999999</v>
      </c>
      <c r="J15" s="248">
        <f>I15+CFS!J15-BS!J19</f>
        <v>12.637135000000001</v>
      </c>
      <c r="K15" s="248">
        <f>J15+CFS!K15-BS!K19</f>
        <v>9.4785620000000019</v>
      </c>
      <c r="L15" s="248">
        <f>K15+CFS!L15-BS!L19</f>
        <v>6.066962000000002</v>
      </c>
      <c r="M15" s="248">
        <f>L15+CFS!M15-BS!M19</f>
        <v>2.371062000000002</v>
      </c>
      <c r="N15" s="248">
        <f>M15+CFS!N15-BS!N19</f>
        <v>2.3980817331903381E-14</v>
      </c>
      <c r="O15" s="248">
        <f>N15+CFS!O15-BS!O19</f>
        <v>2.3980817331903381E-14</v>
      </c>
    </row>
    <row r="16" spans="2:16" ht="18" customHeight="1" x14ac:dyDescent="0.25">
      <c r="B16" s="1" t="s">
        <v>276</v>
      </c>
      <c r="D16" s="248">
        <f>'TPC and MoF'!D25</f>
        <v>0</v>
      </c>
      <c r="E16" s="248">
        <f>D16</f>
        <v>0</v>
      </c>
      <c r="F16" s="248">
        <f t="shared" ref="F16:O16" si="4">E16</f>
        <v>0</v>
      </c>
      <c r="G16" s="248">
        <f t="shared" si="4"/>
        <v>0</v>
      </c>
      <c r="H16" s="248">
        <f t="shared" si="4"/>
        <v>0</v>
      </c>
      <c r="I16" s="248">
        <f t="shared" si="4"/>
        <v>0</v>
      </c>
      <c r="J16" s="248">
        <f t="shared" si="4"/>
        <v>0</v>
      </c>
      <c r="K16" s="248">
        <f t="shared" si="4"/>
        <v>0</v>
      </c>
      <c r="L16" s="248">
        <f t="shared" si="4"/>
        <v>0</v>
      </c>
      <c r="M16" s="248">
        <f t="shared" si="4"/>
        <v>0</v>
      </c>
      <c r="N16" s="248">
        <f t="shared" si="4"/>
        <v>0</v>
      </c>
      <c r="O16" s="248">
        <f t="shared" si="4"/>
        <v>0</v>
      </c>
    </row>
    <row r="17" spans="2:15" ht="18" customHeight="1" x14ac:dyDescent="0.25">
      <c r="B17" s="278" t="s">
        <v>460</v>
      </c>
    </row>
    <row r="18" spans="2:15" ht="18" customHeight="1" x14ac:dyDescent="0.25">
      <c r="B18" s="1" t="s">
        <v>448</v>
      </c>
      <c r="D18" s="249">
        <v>0</v>
      </c>
      <c r="E18" s="249">
        <v>0</v>
      </c>
      <c r="F18" s="248">
        <f>'Working Capital Assessment'!F57</f>
        <v>0.97347635365211937</v>
      </c>
      <c r="G18" s="248">
        <f>'Working Capital Assessment'!G57</f>
        <v>1.0162596136819715</v>
      </c>
      <c r="H18" s="248">
        <f>'Working Capital Assessment'!H57</f>
        <v>1.0679433711458024</v>
      </c>
      <c r="I18" s="248">
        <f>'Working Capital Assessment'!I57</f>
        <v>1.1224941489612357</v>
      </c>
      <c r="J18" s="248">
        <f>'Working Capital Assessment'!J57</f>
        <v>1.1749376062403978</v>
      </c>
      <c r="K18" s="248">
        <f>'Working Capital Assessment'!K57</f>
        <v>1.2350965446681381</v>
      </c>
      <c r="L18" s="248">
        <f>'Working Capital Assessment'!L57</f>
        <v>1.2984684882095605</v>
      </c>
      <c r="M18" s="248">
        <f>'Working Capital Assessment'!M57</f>
        <v>1.365255014800586</v>
      </c>
      <c r="N18" s="248">
        <f>'Working Capital Assessment'!N57</f>
        <v>1.4356400372406632</v>
      </c>
      <c r="O18" s="248">
        <f>'Working Capital Assessment'!O57</f>
        <v>1.5097943500815003</v>
      </c>
    </row>
    <row r="19" spans="2:15" ht="18" customHeight="1" x14ac:dyDescent="0.25">
      <c r="B19" s="1" t="s">
        <v>492</v>
      </c>
      <c r="D19" s="248">
        <f>'Loan Schedule'!E14</f>
        <v>0</v>
      </c>
      <c r="E19" s="248">
        <f>'Loan Schedule'!F14</f>
        <v>0</v>
      </c>
      <c r="F19" s="248">
        <f>'Loan Schedule'!G14</f>
        <v>3.1585729999999992</v>
      </c>
      <c r="G19" s="248">
        <f>'Loan Schedule'!H14</f>
        <v>3.1585729999999992</v>
      </c>
      <c r="H19" s="248">
        <f>'Loan Schedule'!I14</f>
        <v>3.1585729999999992</v>
      </c>
      <c r="I19" s="248">
        <f>'Loan Schedule'!J14</f>
        <v>3.1585729999999992</v>
      </c>
      <c r="J19" s="248">
        <f>'Loan Schedule'!K14</f>
        <v>3.1585729999999992</v>
      </c>
      <c r="K19" s="248">
        <f>'Loan Schedule'!L14</f>
        <v>3.1585729999999992</v>
      </c>
      <c r="L19" s="248">
        <f>'Loan Schedule'!M14</f>
        <v>3.4116</v>
      </c>
      <c r="M19" s="248">
        <f>'Loan Schedule'!N14</f>
        <v>3.6959</v>
      </c>
      <c r="N19" s="248">
        <f>'Loan Schedule'!O14</f>
        <v>2.371061999999978</v>
      </c>
      <c r="O19" s="248">
        <f>'Loan Schedule'!P14</f>
        <v>0</v>
      </c>
    </row>
    <row r="20" spans="2:15" ht="18" customHeight="1" x14ac:dyDescent="0.25">
      <c r="B20" s="1" t="s">
        <v>472</v>
      </c>
      <c r="D20" s="249">
        <v>0</v>
      </c>
      <c r="E20" s="249">
        <v>0</v>
      </c>
      <c r="F20" s="248">
        <f>E20+CFS!F16</f>
        <v>1.5</v>
      </c>
      <c r="G20" s="248">
        <f>F20+CFS!G16</f>
        <v>1.5</v>
      </c>
      <c r="H20" s="248">
        <f>G20+CFS!H16</f>
        <v>1.5</v>
      </c>
      <c r="I20" s="248">
        <f>H20+CFS!I16</f>
        <v>1.5</v>
      </c>
      <c r="J20" s="248">
        <f>I20+CFS!J16</f>
        <v>1.5</v>
      </c>
      <c r="K20" s="248">
        <f>J20+CFS!K16</f>
        <v>1.5</v>
      </c>
      <c r="L20" s="248">
        <f>K20+CFS!L16</f>
        <v>1.5</v>
      </c>
      <c r="M20" s="248">
        <f>L20+CFS!M16</f>
        <v>1.5</v>
      </c>
      <c r="N20" s="248">
        <f>M20+CFS!N16</f>
        <v>1.5</v>
      </c>
      <c r="O20" s="248">
        <f>N20+CFS!O16</f>
        <v>1.5</v>
      </c>
    </row>
    <row r="21" spans="2:15" ht="18" customHeight="1" x14ac:dyDescent="0.25">
      <c r="B21" s="1" t="s">
        <v>493</v>
      </c>
      <c r="D21" s="249">
        <v>0</v>
      </c>
      <c r="E21" s="249">
        <v>0</v>
      </c>
      <c r="F21" s="249">
        <v>0</v>
      </c>
      <c r="G21" s="249">
        <v>0</v>
      </c>
      <c r="H21" s="249">
        <v>0</v>
      </c>
      <c r="I21" s="249">
        <v>0</v>
      </c>
      <c r="J21" s="249">
        <v>0</v>
      </c>
      <c r="K21" s="249">
        <v>0</v>
      </c>
      <c r="L21" s="249">
        <v>0</v>
      </c>
      <c r="M21" s="249">
        <v>0</v>
      </c>
      <c r="N21" s="249">
        <v>0</v>
      </c>
      <c r="O21" s="249">
        <v>0</v>
      </c>
    </row>
    <row r="22" spans="2:15" ht="18" customHeight="1" x14ac:dyDescent="0.25">
      <c r="B22" s="1" t="s">
        <v>606</v>
      </c>
      <c r="D22" s="249"/>
      <c r="E22" s="249"/>
      <c r="F22" s="249">
        <f ca="1">E22+'Tax Calculations'!F32</f>
        <v>0.40656197150414547</v>
      </c>
      <c r="G22" s="249">
        <f ca="1">F22+'Tax Calculations'!G32</f>
        <v>1.0081525267569955</v>
      </c>
      <c r="H22" s="249">
        <f ca="1">G22+'Tax Calculations'!H32</f>
        <v>1.717127842395616</v>
      </c>
      <c r="I22" s="249">
        <f ca="1">H22+'Tax Calculations'!I32</f>
        <v>2.5550799592737832</v>
      </c>
      <c r="J22" s="249">
        <f ca="1">I22+'Tax Calculations'!J32</f>
        <v>3.2849462300608039</v>
      </c>
      <c r="K22" s="249">
        <f ca="1">J22-'Tax Calculations'!K36</f>
        <v>2.7581400150767266</v>
      </c>
      <c r="L22" s="249">
        <f ca="1">K22-'Tax Calculations'!L36</f>
        <v>2.0553116739605564</v>
      </c>
      <c r="M22" s="249">
        <f ca="1">L22-'Tax Calculations'!M36</f>
        <v>1.1854251833494507</v>
      </c>
      <c r="N22" s="249">
        <f ca="1">M22-'Tax Calculations'!N36</f>
        <v>0.15889884918901376</v>
      </c>
      <c r="O22" s="249">
        <f ca="1">N22-'Tax Calculations'!O36</f>
        <v>0</v>
      </c>
    </row>
    <row r="23" spans="2:15" ht="18" customHeight="1" x14ac:dyDescent="0.25">
      <c r="B23" s="40" t="s">
        <v>273</v>
      </c>
      <c r="C23" s="40"/>
      <c r="D23" s="280">
        <f t="shared" ref="D23:O23" ca="1" si="5">D13+D14+D15+D16+D18+D19+D20+D21+D22</f>
        <v>26.342751969658671</v>
      </c>
      <c r="E23" s="280">
        <f t="shared" ca="1" si="5"/>
        <v>40.557751969658668</v>
      </c>
      <c r="F23" s="280">
        <f t="shared" ca="1" si="5"/>
        <v>46.174787094989625</v>
      </c>
      <c r="G23" s="280">
        <f t="shared" ca="1" si="5"/>
        <v>46.663062507504797</v>
      </c>
      <c r="H23" s="280">
        <f t="shared" ca="1" si="5"/>
        <v>47.803569117105113</v>
      </c>
      <c r="I23" s="280">
        <f t="shared" ca="1" si="5"/>
        <v>49.719629071281474</v>
      </c>
      <c r="J23" s="280">
        <f t="shared" ca="1" si="5"/>
        <v>50.986050875235811</v>
      </c>
      <c r="K23" s="280">
        <f t="shared" ca="1" si="5"/>
        <v>51.918328037701201</v>
      </c>
      <c r="L23" s="280">
        <f t="shared" ca="1" si="5"/>
        <v>53.290280830496101</v>
      </c>
      <c r="M23" s="280">
        <f t="shared" ca="1" si="5"/>
        <v>54.873105961956334</v>
      </c>
      <c r="N23" s="280">
        <f t="shared" ca="1" si="5"/>
        <v>56.696020520373807</v>
      </c>
      <c r="O23" s="280">
        <f t="shared" ca="1" si="5"/>
        <v>60.392619074036801</v>
      </c>
    </row>
    <row r="24" spans="2:15" ht="18" customHeight="1" x14ac:dyDescent="0.25">
      <c r="B24" s="278" t="s">
        <v>523</v>
      </c>
    </row>
    <row r="25" spans="2:15" ht="18" customHeight="1" x14ac:dyDescent="0.25">
      <c r="B25" s="1" t="s">
        <v>249</v>
      </c>
      <c r="D25" s="248">
        <f>'Depreciation Schedule'!D28</f>
        <v>0.91252000000000011</v>
      </c>
      <c r="E25" s="248">
        <f>'Depreciation Schedule'!E28</f>
        <v>0.91252000000000011</v>
      </c>
      <c r="F25" s="248">
        <f>'Depreciation Schedule'!F28</f>
        <v>0.91252000000000011</v>
      </c>
      <c r="G25" s="248">
        <f>'Depreciation Schedule'!G28</f>
        <v>0.91252000000000011</v>
      </c>
      <c r="H25" s="248">
        <f>'Depreciation Schedule'!H28</f>
        <v>0.91252000000000011</v>
      </c>
      <c r="I25" s="248">
        <f>'Depreciation Schedule'!I28</f>
        <v>0.91252000000000011</v>
      </c>
      <c r="J25" s="248">
        <f>'Depreciation Schedule'!J28</f>
        <v>0.91252000000000011</v>
      </c>
      <c r="K25" s="248">
        <f>'Depreciation Schedule'!K28</f>
        <v>0.91252000000000011</v>
      </c>
      <c r="L25" s="248">
        <f>'Depreciation Schedule'!L28</f>
        <v>0.91252000000000011</v>
      </c>
      <c r="M25" s="248">
        <f>'Depreciation Schedule'!M28</f>
        <v>0.91252000000000011</v>
      </c>
      <c r="N25" s="248">
        <f>'Depreciation Schedule'!N28</f>
        <v>0.91252000000000011</v>
      </c>
      <c r="O25" s="248">
        <f>'Depreciation Schedule'!O28</f>
        <v>0.91252000000000011</v>
      </c>
    </row>
    <row r="26" spans="2:15" ht="18" customHeight="1" x14ac:dyDescent="0.25">
      <c r="B26" s="1" t="s">
        <v>503</v>
      </c>
      <c r="D26" s="248">
        <f>'Depreciation Schedule'!D30</f>
        <v>9.5558479176320112</v>
      </c>
      <c r="E26" s="248">
        <f>'Depreciation Schedule'!E30</f>
        <v>9.5558479176320112</v>
      </c>
      <c r="F26" s="248">
        <f>'Depreciation Schedule'!F30</f>
        <v>9.5558479176320112</v>
      </c>
      <c r="G26" s="248">
        <f>'Depreciation Schedule'!G30</f>
        <v>9.5558479176320112</v>
      </c>
      <c r="H26" s="248">
        <f>'Depreciation Schedule'!H30</f>
        <v>9.5558479176320112</v>
      </c>
      <c r="I26" s="248">
        <f>'Depreciation Schedule'!I30</f>
        <v>9.5558479176320112</v>
      </c>
      <c r="J26" s="248">
        <f>'Depreciation Schedule'!J30</f>
        <v>9.5558479176320112</v>
      </c>
      <c r="K26" s="248">
        <f>'Depreciation Schedule'!K30</f>
        <v>9.5558479176320112</v>
      </c>
      <c r="L26" s="248">
        <f>'Depreciation Schedule'!L30</f>
        <v>9.5558479176320112</v>
      </c>
      <c r="M26" s="248">
        <f>'Depreciation Schedule'!M30</f>
        <v>9.5558479176320112</v>
      </c>
      <c r="N26" s="248">
        <f>'Depreciation Schedule'!N30</f>
        <v>9.5558479176320112</v>
      </c>
      <c r="O26" s="248">
        <f>'Depreciation Schedule'!O30</f>
        <v>9.5558479176320112</v>
      </c>
    </row>
    <row r="27" spans="2:15" ht="18" customHeight="1" x14ac:dyDescent="0.25">
      <c r="B27" s="1" t="s">
        <v>108</v>
      </c>
      <c r="D27" s="248">
        <f ca="1">'Depreciation Schedule'!D32-CFS!E23</f>
        <v>8.6700172920721812</v>
      </c>
      <c r="E27" s="248">
        <f>'Depreciation Schedule'!E32</f>
        <v>22.885017292072181</v>
      </c>
      <c r="F27" s="248">
        <f>'Depreciation Schedule'!F32</f>
        <v>22.885017292072181</v>
      </c>
      <c r="G27" s="248">
        <f>'Depreciation Schedule'!G32</f>
        <v>22.885017292072181</v>
      </c>
      <c r="H27" s="248">
        <f>'Depreciation Schedule'!H32</f>
        <v>22.885017292072181</v>
      </c>
      <c r="I27" s="248">
        <f>'Depreciation Schedule'!I32</f>
        <v>22.885017292072181</v>
      </c>
      <c r="J27" s="248">
        <f>'Depreciation Schedule'!J32</f>
        <v>22.885017292072181</v>
      </c>
      <c r="K27" s="248">
        <f>'Depreciation Schedule'!K32</f>
        <v>22.885017292072181</v>
      </c>
      <c r="L27" s="248">
        <f>'Depreciation Schedule'!L32</f>
        <v>22.885017292072181</v>
      </c>
      <c r="M27" s="248">
        <f>'Depreciation Schedule'!M32</f>
        <v>22.885017292072181</v>
      </c>
      <c r="N27" s="248">
        <f>'Depreciation Schedule'!N32</f>
        <v>22.885017292072181</v>
      </c>
      <c r="O27" s="248">
        <f>'Depreciation Schedule'!O32</f>
        <v>22.885017292072181</v>
      </c>
    </row>
    <row r="28" spans="2:15" ht="18" customHeight="1" x14ac:dyDescent="0.25">
      <c r="B28" s="1" t="s">
        <v>504</v>
      </c>
      <c r="D28" s="248">
        <f>'Depreciation Schedule'!D34</f>
        <v>4.1439221048837727</v>
      </c>
      <c r="E28" s="248">
        <f>'Depreciation Schedule'!E34</f>
        <v>4.1439221048837727</v>
      </c>
      <c r="F28" s="248">
        <f>'Depreciation Schedule'!F34</f>
        <v>4.1439221048837727</v>
      </c>
      <c r="G28" s="248">
        <f>'Depreciation Schedule'!G34</f>
        <v>4.1439221048837727</v>
      </c>
      <c r="H28" s="248">
        <f>'Depreciation Schedule'!H34</f>
        <v>4.1439221048837727</v>
      </c>
      <c r="I28" s="248">
        <f>'Depreciation Schedule'!I34</f>
        <v>4.1439221048837727</v>
      </c>
      <c r="J28" s="248">
        <f>'Depreciation Schedule'!J34</f>
        <v>4.1439221048837727</v>
      </c>
      <c r="K28" s="248">
        <f>'Depreciation Schedule'!K34</f>
        <v>4.1439221048837727</v>
      </c>
      <c r="L28" s="248">
        <f>'Depreciation Schedule'!L34</f>
        <v>4.1439221048837727</v>
      </c>
      <c r="M28" s="248">
        <f>'Depreciation Schedule'!M34</f>
        <v>4.1439221048837727</v>
      </c>
      <c r="N28" s="248">
        <f>'Depreciation Schedule'!N34</f>
        <v>4.1439221048837727</v>
      </c>
      <c r="O28" s="248">
        <f>'Depreciation Schedule'!O34</f>
        <v>4.1439221048837727</v>
      </c>
    </row>
    <row r="29" spans="2:15" ht="18" customHeight="1" x14ac:dyDescent="0.25">
      <c r="B29" s="1" t="s">
        <v>110</v>
      </c>
      <c r="D29" s="248">
        <f>'Depreciation Schedule'!D36</f>
        <v>0.32923109943462175</v>
      </c>
      <c r="E29" s="248">
        <f>'Depreciation Schedule'!E36</f>
        <v>0.32923109943462175</v>
      </c>
      <c r="F29" s="248">
        <f>'Depreciation Schedule'!F36</f>
        <v>0.32923109943462175</v>
      </c>
      <c r="G29" s="248">
        <f>'Depreciation Schedule'!G36</f>
        <v>0.32923109943462175</v>
      </c>
      <c r="H29" s="248">
        <f>'Depreciation Schedule'!H36</f>
        <v>0.32923109943462175</v>
      </c>
      <c r="I29" s="248">
        <f>'Depreciation Schedule'!I36</f>
        <v>0.32923109943462175</v>
      </c>
      <c r="J29" s="248">
        <f>'Depreciation Schedule'!J36</f>
        <v>0.32923109943462175</v>
      </c>
      <c r="K29" s="248">
        <f>'Depreciation Schedule'!K36</f>
        <v>0.32923109943462175</v>
      </c>
      <c r="L29" s="248">
        <f>'Depreciation Schedule'!L36</f>
        <v>0.32923109943462175</v>
      </c>
      <c r="M29" s="248">
        <f>'Depreciation Schedule'!M36</f>
        <v>0.32923109943462175</v>
      </c>
      <c r="N29" s="248">
        <f>'Depreciation Schedule'!N36</f>
        <v>0.32923109943462175</v>
      </c>
      <c r="O29" s="248">
        <f>'Depreciation Schedule'!O36</f>
        <v>1.6461554971731129E-2</v>
      </c>
    </row>
    <row r="30" spans="2:15" ht="18" customHeight="1" x14ac:dyDescent="0.25">
      <c r="B30" s="1" t="s">
        <v>505</v>
      </c>
      <c r="D30" s="248">
        <f>'Depreciation Schedule'!D38</f>
        <v>0.10451780934432436</v>
      </c>
      <c r="E30" s="248">
        <f>'Depreciation Schedule'!E38</f>
        <v>0.10451780934432436</v>
      </c>
      <c r="F30" s="248">
        <f>'Depreciation Schedule'!F38</f>
        <v>0.10451780934432436</v>
      </c>
      <c r="G30" s="248">
        <f>'Depreciation Schedule'!G38</f>
        <v>0.10451780934432436</v>
      </c>
      <c r="H30" s="248">
        <f>'Depreciation Schedule'!H38</f>
        <v>0.10451780934432436</v>
      </c>
      <c r="I30" s="248">
        <f>'Depreciation Schedule'!I38</f>
        <v>0.10451780934432436</v>
      </c>
      <c r="J30" s="248">
        <f>'Depreciation Schedule'!J38</f>
        <v>0.10451780934432436</v>
      </c>
      <c r="K30" s="248">
        <f>'Depreciation Schedule'!K38</f>
        <v>0.10451780934432436</v>
      </c>
      <c r="L30" s="248">
        <f>'Depreciation Schedule'!L38</f>
        <v>5.225890467216221E-3</v>
      </c>
      <c r="M30" s="248">
        <f>'Depreciation Schedule'!M38</f>
        <v>5.225890467216221E-3</v>
      </c>
      <c r="N30" s="248">
        <f>'Depreciation Schedule'!N38</f>
        <v>5.225890467216221E-3</v>
      </c>
      <c r="O30" s="248">
        <f>'Depreciation Schedule'!O38</f>
        <v>5.225890467216221E-3</v>
      </c>
    </row>
    <row r="31" spans="2:15" ht="18" customHeight="1" x14ac:dyDescent="0.25">
      <c r="B31" s="1" t="s">
        <v>1020</v>
      </c>
      <c r="D31" s="248">
        <f>'Depreciation Schedule'!D40</f>
        <v>0.73169574629175926</v>
      </c>
      <c r="E31" s="248">
        <f>'Depreciation Schedule'!E40</f>
        <v>0.73169574629175926</v>
      </c>
      <c r="F31" s="248">
        <f>'Depreciation Schedule'!F40</f>
        <v>0.73169574629175926</v>
      </c>
      <c r="G31" s="248">
        <f>'Depreciation Schedule'!G40</f>
        <v>0.73169574629175926</v>
      </c>
      <c r="H31" s="248">
        <f>'Depreciation Schedule'!H40</f>
        <v>0.73169574629175926</v>
      </c>
      <c r="I31" s="248">
        <f>'Depreciation Schedule'!I40</f>
        <v>0.73169574629175926</v>
      </c>
      <c r="J31" s="248">
        <f>'Depreciation Schedule'!J40</f>
        <v>0.73169574629175926</v>
      </c>
      <c r="K31" s="248">
        <f>'Depreciation Schedule'!K40</f>
        <v>0.73169574629175926</v>
      </c>
      <c r="L31" s="248">
        <f>'Depreciation Schedule'!L40</f>
        <v>0.73169574629175926</v>
      </c>
      <c r="M31" s="248">
        <f>'Depreciation Schedule'!M40</f>
        <v>0.73169574629175926</v>
      </c>
      <c r="N31" s="248">
        <f>'Depreciation Schedule'!N40</f>
        <v>0.73169574629175926</v>
      </c>
      <c r="O31" s="248">
        <f>'Depreciation Schedule'!O40</f>
        <v>0.73169574629175926</v>
      </c>
    </row>
    <row r="32" spans="2:15" ht="18" customHeight="1" x14ac:dyDescent="0.25">
      <c r="B32" s="271" t="s">
        <v>495</v>
      </c>
      <c r="C32" s="271"/>
      <c r="D32" s="272">
        <f ca="1">SUM(D25:D31)</f>
        <v>24.447751969658672</v>
      </c>
      <c r="E32" s="272">
        <f t="shared" ref="E32:O32" si="6">SUM(E25:E31)</f>
        <v>38.662751969658672</v>
      </c>
      <c r="F32" s="272">
        <f t="shared" si="6"/>
        <v>38.662751969658672</v>
      </c>
      <c r="G32" s="272">
        <f t="shared" si="6"/>
        <v>38.662751969658672</v>
      </c>
      <c r="H32" s="272">
        <f t="shared" si="6"/>
        <v>38.662751969658672</v>
      </c>
      <c r="I32" s="272">
        <f t="shared" si="6"/>
        <v>38.662751969658672</v>
      </c>
      <c r="J32" s="272">
        <f t="shared" si="6"/>
        <v>38.662751969658672</v>
      </c>
      <c r="K32" s="272">
        <f t="shared" si="6"/>
        <v>38.662751969658672</v>
      </c>
      <c r="L32" s="272">
        <f t="shared" si="6"/>
        <v>38.563460050781558</v>
      </c>
      <c r="M32" s="272">
        <f t="shared" si="6"/>
        <v>38.563460050781558</v>
      </c>
      <c r="N32" s="272">
        <f t="shared" si="6"/>
        <v>38.563460050781558</v>
      </c>
      <c r="O32" s="272">
        <f t="shared" si="6"/>
        <v>38.250690506318676</v>
      </c>
    </row>
    <row r="33" spans="2:15" ht="18" customHeight="1" x14ac:dyDescent="0.25">
      <c r="B33" s="1" t="s">
        <v>356</v>
      </c>
      <c r="D33" s="248">
        <f>IS!D22</f>
        <v>0</v>
      </c>
      <c r="E33" s="248">
        <f>D33+IS!E22</f>
        <v>0</v>
      </c>
      <c r="F33" s="248">
        <f>E33+IS!F22</f>
        <v>1.125477093309319</v>
      </c>
      <c r="G33" s="248">
        <f>F33+IS!G22</f>
        <v>3.4264100533244366</v>
      </c>
      <c r="H33" s="248">
        <f>G33+IS!H22</f>
        <v>5.7273430133395546</v>
      </c>
      <c r="I33" s="248">
        <f>H33+IS!I22</f>
        <v>8.0282759733546722</v>
      </c>
      <c r="J33" s="248">
        <f>I33+IS!J22</f>
        <v>10.32920893336979</v>
      </c>
      <c r="K33" s="248">
        <f>J33+IS!K22</f>
        <v>12.620212701497197</v>
      </c>
      <c r="L33" s="248">
        <f>K33+IS!L22</f>
        <v>14.901287277736893</v>
      </c>
      <c r="M33" s="248">
        <f>L33+IS!M22</f>
        <v>17.182361853976587</v>
      </c>
      <c r="N33" s="248">
        <f>M33+IS!N22</f>
        <v>19.443888333687351</v>
      </c>
      <c r="O33" s="248">
        <f>N33+IS!O22</f>
        <v>21.685866716869185</v>
      </c>
    </row>
    <row r="34" spans="2:15" ht="18" customHeight="1" x14ac:dyDescent="0.25">
      <c r="B34" s="43" t="s">
        <v>501</v>
      </c>
      <c r="C34" s="43"/>
      <c r="D34" s="264">
        <f ca="1">D32-D33</f>
        <v>24.447751969658672</v>
      </c>
      <c r="E34" s="264">
        <f t="shared" ref="E34:O34" si="7">E32-E33</f>
        <v>38.662751969658672</v>
      </c>
      <c r="F34" s="264">
        <f t="shared" si="7"/>
        <v>37.53727487634935</v>
      </c>
      <c r="G34" s="264">
        <f t="shared" si="7"/>
        <v>35.236341916334233</v>
      </c>
      <c r="H34" s="264">
        <f t="shared" si="7"/>
        <v>32.935408956319115</v>
      </c>
      <c r="I34" s="264">
        <f t="shared" si="7"/>
        <v>30.634475996303998</v>
      </c>
      <c r="J34" s="264">
        <f t="shared" si="7"/>
        <v>28.33354303628888</v>
      </c>
      <c r="K34" s="264">
        <f t="shared" si="7"/>
        <v>26.042539268161477</v>
      </c>
      <c r="L34" s="264">
        <f t="shared" si="7"/>
        <v>23.662172773044666</v>
      </c>
      <c r="M34" s="264">
        <f t="shared" si="7"/>
        <v>21.38109819680497</v>
      </c>
      <c r="N34" s="264">
        <f t="shared" si="7"/>
        <v>19.119571717094207</v>
      </c>
      <c r="O34" s="264">
        <f t="shared" si="7"/>
        <v>16.564823789449491</v>
      </c>
    </row>
    <row r="35" spans="2:15" ht="18" customHeight="1" x14ac:dyDescent="0.25">
      <c r="B35" s="1" t="s">
        <v>500</v>
      </c>
      <c r="D35" s="248">
        <f>CFS!D28</f>
        <v>0</v>
      </c>
      <c r="E35" s="248">
        <f>D35</f>
        <v>0</v>
      </c>
      <c r="F35" s="248">
        <f>E35</f>
        <v>0</v>
      </c>
      <c r="G35" s="248">
        <f t="shared" ref="G35:O35" si="8">F35</f>
        <v>0</v>
      </c>
      <c r="H35" s="248">
        <f t="shared" si="8"/>
        <v>0</v>
      </c>
      <c r="I35" s="248">
        <f t="shared" si="8"/>
        <v>0</v>
      </c>
      <c r="J35" s="248">
        <f t="shared" si="8"/>
        <v>0</v>
      </c>
      <c r="K35" s="248">
        <f t="shared" si="8"/>
        <v>0</v>
      </c>
      <c r="L35" s="248">
        <f t="shared" si="8"/>
        <v>0</v>
      </c>
      <c r="M35" s="248">
        <f t="shared" si="8"/>
        <v>0</v>
      </c>
      <c r="N35" s="248">
        <f t="shared" si="8"/>
        <v>0</v>
      </c>
      <c r="O35" s="248">
        <f t="shared" si="8"/>
        <v>0</v>
      </c>
    </row>
    <row r="36" spans="2:15" ht="18" customHeight="1" x14ac:dyDescent="0.25">
      <c r="B36" s="43" t="s">
        <v>524</v>
      </c>
      <c r="C36" s="43"/>
      <c r="D36" s="264">
        <f t="shared" ref="D36:O36" ca="1" si="9">D34+D35</f>
        <v>24.447751969658672</v>
      </c>
      <c r="E36" s="264">
        <f t="shared" si="9"/>
        <v>38.662751969658672</v>
      </c>
      <c r="F36" s="264">
        <f t="shared" si="9"/>
        <v>37.53727487634935</v>
      </c>
      <c r="G36" s="264">
        <f t="shared" si="9"/>
        <v>35.236341916334233</v>
      </c>
      <c r="H36" s="264">
        <f t="shared" si="9"/>
        <v>32.935408956319115</v>
      </c>
      <c r="I36" s="264">
        <f t="shared" si="9"/>
        <v>30.634475996303998</v>
      </c>
      <c r="J36" s="264">
        <f t="shared" si="9"/>
        <v>28.33354303628888</v>
      </c>
      <c r="K36" s="264">
        <f t="shared" si="9"/>
        <v>26.042539268161477</v>
      </c>
      <c r="L36" s="264">
        <f t="shared" si="9"/>
        <v>23.662172773044666</v>
      </c>
      <c r="M36" s="264">
        <f t="shared" si="9"/>
        <v>21.38109819680497</v>
      </c>
      <c r="N36" s="264">
        <f t="shared" si="9"/>
        <v>19.119571717094207</v>
      </c>
      <c r="O36" s="264">
        <f t="shared" si="9"/>
        <v>16.564823789449491</v>
      </c>
    </row>
    <row r="37" spans="2:15" ht="20.25" customHeight="1" x14ac:dyDescent="0.25">
      <c r="B37" s="278" t="s">
        <v>496</v>
      </c>
    </row>
    <row r="38" spans="2:15" ht="18" customHeight="1" x14ac:dyDescent="0.25">
      <c r="B38" s="1" t="s">
        <v>497</v>
      </c>
      <c r="D38" s="248">
        <f>'Working Capital Assessment'!D62</f>
        <v>0</v>
      </c>
      <c r="E38" s="248">
        <f>'Working Capital Assessment'!E62</f>
        <v>0</v>
      </c>
      <c r="F38" s="248">
        <f>'Working Capital Assessment'!F62</f>
        <v>1.8319349999999999</v>
      </c>
      <c r="G38" s="248">
        <f>'Working Capital Assessment'!G62</f>
        <v>1.9235317499999998</v>
      </c>
      <c r="H38" s="248">
        <f>'Working Capital Assessment'!H62</f>
        <v>2.0197083375000005</v>
      </c>
      <c r="I38" s="248">
        <f>'Working Capital Assessment'!I62</f>
        <v>2.1233264285428577</v>
      </c>
      <c r="J38" s="248">
        <f>'Working Capital Assessment'!J62</f>
        <v>2.1206937543750004</v>
      </c>
      <c r="K38" s="248">
        <f>'Working Capital Assessment'!K62</f>
        <v>2.2267284420937505</v>
      </c>
      <c r="L38" s="248">
        <f>'Working Capital Assessment'!L62</f>
        <v>2.3380648641984387</v>
      </c>
      <c r="M38" s="248">
        <f>'Working Capital Assessment'!M62</f>
        <v>2.45496810740836</v>
      </c>
      <c r="N38" s="248">
        <f>'Working Capital Assessment'!N62</f>
        <v>2.5777165127787782</v>
      </c>
      <c r="O38" s="248">
        <f>'Working Capital Assessment'!O62</f>
        <v>2.7066023384177171</v>
      </c>
    </row>
    <row r="39" spans="2:15" ht="18" customHeight="1" x14ac:dyDescent="0.25">
      <c r="B39" s="1" t="s">
        <v>498</v>
      </c>
      <c r="D39" s="248">
        <f>'Working Capital Assessment'!D48</f>
        <v>0</v>
      </c>
      <c r="E39" s="248">
        <f>'Working Capital Assessment'!E48</f>
        <v>0</v>
      </c>
      <c r="F39" s="248">
        <f ca="1">'Working Capital Assessment'!F48</f>
        <v>1.9730979955041903</v>
      </c>
      <c r="G39" s="248">
        <f ca="1">'Working Capital Assessment'!G48</f>
        <v>2.1568437097506292</v>
      </c>
      <c r="H39" s="248">
        <f ca="1">'Working Capital Assessment'!H48</f>
        <v>2.2644953044709371</v>
      </c>
      <c r="I39" s="248">
        <f ca="1">'Working Capital Assessment'!I48</f>
        <v>2.3741823711758174</v>
      </c>
      <c r="J39" s="248">
        <f ca="1">'Working Capital Assessment'!J48</f>
        <v>2.4893884251420468</v>
      </c>
      <c r="K39" s="248">
        <f ca="1">'Working Capital Assessment'!K48</f>
        <v>2.6101373992026744</v>
      </c>
      <c r="L39" s="248">
        <f ca="1">'Working Capital Assessment'!L48</f>
        <v>2.7371319220270474</v>
      </c>
      <c r="M39" s="248">
        <f ca="1">'Working Capital Assessment'!M48</f>
        <v>2.8711490513447702</v>
      </c>
      <c r="N39" s="248">
        <f ca="1">'Working Capital Assessment'!N48</f>
        <v>3.0113398620302245</v>
      </c>
      <c r="O39" s="248">
        <f ca="1">'Working Capital Assessment'!O48</f>
        <v>3.1587984795334823</v>
      </c>
    </row>
    <row r="40" spans="2:15" ht="18" customHeight="1" x14ac:dyDescent="0.25">
      <c r="B40" s="1" t="s">
        <v>502</v>
      </c>
      <c r="D40" s="248">
        <f ca="1">CFS!D33</f>
        <v>0</v>
      </c>
      <c r="E40" s="248">
        <f ca="1">CFS!E33</f>
        <v>0</v>
      </c>
      <c r="F40" s="248">
        <f ca="1">CFS!F33</f>
        <v>2.2748464516319435</v>
      </c>
      <c r="G40" s="248">
        <f ca="1">CFS!G33</f>
        <v>3.2837673046629474</v>
      </c>
      <c r="H40" s="248">
        <f ca="1">CFS!H33</f>
        <v>4.8449311514194422</v>
      </c>
      <c r="I40" s="248">
        <f ca="1">CFS!I33</f>
        <v>6.9390135163850228</v>
      </c>
      <c r="J40" s="248">
        <f ca="1">CFS!J33</f>
        <v>10.042928629769087</v>
      </c>
      <c r="K40" s="248">
        <f ca="1">CFS!K33</f>
        <v>13.566232113566578</v>
      </c>
      <c r="L40" s="248">
        <f ca="1">CFS!L33</f>
        <v>17.783048797665398</v>
      </c>
      <c r="M40" s="248">
        <f ca="1">CFS!M33</f>
        <v>22.265914623448783</v>
      </c>
      <c r="N40" s="248">
        <f ca="1">CFS!N33</f>
        <v>27.113942779681594</v>
      </c>
      <c r="O40" s="248">
        <f ca="1">CFS!O33</f>
        <v>33.247843667036129</v>
      </c>
    </row>
    <row r="41" spans="2:15" ht="18" customHeight="1" x14ac:dyDescent="0.25">
      <c r="B41" s="1" t="s">
        <v>499</v>
      </c>
      <c r="D41" s="281">
        <f>CFS!D27</f>
        <v>0</v>
      </c>
      <c r="E41" s="281">
        <f>D41</f>
        <v>0</v>
      </c>
      <c r="F41" s="281">
        <f>'Revenue &amp; Expense Modelling'!F46</f>
        <v>0.63507080000000005</v>
      </c>
      <c r="G41" s="281">
        <f>F41+'Revenue &amp; Expense Modelling'!G46</f>
        <v>1.9174253000000001</v>
      </c>
      <c r="H41" s="281">
        <f>G41+'Revenue &amp; Expense Modelling'!H46</f>
        <v>3.2638975250000004</v>
      </c>
      <c r="I41" s="281">
        <f>H41+'Revenue &amp; Expense Modelling'!I46</f>
        <v>4.7145507996000013</v>
      </c>
      <c r="J41" s="281">
        <f>I41+'Revenue &amp; Expense Modelling'!J46</f>
        <v>4.7145507996000013</v>
      </c>
      <c r="K41" s="281">
        <f>J41+'Revenue &amp; Expense Modelling'!K46</f>
        <v>4.7145507996000013</v>
      </c>
      <c r="L41" s="281">
        <f>K41+'Revenue &amp; Expense Modelling'!L46</f>
        <v>4.7145507996000013</v>
      </c>
      <c r="M41" s="281">
        <f>L41+'Revenue &amp; Expense Modelling'!M46</f>
        <v>4.7145507996000013</v>
      </c>
      <c r="N41" s="281">
        <f>M41+'Revenue &amp; Expense Modelling'!N46</f>
        <v>4.7145507996000013</v>
      </c>
      <c r="O41" s="281">
        <f>N41+'Revenue &amp; Expense Modelling'!O46</f>
        <v>4.7145507996000013</v>
      </c>
    </row>
    <row r="42" spans="2:15" ht="18" customHeight="1" x14ac:dyDescent="0.25">
      <c r="B42" s="43" t="s">
        <v>522</v>
      </c>
      <c r="C42" s="43"/>
      <c r="D42" s="264">
        <f ca="1">D38+D39+D40+D41</f>
        <v>0</v>
      </c>
      <c r="E42" s="264">
        <f t="shared" ref="E42:O42" ca="1" si="10">E38+E39+E40+E41</f>
        <v>0</v>
      </c>
      <c r="F42" s="264">
        <f t="shared" ca="1" si="10"/>
        <v>6.7149502471361338</v>
      </c>
      <c r="G42" s="264">
        <f t="shared" ca="1" si="10"/>
        <v>9.2815680644135767</v>
      </c>
      <c r="H42" s="264">
        <f t="shared" ca="1" si="10"/>
        <v>12.393032318390381</v>
      </c>
      <c r="I42" s="264">
        <f t="shared" ca="1" si="10"/>
        <v>16.151073115703699</v>
      </c>
      <c r="J42" s="264">
        <f t="shared" ca="1" si="10"/>
        <v>19.367561608886135</v>
      </c>
      <c r="K42" s="264">
        <f t="shared" ca="1" si="10"/>
        <v>23.117648754463005</v>
      </c>
      <c r="L42" s="264">
        <f t="shared" ca="1" si="10"/>
        <v>27.572796383490886</v>
      </c>
      <c r="M42" s="264">
        <f t="shared" ca="1" si="10"/>
        <v>32.306582581801919</v>
      </c>
      <c r="N42" s="264">
        <f t="shared" ca="1" si="10"/>
        <v>37.417549954090603</v>
      </c>
      <c r="O42" s="264">
        <f t="shared" ca="1" si="10"/>
        <v>43.827795284587324</v>
      </c>
    </row>
    <row r="43" spans="2:15" ht="18" customHeight="1" x14ac:dyDescent="0.25">
      <c r="B43" s="1" t="s">
        <v>527</v>
      </c>
      <c r="D43" s="248">
        <f>CFS!D29</f>
        <v>1.895</v>
      </c>
      <c r="E43" s="248">
        <f>D43+CFS!E29</f>
        <v>1.895</v>
      </c>
      <c r="F43" s="248">
        <f>E43-IS!F34</f>
        <v>1.516</v>
      </c>
      <c r="G43" s="248">
        <f>F43-IS!G34</f>
        <v>1.137</v>
      </c>
      <c r="H43" s="248">
        <f>G43-IS!H34</f>
        <v>0.75800000000000001</v>
      </c>
      <c r="I43" s="248">
        <f>H43-IS!I34</f>
        <v>0.379</v>
      </c>
      <c r="J43" s="248">
        <f>I43-IS!J34</f>
        <v>0</v>
      </c>
      <c r="K43" s="248">
        <f>J43-IS!K34</f>
        <v>0</v>
      </c>
      <c r="L43" s="248">
        <f>K43-IS!L34</f>
        <v>0</v>
      </c>
      <c r="M43" s="248">
        <f>L43-IS!M34</f>
        <v>0</v>
      </c>
      <c r="N43" s="248">
        <f>M43-IS!N34</f>
        <v>0</v>
      </c>
      <c r="O43" s="248">
        <f>N43-IS!O34</f>
        <v>0</v>
      </c>
    </row>
    <row r="44" spans="2:15" ht="18" customHeight="1" x14ac:dyDescent="0.25">
      <c r="B44" s="1" t="s">
        <v>605</v>
      </c>
      <c r="D44" s="248"/>
      <c r="E44" s="248"/>
      <c r="F44" s="248">
        <f ca="1">'Tax Calculations'!F42</f>
        <v>0.40656197150414547</v>
      </c>
      <c r="G44" s="248">
        <f ca="1">'Tax Calculations'!G42</f>
        <v>1.0081525267569955</v>
      </c>
      <c r="H44" s="248">
        <f ca="1">'Tax Calculations'!H42</f>
        <v>1.717127842395616</v>
      </c>
      <c r="I44" s="248">
        <f ca="1">'Tax Calculations'!I42</f>
        <v>2.5550799592737832</v>
      </c>
      <c r="J44" s="248">
        <f ca="1">'Tax Calculations'!J42</f>
        <v>3.2849462300608039</v>
      </c>
      <c r="K44" s="248">
        <f ca="1">'Tax Calculations'!K42</f>
        <v>2.7581400150767266</v>
      </c>
      <c r="L44" s="248">
        <f ca="1">'Tax Calculations'!L42</f>
        <v>2.0553116739605564</v>
      </c>
      <c r="M44" s="248">
        <f ca="1">'Tax Calculations'!M42</f>
        <v>1.1854251833494507</v>
      </c>
      <c r="N44" s="248">
        <f ca="1">'Tax Calculations'!N42</f>
        <v>0.15889884918901376</v>
      </c>
      <c r="O44" s="248">
        <f ca="1">'Tax Calculations'!O42</f>
        <v>0</v>
      </c>
    </row>
    <row r="45" spans="2:15" ht="18" customHeight="1" x14ac:dyDescent="0.25">
      <c r="B45" s="40" t="s">
        <v>494</v>
      </c>
      <c r="C45" s="40"/>
      <c r="D45" s="280">
        <f t="shared" ref="D45:O45" ca="1" si="11">D36+D42+D43+D44</f>
        <v>26.342751969658671</v>
      </c>
      <c r="E45" s="280">
        <f t="shared" ca="1" si="11"/>
        <v>40.557751969658675</v>
      </c>
      <c r="F45" s="280">
        <f t="shared" ca="1" si="11"/>
        <v>46.174787094989632</v>
      </c>
      <c r="G45" s="280">
        <f t="shared" ca="1" si="11"/>
        <v>46.663062507504804</v>
      </c>
      <c r="H45" s="280">
        <f t="shared" ca="1" si="11"/>
        <v>47.803569117105113</v>
      </c>
      <c r="I45" s="280">
        <f t="shared" ca="1" si="11"/>
        <v>49.719629071281481</v>
      </c>
      <c r="J45" s="280">
        <f t="shared" ca="1" si="11"/>
        <v>50.986050875235819</v>
      </c>
      <c r="K45" s="280">
        <f t="shared" ca="1" si="11"/>
        <v>51.918328037701208</v>
      </c>
      <c r="L45" s="280">
        <f t="shared" ca="1" si="11"/>
        <v>53.290280830496116</v>
      </c>
      <c r="M45" s="280">
        <f t="shared" ca="1" si="11"/>
        <v>54.873105961956341</v>
      </c>
      <c r="N45" s="280">
        <f t="shared" ca="1" si="11"/>
        <v>56.696020520373821</v>
      </c>
      <c r="O45" s="280">
        <f t="shared" ca="1" si="11"/>
        <v>60.392619074036816</v>
      </c>
    </row>
    <row r="47" spans="2:15" s="2" customFormat="1" ht="18" customHeight="1" x14ac:dyDescent="0.25">
      <c r="B47" s="282" t="s">
        <v>525</v>
      </c>
      <c r="C47" s="282"/>
      <c r="D47" s="283">
        <f t="shared" ref="D47:O47" ca="1" si="12">D23-D45</f>
        <v>0</v>
      </c>
      <c r="E47" s="283">
        <f t="shared" ca="1" si="12"/>
        <v>0</v>
      </c>
      <c r="F47" s="283">
        <f t="shared" ca="1" si="12"/>
        <v>0</v>
      </c>
      <c r="G47" s="283">
        <f t="shared" ca="1" si="12"/>
        <v>0</v>
      </c>
      <c r="H47" s="283">
        <f t="shared" ca="1" si="12"/>
        <v>0</v>
      </c>
      <c r="I47" s="283">
        <f t="shared" ca="1" si="12"/>
        <v>0</v>
      </c>
      <c r="J47" s="283">
        <f t="shared" ca="1" si="12"/>
        <v>0</v>
      </c>
      <c r="K47" s="283">
        <f t="shared" ca="1" si="12"/>
        <v>0</v>
      </c>
      <c r="L47" s="283">
        <f t="shared" ca="1" si="12"/>
        <v>0</v>
      </c>
      <c r="M47" s="283">
        <f t="shared" ca="1" si="12"/>
        <v>0</v>
      </c>
      <c r="N47" s="283">
        <f t="shared" ca="1" si="12"/>
        <v>0</v>
      </c>
      <c r="O47" s="283">
        <f t="shared" ca="1" si="12"/>
        <v>0</v>
      </c>
    </row>
  </sheetData>
  <mergeCells count="2">
    <mergeCell ref="D8:E8"/>
    <mergeCell ref="F8:O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3"/>
  <sheetViews>
    <sheetView showGridLines="0" workbookViewId="0"/>
  </sheetViews>
  <sheetFormatPr defaultColWidth="13.7109375" defaultRowHeight="18" customHeight="1" x14ac:dyDescent="0.25"/>
  <cols>
    <col min="1" max="1" width="4.85546875" style="1" customWidth="1"/>
    <col min="2" max="2" width="50.85546875" style="1" customWidth="1"/>
    <col min="3" max="3" width="7.140625" style="1" customWidth="1"/>
    <col min="4" max="15" width="12.7109375" style="1" customWidth="1"/>
    <col min="16" max="16384" width="13.7109375" style="1"/>
  </cols>
  <sheetData>
    <row r="1" spans="2:16" ht="15.75" customHeight="1" x14ac:dyDescent="0.25"/>
    <row r="2" spans="2:16" s="2" customFormat="1" ht="18" customHeight="1" x14ac:dyDescent="0.25">
      <c r="B2" s="34" t="str">
        <f>"Financial Model of " &amp; B4</f>
        <v>Financial Model of Proposed 6000 KGPD CBG plant set up M/s. NRS BIO FUEL ENERGIES LLP</v>
      </c>
      <c r="C2" s="35"/>
      <c r="D2" s="35"/>
      <c r="E2" s="35"/>
      <c r="F2" s="35"/>
      <c r="G2" s="35"/>
      <c r="H2" s="35"/>
      <c r="I2" s="35"/>
      <c r="J2" s="35"/>
      <c r="K2" s="35"/>
      <c r="L2" s="35"/>
      <c r="M2" s="35"/>
      <c r="N2" s="35"/>
      <c r="O2" s="35"/>
      <c r="P2" s="25"/>
    </row>
    <row r="3" spans="2:16" s="2" customFormat="1" ht="12" customHeight="1" x14ac:dyDescent="0.25">
      <c r="C3" s="25"/>
      <c r="D3" s="25"/>
      <c r="E3" s="25"/>
      <c r="F3" s="25"/>
      <c r="G3" s="25"/>
      <c r="H3" s="25"/>
      <c r="I3" s="25"/>
      <c r="J3" s="25"/>
      <c r="K3" s="25"/>
      <c r="L3" s="25"/>
      <c r="M3" s="25"/>
      <c r="N3" s="25"/>
      <c r="O3" s="25"/>
      <c r="P3" s="25"/>
    </row>
    <row r="4" spans="2:16" s="2" customFormat="1" ht="18" customHeight="1" x14ac:dyDescent="0.25">
      <c r="B4" s="26" t="str">
        <f>'Common Assumption'!B4</f>
        <v>Proposed 6000 KGPD CBG plant set up M/s. NRS BIO FUEL ENERGIES LLP</v>
      </c>
      <c r="C4" s="26"/>
      <c r="D4" s="27"/>
      <c r="E4" s="27"/>
      <c r="F4" s="27"/>
      <c r="G4" s="27"/>
      <c r="H4" s="27"/>
      <c r="I4" s="27"/>
      <c r="J4" s="27"/>
      <c r="K4" s="27"/>
      <c r="L4" s="27"/>
      <c r="M4" s="27"/>
      <c r="N4" s="27"/>
      <c r="O4" s="27"/>
      <c r="P4" s="25"/>
    </row>
    <row r="5" spans="2:16" s="2" customFormat="1" ht="13.5" customHeight="1" x14ac:dyDescent="0.25">
      <c r="C5" s="25"/>
      <c r="D5" s="25"/>
      <c r="F5" s="28"/>
      <c r="P5" s="25"/>
    </row>
    <row r="6" spans="2:16" s="2" customFormat="1" ht="18" customHeight="1" x14ac:dyDescent="0.25">
      <c r="B6" s="26" t="s">
        <v>486</v>
      </c>
      <c r="C6" s="26"/>
      <c r="D6" s="27"/>
      <c r="E6" s="27"/>
      <c r="F6" s="27"/>
      <c r="G6" s="27"/>
      <c r="H6" s="27"/>
      <c r="I6" s="27"/>
      <c r="J6" s="27"/>
      <c r="K6" s="27"/>
      <c r="L6" s="27"/>
      <c r="M6" s="27"/>
      <c r="N6" s="27"/>
      <c r="O6" s="27"/>
      <c r="P6" s="25"/>
    </row>
    <row r="7" spans="2:16" s="2" customFormat="1" ht="12.75" customHeight="1" x14ac:dyDescent="0.25">
      <c r="C7" s="25"/>
      <c r="D7" s="25"/>
      <c r="F7" s="28"/>
      <c r="O7" s="25"/>
      <c r="P7" s="25"/>
    </row>
    <row r="8" spans="2:16" s="2" customFormat="1" ht="18" customHeight="1" x14ac:dyDescent="0.25">
      <c r="C8" s="25"/>
      <c r="D8" s="675" t="s">
        <v>8</v>
      </c>
      <c r="E8" s="675"/>
      <c r="F8" s="676" t="s">
        <v>52</v>
      </c>
      <c r="G8" s="676"/>
      <c r="H8" s="676"/>
      <c r="I8" s="676"/>
      <c r="J8" s="676"/>
      <c r="K8" s="676"/>
      <c r="L8" s="676"/>
      <c r="M8" s="676"/>
      <c r="N8" s="676"/>
      <c r="O8" s="676"/>
      <c r="P8" s="25"/>
    </row>
    <row r="9" spans="2:16" s="2" customFormat="1" ht="18" customHeight="1" x14ac:dyDescent="0.25">
      <c r="B9" s="29" t="s">
        <v>53</v>
      </c>
      <c r="C9" s="30" t="s">
        <v>54</v>
      </c>
      <c r="D9" s="31">
        <f>EOMONTH('Common Assumption'!E11,5)</f>
        <v>45747</v>
      </c>
      <c r="E9" s="31">
        <f>'Common Assumption'!E13</f>
        <v>45930</v>
      </c>
      <c r="F9" s="31">
        <f>DATE(YEAR(E9)+1,MONTH(E9)-6,DAY(E9)+1)</f>
        <v>46112</v>
      </c>
      <c r="G9" s="31">
        <f>DATE(YEAR(F9)+1,MONTH(F9),DAY(F9))</f>
        <v>46477</v>
      </c>
      <c r="H9" s="31">
        <f t="shared" ref="H9:O9" si="0">DATE(YEAR(G9)+1,MONTH(G9),DAY(G9))</f>
        <v>46843</v>
      </c>
      <c r="I9" s="31">
        <f t="shared" si="0"/>
        <v>47208</v>
      </c>
      <c r="J9" s="31">
        <f t="shared" si="0"/>
        <v>47573</v>
      </c>
      <c r="K9" s="31">
        <f t="shared" si="0"/>
        <v>47938</v>
      </c>
      <c r="L9" s="31">
        <f t="shared" si="0"/>
        <v>48304</v>
      </c>
      <c r="M9" s="31">
        <f t="shared" si="0"/>
        <v>48669</v>
      </c>
      <c r="N9" s="31">
        <f t="shared" si="0"/>
        <v>49034</v>
      </c>
      <c r="O9" s="31">
        <f t="shared" si="0"/>
        <v>49399</v>
      </c>
      <c r="P9" s="25"/>
    </row>
    <row r="10" spans="2:16" s="32" customFormat="1" ht="18" customHeight="1" x14ac:dyDescent="0.25">
      <c r="B10" s="37" t="s">
        <v>55</v>
      </c>
      <c r="C10" s="38"/>
      <c r="D10" s="36">
        <v>0</v>
      </c>
      <c r="E10" s="36">
        <v>0</v>
      </c>
      <c r="F10" s="39">
        <v>1</v>
      </c>
      <c r="G10" s="39">
        <f>F10+1</f>
        <v>2</v>
      </c>
      <c r="H10" s="39">
        <f t="shared" ref="H10:O10" si="1">G10+1</f>
        <v>3</v>
      </c>
      <c r="I10" s="39">
        <f t="shared" si="1"/>
        <v>4</v>
      </c>
      <c r="J10" s="39">
        <f t="shared" si="1"/>
        <v>5</v>
      </c>
      <c r="K10" s="39">
        <f t="shared" si="1"/>
        <v>6</v>
      </c>
      <c r="L10" s="39">
        <f t="shared" si="1"/>
        <v>7</v>
      </c>
      <c r="M10" s="39">
        <f t="shared" si="1"/>
        <v>8</v>
      </c>
      <c r="N10" s="39">
        <f t="shared" si="1"/>
        <v>9</v>
      </c>
      <c r="O10" s="39">
        <f t="shared" si="1"/>
        <v>10</v>
      </c>
      <c r="P10" s="33"/>
    </row>
    <row r="11" spans="2:16" s="32" customFormat="1" ht="19.5" customHeight="1" x14ac:dyDescent="0.25">
      <c r="B11" s="37" t="s">
        <v>56</v>
      </c>
      <c r="C11" s="38">
        <f>'Common Assumption'!E12</f>
        <v>11</v>
      </c>
      <c r="D11" s="36">
        <f>MONTH(D9-'Common Assumption'!E11)</f>
        <v>5</v>
      </c>
      <c r="E11" s="36">
        <f>C11-D11</f>
        <v>6</v>
      </c>
      <c r="F11" s="38">
        <f>MONTH(F9-E9)</f>
        <v>6</v>
      </c>
      <c r="G11" s="38">
        <f t="shared" ref="G11:O11" si="2">MONTH(G9-F9)</f>
        <v>12</v>
      </c>
      <c r="H11" s="38">
        <f t="shared" si="2"/>
        <v>12</v>
      </c>
      <c r="I11" s="38">
        <f t="shared" si="2"/>
        <v>12</v>
      </c>
      <c r="J11" s="38">
        <f t="shared" si="2"/>
        <v>12</v>
      </c>
      <c r="K11" s="38">
        <f t="shared" si="2"/>
        <v>12</v>
      </c>
      <c r="L11" s="38">
        <f t="shared" si="2"/>
        <v>12</v>
      </c>
      <c r="M11" s="38">
        <f t="shared" si="2"/>
        <v>12</v>
      </c>
      <c r="N11" s="38">
        <f t="shared" si="2"/>
        <v>12</v>
      </c>
      <c r="O11" s="38">
        <f t="shared" si="2"/>
        <v>12</v>
      </c>
      <c r="P11" s="33"/>
    </row>
    <row r="12" spans="2:16" ht="24" customHeight="1" x14ac:dyDescent="0.25">
      <c r="B12" s="278" t="s">
        <v>506</v>
      </c>
    </row>
    <row r="13" spans="2:16" ht="18" customHeight="1" x14ac:dyDescent="0.25">
      <c r="B13" s="1" t="s">
        <v>507</v>
      </c>
      <c r="D13" s="248">
        <f>IS!D43</f>
        <v>0</v>
      </c>
      <c r="E13" s="248">
        <f>IS!E43</f>
        <v>0</v>
      </c>
      <c r="F13" s="248">
        <f ca="1">IS!F43</f>
        <v>2.029107639711679</v>
      </c>
      <c r="G13" s="248">
        <f ca="1">IS!G43</f>
        <v>3.0024745972324718</v>
      </c>
      <c r="H13" s="248">
        <f ca="1">IS!H43</f>
        <v>3.538420536497854</v>
      </c>
      <c r="I13" s="248">
        <f ca="1">IS!I43</f>
        <v>4.1821300594827679</v>
      </c>
      <c r="J13" s="248">
        <f ca="1">IS!J43</f>
        <v>3.6426850758881555</v>
      </c>
      <c r="K13" s="248">
        <f ca="1">IS!K43</f>
        <v>4.5574974390217209</v>
      </c>
      <c r="L13" s="248">
        <f ca="1">IS!L43</f>
        <v>5.1699821903696481</v>
      </c>
      <c r="M13" s="248">
        <f ca="1">IS!M43</f>
        <v>5.7975250954803084</v>
      </c>
      <c r="N13" s="248">
        <f ca="1">IS!N43</f>
        <v>6.4749558701378396</v>
      </c>
      <c r="O13" s="248">
        <f ca="1">IS!O43</f>
        <v>6.152405090011154</v>
      </c>
    </row>
    <row r="14" spans="2:16" ht="18" customHeight="1" x14ac:dyDescent="0.25">
      <c r="B14" s="1" t="s">
        <v>508</v>
      </c>
      <c r="D14" s="248">
        <f ca="1">(BS!D13+BS!D16)-(BS!C13+BS!C16)</f>
        <v>12.12775196965867</v>
      </c>
      <c r="E14" s="248">
        <f ca="1">(BS!E13+BS!E16)-(BS!D13+BS!D16)</f>
        <v>0</v>
      </c>
      <c r="F14" s="248">
        <f ca="1">(BS!F13+BS!F16)-(BS!E13+BS!E16)</f>
        <v>0.70788916046301686</v>
      </c>
      <c r="G14" s="248">
        <f ca="1">(BS!G13+BS!G16)-(BS!F13+BS!F16)</f>
        <v>0</v>
      </c>
      <c r="H14" s="248">
        <f ca="1">(BS!H13+BS!H16)-(BS!G13+BS!G16)</f>
        <v>0</v>
      </c>
      <c r="I14" s="248">
        <f ca="1">(BS!I13+BS!I16)-(BS!H13+BS!H16)</f>
        <v>0</v>
      </c>
      <c r="J14" s="248">
        <f ca="1">(BS!J13+BS!J16)-(BS!I13+BS!I16)</f>
        <v>0</v>
      </c>
      <c r="K14" s="248">
        <f ca="1">(BS!K13+BS!K16)-(BS!J13+BS!J16)</f>
        <v>0</v>
      </c>
      <c r="L14" s="248">
        <f ca="1">(BS!L13+BS!L16)-(BS!K13+BS!K16)</f>
        <v>0</v>
      </c>
      <c r="M14" s="248">
        <f ca="1">(BS!M13+BS!M16)-(BS!L13+BS!L16)</f>
        <v>0</v>
      </c>
      <c r="N14" s="248">
        <f ca="1">(BS!N13+BS!N16)-(BS!M13+BS!M16)</f>
        <v>0</v>
      </c>
      <c r="O14" s="248">
        <f ca="1">(BS!O13+BS!O16)-(BS!N13+BS!N16)</f>
        <v>0</v>
      </c>
    </row>
    <row r="15" spans="2:16" ht="18" customHeight="1" x14ac:dyDescent="0.25">
      <c r="B15" s="1" t="s">
        <v>509</v>
      </c>
      <c r="D15" s="248">
        <f>'Loan Schedule'!D13</f>
        <v>14.215</v>
      </c>
      <c r="E15" s="248">
        <f>'Loan Schedule'!E13</f>
        <v>14.215</v>
      </c>
      <c r="F15" s="248">
        <f>'Loan Schedule'!F13</f>
        <v>0</v>
      </c>
      <c r="G15" s="248">
        <f>'Loan Schedule'!G13</f>
        <v>0</v>
      </c>
      <c r="H15" s="248">
        <f>'Loan Schedule'!H13</f>
        <v>0</v>
      </c>
      <c r="I15" s="248">
        <f>'Loan Schedule'!I13</f>
        <v>0</v>
      </c>
      <c r="J15" s="248">
        <f>'Loan Schedule'!J13</f>
        <v>0</v>
      </c>
      <c r="K15" s="248">
        <f>'Loan Schedule'!K13</f>
        <v>0</v>
      </c>
      <c r="L15" s="248">
        <f>'Loan Schedule'!L13</f>
        <v>0</v>
      </c>
      <c r="M15" s="248">
        <f>'Loan Schedule'!M13</f>
        <v>0</v>
      </c>
      <c r="N15" s="248">
        <f>'Loan Schedule'!N13</f>
        <v>0</v>
      </c>
      <c r="O15" s="248">
        <f>'Loan Schedule'!O13</f>
        <v>0</v>
      </c>
    </row>
    <row r="16" spans="2:16" ht="18" customHeight="1" x14ac:dyDescent="0.25">
      <c r="B16" s="1" t="s">
        <v>510</v>
      </c>
      <c r="D16" s="249">
        <v>0</v>
      </c>
      <c r="E16" s="249">
        <v>0</v>
      </c>
      <c r="F16" s="248">
        <f>'TPC and MoF'!D30</f>
        <v>1.5</v>
      </c>
      <c r="G16" s="248">
        <v>0</v>
      </c>
      <c r="H16" s="248">
        <v>0</v>
      </c>
      <c r="I16" s="248">
        <v>0</v>
      </c>
      <c r="J16" s="248">
        <v>0</v>
      </c>
      <c r="K16" s="248">
        <v>0</v>
      </c>
      <c r="L16" s="248">
        <v>0</v>
      </c>
      <c r="M16" s="248">
        <v>0</v>
      </c>
      <c r="N16" s="248">
        <v>0</v>
      </c>
      <c r="O16" s="248">
        <v>0</v>
      </c>
    </row>
    <row r="17" spans="2:15" ht="18" customHeight="1" x14ac:dyDescent="0.25">
      <c r="B17" s="1" t="s">
        <v>511</v>
      </c>
      <c r="D17" s="248">
        <f>IS!D22</f>
        <v>0</v>
      </c>
      <c r="E17" s="248">
        <f>IS!E22</f>
        <v>0</v>
      </c>
      <c r="F17" s="248">
        <f>IS!F22</f>
        <v>1.125477093309319</v>
      </c>
      <c r="G17" s="248">
        <f>IS!G22</f>
        <v>2.3009329600151176</v>
      </c>
      <c r="H17" s="248">
        <f>IS!H22</f>
        <v>2.3009329600151176</v>
      </c>
      <c r="I17" s="248">
        <f>IS!I22</f>
        <v>2.3009329600151176</v>
      </c>
      <c r="J17" s="248">
        <f>IS!J22</f>
        <v>2.3009329600151176</v>
      </c>
      <c r="K17" s="248">
        <f>IS!K22</f>
        <v>2.2910037681274065</v>
      </c>
      <c r="L17" s="248">
        <f>IS!L22</f>
        <v>2.2810745762396958</v>
      </c>
      <c r="M17" s="248">
        <f>IS!M22</f>
        <v>2.2810745762396958</v>
      </c>
      <c r="N17" s="248">
        <f>IS!N22</f>
        <v>2.2615264797107648</v>
      </c>
      <c r="O17" s="248">
        <f>IS!O22</f>
        <v>2.2419783831818343</v>
      </c>
    </row>
    <row r="18" spans="2:15" ht="18" customHeight="1" x14ac:dyDescent="0.25">
      <c r="B18" s="1" t="s">
        <v>512</v>
      </c>
      <c r="D18" s="248">
        <f>IS!D34</f>
        <v>0</v>
      </c>
      <c r="E18" s="248">
        <f>IS!E34</f>
        <v>0</v>
      </c>
      <c r="F18" s="248">
        <f>IS!F34</f>
        <v>0.379</v>
      </c>
      <c r="G18" s="248">
        <f>IS!G34</f>
        <v>0.379</v>
      </c>
      <c r="H18" s="248">
        <f>IS!H34</f>
        <v>0.379</v>
      </c>
      <c r="I18" s="248">
        <f>IS!I34</f>
        <v>0.379</v>
      </c>
      <c r="J18" s="248">
        <f>IS!J34</f>
        <v>0.379</v>
      </c>
      <c r="K18" s="248">
        <f>IS!K34</f>
        <v>0</v>
      </c>
      <c r="L18" s="248">
        <f>IS!L34</f>
        <v>0</v>
      </c>
      <c r="M18" s="248">
        <f>IS!M34</f>
        <v>0</v>
      </c>
      <c r="N18" s="248">
        <f>IS!N34</f>
        <v>0</v>
      </c>
      <c r="O18" s="248">
        <f>IS!O34</f>
        <v>0</v>
      </c>
    </row>
    <row r="19" spans="2:15" ht="18" customHeight="1" x14ac:dyDescent="0.25">
      <c r="B19" s="1" t="s">
        <v>513</v>
      </c>
      <c r="F19" s="248">
        <f>BS!F18-BS!E18</f>
        <v>0.97347635365211937</v>
      </c>
      <c r="G19" s="248">
        <f>BS!G18-BS!F18</f>
        <v>4.278326002985211E-2</v>
      </c>
      <c r="H19" s="248">
        <f>BS!H18-BS!G18</f>
        <v>5.1683757463830915E-2</v>
      </c>
      <c r="I19" s="248">
        <f>BS!I18-BS!H18</f>
        <v>5.4550777815433271E-2</v>
      </c>
      <c r="J19" s="248">
        <f>BS!J18-BS!I18</f>
        <v>5.2443457279162109E-2</v>
      </c>
      <c r="K19" s="248">
        <f>BS!K18-BS!J18</f>
        <v>6.0158938427740338E-2</v>
      </c>
      <c r="L19" s="248">
        <f>BS!L18-BS!K18</f>
        <v>6.3371943541422393E-2</v>
      </c>
      <c r="M19" s="248">
        <f>BS!M18-BS!L18</f>
        <v>6.6786526591025464E-2</v>
      </c>
      <c r="N19" s="248">
        <f>BS!N18-BS!M18</f>
        <v>7.0385022440077272E-2</v>
      </c>
      <c r="O19" s="248">
        <f>BS!O18-BS!N18</f>
        <v>7.4154312840837067E-2</v>
      </c>
    </row>
    <row r="20" spans="2:15" ht="18.75" customHeight="1" x14ac:dyDescent="0.25">
      <c r="B20" s="279" t="s">
        <v>273</v>
      </c>
      <c r="C20" s="279"/>
      <c r="D20" s="284">
        <f t="shared" ref="D20:O20" ca="1" si="3">SUM(D13:D19)</f>
        <v>26.342751969658671</v>
      </c>
      <c r="E20" s="284">
        <f t="shared" ca="1" si="3"/>
        <v>14.215</v>
      </c>
      <c r="F20" s="284">
        <f t="shared" ca="1" si="3"/>
        <v>6.7149502471361338</v>
      </c>
      <c r="G20" s="284">
        <f t="shared" ca="1" si="3"/>
        <v>5.7251908172774417</v>
      </c>
      <c r="H20" s="284">
        <f t="shared" ca="1" si="3"/>
        <v>6.2700372539768026</v>
      </c>
      <c r="I20" s="284">
        <f t="shared" ca="1" si="3"/>
        <v>6.9166137973133184</v>
      </c>
      <c r="J20" s="284">
        <f t="shared" ca="1" si="3"/>
        <v>6.3750614931824359</v>
      </c>
      <c r="K20" s="284">
        <f t="shared" ca="1" si="3"/>
        <v>6.9086601455768673</v>
      </c>
      <c r="L20" s="284">
        <f t="shared" ca="1" si="3"/>
        <v>7.5144287101507672</v>
      </c>
      <c r="M20" s="284">
        <f t="shared" ca="1" si="3"/>
        <v>8.1453861983110301</v>
      </c>
      <c r="N20" s="284">
        <f t="shared" ca="1" si="3"/>
        <v>8.8068673722886821</v>
      </c>
      <c r="O20" s="284">
        <f t="shared" ca="1" si="3"/>
        <v>8.468537786033826</v>
      </c>
    </row>
    <row r="21" spans="2:15" ht="10.5" customHeight="1" x14ac:dyDescent="0.25"/>
    <row r="22" spans="2:15" ht="21.75" customHeight="1" x14ac:dyDescent="0.25">
      <c r="B22" s="278" t="s">
        <v>514</v>
      </c>
    </row>
    <row r="23" spans="2:15" ht="18" customHeight="1" x14ac:dyDescent="0.25">
      <c r="B23" s="1" t="s">
        <v>515</v>
      </c>
      <c r="D23" s="248">
        <f ca="1">D20-D29</f>
        <v>24.447751969658672</v>
      </c>
      <c r="E23" s="248">
        <f ca="1">BS!E32-CFS!D23</f>
        <v>14.215</v>
      </c>
      <c r="F23" s="248">
        <f>BS!F32-BS!E32</f>
        <v>0</v>
      </c>
      <c r="G23" s="248">
        <v>0</v>
      </c>
      <c r="H23" s="248">
        <f>BS!H32-BS!G32</f>
        <v>0</v>
      </c>
      <c r="I23" s="248">
        <f>BS!I32-BS!H32</f>
        <v>0</v>
      </c>
      <c r="J23" s="248">
        <f>BS!J32-BS!I32</f>
        <v>0</v>
      </c>
      <c r="K23" s="248">
        <f>BS!K32-BS!J32</f>
        <v>0</v>
      </c>
      <c r="L23" s="248">
        <f>BS!L32-BS!K32</f>
        <v>-9.9291918877113972E-2</v>
      </c>
      <c r="M23" s="248">
        <f>BS!M32-BS!L32</f>
        <v>0</v>
      </c>
      <c r="N23" s="248">
        <f>BS!N32-BS!M32</f>
        <v>0</v>
      </c>
      <c r="O23" s="248">
        <f>BS!O32-BS!N32</f>
        <v>-0.3127695444628813</v>
      </c>
    </row>
    <row r="24" spans="2:15" ht="18" customHeight="1" x14ac:dyDescent="0.25">
      <c r="B24" s="1" t="s">
        <v>516</v>
      </c>
      <c r="D24" s="248">
        <f>'Loan Schedule'!D14</f>
        <v>0</v>
      </c>
      <c r="E24" s="248">
        <f>'Loan Schedule'!E14</f>
        <v>0</v>
      </c>
      <c r="F24" s="248">
        <f>'Loan Schedule'!F14</f>
        <v>0</v>
      </c>
      <c r="G24" s="248">
        <f>'Loan Schedule'!G14</f>
        <v>3.1585729999999992</v>
      </c>
      <c r="H24" s="248">
        <f>'Loan Schedule'!H14</f>
        <v>3.1585729999999992</v>
      </c>
      <c r="I24" s="248">
        <f>'Loan Schedule'!I14</f>
        <v>3.1585729999999992</v>
      </c>
      <c r="J24" s="248">
        <f>'Loan Schedule'!J14</f>
        <v>3.1585729999999992</v>
      </c>
      <c r="K24" s="248">
        <f>'Loan Schedule'!K14</f>
        <v>3.1585729999999992</v>
      </c>
      <c r="L24" s="248">
        <f>'Loan Schedule'!L14</f>
        <v>3.1585729999999992</v>
      </c>
      <c r="M24" s="248">
        <f>'Loan Schedule'!M14</f>
        <v>3.4116</v>
      </c>
      <c r="N24" s="248">
        <f>'Loan Schedule'!N14</f>
        <v>3.6959</v>
      </c>
      <c r="O24" s="248">
        <f>'Loan Schedule'!O14</f>
        <v>2.371061999999978</v>
      </c>
    </row>
    <row r="25" spans="2:15" ht="18" customHeight="1" x14ac:dyDescent="0.25">
      <c r="B25" s="1" t="s">
        <v>517</v>
      </c>
      <c r="D25" s="248">
        <f>BS!D38-BS!C38</f>
        <v>0</v>
      </c>
      <c r="E25" s="248">
        <f>BS!E38-BS!D38</f>
        <v>0</v>
      </c>
      <c r="F25" s="248">
        <f>BS!F38-BS!E38</f>
        <v>1.8319349999999999</v>
      </c>
      <c r="G25" s="248">
        <f>BS!G38-BS!F38</f>
        <v>9.1596749999999894E-2</v>
      </c>
      <c r="H25" s="248">
        <f>BS!H38-BS!G38</f>
        <v>9.6176587500000688E-2</v>
      </c>
      <c r="I25" s="248">
        <f>BS!I38-BS!H38</f>
        <v>0.10361809104285724</v>
      </c>
      <c r="J25" s="248">
        <f>BS!J38-BS!I38</f>
        <v>-2.6326741678572851E-3</v>
      </c>
      <c r="K25" s="248">
        <f>BS!K38-BS!J38</f>
        <v>0.10603468771875013</v>
      </c>
      <c r="L25" s="248">
        <f>BS!L38-BS!K38</f>
        <v>0.11133642210468819</v>
      </c>
      <c r="M25" s="248">
        <f>BS!M38-BS!L38</f>
        <v>0.11690324320992129</v>
      </c>
      <c r="N25" s="248">
        <f>BS!N38-BS!M38</f>
        <v>0.1227484053704182</v>
      </c>
      <c r="O25" s="248">
        <f>BS!O38-BS!N38</f>
        <v>0.12888582563893891</v>
      </c>
    </row>
    <row r="26" spans="2:15" ht="18" customHeight="1" x14ac:dyDescent="0.25">
      <c r="B26" s="1" t="s">
        <v>518</v>
      </c>
      <c r="D26" s="248">
        <f>BS!D39-BS!C39</f>
        <v>0</v>
      </c>
      <c r="E26" s="248">
        <f>BS!E39-BS!D39</f>
        <v>0</v>
      </c>
      <c r="F26" s="248">
        <f ca="1">BS!F39-BS!E39</f>
        <v>1.9730979955041903</v>
      </c>
      <c r="G26" s="248">
        <f ca="1">BS!G39-BS!F39</f>
        <v>0.18374571424643893</v>
      </c>
      <c r="H26" s="248">
        <f ca="1">BS!H39-BS!G39</f>
        <v>0.10765159472030783</v>
      </c>
      <c r="I26" s="248">
        <f ca="1">BS!I39-BS!H39</f>
        <v>0.10968706670488038</v>
      </c>
      <c r="J26" s="248">
        <f ca="1">BS!J39-BS!I39</f>
        <v>0.1152060539662294</v>
      </c>
      <c r="K26" s="248">
        <f ca="1">BS!K39-BS!J39</f>
        <v>0.12074897406062757</v>
      </c>
      <c r="L26" s="248">
        <f ca="1">BS!L39-BS!K39</f>
        <v>0.12699452282437296</v>
      </c>
      <c r="M26" s="248">
        <f ca="1">BS!M39-BS!L39</f>
        <v>0.13401712931772281</v>
      </c>
      <c r="N26" s="248">
        <f ca="1">BS!N39-BS!M39</f>
        <v>0.14019081068545436</v>
      </c>
      <c r="O26" s="248">
        <f ca="1">BS!O39-BS!N39</f>
        <v>0.14745861750325773</v>
      </c>
    </row>
    <row r="27" spans="2:15" ht="18" customHeight="1" x14ac:dyDescent="0.25">
      <c r="B27" s="1" t="s">
        <v>499</v>
      </c>
      <c r="D27" s="281">
        <v>0</v>
      </c>
      <c r="E27" s="281">
        <v>0</v>
      </c>
      <c r="F27" s="281">
        <f>'Revenue &amp; Expense Modelling'!F46</f>
        <v>0.63507080000000005</v>
      </c>
      <c r="G27" s="281">
        <f>'Revenue &amp; Expense Modelling'!G46</f>
        <v>1.2823545000000001</v>
      </c>
      <c r="H27" s="281">
        <f>'Revenue &amp; Expense Modelling'!H46</f>
        <v>1.3464722250000003</v>
      </c>
      <c r="I27" s="281">
        <f>'Revenue &amp; Expense Modelling'!I46</f>
        <v>1.4506532746000009</v>
      </c>
      <c r="J27" s="281">
        <f>'Revenue &amp; Expense Modelling'!J46</f>
        <v>0</v>
      </c>
      <c r="K27" s="281">
        <f>BS!K41-BS!J41</f>
        <v>0</v>
      </c>
      <c r="L27" s="281">
        <f>BS!L41-BS!K41</f>
        <v>0</v>
      </c>
      <c r="M27" s="281">
        <f>BS!M41-BS!L41</f>
        <v>0</v>
      </c>
      <c r="N27" s="281">
        <f>BS!N41-BS!M41</f>
        <v>0</v>
      </c>
      <c r="O27" s="281">
        <f>BS!O41-BS!N41</f>
        <v>0</v>
      </c>
    </row>
    <row r="28" spans="2:15" ht="18" customHeight="1" x14ac:dyDescent="0.25">
      <c r="B28" s="1" t="s">
        <v>500</v>
      </c>
      <c r="D28" s="248">
        <v>0</v>
      </c>
      <c r="E28" s="248">
        <f>BS!E35-BS!D35</f>
        <v>0</v>
      </c>
      <c r="F28" s="248">
        <f>BS!F35-BS!E35</f>
        <v>0</v>
      </c>
      <c r="G28" s="248">
        <f>BS!G35-BS!F35</f>
        <v>0</v>
      </c>
      <c r="H28" s="248">
        <f>BS!H35-BS!G35</f>
        <v>0</v>
      </c>
      <c r="I28" s="248">
        <f>BS!I35-BS!H35</f>
        <v>0</v>
      </c>
      <c r="J28" s="248">
        <f>BS!J35-BS!I35</f>
        <v>0</v>
      </c>
      <c r="K28" s="248">
        <f>BS!K35-BS!J35</f>
        <v>0</v>
      </c>
      <c r="L28" s="248">
        <f>BS!L35-BS!K35</f>
        <v>0</v>
      </c>
      <c r="M28" s="248">
        <f>BS!M35-BS!L35</f>
        <v>0</v>
      </c>
      <c r="N28" s="248">
        <f>BS!N35-BS!M35</f>
        <v>0</v>
      </c>
      <c r="O28" s="248">
        <f>BS!O35-BS!N35</f>
        <v>0</v>
      </c>
    </row>
    <row r="29" spans="2:15" ht="18" customHeight="1" x14ac:dyDescent="0.25">
      <c r="B29" s="1" t="s">
        <v>526</v>
      </c>
      <c r="D29" s="248">
        <f>'TPC and MoF'!$D$17</f>
        <v>1.895</v>
      </c>
      <c r="E29" s="248">
        <v>0</v>
      </c>
      <c r="F29" s="249">
        <v>0</v>
      </c>
      <c r="G29" s="249">
        <v>0</v>
      </c>
      <c r="H29" s="249">
        <v>0</v>
      </c>
      <c r="I29" s="249">
        <v>0</v>
      </c>
      <c r="J29" s="249">
        <v>0</v>
      </c>
      <c r="K29" s="249">
        <v>0</v>
      </c>
      <c r="L29" s="249">
        <v>0</v>
      </c>
      <c r="M29" s="249">
        <v>0</v>
      </c>
      <c r="N29" s="249">
        <v>0</v>
      </c>
      <c r="O29" s="249">
        <v>0</v>
      </c>
    </row>
    <row r="30" spans="2:15" ht="18.75" customHeight="1" x14ac:dyDescent="0.25">
      <c r="B30" s="279" t="s">
        <v>273</v>
      </c>
      <c r="C30" s="279"/>
      <c r="D30" s="284">
        <f ca="1">SUM(D23:D29)</f>
        <v>26.342751969658671</v>
      </c>
      <c r="E30" s="284">
        <f ca="1">SUM(E23:E29)</f>
        <v>14.215</v>
      </c>
      <c r="F30" s="284">
        <f t="shared" ref="F30:O30" ca="1" si="4">SUM(F23:F29)</f>
        <v>4.4401037955041902</v>
      </c>
      <c r="G30" s="284">
        <f t="shared" ca="1" si="4"/>
        <v>4.7162699642464379</v>
      </c>
      <c r="H30" s="284">
        <f t="shared" ca="1" si="4"/>
        <v>4.7088734072203078</v>
      </c>
      <c r="I30" s="284">
        <f t="shared" ca="1" si="4"/>
        <v>4.8225314323477377</v>
      </c>
      <c r="J30" s="284">
        <f t="shared" ca="1" si="4"/>
        <v>3.2711463797983713</v>
      </c>
      <c r="K30" s="284">
        <f t="shared" ca="1" si="4"/>
        <v>3.3853566617793769</v>
      </c>
      <c r="L30" s="284">
        <f t="shared" ca="1" si="4"/>
        <v>3.2976120260519464</v>
      </c>
      <c r="M30" s="284">
        <f t="shared" ca="1" si="4"/>
        <v>3.6625203725276441</v>
      </c>
      <c r="N30" s="284">
        <f t="shared" ca="1" si="4"/>
        <v>3.9588392160558725</v>
      </c>
      <c r="O30" s="284">
        <f t="shared" ca="1" si="4"/>
        <v>2.3346368986792934</v>
      </c>
    </row>
    <row r="31" spans="2:15" ht="19.5" customHeight="1" x14ac:dyDescent="0.25">
      <c r="B31" s="1" t="s">
        <v>519</v>
      </c>
      <c r="D31" s="248">
        <f>C33</f>
        <v>0</v>
      </c>
      <c r="E31" s="248">
        <f t="shared" ref="E31:O31" ca="1" si="5">D33</f>
        <v>0</v>
      </c>
      <c r="F31" s="248">
        <f t="shared" ca="1" si="5"/>
        <v>0</v>
      </c>
      <c r="G31" s="248">
        <f t="shared" ca="1" si="5"/>
        <v>2.2748464516319435</v>
      </c>
      <c r="H31" s="248">
        <f t="shared" ca="1" si="5"/>
        <v>3.2837673046629474</v>
      </c>
      <c r="I31" s="248">
        <f t="shared" ca="1" si="5"/>
        <v>4.8449311514194422</v>
      </c>
      <c r="J31" s="248">
        <f t="shared" ca="1" si="5"/>
        <v>6.9390135163850228</v>
      </c>
      <c r="K31" s="248">
        <f t="shared" ca="1" si="5"/>
        <v>10.042928629769087</v>
      </c>
      <c r="L31" s="248">
        <f t="shared" ca="1" si="5"/>
        <v>13.566232113566578</v>
      </c>
      <c r="M31" s="248">
        <f t="shared" ca="1" si="5"/>
        <v>17.783048797665398</v>
      </c>
      <c r="N31" s="248">
        <f t="shared" ca="1" si="5"/>
        <v>22.265914623448783</v>
      </c>
      <c r="O31" s="248">
        <f t="shared" ca="1" si="5"/>
        <v>27.113942779681594</v>
      </c>
    </row>
    <row r="32" spans="2:15" ht="21" customHeight="1" x14ac:dyDescent="0.25">
      <c r="B32" s="1" t="s">
        <v>520</v>
      </c>
      <c r="D32" s="248">
        <f t="shared" ref="D32:O32" ca="1" si="6">D20-D30</f>
        <v>0</v>
      </c>
      <c r="E32" s="248">
        <f t="shared" ca="1" si="6"/>
        <v>0</v>
      </c>
      <c r="F32" s="248">
        <f t="shared" ca="1" si="6"/>
        <v>2.2748464516319435</v>
      </c>
      <c r="G32" s="248">
        <f t="shared" ca="1" si="6"/>
        <v>1.0089208530310039</v>
      </c>
      <c r="H32" s="248">
        <f t="shared" ca="1" si="6"/>
        <v>1.5611638467564948</v>
      </c>
      <c r="I32" s="248">
        <f t="shared" ca="1" si="6"/>
        <v>2.0940823649655806</v>
      </c>
      <c r="J32" s="248">
        <f t="shared" ca="1" si="6"/>
        <v>3.1039151133840646</v>
      </c>
      <c r="K32" s="248">
        <f t="shared" ca="1" si="6"/>
        <v>3.5233034837974904</v>
      </c>
      <c r="L32" s="248">
        <f t="shared" ca="1" si="6"/>
        <v>4.2168166840988208</v>
      </c>
      <c r="M32" s="248">
        <f t="shared" ca="1" si="6"/>
        <v>4.482865825783386</v>
      </c>
      <c r="N32" s="248">
        <f t="shared" ca="1" si="6"/>
        <v>4.8480281562328091</v>
      </c>
      <c r="O32" s="248">
        <f t="shared" ca="1" si="6"/>
        <v>6.1339008873545326</v>
      </c>
    </row>
    <row r="33" spans="2:15" ht="22.5" customHeight="1" x14ac:dyDescent="0.25">
      <c r="B33" s="1" t="s">
        <v>521</v>
      </c>
      <c r="D33" s="248">
        <f ca="1">D31+D32</f>
        <v>0</v>
      </c>
      <c r="E33" s="248">
        <f t="shared" ref="E33:O33" ca="1" si="7">E31+E32</f>
        <v>0</v>
      </c>
      <c r="F33" s="248">
        <f t="shared" ca="1" si="7"/>
        <v>2.2748464516319435</v>
      </c>
      <c r="G33" s="248">
        <f t="shared" ca="1" si="7"/>
        <v>3.2837673046629474</v>
      </c>
      <c r="H33" s="248">
        <f t="shared" ca="1" si="7"/>
        <v>4.8449311514194422</v>
      </c>
      <c r="I33" s="248">
        <f t="shared" ca="1" si="7"/>
        <v>6.9390135163850228</v>
      </c>
      <c r="J33" s="248">
        <f t="shared" ca="1" si="7"/>
        <v>10.042928629769087</v>
      </c>
      <c r="K33" s="248">
        <f t="shared" ca="1" si="7"/>
        <v>13.566232113566578</v>
      </c>
      <c r="L33" s="248">
        <f t="shared" ca="1" si="7"/>
        <v>17.783048797665398</v>
      </c>
      <c r="M33" s="248">
        <f t="shared" ca="1" si="7"/>
        <v>22.265914623448783</v>
      </c>
      <c r="N33" s="248">
        <f t="shared" ca="1" si="7"/>
        <v>27.113942779681594</v>
      </c>
      <c r="O33" s="248">
        <f t="shared" ca="1" si="7"/>
        <v>33.247843667036129</v>
      </c>
    </row>
  </sheetData>
  <mergeCells count="2">
    <mergeCell ref="D8:E8"/>
    <mergeCell ref="F8:O8"/>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6"/>
  <sheetViews>
    <sheetView showGridLines="0" workbookViewId="0"/>
  </sheetViews>
  <sheetFormatPr defaultColWidth="32.28515625" defaultRowHeight="15" x14ac:dyDescent="0.25"/>
  <cols>
    <col min="1" max="1" width="4.7109375" style="11" customWidth="1"/>
    <col min="2" max="2" width="41.85546875" style="3" customWidth="1"/>
    <col min="3" max="3" width="16.5703125" style="25" customWidth="1"/>
    <col min="4" max="4" width="25.7109375" style="25" customWidth="1"/>
    <col min="5" max="5" width="22.42578125" style="25" customWidth="1"/>
    <col min="6" max="6" width="25" style="25" customWidth="1"/>
    <col min="7" max="14" width="14" style="11" customWidth="1"/>
    <col min="15" max="16384" width="32.28515625" style="11"/>
  </cols>
  <sheetData>
    <row r="1" spans="2:6" ht="16.5" customHeight="1" x14ac:dyDescent="0.25"/>
    <row r="2" spans="2:6" s="2" customFormat="1" ht="16.5" customHeight="1" x14ac:dyDescent="0.25">
      <c r="B2" s="678" t="s">
        <v>292</v>
      </c>
      <c r="C2" s="678"/>
      <c r="D2" s="678"/>
      <c r="E2" s="678"/>
      <c r="F2" s="679"/>
    </row>
    <row r="3" spans="2:6" s="2" customFormat="1" ht="15" customHeight="1" x14ac:dyDescent="0.25"/>
    <row r="4" spans="2:6" s="191" customFormat="1" ht="18.75" customHeight="1" x14ac:dyDescent="0.25">
      <c r="B4" s="680" t="s">
        <v>293</v>
      </c>
      <c r="C4" s="681"/>
      <c r="D4" s="681"/>
      <c r="E4" s="681"/>
      <c r="F4" s="681"/>
    </row>
    <row r="5" spans="2:6" s="2" customFormat="1" ht="18.75" customHeight="1" x14ac:dyDescent="0.25">
      <c r="B5" s="192" t="s">
        <v>294</v>
      </c>
      <c r="C5" s="193"/>
      <c r="D5" s="193" t="s">
        <v>295</v>
      </c>
      <c r="E5" s="193"/>
      <c r="F5" s="193" t="s">
        <v>295</v>
      </c>
    </row>
    <row r="6" spans="2:6" s="195" customFormat="1" ht="18.75" customHeight="1" x14ac:dyDescent="0.25">
      <c r="B6" s="187" t="s">
        <v>296</v>
      </c>
      <c r="C6" s="194" t="s">
        <v>297</v>
      </c>
      <c r="D6" s="194" t="s">
        <v>298</v>
      </c>
      <c r="E6" s="194" t="s">
        <v>299</v>
      </c>
      <c r="F6" s="194" t="s">
        <v>300</v>
      </c>
    </row>
    <row r="7" spans="2:6" s="2" customFormat="1" ht="18.75" customHeight="1" x14ac:dyDescent="0.25">
      <c r="B7" s="3" t="s">
        <v>301</v>
      </c>
      <c r="C7" s="25">
        <v>6</v>
      </c>
      <c r="D7" s="92">
        <v>20000</v>
      </c>
      <c r="E7" s="25">
        <v>12</v>
      </c>
      <c r="F7" s="92">
        <f>(D7*C7*E7)</f>
        <v>1440000</v>
      </c>
    </row>
    <row r="8" spans="2:6" s="2" customFormat="1" ht="18.75" customHeight="1" x14ac:dyDescent="0.25">
      <c r="B8" s="3" t="s">
        <v>302</v>
      </c>
      <c r="C8" s="25">
        <v>2</v>
      </c>
      <c r="D8" s="92">
        <v>15000</v>
      </c>
      <c r="E8" s="25">
        <v>12</v>
      </c>
      <c r="F8" s="92">
        <f>(D8*C8*E8)</f>
        <v>360000</v>
      </c>
    </row>
    <row r="9" spans="2:6" s="2" customFormat="1" ht="18.75" customHeight="1" x14ac:dyDescent="0.25">
      <c r="B9" s="3" t="s">
        <v>303</v>
      </c>
      <c r="C9" s="25">
        <v>6</v>
      </c>
      <c r="D9" s="92">
        <v>12000</v>
      </c>
      <c r="E9" s="25">
        <v>12</v>
      </c>
      <c r="F9" s="92">
        <f>(D9*C9*E9)</f>
        <v>864000</v>
      </c>
    </row>
    <row r="10" spans="2:6" s="195" customFormat="1" ht="18.75" customHeight="1" x14ac:dyDescent="0.25">
      <c r="B10" s="192" t="s">
        <v>304</v>
      </c>
      <c r="C10" s="193">
        <f>SUM(C7:C9)</f>
        <v>14</v>
      </c>
      <c r="D10" s="196"/>
      <c r="E10" s="193">
        <v>12</v>
      </c>
      <c r="F10" s="196">
        <f>SUM(F7:F9)</f>
        <v>2664000</v>
      </c>
    </row>
    <row r="11" spans="2:6" s="195" customFormat="1" ht="18.75" customHeight="1" x14ac:dyDescent="0.25">
      <c r="B11" s="192" t="s">
        <v>305</v>
      </c>
      <c r="C11" s="193"/>
      <c r="D11" s="197"/>
      <c r="E11" s="193"/>
      <c r="F11" s="197"/>
    </row>
    <row r="12" spans="2:6" s="195" customFormat="1" ht="18.75" customHeight="1" x14ac:dyDescent="0.25">
      <c r="B12" s="187" t="s">
        <v>296</v>
      </c>
      <c r="C12" s="194" t="s">
        <v>297</v>
      </c>
      <c r="D12" s="194" t="s">
        <v>298</v>
      </c>
      <c r="E12" s="194" t="s">
        <v>299</v>
      </c>
      <c r="F12" s="194" t="s">
        <v>300</v>
      </c>
    </row>
    <row r="13" spans="2:6" s="2" customFormat="1" ht="18.75" customHeight="1" x14ac:dyDescent="0.25">
      <c r="B13" s="3" t="s">
        <v>306</v>
      </c>
      <c r="C13" s="25">
        <v>2</v>
      </c>
      <c r="D13" s="92">
        <v>35000</v>
      </c>
      <c r="E13" s="25">
        <v>12</v>
      </c>
      <c r="F13" s="92">
        <f>(D13*C13*E13)</f>
        <v>840000</v>
      </c>
    </row>
    <row r="14" spans="2:6" s="2" customFormat="1" ht="18.75" customHeight="1" x14ac:dyDescent="0.25">
      <c r="B14" s="3" t="s">
        <v>307</v>
      </c>
      <c r="C14" s="25">
        <v>1</v>
      </c>
      <c r="D14" s="92">
        <v>25000</v>
      </c>
      <c r="E14" s="25">
        <v>12</v>
      </c>
      <c r="F14" s="92">
        <f>(D14*C14*E14)</f>
        <v>300000</v>
      </c>
    </row>
    <row r="15" spans="2:6" s="2" customFormat="1" ht="18.75" customHeight="1" x14ac:dyDescent="0.25">
      <c r="B15" s="3" t="s">
        <v>308</v>
      </c>
      <c r="C15" s="25">
        <v>1</v>
      </c>
      <c r="D15" s="92">
        <v>15000</v>
      </c>
      <c r="E15" s="25">
        <v>12</v>
      </c>
      <c r="F15" s="92">
        <f>(D15*C15*E15)</f>
        <v>180000</v>
      </c>
    </row>
    <row r="16" spans="2:6" s="2" customFormat="1" ht="18.75" customHeight="1" x14ac:dyDescent="0.25">
      <c r="B16" s="3" t="s">
        <v>309</v>
      </c>
      <c r="C16" s="25">
        <v>1</v>
      </c>
      <c r="D16" s="92">
        <v>12000</v>
      </c>
      <c r="E16" s="25">
        <v>12</v>
      </c>
      <c r="F16" s="92">
        <f>(D16*C16*E16)</f>
        <v>144000</v>
      </c>
    </row>
    <row r="17" spans="2:14" s="2" customFormat="1" ht="18.75" customHeight="1" x14ac:dyDescent="0.25">
      <c r="B17" s="3" t="s">
        <v>310</v>
      </c>
      <c r="C17" s="25">
        <v>1</v>
      </c>
      <c r="D17" s="92">
        <v>18500</v>
      </c>
      <c r="E17" s="25">
        <v>12</v>
      </c>
      <c r="F17" s="92">
        <f>(D17*C17*E17)</f>
        <v>222000</v>
      </c>
    </row>
    <row r="18" spans="2:14" s="195" customFormat="1" ht="18.75" customHeight="1" x14ac:dyDescent="0.25">
      <c r="B18" s="192" t="s">
        <v>304</v>
      </c>
      <c r="C18" s="193">
        <f>SUM(C13:C17)</f>
        <v>6</v>
      </c>
      <c r="D18" s="196"/>
      <c r="E18" s="193"/>
      <c r="F18" s="196">
        <f>SUM(F13:F17)</f>
        <v>1686000</v>
      </c>
    </row>
    <row r="19" spans="2:14" s="195" customFormat="1" ht="18.75" customHeight="1" x14ac:dyDescent="0.25">
      <c r="B19" s="192" t="s">
        <v>311</v>
      </c>
      <c r="C19" s="193">
        <f>C18+C10</f>
        <v>20</v>
      </c>
      <c r="D19" s="193"/>
      <c r="E19" s="193"/>
      <c r="F19" s="196">
        <f>(F10+F18)</f>
        <v>4350000</v>
      </c>
      <c r="G19" s="198"/>
      <c r="H19" s="198"/>
      <c r="I19" s="198"/>
      <c r="J19" s="198"/>
      <c r="K19" s="198"/>
      <c r="L19" s="198"/>
      <c r="M19" s="198"/>
      <c r="N19" s="198"/>
    </row>
    <row r="20" spans="2:14" s="2" customFormat="1" ht="18.75" customHeight="1" x14ac:dyDescent="0.25">
      <c r="B20" s="682" t="s">
        <v>312</v>
      </c>
      <c r="C20" s="683"/>
      <c r="D20" s="683"/>
      <c r="E20" s="683"/>
      <c r="F20" s="683"/>
    </row>
    <row r="21" spans="2:14" s="2" customFormat="1" ht="18.75" customHeight="1" x14ac:dyDescent="0.25">
      <c r="B21" s="3" t="s">
        <v>313</v>
      </c>
      <c r="C21" s="25">
        <v>1</v>
      </c>
      <c r="D21" s="92">
        <v>80000</v>
      </c>
      <c r="E21" s="25">
        <v>12</v>
      </c>
      <c r="F21" s="92">
        <f>(D21*C21*E21)</f>
        <v>960000</v>
      </c>
    </row>
    <row r="22" spans="2:14" s="2" customFormat="1" ht="18.75" customHeight="1" x14ac:dyDescent="0.25">
      <c r="B22" s="3" t="s">
        <v>314</v>
      </c>
      <c r="C22" s="25">
        <v>1</v>
      </c>
      <c r="D22" s="92">
        <v>25000</v>
      </c>
      <c r="E22" s="25">
        <v>12</v>
      </c>
      <c r="F22" s="92">
        <f>(D22*C22*E22)</f>
        <v>300000</v>
      </c>
    </row>
    <row r="23" spans="2:14" s="2" customFormat="1" ht="18.75" customHeight="1" x14ac:dyDescent="0.25">
      <c r="B23" s="3" t="s">
        <v>315</v>
      </c>
      <c r="C23" s="25">
        <v>2</v>
      </c>
      <c r="D23" s="92">
        <v>10000</v>
      </c>
      <c r="E23" s="25">
        <v>12</v>
      </c>
      <c r="F23" s="92">
        <f>(D23*C23*E23)</f>
        <v>240000</v>
      </c>
    </row>
    <row r="24" spans="2:14" s="2" customFormat="1" ht="18.75" customHeight="1" x14ac:dyDescent="0.25">
      <c r="B24" s="3" t="s">
        <v>316</v>
      </c>
      <c r="C24" s="25">
        <v>2</v>
      </c>
      <c r="D24" s="92">
        <v>15000</v>
      </c>
      <c r="E24" s="25">
        <v>12</v>
      </c>
      <c r="F24" s="92">
        <f>(D24*C24*E24)</f>
        <v>360000</v>
      </c>
    </row>
    <row r="25" spans="2:14" s="2" customFormat="1" ht="18.75" customHeight="1" x14ac:dyDescent="0.25">
      <c r="B25" s="3" t="s">
        <v>317</v>
      </c>
      <c r="C25" s="25">
        <v>2</v>
      </c>
      <c r="D25" s="92">
        <v>10000</v>
      </c>
      <c r="E25" s="25">
        <v>12</v>
      </c>
      <c r="F25" s="92">
        <f>(D25*C25*E25)</f>
        <v>240000</v>
      </c>
    </row>
    <row r="26" spans="2:14" s="195" customFormat="1" ht="18.75" customHeight="1" x14ac:dyDescent="0.25">
      <c r="B26" s="192" t="s">
        <v>318</v>
      </c>
      <c r="C26" s="193">
        <f>SUM(C21:C25)</f>
        <v>8</v>
      </c>
      <c r="D26" s="193"/>
      <c r="E26" s="193"/>
      <c r="F26" s="196">
        <f>SUM(F21:F25)</f>
        <v>2100000</v>
      </c>
      <c r="G26" s="198"/>
      <c r="H26" s="198"/>
      <c r="I26" s="198"/>
      <c r="J26" s="198"/>
      <c r="K26" s="198"/>
      <c r="L26" s="198"/>
      <c r="M26" s="198"/>
      <c r="N26" s="198"/>
    </row>
    <row r="27" spans="2:14" ht="17.25" customHeight="1" x14ac:dyDescent="0.25"/>
    <row r="28" spans="2:14" ht="17.25" customHeight="1" x14ac:dyDescent="0.25">
      <c r="B28" s="199" t="s">
        <v>319</v>
      </c>
      <c r="C28" s="30"/>
      <c r="D28" s="30"/>
      <c r="E28" s="30"/>
      <c r="F28" s="200">
        <f>+F19+F26</f>
        <v>6450000</v>
      </c>
    </row>
    <row r="29" spans="2:14" ht="17.25" customHeight="1" x14ac:dyDescent="0.25"/>
    <row r="30" spans="2:14" ht="17.25" customHeight="1" x14ac:dyDescent="0.25"/>
    <row r="33" spans="2:6" x14ac:dyDescent="0.25">
      <c r="B33" s="199" t="s">
        <v>902</v>
      </c>
      <c r="C33" s="30"/>
      <c r="D33" s="30"/>
      <c r="E33" s="30"/>
      <c r="F33" s="30"/>
    </row>
    <row r="34" spans="2:6" x14ac:dyDescent="0.25">
      <c r="B34" s="529" t="s">
        <v>903</v>
      </c>
      <c r="C34" s="259" t="s">
        <v>904</v>
      </c>
      <c r="D34" s="259" t="s">
        <v>58</v>
      </c>
      <c r="E34" s="259" t="s">
        <v>905</v>
      </c>
      <c r="F34" s="259" t="s">
        <v>273</v>
      </c>
    </row>
    <row r="35" spans="2:6" x14ac:dyDescent="0.25">
      <c r="B35" s="3" t="s">
        <v>906</v>
      </c>
      <c r="C35" s="25" t="s">
        <v>907</v>
      </c>
      <c r="D35" s="25">
        <v>1</v>
      </c>
      <c r="E35" s="25">
        <v>80000</v>
      </c>
      <c r="F35" s="25">
        <v>80000</v>
      </c>
    </row>
    <row r="36" spans="2:6" x14ac:dyDescent="0.25">
      <c r="B36" s="3" t="s">
        <v>908</v>
      </c>
      <c r="C36" s="25" t="s">
        <v>909</v>
      </c>
      <c r="D36" s="25">
        <v>1</v>
      </c>
      <c r="E36" s="25">
        <v>35000</v>
      </c>
      <c r="F36" s="25">
        <v>35000</v>
      </c>
    </row>
    <row r="37" spans="2:6" x14ac:dyDescent="0.25">
      <c r="B37" s="3" t="s">
        <v>910</v>
      </c>
      <c r="C37" s="25" t="s">
        <v>911</v>
      </c>
      <c r="D37" s="25">
        <v>2</v>
      </c>
      <c r="E37" s="25">
        <v>30000</v>
      </c>
      <c r="F37" s="25">
        <v>60000</v>
      </c>
    </row>
    <row r="38" spans="2:6" x14ac:dyDescent="0.25">
      <c r="B38" s="3" t="s">
        <v>912</v>
      </c>
      <c r="C38" s="25" t="s">
        <v>913</v>
      </c>
      <c r="D38" s="25">
        <v>1</v>
      </c>
      <c r="E38" s="25">
        <v>30000</v>
      </c>
      <c r="F38" s="25">
        <v>30000</v>
      </c>
    </row>
    <row r="39" spans="2:6" x14ac:dyDescent="0.25">
      <c r="B39" s="3" t="s">
        <v>914</v>
      </c>
      <c r="C39" s="25" t="s">
        <v>911</v>
      </c>
      <c r="D39" s="25">
        <v>3</v>
      </c>
      <c r="E39" s="25">
        <v>25000</v>
      </c>
      <c r="F39" s="25">
        <v>75000</v>
      </c>
    </row>
    <row r="40" spans="2:6" x14ac:dyDescent="0.25">
      <c r="B40" s="3" t="s">
        <v>915</v>
      </c>
      <c r="C40" s="25" t="s">
        <v>916</v>
      </c>
      <c r="D40" s="25">
        <v>2</v>
      </c>
      <c r="E40" s="25">
        <v>20000</v>
      </c>
      <c r="F40" s="25">
        <v>40000</v>
      </c>
    </row>
    <row r="41" spans="2:6" x14ac:dyDescent="0.25">
      <c r="B41" s="3" t="s">
        <v>917</v>
      </c>
      <c r="C41" s="25" t="s">
        <v>918</v>
      </c>
      <c r="D41" s="25">
        <v>1</v>
      </c>
      <c r="E41" s="25">
        <v>15000</v>
      </c>
      <c r="F41" s="25">
        <v>15000</v>
      </c>
    </row>
    <row r="42" spans="2:6" x14ac:dyDescent="0.25">
      <c r="B42" s="3" t="s">
        <v>919</v>
      </c>
      <c r="C42" s="25" t="s">
        <v>920</v>
      </c>
      <c r="D42" s="25">
        <v>2</v>
      </c>
      <c r="E42" s="25">
        <v>16000</v>
      </c>
      <c r="F42" s="25">
        <v>32000</v>
      </c>
    </row>
    <row r="43" spans="2:6" x14ac:dyDescent="0.25">
      <c r="B43" s="3" t="s">
        <v>921</v>
      </c>
      <c r="C43" s="25" t="s">
        <v>920</v>
      </c>
      <c r="D43" s="25">
        <v>1</v>
      </c>
      <c r="E43" s="25">
        <v>16000</v>
      </c>
      <c r="F43" s="25">
        <v>16000</v>
      </c>
    </row>
    <row r="44" spans="2:6" x14ac:dyDescent="0.25">
      <c r="B44" s="3" t="s">
        <v>922</v>
      </c>
      <c r="C44" s="25" t="s">
        <v>923</v>
      </c>
      <c r="D44" s="25">
        <v>2</v>
      </c>
      <c r="E44" s="25">
        <v>15000</v>
      </c>
      <c r="F44" s="25">
        <v>30000</v>
      </c>
    </row>
    <row r="45" spans="2:6" x14ac:dyDescent="0.25">
      <c r="B45" s="3" t="s">
        <v>924</v>
      </c>
      <c r="D45" s="25">
        <v>10</v>
      </c>
      <c r="E45" s="25">
        <v>18000</v>
      </c>
      <c r="F45" s="25">
        <v>180000</v>
      </c>
    </row>
    <row r="46" spans="2:6" x14ac:dyDescent="0.25">
      <c r="B46" s="529" t="s">
        <v>925</v>
      </c>
      <c r="C46" s="259"/>
      <c r="D46" s="259">
        <v>26</v>
      </c>
      <c r="E46" s="259"/>
      <c r="F46" s="259">
        <v>593000</v>
      </c>
    </row>
  </sheetData>
  <mergeCells count="3">
    <mergeCell ref="B2:F2"/>
    <mergeCell ref="B4:F4"/>
    <mergeCell ref="B20:F20"/>
  </mergeCells>
  <pageMargins left="0.7" right="0.7" top="0.75" bottom="0.75" header="0.3" footer="0.3"/>
  <pageSetup paperSize="9" orientation="landscape"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68"/>
  <sheetViews>
    <sheetView showGridLines="0" workbookViewId="0"/>
  </sheetViews>
  <sheetFormatPr defaultColWidth="13.7109375" defaultRowHeight="18" customHeight="1" x14ac:dyDescent="0.25"/>
  <cols>
    <col min="1" max="1" width="4.28515625" style="1" customWidth="1"/>
    <col min="2" max="2" width="38.7109375" style="1" customWidth="1"/>
    <col min="3" max="3" width="7.140625" style="1" customWidth="1"/>
    <col min="4" max="6" width="12.7109375" style="1" customWidth="1"/>
    <col min="7" max="7" width="17.7109375" style="1" customWidth="1"/>
    <col min="8" max="8" width="15.7109375" style="42" customWidth="1"/>
    <col min="9" max="9" width="13" style="1" customWidth="1"/>
    <col min="10" max="15" width="12.7109375" style="1" customWidth="1"/>
    <col min="16" max="16384" width="13.7109375" style="1"/>
  </cols>
  <sheetData>
    <row r="1" spans="2:16" ht="15.75" customHeight="1" x14ac:dyDescent="0.25"/>
    <row r="2" spans="2:16" s="2" customFormat="1" ht="18" customHeight="1" x14ac:dyDescent="0.25">
      <c r="B2" s="34" t="str">
        <f>"Financial Model of " &amp; B4</f>
        <v>Financial Model of Proposed 6000 KGPD CBG plant set up M/s. NRS BIO FUEL ENERGIES LLP</v>
      </c>
      <c r="C2" s="35"/>
      <c r="D2" s="35"/>
      <c r="E2" s="35"/>
      <c r="F2" s="35"/>
      <c r="G2" s="35"/>
      <c r="H2" s="35"/>
      <c r="I2" s="35"/>
      <c r="J2" s="35"/>
      <c r="K2" s="35"/>
      <c r="L2" s="35"/>
      <c r="M2" s="35"/>
      <c r="N2" s="35"/>
      <c r="O2" s="35"/>
      <c r="P2" s="25"/>
    </row>
    <row r="3" spans="2:16" s="2" customFormat="1" ht="12" customHeight="1" x14ac:dyDescent="0.25">
      <c r="C3" s="25"/>
      <c r="D3" s="25"/>
      <c r="E3" s="25"/>
      <c r="F3" s="25"/>
      <c r="G3" s="25"/>
      <c r="H3" s="25"/>
      <c r="I3" s="25"/>
      <c r="J3" s="25"/>
      <c r="K3" s="25"/>
      <c r="L3" s="25"/>
      <c r="M3" s="25"/>
      <c r="N3" s="25"/>
      <c r="O3" s="25"/>
      <c r="P3" s="25"/>
    </row>
    <row r="4" spans="2:16" s="2" customFormat="1" ht="18" customHeight="1" x14ac:dyDescent="0.25">
      <c r="B4" s="26" t="str">
        <f>'Common Assumption'!B4</f>
        <v>Proposed 6000 KGPD CBG plant set up M/s. NRS BIO FUEL ENERGIES LLP</v>
      </c>
      <c r="C4" s="26"/>
      <c r="D4" s="27"/>
      <c r="E4" s="27"/>
      <c r="F4" s="27"/>
      <c r="G4" s="27"/>
      <c r="H4" s="27"/>
      <c r="I4" s="27"/>
      <c r="J4" s="27"/>
      <c r="K4" s="27"/>
      <c r="L4" s="27"/>
      <c r="M4" s="27"/>
      <c r="N4" s="27"/>
      <c r="O4" s="27"/>
      <c r="P4" s="25"/>
    </row>
    <row r="5" spans="2:16" s="2" customFormat="1" ht="13.5" customHeight="1" x14ac:dyDescent="0.25">
      <c r="C5" s="25"/>
      <c r="D5" s="25"/>
      <c r="F5" s="28"/>
      <c r="H5" s="25"/>
      <c r="P5" s="25"/>
    </row>
    <row r="6" spans="2:16" s="2" customFormat="1" ht="18" customHeight="1" x14ac:dyDescent="0.25">
      <c r="B6" s="26" t="s">
        <v>374</v>
      </c>
      <c r="C6" s="26"/>
      <c r="D6" s="27"/>
      <c r="E6" s="27"/>
      <c r="F6" s="27"/>
      <c r="G6" s="27"/>
      <c r="H6" s="27"/>
      <c r="I6" s="27"/>
      <c r="J6" s="27"/>
      <c r="K6" s="27"/>
      <c r="L6" s="27"/>
      <c r="M6" s="27"/>
      <c r="N6" s="27"/>
      <c r="O6" s="27"/>
      <c r="P6" s="25"/>
    </row>
    <row r="7" spans="2:16" s="2" customFormat="1" ht="12.75" customHeight="1" x14ac:dyDescent="0.25">
      <c r="C7" s="25"/>
      <c r="D7" s="25"/>
      <c r="F7" s="28"/>
      <c r="H7" s="25"/>
      <c r="O7" s="25"/>
      <c r="P7" s="25"/>
    </row>
    <row r="8" spans="2:16" s="2" customFormat="1" ht="18" customHeight="1" x14ac:dyDescent="0.25">
      <c r="C8" s="25"/>
      <c r="D8" s="675" t="s">
        <v>8</v>
      </c>
      <c r="E8" s="675"/>
      <c r="F8" s="676" t="s">
        <v>52</v>
      </c>
      <c r="G8" s="676"/>
      <c r="H8" s="676"/>
      <c r="I8" s="676"/>
      <c r="J8" s="676"/>
      <c r="K8" s="676"/>
      <c r="L8" s="676"/>
      <c r="M8" s="676"/>
      <c r="N8" s="676"/>
      <c r="O8" s="676"/>
      <c r="P8" s="25"/>
    </row>
    <row r="9" spans="2:16" s="2" customFormat="1" ht="18" customHeight="1" x14ac:dyDescent="0.25">
      <c r="B9" s="29" t="s">
        <v>53</v>
      </c>
      <c r="C9" s="30" t="s">
        <v>54</v>
      </c>
      <c r="D9" s="31">
        <f>EOMONTH('Common Assumption'!E11,5)</f>
        <v>45747</v>
      </c>
      <c r="E9" s="31">
        <f>'Common Assumption'!E13</f>
        <v>45930</v>
      </c>
      <c r="F9" s="31">
        <f>DATE(YEAR(E9)+1,MONTH(E9)-6,DAY(E9)+1)</f>
        <v>46112</v>
      </c>
      <c r="G9" s="31">
        <f>DATE(YEAR(F9)+1,MONTH(F9),DAY(F9))</f>
        <v>46477</v>
      </c>
      <c r="H9" s="31">
        <f t="shared" ref="H9:O9" si="0">DATE(YEAR(G9)+1,MONTH(G9),DAY(G9))</f>
        <v>46843</v>
      </c>
      <c r="I9" s="31">
        <f t="shared" si="0"/>
        <v>47208</v>
      </c>
      <c r="J9" s="31">
        <f t="shared" si="0"/>
        <v>47573</v>
      </c>
      <c r="K9" s="31">
        <f t="shared" si="0"/>
        <v>47938</v>
      </c>
      <c r="L9" s="31">
        <f t="shared" si="0"/>
        <v>48304</v>
      </c>
      <c r="M9" s="31">
        <f t="shared" si="0"/>
        <v>48669</v>
      </c>
      <c r="N9" s="31">
        <f t="shared" si="0"/>
        <v>49034</v>
      </c>
      <c r="O9" s="31">
        <f t="shared" si="0"/>
        <v>49399</v>
      </c>
      <c r="P9" s="25"/>
    </row>
    <row r="10" spans="2:16" s="32" customFormat="1" ht="18" customHeight="1" x14ac:dyDescent="0.25">
      <c r="B10" s="37" t="s">
        <v>55</v>
      </c>
      <c r="C10" s="38"/>
      <c r="D10" s="36">
        <v>0</v>
      </c>
      <c r="E10" s="36">
        <v>0</v>
      </c>
      <c r="F10" s="39">
        <v>1</v>
      </c>
      <c r="G10" s="39">
        <f>F10+1</f>
        <v>2</v>
      </c>
      <c r="H10" s="39">
        <f t="shared" ref="H10:O10" si="1">G10+1</f>
        <v>3</v>
      </c>
      <c r="I10" s="39">
        <f t="shared" si="1"/>
        <v>4</v>
      </c>
      <c r="J10" s="39">
        <f t="shared" si="1"/>
        <v>5</v>
      </c>
      <c r="K10" s="39">
        <f t="shared" si="1"/>
        <v>6</v>
      </c>
      <c r="L10" s="39">
        <f t="shared" si="1"/>
        <v>7</v>
      </c>
      <c r="M10" s="39">
        <f t="shared" si="1"/>
        <v>8</v>
      </c>
      <c r="N10" s="39">
        <f t="shared" si="1"/>
        <v>9</v>
      </c>
      <c r="O10" s="39">
        <f t="shared" si="1"/>
        <v>10</v>
      </c>
      <c r="P10" s="33"/>
    </row>
    <row r="11" spans="2:16" s="32" customFormat="1" ht="18" customHeight="1" x14ac:dyDescent="0.25">
      <c r="B11" s="37" t="s">
        <v>56</v>
      </c>
      <c r="C11" s="38">
        <f>'Common Assumption'!E12</f>
        <v>11</v>
      </c>
      <c r="D11" s="36">
        <f>MONTH(D9-'Common Assumption'!E11)</f>
        <v>5</v>
      </c>
      <c r="E11" s="36">
        <f>C11-D11</f>
        <v>6</v>
      </c>
      <c r="F11" s="38">
        <f>MONTH(F9-E9)</f>
        <v>6</v>
      </c>
      <c r="G11" s="38">
        <f t="shared" ref="G11:O11" si="2">MONTH(G9-F9)</f>
        <v>12</v>
      </c>
      <c r="H11" s="38">
        <f t="shared" si="2"/>
        <v>12</v>
      </c>
      <c r="I11" s="38">
        <f t="shared" si="2"/>
        <v>12</v>
      </c>
      <c r="J11" s="38">
        <f t="shared" si="2"/>
        <v>12</v>
      </c>
      <c r="K11" s="38">
        <f t="shared" si="2"/>
        <v>12</v>
      </c>
      <c r="L11" s="38">
        <f t="shared" si="2"/>
        <v>12</v>
      </c>
      <c r="M11" s="38">
        <f t="shared" si="2"/>
        <v>12</v>
      </c>
      <c r="N11" s="38">
        <f t="shared" si="2"/>
        <v>12</v>
      </c>
      <c r="O11" s="38">
        <f t="shared" si="2"/>
        <v>12</v>
      </c>
      <c r="P11" s="33"/>
    </row>
    <row r="12" spans="2:16" ht="18" customHeight="1" x14ac:dyDescent="0.25">
      <c r="B12" s="2" t="s">
        <v>375</v>
      </c>
      <c r="D12" s="248">
        <f>C15</f>
        <v>0</v>
      </c>
      <c r="E12" s="248">
        <f t="shared" ref="E12:O12" si="3">D15</f>
        <v>14.215</v>
      </c>
      <c r="F12" s="248">
        <f t="shared" si="3"/>
        <v>28.43</v>
      </c>
      <c r="G12" s="248">
        <f t="shared" si="3"/>
        <v>28.43</v>
      </c>
      <c r="H12" s="248">
        <f t="shared" si="3"/>
        <v>25.271426999999999</v>
      </c>
      <c r="I12" s="248">
        <f t="shared" si="3"/>
        <v>22.112853999999999</v>
      </c>
      <c r="J12" s="248">
        <f t="shared" si="3"/>
        <v>18.954280999999998</v>
      </c>
      <c r="K12" s="248">
        <f t="shared" si="3"/>
        <v>15.795707999999999</v>
      </c>
      <c r="L12" s="248">
        <f t="shared" si="3"/>
        <v>12.637135000000001</v>
      </c>
      <c r="M12" s="248">
        <f t="shared" si="3"/>
        <v>9.4785620000000019</v>
      </c>
      <c r="N12" s="248">
        <f t="shared" si="3"/>
        <v>6.066962000000002</v>
      </c>
      <c r="O12" s="248">
        <f t="shared" si="3"/>
        <v>2.371062000000002</v>
      </c>
    </row>
    <row r="13" spans="2:16" ht="18" customHeight="1" x14ac:dyDescent="0.25">
      <c r="B13" s="2" t="s">
        <v>376</v>
      </c>
      <c r="D13" s="248">
        <f>C37</f>
        <v>14.215</v>
      </c>
      <c r="E13" s="248">
        <f>C44-D13</f>
        <v>14.215</v>
      </c>
      <c r="F13" s="248">
        <v>0</v>
      </c>
      <c r="G13" s="248">
        <v>0</v>
      </c>
      <c r="H13" s="248">
        <v>0</v>
      </c>
      <c r="I13" s="248">
        <v>0</v>
      </c>
      <c r="J13" s="248">
        <v>0</v>
      </c>
      <c r="K13" s="248">
        <v>0</v>
      </c>
      <c r="L13" s="248">
        <v>0</v>
      </c>
      <c r="M13" s="248">
        <v>0</v>
      </c>
      <c r="N13" s="248">
        <v>0</v>
      </c>
      <c r="O13" s="248">
        <v>0</v>
      </c>
    </row>
    <row r="14" spans="2:16" ht="18" customHeight="1" x14ac:dyDescent="0.25">
      <c r="B14" s="2" t="s">
        <v>377</v>
      </c>
      <c r="D14" s="248">
        <f>SUM(D33:D37)</f>
        <v>0</v>
      </c>
      <c r="E14" s="248">
        <f>SUM(D39:D44)</f>
        <v>0</v>
      </c>
      <c r="F14" s="248">
        <f>SUM(D45:D50)</f>
        <v>0</v>
      </c>
      <c r="G14" s="248">
        <f>SUM(D52:D63)</f>
        <v>3.1585729999999992</v>
      </c>
      <c r="H14" s="248">
        <f>SUM(D65:D76)</f>
        <v>3.1585729999999992</v>
      </c>
      <c r="I14" s="248">
        <f>SUM(D78:D89)</f>
        <v>3.1585729999999992</v>
      </c>
      <c r="J14" s="248">
        <f>SUM(D91:D102)</f>
        <v>3.1585729999999992</v>
      </c>
      <c r="K14" s="248">
        <f>SUM(D104:D115)</f>
        <v>3.1585729999999992</v>
      </c>
      <c r="L14" s="248">
        <f>SUM(D117:D128)</f>
        <v>3.1585729999999992</v>
      </c>
      <c r="M14" s="248">
        <f>SUM(D130:D141)</f>
        <v>3.4116</v>
      </c>
      <c r="N14" s="248">
        <f>SUM(D143:D154)</f>
        <v>3.6959</v>
      </c>
      <c r="O14" s="248">
        <f>SUM(D156:D167)</f>
        <v>2.371061999999978</v>
      </c>
    </row>
    <row r="15" spans="2:16" ht="18" customHeight="1" x14ac:dyDescent="0.25">
      <c r="B15" s="2" t="s">
        <v>378</v>
      </c>
      <c r="C15" s="249">
        <v>0</v>
      </c>
      <c r="D15" s="248">
        <f>D12+D13-D14</f>
        <v>14.215</v>
      </c>
      <c r="E15" s="248">
        <f t="shared" ref="E15:O15" si="4">E12+E13-E14</f>
        <v>28.43</v>
      </c>
      <c r="F15" s="248">
        <f t="shared" si="4"/>
        <v>28.43</v>
      </c>
      <c r="G15" s="248">
        <f t="shared" si="4"/>
        <v>25.271426999999999</v>
      </c>
      <c r="H15" s="248">
        <f t="shared" si="4"/>
        <v>22.112853999999999</v>
      </c>
      <c r="I15" s="248">
        <f t="shared" si="4"/>
        <v>18.954280999999998</v>
      </c>
      <c r="J15" s="248">
        <f t="shared" si="4"/>
        <v>15.795707999999999</v>
      </c>
      <c r="K15" s="248">
        <f t="shared" si="4"/>
        <v>12.637135000000001</v>
      </c>
      <c r="L15" s="248">
        <f t="shared" si="4"/>
        <v>9.4785620000000019</v>
      </c>
      <c r="M15" s="248">
        <f t="shared" si="4"/>
        <v>6.066962000000002</v>
      </c>
      <c r="N15" s="248">
        <f t="shared" si="4"/>
        <v>2.371062000000002</v>
      </c>
      <c r="O15" s="248">
        <f t="shared" si="4"/>
        <v>2.3980817331903381E-14</v>
      </c>
    </row>
    <row r="16" spans="2:16" ht="18" customHeight="1" x14ac:dyDescent="0.25">
      <c r="B16" s="2" t="s">
        <v>379</v>
      </c>
      <c r="D16" s="248">
        <f>SUM(F33:F37)</f>
        <v>0.39387395833333333</v>
      </c>
      <c r="E16" s="248">
        <f>SUM(F39:F44)</f>
        <v>1.2378895833333332</v>
      </c>
      <c r="F16" s="248">
        <f>SUM(F45:F50)</f>
        <v>1.350425</v>
      </c>
      <c r="G16" s="248">
        <f>SUM(F52:F63)</f>
        <v>2.5508177824999998</v>
      </c>
      <c r="H16" s="248">
        <f>SUM(F65:F76)</f>
        <v>2.2507533474999994</v>
      </c>
      <c r="I16" s="248">
        <f>SUM(F78:F89)</f>
        <v>1.9506889124999989</v>
      </c>
      <c r="J16" s="248">
        <f>SUM(F91:F102)</f>
        <v>1.6506244774999985</v>
      </c>
      <c r="K16" s="248">
        <f>SUM(F104:F115)</f>
        <v>1.3505600424999984</v>
      </c>
      <c r="L16" s="248">
        <f>SUM(F117:F128)</f>
        <v>1.0504956074999978</v>
      </c>
      <c r="M16" s="248">
        <f>SUM(F130:F141)</f>
        <v>0.73841238999999759</v>
      </c>
      <c r="N16" s="248">
        <f>SUM(F143:F154)</f>
        <v>0.40080613999999787</v>
      </c>
      <c r="O16" s="248">
        <f>SUM(F156:F167)</f>
        <v>6.1039209999999039E-2</v>
      </c>
    </row>
    <row r="17" spans="2:15" ht="18" customHeight="1" x14ac:dyDescent="0.25">
      <c r="B17" s="87" t="s">
        <v>255</v>
      </c>
      <c r="D17" s="250">
        <f>D16</f>
        <v>0.39387395833333333</v>
      </c>
      <c r="E17" s="250">
        <f>E16</f>
        <v>1.2378895833333332</v>
      </c>
      <c r="F17" s="248">
        <v>0</v>
      </c>
      <c r="G17" s="248">
        <v>0</v>
      </c>
      <c r="H17" s="248">
        <v>0</v>
      </c>
      <c r="I17" s="248">
        <v>0</v>
      </c>
      <c r="J17" s="248">
        <v>0</v>
      </c>
      <c r="K17" s="248">
        <v>0</v>
      </c>
      <c r="L17" s="248">
        <v>0</v>
      </c>
      <c r="M17" s="248">
        <v>0</v>
      </c>
      <c r="N17" s="248">
        <v>0</v>
      </c>
      <c r="O17" s="248">
        <v>0</v>
      </c>
    </row>
    <row r="18" spans="2:15" ht="18" customHeight="1" x14ac:dyDescent="0.25">
      <c r="B18" s="29" t="s">
        <v>380</v>
      </c>
      <c r="C18" s="30"/>
      <c r="D18" s="210">
        <f>D16-D17</f>
        <v>0</v>
      </c>
      <c r="E18" s="210">
        <f t="shared" ref="E18:O18" si="5">E16-E17</f>
        <v>0</v>
      </c>
      <c r="F18" s="210">
        <f t="shared" si="5"/>
        <v>1.350425</v>
      </c>
      <c r="G18" s="210">
        <f t="shared" si="5"/>
        <v>2.5508177824999998</v>
      </c>
      <c r="H18" s="210">
        <f t="shared" si="5"/>
        <v>2.2507533474999994</v>
      </c>
      <c r="I18" s="210">
        <f t="shared" si="5"/>
        <v>1.9506889124999989</v>
      </c>
      <c r="J18" s="210">
        <f t="shared" si="5"/>
        <v>1.6506244774999985</v>
      </c>
      <c r="K18" s="210">
        <f t="shared" si="5"/>
        <v>1.3505600424999984</v>
      </c>
      <c r="L18" s="210">
        <f t="shared" si="5"/>
        <v>1.0504956074999978</v>
      </c>
      <c r="M18" s="210">
        <f t="shared" si="5"/>
        <v>0.73841238999999759</v>
      </c>
      <c r="N18" s="210">
        <f t="shared" si="5"/>
        <v>0.40080613999999787</v>
      </c>
      <c r="O18" s="210">
        <f t="shared" si="5"/>
        <v>6.1039209999999039E-2</v>
      </c>
    </row>
    <row r="20" spans="2:15" ht="18" customHeight="1" x14ac:dyDescent="0.25">
      <c r="B20" s="29" t="s">
        <v>45</v>
      </c>
      <c r="C20" s="30"/>
      <c r="D20" s="211"/>
      <c r="E20" s="211"/>
      <c r="F20" s="211"/>
      <c r="G20" s="30"/>
      <c r="H20" s="30"/>
      <c r="I20" s="30"/>
      <c r="J20" s="30"/>
      <c r="K20" s="30"/>
      <c r="L20" s="30"/>
      <c r="M20" s="30"/>
      <c r="N20" s="30"/>
    </row>
    <row r="22" spans="2:15" ht="18" customHeight="1" x14ac:dyDescent="0.25">
      <c r="B22" s="29" t="s">
        <v>381</v>
      </c>
      <c r="C22" s="210">
        <f>'TPC and MoF'!D27</f>
        <v>28.43</v>
      </c>
      <c r="D22" s="30" t="s">
        <v>382</v>
      </c>
      <c r="E22" s="30" t="s">
        <v>383</v>
      </c>
      <c r="F22" s="30" t="s">
        <v>393</v>
      </c>
      <c r="G22" s="30"/>
      <c r="H22" s="30"/>
      <c r="I22" s="30"/>
    </row>
    <row r="23" spans="2:15" ht="18" customHeight="1" x14ac:dyDescent="0.25">
      <c r="B23" s="29" t="s">
        <v>384</v>
      </c>
      <c r="C23" s="304">
        <f>'Common Assumption'!D106</f>
        <v>9.5000000000000001E-2</v>
      </c>
      <c r="D23" s="304">
        <f>'Common Assumption'!D107</f>
        <v>9.5000000000000001E-2</v>
      </c>
      <c r="E23" s="30" t="s">
        <v>385</v>
      </c>
      <c r="F23" s="30" t="s">
        <v>386</v>
      </c>
      <c r="G23" s="30"/>
      <c r="H23" s="30" t="s">
        <v>390</v>
      </c>
      <c r="I23" s="30" t="s">
        <v>390</v>
      </c>
    </row>
    <row r="24" spans="2:15" ht="30" x14ac:dyDescent="0.25">
      <c r="B24" s="212" t="s">
        <v>2</v>
      </c>
      <c r="C24" s="8" t="s">
        <v>387</v>
      </c>
      <c r="D24" s="8" t="s">
        <v>388</v>
      </c>
      <c r="E24" s="8" t="s">
        <v>389</v>
      </c>
      <c r="F24" s="8" t="s">
        <v>379</v>
      </c>
      <c r="G24" s="8"/>
      <c r="H24" s="213" t="s">
        <v>391</v>
      </c>
      <c r="I24" s="213" t="s">
        <v>392</v>
      </c>
    </row>
    <row r="25" spans="2:15" ht="18" customHeight="1" x14ac:dyDescent="0.25">
      <c r="B25" s="207" t="s">
        <v>394</v>
      </c>
      <c r="C25" s="207"/>
      <c r="D25" s="207"/>
      <c r="E25" s="207"/>
      <c r="F25" s="207"/>
      <c r="G25" s="2"/>
      <c r="H25" s="25"/>
      <c r="I25" s="2"/>
    </row>
    <row r="26" spans="2:15" ht="18" customHeight="1" x14ac:dyDescent="0.25">
      <c r="B26" s="2" t="s">
        <v>395</v>
      </c>
      <c r="C26" s="55">
        <v>0</v>
      </c>
      <c r="D26" s="55">
        <v>0</v>
      </c>
      <c r="E26" s="55">
        <v>0</v>
      </c>
      <c r="F26" s="55">
        <v>0</v>
      </c>
      <c r="G26" s="2"/>
      <c r="H26" s="25"/>
      <c r="I26" s="2"/>
    </row>
    <row r="27" spans="2:15" ht="18" customHeight="1" x14ac:dyDescent="0.25">
      <c r="B27" s="2" t="s">
        <v>396</v>
      </c>
      <c r="C27" s="55">
        <v>0</v>
      </c>
      <c r="D27" s="55">
        <v>0</v>
      </c>
      <c r="E27" s="55">
        <v>0</v>
      </c>
      <c r="F27" s="55">
        <v>0</v>
      </c>
      <c r="G27" s="2"/>
      <c r="H27" s="25"/>
      <c r="I27" s="2"/>
    </row>
    <row r="28" spans="2:15" ht="18" customHeight="1" x14ac:dyDescent="0.25">
      <c r="B28" s="2" t="s">
        <v>397</v>
      </c>
      <c r="C28" s="55">
        <v>0</v>
      </c>
      <c r="D28" s="55">
        <v>0</v>
      </c>
      <c r="E28" s="55">
        <v>0</v>
      </c>
      <c r="F28" s="55">
        <v>0</v>
      </c>
      <c r="G28" s="2"/>
      <c r="H28" s="25"/>
      <c r="I28" s="2"/>
    </row>
    <row r="29" spans="2:15" ht="18" customHeight="1" x14ac:dyDescent="0.25">
      <c r="B29" s="2" t="s">
        <v>398</v>
      </c>
      <c r="C29" s="55">
        <v>0</v>
      </c>
      <c r="D29" s="55">
        <v>0</v>
      </c>
      <c r="E29" s="55">
        <v>0</v>
      </c>
      <c r="F29" s="55">
        <v>0</v>
      </c>
      <c r="G29" s="2"/>
      <c r="H29" s="25"/>
      <c r="I29" s="2"/>
    </row>
    <row r="30" spans="2:15" ht="18" customHeight="1" x14ac:dyDescent="0.25">
      <c r="B30" s="2" t="s">
        <v>399</v>
      </c>
      <c r="C30" s="55">
        <f>E29+$C$20*H30</f>
        <v>0</v>
      </c>
      <c r="D30" s="55">
        <v>0</v>
      </c>
      <c r="E30" s="55">
        <f>C30-D30</f>
        <v>0</v>
      </c>
      <c r="F30" s="55">
        <f>AVERAGE(C30,E30)*$C$21/12</f>
        <v>0</v>
      </c>
      <c r="H30" s="14"/>
      <c r="I30" s="2"/>
    </row>
    <row r="31" spans="2:15" ht="18" customHeight="1" x14ac:dyDescent="0.25">
      <c r="B31" s="2" t="s">
        <v>401</v>
      </c>
      <c r="C31" s="55">
        <f>E30+$C$22*H31</f>
        <v>0</v>
      </c>
      <c r="D31" s="55">
        <v>0</v>
      </c>
      <c r="E31" s="55">
        <f t="shared" ref="E31:E94" si="6">C31-D31</f>
        <v>0</v>
      </c>
      <c r="F31" s="55">
        <f>AVERAGE(C31,E31)*$D$23/12</f>
        <v>0</v>
      </c>
      <c r="H31" s="14"/>
      <c r="I31" s="2"/>
    </row>
    <row r="32" spans="2:15" ht="18" customHeight="1" x14ac:dyDescent="0.25">
      <c r="B32" s="2" t="s">
        <v>402</v>
      </c>
      <c r="C32" s="55">
        <f>E31+$C$22*H32</f>
        <v>0</v>
      </c>
      <c r="D32" s="55">
        <v>0</v>
      </c>
      <c r="E32" s="55">
        <f t="shared" si="6"/>
        <v>0</v>
      </c>
      <c r="F32" s="55">
        <f t="shared" ref="F32:F44" si="7">AVERAGE(C32,E32)*$D$23/12</f>
        <v>0</v>
      </c>
      <c r="G32" s="2"/>
      <c r="H32" s="14"/>
      <c r="I32" s="2"/>
    </row>
    <row r="33" spans="2:9" ht="18" customHeight="1" x14ac:dyDescent="0.25">
      <c r="B33" s="214" t="s">
        <v>403</v>
      </c>
      <c r="C33" s="215">
        <f t="shared" ref="C33:C37" si="8">E32+$C$22*H33</f>
        <v>7.1074999999999999</v>
      </c>
      <c r="D33" s="215">
        <v>0</v>
      </c>
      <c r="E33" s="215">
        <f t="shared" si="6"/>
        <v>7.1074999999999999</v>
      </c>
      <c r="F33" s="216">
        <f t="shared" si="7"/>
        <v>5.6267708333333333E-2</v>
      </c>
      <c r="G33" s="217" t="s">
        <v>400</v>
      </c>
      <c r="H33" s="14">
        <v>0.25</v>
      </c>
      <c r="I33" s="2"/>
    </row>
    <row r="34" spans="2:9" ht="18" customHeight="1" x14ac:dyDescent="0.25">
      <c r="B34" s="218" t="s">
        <v>404</v>
      </c>
      <c r="C34" s="219">
        <f t="shared" si="8"/>
        <v>7.1074999999999999</v>
      </c>
      <c r="D34" s="219">
        <v>0</v>
      </c>
      <c r="E34" s="219">
        <f t="shared" si="6"/>
        <v>7.1074999999999999</v>
      </c>
      <c r="F34" s="219">
        <f t="shared" si="7"/>
        <v>5.6267708333333333E-2</v>
      </c>
      <c r="G34" s="2"/>
      <c r="H34" s="14">
        <v>0</v>
      </c>
      <c r="I34" s="2"/>
    </row>
    <row r="35" spans="2:9" ht="18" customHeight="1" x14ac:dyDescent="0.25">
      <c r="B35" s="218" t="s">
        <v>405</v>
      </c>
      <c r="C35" s="219">
        <f t="shared" si="8"/>
        <v>7.1074999999999999</v>
      </c>
      <c r="D35" s="219">
        <v>0</v>
      </c>
      <c r="E35" s="219">
        <f t="shared" si="6"/>
        <v>7.1074999999999999</v>
      </c>
      <c r="F35" s="219">
        <f t="shared" si="7"/>
        <v>5.6267708333333333E-2</v>
      </c>
      <c r="G35" s="2"/>
      <c r="H35" s="14">
        <v>0</v>
      </c>
      <c r="I35" s="2"/>
    </row>
    <row r="36" spans="2:9" ht="18" customHeight="1" x14ac:dyDescent="0.25">
      <c r="B36" s="218" t="s">
        <v>406</v>
      </c>
      <c r="C36" s="219">
        <f t="shared" si="8"/>
        <v>14.215</v>
      </c>
      <c r="D36" s="219">
        <v>0</v>
      </c>
      <c r="E36" s="219">
        <f t="shared" si="6"/>
        <v>14.215</v>
      </c>
      <c r="F36" s="219">
        <f t="shared" si="7"/>
        <v>0.11253541666666667</v>
      </c>
      <c r="G36" s="2"/>
      <c r="H36" s="14">
        <v>0.25</v>
      </c>
      <c r="I36" s="2"/>
    </row>
    <row r="37" spans="2:9" ht="18" customHeight="1" x14ac:dyDescent="0.25">
      <c r="B37" s="218" t="s">
        <v>407</v>
      </c>
      <c r="C37" s="219">
        <f t="shared" si="8"/>
        <v>14.215</v>
      </c>
      <c r="D37" s="219">
        <v>0</v>
      </c>
      <c r="E37" s="219">
        <f t="shared" si="6"/>
        <v>14.215</v>
      </c>
      <c r="F37" s="219">
        <f t="shared" si="7"/>
        <v>0.11253541666666667</v>
      </c>
      <c r="G37" s="2"/>
      <c r="H37" s="14">
        <v>0</v>
      </c>
      <c r="I37" s="2"/>
    </row>
    <row r="38" spans="2:9" ht="18" customHeight="1" x14ac:dyDescent="0.25">
      <c r="B38" s="189" t="s">
        <v>408</v>
      </c>
      <c r="C38" s="189"/>
      <c r="D38" s="189"/>
      <c r="E38" s="189"/>
      <c r="F38" s="189"/>
      <c r="G38" s="2"/>
      <c r="H38" s="14">
        <v>0</v>
      </c>
      <c r="I38" s="2"/>
    </row>
    <row r="39" spans="2:9" ht="18" customHeight="1" x14ac:dyDescent="0.25">
      <c r="B39" s="220" t="s">
        <v>395</v>
      </c>
      <c r="C39" s="221">
        <f>E37+$C$22*H39</f>
        <v>21.322499999999998</v>
      </c>
      <c r="D39" s="221">
        <v>0</v>
      </c>
      <c r="E39" s="221">
        <f t="shared" si="6"/>
        <v>21.322499999999998</v>
      </c>
      <c r="F39" s="221">
        <f t="shared" si="7"/>
        <v>0.16880312499999997</v>
      </c>
      <c r="G39" s="2"/>
      <c r="H39" s="14">
        <v>0.25</v>
      </c>
      <c r="I39" s="2"/>
    </row>
    <row r="40" spans="2:9" ht="18" customHeight="1" x14ac:dyDescent="0.25">
      <c r="B40" s="220" t="s">
        <v>396</v>
      </c>
      <c r="C40" s="221">
        <f t="shared" ref="C40:C50" si="9">E39+$C$22*H40</f>
        <v>21.322499999999998</v>
      </c>
      <c r="D40" s="221">
        <v>0</v>
      </c>
      <c r="E40" s="221">
        <f t="shared" si="6"/>
        <v>21.322499999999998</v>
      </c>
      <c r="F40" s="221">
        <f t="shared" si="7"/>
        <v>0.16880312499999997</v>
      </c>
      <c r="G40" s="2"/>
      <c r="H40" s="14">
        <v>0</v>
      </c>
      <c r="I40" s="2"/>
    </row>
    <row r="41" spans="2:9" ht="18" customHeight="1" x14ac:dyDescent="0.25">
      <c r="B41" s="220" t="s">
        <v>397</v>
      </c>
      <c r="C41" s="221">
        <f t="shared" si="9"/>
        <v>28.43</v>
      </c>
      <c r="D41" s="221">
        <v>0</v>
      </c>
      <c r="E41" s="221">
        <f t="shared" si="6"/>
        <v>28.43</v>
      </c>
      <c r="F41" s="221">
        <f t="shared" si="7"/>
        <v>0.22507083333333333</v>
      </c>
      <c r="G41" s="2"/>
      <c r="H41" s="14">
        <v>0.25</v>
      </c>
      <c r="I41" s="2"/>
    </row>
    <row r="42" spans="2:9" ht="18" customHeight="1" x14ac:dyDescent="0.25">
      <c r="B42" s="220" t="s">
        <v>398</v>
      </c>
      <c r="C42" s="221">
        <f t="shared" si="9"/>
        <v>28.43</v>
      </c>
      <c r="D42" s="221">
        <v>0</v>
      </c>
      <c r="E42" s="221">
        <f t="shared" si="6"/>
        <v>28.43</v>
      </c>
      <c r="F42" s="221">
        <f t="shared" si="7"/>
        <v>0.22507083333333333</v>
      </c>
      <c r="G42" s="2"/>
      <c r="H42" s="14">
        <v>0</v>
      </c>
      <c r="I42" s="2"/>
    </row>
    <row r="43" spans="2:9" ht="18" customHeight="1" x14ac:dyDescent="0.25">
      <c r="B43" s="220" t="s">
        <v>399</v>
      </c>
      <c r="C43" s="221">
        <f t="shared" si="9"/>
        <v>28.43</v>
      </c>
      <c r="D43" s="221">
        <v>0</v>
      </c>
      <c r="E43" s="221">
        <f t="shared" si="6"/>
        <v>28.43</v>
      </c>
      <c r="F43" s="221">
        <f t="shared" si="7"/>
        <v>0.22507083333333333</v>
      </c>
      <c r="G43" s="2"/>
      <c r="H43" s="14">
        <v>0</v>
      </c>
      <c r="I43" s="2"/>
    </row>
    <row r="44" spans="2:9" ht="18" customHeight="1" x14ac:dyDescent="0.25">
      <c r="B44" s="220" t="s">
        <v>401</v>
      </c>
      <c r="C44" s="221">
        <f t="shared" si="9"/>
        <v>28.43</v>
      </c>
      <c r="D44" s="221">
        <v>0</v>
      </c>
      <c r="E44" s="221">
        <f t="shared" si="6"/>
        <v>28.43</v>
      </c>
      <c r="F44" s="221">
        <f t="shared" si="7"/>
        <v>0.22507083333333333</v>
      </c>
      <c r="H44" s="14">
        <v>0</v>
      </c>
      <c r="I44" s="2"/>
    </row>
    <row r="45" spans="2:9" ht="18" customHeight="1" x14ac:dyDescent="0.25">
      <c r="B45" s="214" t="s">
        <v>402</v>
      </c>
      <c r="C45" s="215">
        <f t="shared" si="9"/>
        <v>28.43</v>
      </c>
      <c r="D45" s="215">
        <v>0</v>
      </c>
      <c r="E45" s="215">
        <f t="shared" si="6"/>
        <v>28.43</v>
      </c>
      <c r="F45" s="215">
        <f t="shared" ref="F45:F95" si="10">AVERAGE(C45,E45)*$C$23/12</f>
        <v>0.22507083333333333</v>
      </c>
      <c r="G45" s="217" t="s">
        <v>409</v>
      </c>
      <c r="H45" s="14">
        <v>0</v>
      </c>
      <c r="I45" s="2"/>
    </row>
    <row r="46" spans="2:9" ht="18" customHeight="1" x14ac:dyDescent="0.25">
      <c r="B46" s="220" t="s">
        <v>403</v>
      </c>
      <c r="C46" s="221">
        <f t="shared" si="9"/>
        <v>28.43</v>
      </c>
      <c r="D46" s="221">
        <v>0</v>
      </c>
      <c r="E46" s="221">
        <f t="shared" si="6"/>
        <v>28.43</v>
      </c>
      <c r="F46" s="221">
        <f t="shared" si="10"/>
        <v>0.22507083333333333</v>
      </c>
      <c r="H46" s="14">
        <v>0</v>
      </c>
      <c r="I46" s="2"/>
    </row>
    <row r="47" spans="2:9" ht="18" customHeight="1" x14ac:dyDescent="0.25">
      <c r="B47" s="220" t="s">
        <v>404</v>
      </c>
      <c r="C47" s="221">
        <f t="shared" si="9"/>
        <v>28.43</v>
      </c>
      <c r="D47" s="221">
        <v>0</v>
      </c>
      <c r="E47" s="221">
        <f t="shared" si="6"/>
        <v>28.43</v>
      </c>
      <c r="F47" s="221">
        <f t="shared" si="10"/>
        <v>0.22507083333333333</v>
      </c>
      <c r="G47" s="2"/>
      <c r="H47" s="14">
        <v>0</v>
      </c>
      <c r="I47" s="2"/>
    </row>
    <row r="48" spans="2:9" ht="18" customHeight="1" x14ac:dyDescent="0.25">
      <c r="B48" s="220" t="s">
        <v>405</v>
      </c>
      <c r="C48" s="221">
        <f t="shared" si="9"/>
        <v>28.43</v>
      </c>
      <c r="D48" s="221">
        <v>0</v>
      </c>
      <c r="E48" s="221">
        <f t="shared" si="6"/>
        <v>28.43</v>
      </c>
      <c r="F48" s="221">
        <f t="shared" si="10"/>
        <v>0.22507083333333333</v>
      </c>
      <c r="G48" s="2"/>
      <c r="H48" s="14">
        <v>0</v>
      </c>
      <c r="I48" s="2"/>
    </row>
    <row r="49" spans="2:9" ht="18" customHeight="1" x14ac:dyDescent="0.25">
      <c r="B49" s="220" t="s">
        <v>406</v>
      </c>
      <c r="C49" s="221">
        <f t="shared" si="9"/>
        <v>28.43</v>
      </c>
      <c r="D49" s="221">
        <v>0</v>
      </c>
      <c r="E49" s="221">
        <f t="shared" si="6"/>
        <v>28.43</v>
      </c>
      <c r="F49" s="221">
        <f t="shared" si="10"/>
        <v>0.22507083333333333</v>
      </c>
      <c r="G49" s="2"/>
      <c r="H49" s="14">
        <v>0</v>
      </c>
      <c r="I49" s="2"/>
    </row>
    <row r="50" spans="2:9" ht="18" customHeight="1" x14ac:dyDescent="0.25">
      <c r="B50" s="214" t="s">
        <v>407</v>
      </c>
      <c r="C50" s="215">
        <f t="shared" si="9"/>
        <v>28.43</v>
      </c>
      <c r="D50" s="215">
        <v>0</v>
      </c>
      <c r="E50" s="215">
        <f t="shared" si="6"/>
        <v>28.43</v>
      </c>
      <c r="F50" s="215">
        <f t="shared" si="10"/>
        <v>0.22507083333333333</v>
      </c>
      <c r="G50" s="217" t="s">
        <v>411</v>
      </c>
      <c r="H50" s="14">
        <v>0</v>
      </c>
      <c r="I50" s="2"/>
    </row>
    <row r="51" spans="2:9" ht="18" customHeight="1" x14ac:dyDescent="0.25">
      <c r="B51" s="222" t="s">
        <v>410</v>
      </c>
      <c r="C51" s="222"/>
      <c r="D51" s="222"/>
      <c r="E51" s="223"/>
      <c r="F51" s="223"/>
      <c r="G51" s="2"/>
      <c r="H51" s="14"/>
      <c r="I51" s="619">
        <v>0.1111</v>
      </c>
    </row>
    <row r="52" spans="2:9" ht="18" customHeight="1" x14ac:dyDescent="0.25">
      <c r="B52" s="224" t="s">
        <v>395</v>
      </c>
      <c r="C52" s="225">
        <f>E50</f>
        <v>28.43</v>
      </c>
      <c r="D52" s="225">
        <f>$C$22*$I$51/12</f>
        <v>0.26321441666666667</v>
      </c>
      <c r="E52" s="225">
        <f t="shared" si="6"/>
        <v>28.166785583333333</v>
      </c>
      <c r="F52" s="225">
        <f t="shared" si="10"/>
        <v>0.22402894293402775</v>
      </c>
      <c r="G52" s="217" t="s">
        <v>420</v>
      </c>
      <c r="H52" s="14"/>
      <c r="I52" s="2"/>
    </row>
    <row r="53" spans="2:9" ht="18" customHeight="1" x14ac:dyDescent="0.25">
      <c r="B53" s="224" t="s">
        <v>396</v>
      </c>
      <c r="C53" s="225">
        <f>E52</f>
        <v>28.166785583333333</v>
      </c>
      <c r="D53" s="225">
        <f t="shared" ref="D53:D63" si="11">$C$22*$I$51/12</f>
        <v>0.26321441666666667</v>
      </c>
      <c r="E53" s="225">
        <f t="shared" si="6"/>
        <v>27.903571166666666</v>
      </c>
      <c r="F53" s="225">
        <f t="shared" si="10"/>
        <v>0.22194516213541668</v>
      </c>
      <c r="G53" s="2"/>
      <c r="H53" s="25"/>
      <c r="I53" s="2"/>
    </row>
    <row r="54" spans="2:9" ht="18" customHeight="1" x14ac:dyDescent="0.25">
      <c r="B54" s="224" t="s">
        <v>397</v>
      </c>
      <c r="C54" s="225">
        <f t="shared" ref="C54:C63" si="12">E53</f>
        <v>27.903571166666666</v>
      </c>
      <c r="D54" s="225">
        <f t="shared" si="11"/>
        <v>0.26321441666666667</v>
      </c>
      <c r="E54" s="225">
        <f t="shared" si="6"/>
        <v>27.640356749999999</v>
      </c>
      <c r="F54" s="225">
        <f t="shared" si="10"/>
        <v>0.21986138133680555</v>
      </c>
      <c r="G54" s="2"/>
      <c r="H54" s="25"/>
      <c r="I54" s="2"/>
    </row>
    <row r="55" spans="2:9" ht="18" customHeight="1" x14ac:dyDescent="0.25">
      <c r="B55" s="224" t="s">
        <v>398</v>
      </c>
      <c r="C55" s="225">
        <f t="shared" si="12"/>
        <v>27.640356749999999</v>
      </c>
      <c r="D55" s="225">
        <f t="shared" si="11"/>
        <v>0.26321441666666667</v>
      </c>
      <c r="E55" s="225">
        <f t="shared" si="6"/>
        <v>27.377142333333332</v>
      </c>
      <c r="F55" s="225">
        <f t="shared" si="10"/>
        <v>0.21777760053819448</v>
      </c>
      <c r="G55" s="2"/>
      <c r="H55" s="25"/>
      <c r="I55" s="2"/>
    </row>
    <row r="56" spans="2:9" ht="18" customHeight="1" x14ac:dyDescent="0.25">
      <c r="B56" s="224" t="s">
        <v>399</v>
      </c>
      <c r="C56" s="225">
        <f t="shared" si="12"/>
        <v>27.377142333333332</v>
      </c>
      <c r="D56" s="225">
        <f t="shared" si="11"/>
        <v>0.26321441666666667</v>
      </c>
      <c r="E56" s="225">
        <f t="shared" si="6"/>
        <v>27.113927916666665</v>
      </c>
      <c r="F56" s="225">
        <f t="shared" si="10"/>
        <v>0.21569381973958332</v>
      </c>
      <c r="G56" s="2"/>
      <c r="H56" s="25"/>
      <c r="I56" s="2"/>
    </row>
    <row r="57" spans="2:9" ht="18" customHeight="1" x14ac:dyDescent="0.25">
      <c r="B57" s="224" t="s">
        <v>401</v>
      </c>
      <c r="C57" s="225">
        <f t="shared" si="12"/>
        <v>27.113927916666665</v>
      </c>
      <c r="D57" s="225">
        <f t="shared" si="11"/>
        <v>0.26321441666666667</v>
      </c>
      <c r="E57" s="225">
        <f t="shared" si="6"/>
        <v>26.850713499999998</v>
      </c>
      <c r="F57" s="225">
        <f t="shared" si="10"/>
        <v>0.21361003894097222</v>
      </c>
      <c r="G57" s="2"/>
      <c r="H57" s="25"/>
      <c r="I57" s="2"/>
    </row>
    <row r="58" spans="2:9" ht="18" customHeight="1" x14ac:dyDescent="0.25">
      <c r="B58" s="224" t="s">
        <v>402</v>
      </c>
      <c r="C58" s="225">
        <f t="shared" si="12"/>
        <v>26.850713499999998</v>
      </c>
      <c r="D58" s="225">
        <f t="shared" si="11"/>
        <v>0.26321441666666667</v>
      </c>
      <c r="E58" s="225">
        <f t="shared" si="6"/>
        <v>26.587499083333331</v>
      </c>
      <c r="F58" s="225">
        <f t="shared" si="10"/>
        <v>0.21152625814236106</v>
      </c>
      <c r="G58" s="2"/>
      <c r="H58" s="25"/>
      <c r="I58" s="2"/>
    </row>
    <row r="59" spans="2:9" ht="18" customHeight="1" x14ac:dyDescent="0.25">
      <c r="B59" s="224" t="s">
        <v>403</v>
      </c>
      <c r="C59" s="225">
        <f t="shared" si="12"/>
        <v>26.587499083333331</v>
      </c>
      <c r="D59" s="225">
        <f t="shared" si="11"/>
        <v>0.26321441666666667</v>
      </c>
      <c r="E59" s="225">
        <f t="shared" si="6"/>
        <v>26.324284666666664</v>
      </c>
      <c r="F59" s="225">
        <f t="shared" si="10"/>
        <v>0.20944247734374999</v>
      </c>
      <c r="G59" s="2"/>
      <c r="H59" s="25"/>
      <c r="I59" s="2"/>
    </row>
    <row r="60" spans="2:9" ht="18" customHeight="1" x14ac:dyDescent="0.25">
      <c r="B60" s="224" t="s">
        <v>404</v>
      </c>
      <c r="C60" s="225">
        <f t="shared" si="12"/>
        <v>26.324284666666664</v>
      </c>
      <c r="D60" s="225">
        <f t="shared" si="11"/>
        <v>0.26321441666666667</v>
      </c>
      <c r="E60" s="225">
        <f t="shared" si="6"/>
        <v>26.061070249999997</v>
      </c>
      <c r="F60" s="225">
        <f t="shared" si="10"/>
        <v>0.20735869654513886</v>
      </c>
      <c r="G60" s="2"/>
      <c r="H60" s="25"/>
      <c r="I60" s="2"/>
    </row>
    <row r="61" spans="2:9" ht="18" customHeight="1" x14ac:dyDescent="0.25">
      <c r="B61" s="224" t="s">
        <v>405</v>
      </c>
      <c r="C61" s="225">
        <f t="shared" si="12"/>
        <v>26.061070249999997</v>
      </c>
      <c r="D61" s="225">
        <f t="shared" si="11"/>
        <v>0.26321441666666667</v>
      </c>
      <c r="E61" s="225">
        <f t="shared" si="6"/>
        <v>25.79785583333333</v>
      </c>
      <c r="F61" s="225">
        <f t="shared" si="10"/>
        <v>0.20527491574652776</v>
      </c>
      <c r="G61" s="2"/>
      <c r="H61" s="25"/>
      <c r="I61" s="2"/>
    </row>
    <row r="62" spans="2:9" ht="18" customHeight="1" x14ac:dyDescent="0.25">
      <c r="B62" s="224" t="s">
        <v>406</v>
      </c>
      <c r="C62" s="225">
        <f t="shared" si="12"/>
        <v>25.79785583333333</v>
      </c>
      <c r="D62" s="225">
        <f t="shared" si="11"/>
        <v>0.26321441666666667</v>
      </c>
      <c r="E62" s="225">
        <f t="shared" si="6"/>
        <v>25.534641416666663</v>
      </c>
      <c r="F62" s="225">
        <f t="shared" si="10"/>
        <v>0.20319113494791663</v>
      </c>
      <c r="G62" s="2"/>
      <c r="H62" s="25"/>
      <c r="I62" s="2"/>
    </row>
    <row r="63" spans="2:9" ht="18" customHeight="1" x14ac:dyDescent="0.25">
      <c r="B63" s="224" t="s">
        <v>407</v>
      </c>
      <c r="C63" s="225">
        <f t="shared" si="12"/>
        <v>25.534641416666663</v>
      </c>
      <c r="D63" s="225">
        <f t="shared" si="11"/>
        <v>0.26321441666666667</v>
      </c>
      <c r="E63" s="225">
        <f t="shared" si="6"/>
        <v>25.271426999999996</v>
      </c>
      <c r="F63" s="225">
        <f t="shared" si="10"/>
        <v>0.20110735414930556</v>
      </c>
      <c r="G63" s="2"/>
      <c r="H63" s="25"/>
      <c r="I63" s="2"/>
    </row>
    <row r="64" spans="2:9" ht="18" customHeight="1" x14ac:dyDescent="0.25">
      <c r="B64" s="226" t="s">
        <v>412</v>
      </c>
      <c r="C64" s="227"/>
      <c r="D64" s="227"/>
      <c r="E64" s="228"/>
      <c r="F64" s="228"/>
      <c r="G64" s="2"/>
      <c r="H64" s="25"/>
      <c r="I64" s="619">
        <v>0.1111</v>
      </c>
    </row>
    <row r="65" spans="2:9" ht="18" customHeight="1" x14ac:dyDescent="0.25">
      <c r="B65" s="229" t="s">
        <v>395</v>
      </c>
      <c r="C65" s="230">
        <f>E63</f>
        <v>25.271426999999996</v>
      </c>
      <c r="D65" s="230">
        <f>$C$22*$I$64/12</f>
        <v>0.26321441666666667</v>
      </c>
      <c r="E65" s="230">
        <f t="shared" si="6"/>
        <v>25.008212583333329</v>
      </c>
      <c r="F65" s="230">
        <f t="shared" si="10"/>
        <v>0.1990235733506944</v>
      </c>
      <c r="G65" s="2"/>
      <c r="H65" s="25"/>
      <c r="I65" s="2"/>
    </row>
    <row r="66" spans="2:9" ht="18" customHeight="1" x14ac:dyDescent="0.25">
      <c r="B66" s="229" t="s">
        <v>396</v>
      </c>
      <c r="C66" s="230">
        <f>E65</f>
        <v>25.008212583333329</v>
      </c>
      <c r="D66" s="230">
        <f t="shared" ref="D66:D76" si="13">$C$22*$I$64/12</f>
        <v>0.26321441666666667</v>
      </c>
      <c r="E66" s="230">
        <f t="shared" si="6"/>
        <v>24.744998166666662</v>
      </c>
      <c r="F66" s="230">
        <f t="shared" si="10"/>
        <v>0.1969397925520833</v>
      </c>
      <c r="G66" s="2"/>
      <c r="H66" s="25"/>
      <c r="I66" s="2"/>
    </row>
    <row r="67" spans="2:9" ht="18" customHeight="1" x14ac:dyDescent="0.25">
      <c r="B67" s="229" t="s">
        <v>397</v>
      </c>
      <c r="C67" s="230">
        <f t="shared" ref="C67:C76" si="14">E66</f>
        <v>24.744998166666662</v>
      </c>
      <c r="D67" s="230">
        <f t="shared" si="13"/>
        <v>0.26321441666666667</v>
      </c>
      <c r="E67" s="230">
        <f t="shared" si="6"/>
        <v>24.481783749999995</v>
      </c>
      <c r="F67" s="230">
        <f t="shared" si="10"/>
        <v>0.1948560117534722</v>
      </c>
      <c r="G67" s="2"/>
      <c r="H67" s="25"/>
      <c r="I67" s="2"/>
    </row>
    <row r="68" spans="2:9" ht="18" customHeight="1" x14ac:dyDescent="0.25">
      <c r="B68" s="229" t="s">
        <v>398</v>
      </c>
      <c r="C68" s="230">
        <f t="shared" si="14"/>
        <v>24.481783749999995</v>
      </c>
      <c r="D68" s="230">
        <f t="shared" si="13"/>
        <v>0.26321441666666667</v>
      </c>
      <c r="E68" s="230">
        <f t="shared" si="6"/>
        <v>24.218569333333328</v>
      </c>
      <c r="F68" s="230">
        <f t="shared" si="10"/>
        <v>0.19277223095486107</v>
      </c>
      <c r="G68" s="2"/>
      <c r="H68" s="25"/>
      <c r="I68" s="2"/>
    </row>
    <row r="69" spans="2:9" ht="18" customHeight="1" x14ac:dyDescent="0.25">
      <c r="B69" s="229" t="s">
        <v>399</v>
      </c>
      <c r="C69" s="230">
        <f t="shared" si="14"/>
        <v>24.218569333333328</v>
      </c>
      <c r="D69" s="230">
        <f t="shared" si="13"/>
        <v>0.26321441666666667</v>
      </c>
      <c r="E69" s="230">
        <f t="shared" si="6"/>
        <v>23.955354916666661</v>
      </c>
      <c r="F69" s="230">
        <f t="shared" si="10"/>
        <v>0.19068845015624994</v>
      </c>
      <c r="G69" s="2"/>
      <c r="H69" s="25"/>
      <c r="I69" s="2"/>
    </row>
    <row r="70" spans="2:9" ht="18" customHeight="1" x14ac:dyDescent="0.25">
      <c r="B70" s="229" t="s">
        <v>401</v>
      </c>
      <c r="C70" s="230">
        <f t="shared" si="14"/>
        <v>23.955354916666661</v>
      </c>
      <c r="D70" s="230">
        <f t="shared" si="13"/>
        <v>0.26321441666666667</v>
      </c>
      <c r="E70" s="230">
        <f t="shared" si="6"/>
        <v>23.692140499999994</v>
      </c>
      <c r="F70" s="230">
        <f t="shared" si="10"/>
        <v>0.18860466935763887</v>
      </c>
      <c r="G70" s="2"/>
      <c r="H70" s="25"/>
      <c r="I70" s="2"/>
    </row>
    <row r="71" spans="2:9" ht="18" customHeight="1" x14ac:dyDescent="0.25">
      <c r="B71" s="229" t="s">
        <v>402</v>
      </c>
      <c r="C71" s="230">
        <f t="shared" si="14"/>
        <v>23.692140499999994</v>
      </c>
      <c r="D71" s="230">
        <f t="shared" si="13"/>
        <v>0.26321441666666667</v>
      </c>
      <c r="E71" s="230">
        <f t="shared" si="6"/>
        <v>23.428926083333327</v>
      </c>
      <c r="F71" s="230">
        <f t="shared" si="10"/>
        <v>0.18652088855902771</v>
      </c>
      <c r="G71" s="2"/>
      <c r="H71" s="25"/>
      <c r="I71" s="2"/>
    </row>
    <row r="72" spans="2:9" ht="18" customHeight="1" x14ac:dyDescent="0.25">
      <c r="B72" s="229" t="s">
        <v>403</v>
      </c>
      <c r="C72" s="230">
        <f t="shared" si="14"/>
        <v>23.428926083333327</v>
      </c>
      <c r="D72" s="230">
        <f t="shared" si="13"/>
        <v>0.26321441666666667</v>
      </c>
      <c r="E72" s="230">
        <f t="shared" si="6"/>
        <v>23.16571166666666</v>
      </c>
      <c r="F72" s="230">
        <f t="shared" si="10"/>
        <v>0.18443710776041664</v>
      </c>
      <c r="G72" s="2"/>
      <c r="H72" s="25"/>
      <c r="I72" s="2"/>
    </row>
    <row r="73" spans="2:9" ht="18" customHeight="1" x14ac:dyDescent="0.25">
      <c r="B73" s="229" t="s">
        <v>404</v>
      </c>
      <c r="C73" s="230">
        <f t="shared" si="14"/>
        <v>23.16571166666666</v>
      </c>
      <c r="D73" s="230">
        <f t="shared" si="13"/>
        <v>0.26321441666666667</v>
      </c>
      <c r="E73" s="230">
        <f t="shared" si="6"/>
        <v>22.902497249999993</v>
      </c>
      <c r="F73" s="230">
        <f t="shared" si="10"/>
        <v>0.18235332696180548</v>
      </c>
      <c r="G73" s="2"/>
      <c r="H73" s="25"/>
      <c r="I73" s="2"/>
    </row>
    <row r="74" spans="2:9" ht="18" customHeight="1" x14ac:dyDescent="0.25">
      <c r="B74" s="229" t="s">
        <v>405</v>
      </c>
      <c r="C74" s="230">
        <f t="shared" si="14"/>
        <v>22.902497249999993</v>
      </c>
      <c r="D74" s="230">
        <f t="shared" si="13"/>
        <v>0.26321441666666667</v>
      </c>
      <c r="E74" s="230">
        <f t="shared" si="6"/>
        <v>22.639282833333326</v>
      </c>
      <c r="F74" s="230">
        <f t="shared" si="10"/>
        <v>0.18026954616319438</v>
      </c>
      <c r="G74" s="2"/>
      <c r="H74" s="25"/>
      <c r="I74" s="2"/>
    </row>
    <row r="75" spans="2:9" ht="18" customHeight="1" x14ac:dyDescent="0.25">
      <c r="B75" s="229" t="s">
        <v>406</v>
      </c>
      <c r="C75" s="230">
        <f t="shared" si="14"/>
        <v>22.639282833333326</v>
      </c>
      <c r="D75" s="230">
        <f t="shared" si="13"/>
        <v>0.26321441666666667</v>
      </c>
      <c r="E75" s="230">
        <f t="shared" si="6"/>
        <v>22.376068416666659</v>
      </c>
      <c r="F75" s="230">
        <f t="shared" si="10"/>
        <v>0.17818576536458328</v>
      </c>
      <c r="G75" s="2"/>
      <c r="H75" s="25"/>
      <c r="I75" s="2"/>
    </row>
    <row r="76" spans="2:9" ht="18" customHeight="1" x14ac:dyDescent="0.25">
      <c r="B76" s="229" t="s">
        <v>407</v>
      </c>
      <c r="C76" s="230">
        <f t="shared" si="14"/>
        <v>22.376068416666659</v>
      </c>
      <c r="D76" s="230">
        <f t="shared" si="13"/>
        <v>0.26321441666666667</v>
      </c>
      <c r="E76" s="230">
        <f t="shared" si="6"/>
        <v>22.112853999999992</v>
      </c>
      <c r="F76" s="230">
        <f t="shared" si="10"/>
        <v>0.17610198456597217</v>
      </c>
      <c r="G76" s="2"/>
      <c r="H76" s="25"/>
      <c r="I76" s="2"/>
    </row>
    <row r="77" spans="2:9" ht="18" customHeight="1" x14ac:dyDescent="0.25">
      <c r="B77" s="231" t="s">
        <v>413</v>
      </c>
      <c r="C77" s="231"/>
      <c r="D77" s="231"/>
      <c r="E77" s="232"/>
      <c r="F77" s="232"/>
      <c r="G77" s="2"/>
      <c r="H77" s="25"/>
      <c r="I77" s="619">
        <v>0.1111</v>
      </c>
    </row>
    <row r="78" spans="2:9" ht="18" customHeight="1" x14ac:dyDescent="0.25">
      <c r="B78" s="233" t="s">
        <v>395</v>
      </c>
      <c r="C78" s="234">
        <f>E76</f>
        <v>22.112853999999992</v>
      </c>
      <c r="D78" s="234">
        <f>$C$22*$I$77/12</f>
        <v>0.26321441666666667</v>
      </c>
      <c r="E78" s="234">
        <f t="shared" si="6"/>
        <v>21.849639583333325</v>
      </c>
      <c r="F78" s="234">
        <f t="shared" si="10"/>
        <v>0.17401820376736102</v>
      </c>
      <c r="G78" s="2"/>
      <c r="H78" s="25"/>
      <c r="I78" s="2"/>
    </row>
    <row r="79" spans="2:9" ht="18" customHeight="1" x14ac:dyDescent="0.25">
      <c r="B79" s="233" t="s">
        <v>396</v>
      </c>
      <c r="C79" s="234">
        <f t="shared" ref="C79:C115" si="15">E78</f>
        <v>21.849639583333325</v>
      </c>
      <c r="D79" s="234">
        <f t="shared" ref="D79:D89" si="16">$C$22*$I$77/12</f>
        <v>0.26321441666666667</v>
      </c>
      <c r="E79" s="234">
        <f t="shared" si="6"/>
        <v>21.586425166666658</v>
      </c>
      <c r="F79" s="234">
        <f t="shared" si="10"/>
        <v>0.17193442296874994</v>
      </c>
      <c r="G79" s="2"/>
      <c r="H79" s="25"/>
      <c r="I79" s="2"/>
    </row>
    <row r="80" spans="2:9" ht="18" customHeight="1" x14ac:dyDescent="0.25">
      <c r="B80" s="233" t="s">
        <v>397</v>
      </c>
      <c r="C80" s="234">
        <f t="shared" si="15"/>
        <v>21.586425166666658</v>
      </c>
      <c r="D80" s="234">
        <f t="shared" si="16"/>
        <v>0.26321441666666667</v>
      </c>
      <c r="E80" s="234">
        <f t="shared" si="6"/>
        <v>21.323210749999991</v>
      </c>
      <c r="F80" s="234">
        <f t="shared" si="10"/>
        <v>0.16985064217013879</v>
      </c>
      <c r="G80" s="2"/>
      <c r="H80" s="25"/>
      <c r="I80" s="2"/>
    </row>
    <row r="81" spans="2:9" ht="18" customHeight="1" x14ac:dyDescent="0.25">
      <c r="B81" s="233" t="s">
        <v>398</v>
      </c>
      <c r="C81" s="234">
        <f t="shared" si="15"/>
        <v>21.323210749999991</v>
      </c>
      <c r="D81" s="234">
        <f t="shared" si="16"/>
        <v>0.26321441666666667</v>
      </c>
      <c r="E81" s="234">
        <f t="shared" si="6"/>
        <v>21.059996333333324</v>
      </c>
      <c r="F81" s="234">
        <f t="shared" si="10"/>
        <v>0.16776686137152771</v>
      </c>
      <c r="G81" s="2"/>
      <c r="H81" s="25"/>
      <c r="I81" s="2"/>
    </row>
    <row r="82" spans="2:9" ht="18" customHeight="1" x14ac:dyDescent="0.25">
      <c r="B82" s="233" t="s">
        <v>399</v>
      </c>
      <c r="C82" s="234">
        <f t="shared" si="15"/>
        <v>21.059996333333324</v>
      </c>
      <c r="D82" s="234">
        <f t="shared" si="16"/>
        <v>0.26321441666666667</v>
      </c>
      <c r="E82" s="234">
        <f t="shared" si="6"/>
        <v>20.796781916666657</v>
      </c>
      <c r="F82" s="234">
        <f t="shared" si="10"/>
        <v>0.16568308057291656</v>
      </c>
      <c r="G82" s="2"/>
      <c r="H82" s="25"/>
      <c r="I82" s="2"/>
    </row>
    <row r="83" spans="2:9" ht="18" customHeight="1" x14ac:dyDescent="0.25">
      <c r="B83" s="233" t="s">
        <v>401</v>
      </c>
      <c r="C83" s="234">
        <f t="shared" si="15"/>
        <v>20.796781916666657</v>
      </c>
      <c r="D83" s="234">
        <f t="shared" si="16"/>
        <v>0.26321441666666667</v>
      </c>
      <c r="E83" s="234">
        <f t="shared" si="6"/>
        <v>20.53356749999999</v>
      </c>
      <c r="F83" s="234">
        <f t="shared" si="10"/>
        <v>0.16359929977430548</v>
      </c>
      <c r="G83" s="2"/>
      <c r="H83" s="25"/>
      <c r="I83" s="2"/>
    </row>
    <row r="84" spans="2:9" ht="18" customHeight="1" x14ac:dyDescent="0.25">
      <c r="B84" s="233" t="s">
        <v>402</v>
      </c>
      <c r="C84" s="234">
        <f t="shared" si="15"/>
        <v>20.53356749999999</v>
      </c>
      <c r="D84" s="234">
        <f t="shared" si="16"/>
        <v>0.26321441666666667</v>
      </c>
      <c r="E84" s="234">
        <f t="shared" si="6"/>
        <v>20.270353083333323</v>
      </c>
      <c r="F84" s="234">
        <f t="shared" si="10"/>
        <v>0.16151551897569436</v>
      </c>
      <c r="G84" s="2"/>
      <c r="H84" s="25"/>
      <c r="I84" s="2"/>
    </row>
    <row r="85" spans="2:9" ht="18" customHeight="1" x14ac:dyDescent="0.25">
      <c r="B85" s="233" t="s">
        <v>403</v>
      </c>
      <c r="C85" s="234">
        <f t="shared" si="15"/>
        <v>20.270353083333323</v>
      </c>
      <c r="D85" s="234">
        <f t="shared" si="16"/>
        <v>0.26321441666666667</v>
      </c>
      <c r="E85" s="234">
        <f t="shared" si="6"/>
        <v>20.007138666666656</v>
      </c>
      <c r="F85" s="234">
        <f t="shared" si="10"/>
        <v>0.15943173817708325</v>
      </c>
      <c r="G85" s="2"/>
      <c r="H85" s="25"/>
      <c r="I85" s="2"/>
    </row>
    <row r="86" spans="2:9" ht="18" customHeight="1" x14ac:dyDescent="0.25">
      <c r="B86" s="233" t="s">
        <v>404</v>
      </c>
      <c r="C86" s="234">
        <f t="shared" si="15"/>
        <v>20.007138666666656</v>
      </c>
      <c r="D86" s="234">
        <f t="shared" si="16"/>
        <v>0.26321441666666667</v>
      </c>
      <c r="E86" s="234">
        <f t="shared" si="6"/>
        <v>19.743924249999989</v>
      </c>
      <c r="F86" s="234">
        <f t="shared" si="10"/>
        <v>0.15734795737847213</v>
      </c>
      <c r="G86" s="2"/>
      <c r="H86" s="25"/>
      <c r="I86" s="2"/>
    </row>
    <row r="87" spans="2:9" ht="18" customHeight="1" x14ac:dyDescent="0.25">
      <c r="B87" s="233" t="s">
        <v>405</v>
      </c>
      <c r="C87" s="234">
        <f t="shared" si="15"/>
        <v>19.743924249999989</v>
      </c>
      <c r="D87" s="234">
        <f t="shared" si="16"/>
        <v>0.26321441666666667</v>
      </c>
      <c r="E87" s="234">
        <f t="shared" si="6"/>
        <v>19.480709833333322</v>
      </c>
      <c r="F87" s="234">
        <f t="shared" si="10"/>
        <v>0.15526417657986105</v>
      </c>
      <c r="G87" s="2"/>
      <c r="H87" s="25"/>
      <c r="I87" s="2"/>
    </row>
    <row r="88" spans="2:9" ht="18" customHeight="1" x14ac:dyDescent="0.25">
      <c r="B88" s="233" t="s">
        <v>406</v>
      </c>
      <c r="C88" s="234">
        <f t="shared" si="15"/>
        <v>19.480709833333322</v>
      </c>
      <c r="D88" s="234">
        <f t="shared" si="16"/>
        <v>0.26321441666666667</v>
      </c>
      <c r="E88" s="234">
        <f t="shared" si="6"/>
        <v>19.217495416666655</v>
      </c>
      <c r="F88" s="234">
        <f t="shared" si="10"/>
        <v>0.1531803957812499</v>
      </c>
      <c r="G88" s="2"/>
      <c r="H88" s="25"/>
      <c r="I88" s="2"/>
    </row>
    <row r="89" spans="2:9" ht="18" customHeight="1" x14ac:dyDescent="0.25">
      <c r="B89" s="233" t="s">
        <v>407</v>
      </c>
      <c r="C89" s="234">
        <f t="shared" si="15"/>
        <v>19.217495416666655</v>
      </c>
      <c r="D89" s="234">
        <f t="shared" si="16"/>
        <v>0.26321441666666667</v>
      </c>
      <c r="E89" s="234">
        <f t="shared" si="6"/>
        <v>18.954280999999988</v>
      </c>
      <c r="F89" s="234">
        <f t="shared" si="10"/>
        <v>0.15109661498263879</v>
      </c>
      <c r="G89" s="2"/>
      <c r="H89" s="25"/>
      <c r="I89" s="2"/>
    </row>
    <row r="90" spans="2:9" ht="18" customHeight="1" x14ac:dyDescent="0.25">
      <c r="B90" s="235" t="s">
        <v>414</v>
      </c>
      <c r="C90" s="236"/>
      <c r="D90" s="235"/>
      <c r="E90" s="236"/>
      <c r="F90" s="236"/>
      <c r="G90" s="2"/>
      <c r="H90" s="25"/>
      <c r="I90" s="619">
        <v>0.1111</v>
      </c>
    </row>
    <row r="91" spans="2:9" ht="18" customHeight="1" x14ac:dyDescent="0.25">
      <c r="B91" s="237" t="s">
        <v>395</v>
      </c>
      <c r="C91" s="238">
        <f>E89</f>
        <v>18.954280999999988</v>
      </c>
      <c r="D91" s="238">
        <f>$C$22*$I$90/12</f>
        <v>0.26321441666666667</v>
      </c>
      <c r="E91" s="238">
        <f t="shared" si="6"/>
        <v>18.69106658333332</v>
      </c>
      <c r="F91" s="238">
        <f t="shared" si="10"/>
        <v>0.14901283418402766</v>
      </c>
      <c r="G91" s="2"/>
      <c r="H91" s="25"/>
      <c r="I91" s="2"/>
    </row>
    <row r="92" spans="2:9" ht="18" customHeight="1" x14ac:dyDescent="0.25">
      <c r="B92" s="237" t="s">
        <v>396</v>
      </c>
      <c r="C92" s="238">
        <f t="shared" si="15"/>
        <v>18.69106658333332</v>
      </c>
      <c r="D92" s="238">
        <f t="shared" ref="D92:D102" si="17">$C$22*$I$90/12</f>
        <v>0.26321441666666667</v>
      </c>
      <c r="E92" s="238">
        <f t="shared" si="6"/>
        <v>18.427852166666653</v>
      </c>
      <c r="F92" s="238">
        <f t="shared" si="10"/>
        <v>0.14692905338541659</v>
      </c>
      <c r="G92" s="2"/>
      <c r="H92" s="25"/>
      <c r="I92" s="2"/>
    </row>
    <row r="93" spans="2:9" ht="18" customHeight="1" x14ac:dyDescent="0.25">
      <c r="B93" s="237" t="s">
        <v>397</v>
      </c>
      <c r="C93" s="238">
        <f t="shared" si="15"/>
        <v>18.427852166666653</v>
      </c>
      <c r="D93" s="238">
        <f t="shared" si="17"/>
        <v>0.26321441666666667</v>
      </c>
      <c r="E93" s="238">
        <f t="shared" si="6"/>
        <v>18.164637749999986</v>
      </c>
      <c r="F93" s="238">
        <f t="shared" si="10"/>
        <v>0.14484527258680543</v>
      </c>
      <c r="G93" s="2"/>
      <c r="H93" s="25"/>
      <c r="I93" s="2"/>
    </row>
    <row r="94" spans="2:9" ht="18" customHeight="1" x14ac:dyDescent="0.25">
      <c r="B94" s="237" t="s">
        <v>398</v>
      </c>
      <c r="C94" s="238">
        <f t="shared" si="15"/>
        <v>18.164637749999986</v>
      </c>
      <c r="D94" s="238">
        <f t="shared" si="17"/>
        <v>0.26321441666666667</v>
      </c>
      <c r="E94" s="238">
        <f t="shared" si="6"/>
        <v>17.901423333333319</v>
      </c>
      <c r="F94" s="238">
        <f t="shared" si="10"/>
        <v>0.14276149178819433</v>
      </c>
      <c r="G94" s="2"/>
      <c r="H94" s="25"/>
      <c r="I94" s="2"/>
    </row>
    <row r="95" spans="2:9" ht="18" customHeight="1" x14ac:dyDescent="0.25">
      <c r="B95" s="237" t="s">
        <v>399</v>
      </c>
      <c r="C95" s="238">
        <f t="shared" si="15"/>
        <v>17.901423333333319</v>
      </c>
      <c r="D95" s="238">
        <f t="shared" si="17"/>
        <v>0.26321441666666667</v>
      </c>
      <c r="E95" s="238">
        <f t="shared" ref="E95:E158" si="18">C95-D95</f>
        <v>17.638208916666652</v>
      </c>
      <c r="F95" s="238">
        <f t="shared" si="10"/>
        <v>0.1406777109895832</v>
      </c>
      <c r="G95" s="2"/>
      <c r="H95" s="25"/>
      <c r="I95" s="2"/>
    </row>
    <row r="96" spans="2:9" ht="18" customHeight="1" x14ac:dyDescent="0.25">
      <c r="B96" s="237" t="s">
        <v>401</v>
      </c>
      <c r="C96" s="238">
        <f t="shared" si="15"/>
        <v>17.638208916666652</v>
      </c>
      <c r="D96" s="238">
        <f t="shared" si="17"/>
        <v>0.26321441666666667</v>
      </c>
      <c r="E96" s="238">
        <f t="shared" si="18"/>
        <v>17.374994499999985</v>
      </c>
      <c r="F96" s="238">
        <f t="shared" ref="F96:F159" si="19">AVERAGE(C96,E96)*$C$23/12</f>
        <v>0.13859393019097213</v>
      </c>
      <c r="G96" s="2"/>
      <c r="H96" s="25"/>
      <c r="I96" s="2"/>
    </row>
    <row r="97" spans="2:9" ht="18" customHeight="1" x14ac:dyDescent="0.25">
      <c r="B97" s="237" t="s">
        <v>402</v>
      </c>
      <c r="C97" s="238">
        <f t="shared" si="15"/>
        <v>17.374994499999985</v>
      </c>
      <c r="D97" s="238">
        <f t="shared" si="17"/>
        <v>0.26321441666666667</v>
      </c>
      <c r="E97" s="238">
        <f t="shared" si="18"/>
        <v>17.111780083333318</v>
      </c>
      <c r="F97" s="238">
        <f t="shared" si="19"/>
        <v>0.13651014939236097</v>
      </c>
      <c r="G97" s="2"/>
      <c r="H97" s="25"/>
      <c r="I97" s="2"/>
    </row>
    <row r="98" spans="2:9" ht="18" customHeight="1" x14ac:dyDescent="0.25">
      <c r="B98" s="237" t="s">
        <v>403</v>
      </c>
      <c r="C98" s="238">
        <f t="shared" si="15"/>
        <v>17.111780083333318</v>
      </c>
      <c r="D98" s="238">
        <f t="shared" si="17"/>
        <v>0.26321441666666667</v>
      </c>
      <c r="E98" s="238">
        <f t="shared" si="18"/>
        <v>16.848565666666651</v>
      </c>
      <c r="F98" s="238">
        <f t="shared" si="19"/>
        <v>0.1344263685937499</v>
      </c>
      <c r="G98" s="2"/>
      <c r="H98" s="25"/>
      <c r="I98" s="2"/>
    </row>
    <row r="99" spans="2:9" ht="18" customHeight="1" x14ac:dyDescent="0.25">
      <c r="B99" s="237" t="s">
        <v>404</v>
      </c>
      <c r="C99" s="238">
        <f t="shared" si="15"/>
        <v>16.848565666666651</v>
      </c>
      <c r="D99" s="238">
        <f t="shared" si="17"/>
        <v>0.26321441666666667</v>
      </c>
      <c r="E99" s="238">
        <f t="shared" si="18"/>
        <v>16.585351249999984</v>
      </c>
      <c r="F99" s="238">
        <f t="shared" si="19"/>
        <v>0.13234258779513877</v>
      </c>
      <c r="G99" s="2"/>
      <c r="H99" s="25"/>
      <c r="I99" s="2"/>
    </row>
    <row r="100" spans="2:9" ht="18" customHeight="1" x14ac:dyDescent="0.25">
      <c r="B100" s="237" t="s">
        <v>405</v>
      </c>
      <c r="C100" s="238">
        <f t="shared" si="15"/>
        <v>16.585351249999984</v>
      </c>
      <c r="D100" s="238">
        <f t="shared" si="17"/>
        <v>0.26321441666666667</v>
      </c>
      <c r="E100" s="238">
        <f t="shared" si="18"/>
        <v>16.322136833333317</v>
      </c>
      <c r="F100" s="238">
        <f t="shared" si="19"/>
        <v>0.13025880699652767</v>
      </c>
      <c r="G100" s="2"/>
      <c r="H100" s="25"/>
      <c r="I100" s="2"/>
    </row>
    <row r="101" spans="2:9" ht="18" customHeight="1" x14ac:dyDescent="0.25">
      <c r="B101" s="237" t="s">
        <v>406</v>
      </c>
      <c r="C101" s="238">
        <f t="shared" si="15"/>
        <v>16.322136833333317</v>
      </c>
      <c r="D101" s="238">
        <f t="shared" si="17"/>
        <v>0.26321441666666667</v>
      </c>
      <c r="E101" s="238">
        <f t="shared" si="18"/>
        <v>16.05892241666665</v>
      </c>
      <c r="F101" s="238">
        <f t="shared" si="19"/>
        <v>0.12817502619791651</v>
      </c>
      <c r="G101" s="2"/>
      <c r="H101" s="25"/>
      <c r="I101" s="2"/>
    </row>
    <row r="102" spans="2:9" ht="18" customHeight="1" x14ac:dyDescent="0.25">
      <c r="B102" s="237" t="s">
        <v>407</v>
      </c>
      <c r="C102" s="238">
        <f t="shared" si="15"/>
        <v>16.05892241666665</v>
      </c>
      <c r="D102" s="238">
        <f t="shared" si="17"/>
        <v>0.26321441666666667</v>
      </c>
      <c r="E102" s="238">
        <f t="shared" si="18"/>
        <v>15.795707999999983</v>
      </c>
      <c r="F102" s="238">
        <f t="shared" si="19"/>
        <v>0.12609124539930541</v>
      </c>
      <c r="G102" s="2"/>
      <c r="H102" s="25"/>
      <c r="I102" s="2"/>
    </row>
    <row r="103" spans="2:9" ht="18" customHeight="1" x14ac:dyDescent="0.25">
      <c r="B103" s="239" t="s">
        <v>415</v>
      </c>
      <c r="C103" s="240"/>
      <c r="D103" s="239"/>
      <c r="E103" s="240"/>
      <c r="F103" s="240"/>
      <c r="G103" s="2"/>
      <c r="H103" s="25"/>
      <c r="I103" s="619">
        <v>0.1111</v>
      </c>
    </row>
    <row r="104" spans="2:9" ht="18" customHeight="1" x14ac:dyDescent="0.25">
      <c r="B104" s="241" t="s">
        <v>395</v>
      </c>
      <c r="C104" s="242">
        <f>E102</f>
        <v>15.795707999999983</v>
      </c>
      <c r="D104" s="242">
        <f>$C$22*$I$103/12</f>
        <v>0.26321441666666667</v>
      </c>
      <c r="E104" s="242">
        <f t="shared" si="18"/>
        <v>15.532493583333316</v>
      </c>
      <c r="F104" s="242">
        <f t="shared" si="19"/>
        <v>0.12400746460069433</v>
      </c>
      <c r="G104" s="2"/>
      <c r="H104" s="25"/>
      <c r="I104" s="2"/>
    </row>
    <row r="105" spans="2:9" ht="18" customHeight="1" x14ac:dyDescent="0.25">
      <c r="B105" s="241" t="s">
        <v>396</v>
      </c>
      <c r="C105" s="242">
        <f t="shared" si="15"/>
        <v>15.532493583333316</v>
      </c>
      <c r="D105" s="242">
        <f t="shared" ref="D105:D115" si="20">$C$22*$I$103/12</f>
        <v>0.26321441666666667</v>
      </c>
      <c r="E105" s="242">
        <f t="shared" si="18"/>
        <v>15.269279166666649</v>
      </c>
      <c r="F105" s="242">
        <f t="shared" si="19"/>
        <v>0.1219236838020832</v>
      </c>
      <c r="G105" s="2"/>
      <c r="H105" s="25"/>
      <c r="I105" s="2"/>
    </row>
    <row r="106" spans="2:9" ht="18" customHeight="1" x14ac:dyDescent="0.25">
      <c r="B106" s="241" t="s">
        <v>397</v>
      </c>
      <c r="C106" s="242">
        <f t="shared" si="15"/>
        <v>15.269279166666649</v>
      </c>
      <c r="D106" s="242">
        <f t="shared" si="20"/>
        <v>0.26321441666666667</v>
      </c>
      <c r="E106" s="242">
        <f t="shared" si="18"/>
        <v>15.006064749999982</v>
      </c>
      <c r="F106" s="242">
        <f t="shared" si="19"/>
        <v>0.11983990300347208</v>
      </c>
      <c r="G106" s="2"/>
      <c r="H106" s="25"/>
      <c r="I106" s="2"/>
    </row>
    <row r="107" spans="2:9" ht="18" customHeight="1" x14ac:dyDescent="0.25">
      <c r="B107" s="241" t="s">
        <v>398</v>
      </c>
      <c r="C107" s="242">
        <f t="shared" si="15"/>
        <v>15.006064749999982</v>
      </c>
      <c r="D107" s="242">
        <f t="shared" si="20"/>
        <v>0.26321441666666667</v>
      </c>
      <c r="E107" s="242">
        <f t="shared" si="18"/>
        <v>14.742850333333315</v>
      </c>
      <c r="F107" s="242">
        <f t="shared" si="19"/>
        <v>0.11775612220486098</v>
      </c>
      <c r="G107" s="2"/>
      <c r="H107" s="25"/>
      <c r="I107" s="2"/>
    </row>
    <row r="108" spans="2:9" ht="18" customHeight="1" x14ac:dyDescent="0.25">
      <c r="B108" s="241" t="s">
        <v>399</v>
      </c>
      <c r="C108" s="242">
        <f t="shared" si="15"/>
        <v>14.742850333333315</v>
      </c>
      <c r="D108" s="242">
        <f t="shared" si="20"/>
        <v>0.26321441666666667</v>
      </c>
      <c r="E108" s="242">
        <f t="shared" si="18"/>
        <v>14.479635916666648</v>
      </c>
      <c r="F108" s="242">
        <f t="shared" si="19"/>
        <v>0.11567234140624987</v>
      </c>
      <c r="G108" s="2"/>
      <c r="H108" s="25"/>
      <c r="I108" s="2"/>
    </row>
    <row r="109" spans="2:9" ht="18" customHeight="1" x14ac:dyDescent="0.25">
      <c r="B109" s="241" t="s">
        <v>401</v>
      </c>
      <c r="C109" s="242">
        <f t="shared" si="15"/>
        <v>14.479635916666648</v>
      </c>
      <c r="D109" s="242">
        <f t="shared" si="20"/>
        <v>0.26321441666666667</v>
      </c>
      <c r="E109" s="242">
        <f t="shared" si="18"/>
        <v>14.216421499999981</v>
      </c>
      <c r="F109" s="242">
        <f t="shared" si="19"/>
        <v>0.11358856060763874</v>
      </c>
      <c r="G109" s="2"/>
      <c r="H109" s="25"/>
      <c r="I109" s="2"/>
    </row>
    <row r="110" spans="2:9" ht="18" customHeight="1" x14ac:dyDescent="0.25">
      <c r="B110" s="241" t="s">
        <v>402</v>
      </c>
      <c r="C110" s="242">
        <f t="shared" si="15"/>
        <v>14.216421499999981</v>
      </c>
      <c r="D110" s="242">
        <f t="shared" si="20"/>
        <v>0.26321441666666667</v>
      </c>
      <c r="E110" s="242">
        <f t="shared" si="18"/>
        <v>13.953207083333314</v>
      </c>
      <c r="F110" s="242">
        <f t="shared" si="19"/>
        <v>0.11150477980902763</v>
      </c>
      <c r="G110" s="2"/>
      <c r="H110" s="25"/>
      <c r="I110" s="2"/>
    </row>
    <row r="111" spans="2:9" ht="18" customHeight="1" x14ac:dyDescent="0.25">
      <c r="B111" s="241" t="s">
        <v>403</v>
      </c>
      <c r="C111" s="242">
        <f t="shared" si="15"/>
        <v>13.953207083333314</v>
      </c>
      <c r="D111" s="242">
        <f t="shared" si="20"/>
        <v>0.26321441666666667</v>
      </c>
      <c r="E111" s="242">
        <f t="shared" si="18"/>
        <v>13.689992666666647</v>
      </c>
      <c r="F111" s="242">
        <f t="shared" si="19"/>
        <v>0.10942099901041652</v>
      </c>
      <c r="G111" s="2"/>
      <c r="H111" s="25"/>
      <c r="I111" s="2"/>
    </row>
    <row r="112" spans="2:9" ht="18" customHeight="1" x14ac:dyDescent="0.25">
      <c r="B112" s="241" t="s">
        <v>404</v>
      </c>
      <c r="C112" s="242">
        <f t="shared" si="15"/>
        <v>13.689992666666647</v>
      </c>
      <c r="D112" s="242">
        <f t="shared" si="20"/>
        <v>0.26321441666666667</v>
      </c>
      <c r="E112" s="242">
        <f t="shared" si="18"/>
        <v>13.42677824999998</v>
      </c>
      <c r="F112" s="242">
        <f t="shared" si="19"/>
        <v>0.1073372182118054</v>
      </c>
      <c r="G112" s="2"/>
      <c r="H112" s="25"/>
      <c r="I112" s="2"/>
    </row>
    <row r="113" spans="2:9" ht="18" customHeight="1" x14ac:dyDescent="0.25">
      <c r="B113" s="241" t="s">
        <v>405</v>
      </c>
      <c r="C113" s="242">
        <f t="shared" si="15"/>
        <v>13.42677824999998</v>
      </c>
      <c r="D113" s="242">
        <f t="shared" si="20"/>
        <v>0.26321441666666667</v>
      </c>
      <c r="E113" s="242">
        <f t="shared" si="18"/>
        <v>13.163563833333313</v>
      </c>
      <c r="F113" s="242">
        <f t="shared" si="19"/>
        <v>0.10525343741319428</v>
      </c>
      <c r="G113" s="2"/>
      <c r="H113" s="25"/>
      <c r="I113" s="2"/>
    </row>
    <row r="114" spans="2:9" ht="18" customHeight="1" x14ac:dyDescent="0.25">
      <c r="B114" s="241" t="s">
        <v>406</v>
      </c>
      <c r="C114" s="242">
        <f t="shared" si="15"/>
        <v>13.163563833333313</v>
      </c>
      <c r="D114" s="242">
        <f t="shared" si="20"/>
        <v>0.26321441666666667</v>
      </c>
      <c r="E114" s="242">
        <f t="shared" si="18"/>
        <v>12.900349416666646</v>
      </c>
      <c r="F114" s="242">
        <f t="shared" si="19"/>
        <v>0.10316965661458317</v>
      </c>
      <c r="G114" s="2"/>
      <c r="H114" s="25"/>
      <c r="I114" s="2"/>
    </row>
    <row r="115" spans="2:9" ht="18" customHeight="1" x14ac:dyDescent="0.25">
      <c r="B115" s="241" t="s">
        <v>407</v>
      </c>
      <c r="C115" s="242">
        <f t="shared" si="15"/>
        <v>12.900349416666646</v>
      </c>
      <c r="D115" s="242">
        <f t="shared" si="20"/>
        <v>0.26321441666666667</v>
      </c>
      <c r="E115" s="242">
        <f t="shared" si="18"/>
        <v>12.637134999999979</v>
      </c>
      <c r="F115" s="242">
        <f t="shared" si="19"/>
        <v>0.10108587581597206</v>
      </c>
      <c r="G115" s="2"/>
      <c r="H115" s="25"/>
      <c r="I115" s="2"/>
    </row>
    <row r="116" spans="2:9" ht="18" customHeight="1" x14ac:dyDescent="0.25">
      <c r="B116" s="243" t="s">
        <v>416</v>
      </c>
      <c r="C116" s="244"/>
      <c r="D116" s="243"/>
      <c r="E116" s="244"/>
      <c r="F116" s="244"/>
      <c r="G116" s="2"/>
      <c r="H116" s="25"/>
      <c r="I116" s="619">
        <v>0.1111</v>
      </c>
    </row>
    <row r="117" spans="2:9" ht="18" customHeight="1" x14ac:dyDescent="0.25">
      <c r="B117" s="245" t="s">
        <v>395</v>
      </c>
      <c r="C117" s="246">
        <f>E115</f>
        <v>12.637134999999979</v>
      </c>
      <c r="D117" s="246">
        <f>$C$22*$I$116/12</f>
        <v>0.26321441666666667</v>
      </c>
      <c r="E117" s="246">
        <f t="shared" si="18"/>
        <v>12.373920583333312</v>
      </c>
      <c r="F117" s="246">
        <f t="shared" si="19"/>
        <v>9.9002095017360944E-2</v>
      </c>
      <c r="G117" s="2"/>
      <c r="H117" s="25"/>
      <c r="I117" s="2"/>
    </row>
    <row r="118" spans="2:9" ht="18" customHeight="1" x14ac:dyDescent="0.25">
      <c r="B118" s="245" t="s">
        <v>396</v>
      </c>
      <c r="C118" s="246">
        <f t="shared" ref="C118:C154" si="21">E117</f>
        <v>12.373920583333312</v>
      </c>
      <c r="D118" s="246">
        <f t="shared" ref="D118:D128" si="22">$C$22*$I$116/12</f>
        <v>0.26321441666666667</v>
      </c>
      <c r="E118" s="246">
        <f t="shared" si="18"/>
        <v>12.110706166666645</v>
      </c>
      <c r="F118" s="246">
        <f t="shared" si="19"/>
        <v>9.6918314218749843E-2</v>
      </c>
      <c r="G118" s="2"/>
      <c r="H118" s="25"/>
      <c r="I118" s="2"/>
    </row>
    <row r="119" spans="2:9" ht="18" customHeight="1" x14ac:dyDescent="0.25">
      <c r="B119" s="245" t="s">
        <v>397</v>
      </c>
      <c r="C119" s="246">
        <f t="shared" si="21"/>
        <v>12.110706166666645</v>
      </c>
      <c r="D119" s="246">
        <f t="shared" si="22"/>
        <v>0.26321441666666667</v>
      </c>
      <c r="E119" s="246">
        <f t="shared" si="18"/>
        <v>11.847491749999978</v>
      </c>
      <c r="F119" s="246">
        <f t="shared" si="19"/>
        <v>9.4834533420138714E-2</v>
      </c>
      <c r="G119" s="2"/>
      <c r="H119" s="25"/>
      <c r="I119" s="2"/>
    </row>
    <row r="120" spans="2:9" ht="18" customHeight="1" x14ac:dyDescent="0.25">
      <c r="B120" s="245" t="s">
        <v>398</v>
      </c>
      <c r="C120" s="246">
        <f t="shared" si="21"/>
        <v>11.847491749999978</v>
      </c>
      <c r="D120" s="246">
        <f t="shared" si="22"/>
        <v>0.26321441666666667</v>
      </c>
      <c r="E120" s="246">
        <f t="shared" si="18"/>
        <v>11.584277333333311</v>
      </c>
      <c r="F120" s="246">
        <f t="shared" si="19"/>
        <v>9.2750752621527599E-2</v>
      </c>
      <c r="G120" s="2"/>
      <c r="H120" s="25"/>
      <c r="I120" s="2"/>
    </row>
    <row r="121" spans="2:9" ht="18" customHeight="1" x14ac:dyDescent="0.25">
      <c r="B121" s="245" t="s">
        <v>399</v>
      </c>
      <c r="C121" s="246">
        <f t="shared" si="21"/>
        <v>11.584277333333311</v>
      </c>
      <c r="D121" s="246">
        <f t="shared" si="22"/>
        <v>0.26321441666666667</v>
      </c>
      <c r="E121" s="246">
        <f t="shared" si="18"/>
        <v>11.321062916666644</v>
      </c>
      <c r="F121" s="246">
        <f t="shared" si="19"/>
        <v>9.0666971822916498E-2</v>
      </c>
      <c r="G121" s="2"/>
      <c r="H121" s="25"/>
      <c r="I121" s="2"/>
    </row>
    <row r="122" spans="2:9" ht="18" customHeight="1" x14ac:dyDescent="0.25">
      <c r="B122" s="245" t="s">
        <v>401</v>
      </c>
      <c r="C122" s="246">
        <f t="shared" si="21"/>
        <v>11.321062916666644</v>
      </c>
      <c r="D122" s="246">
        <f t="shared" si="22"/>
        <v>0.26321441666666667</v>
      </c>
      <c r="E122" s="246">
        <f t="shared" si="18"/>
        <v>11.057848499999977</v>
      </c>
      <c r="F122" s="246">
        <f t="shared" si="19"/>
        <v>8.8583191024305383E-2</v>
      </c>
      <c r="G122" s="2"/>
      <c r="H122" s="25"/>
      <c r="I122" s="2"/>
    </row>
    <row r="123" spans="2:9" ht="18" customHeight="1" x14ac:dyDescent="0.25">
      <c r="B123" s="245" t="s">
        <v>402</v>
      </c>
      <c r="C123" s="246">
        <f t="shared" si="21"/>
        <v>11.057848499999977</v>
      </c>
      <c r="D123" s="246">
        <f t="shared" si="22"/>
        <v>0.26321441666666667</v>
      </c>
      <c r="E123" s="246">
        <f t="shared" si="18"/>
        <v>10.79463408333331</v>
      </c>
      <c r="F123" s="246">
        <f t="shared" si="19"/>
        <v>8.6499410225694254E-2</v>
      </c>
      <c r="G123" s="2"/>
      <c r="H123" s="25"/>
      <c r="I123" s="2"/>
    </row>
    <row r="124" spans="2:9" ht="18" customHeight="1" x14ac:dyDescent="0.25">
      <c r="B124" s="245" t="s">
        <v>403</v>
      </c>
      <c r="C124" s="246">
        <f t="shared" si="21"/>
        <v>10.79463408333331</v>
      </c>
      <c r="D124" s="246">
        <f t="shared" si="22"/>
        <v>0.26321441666666667</v>
      </c>
      <c r="E124" s="246">
        <f t="shared" si="18"/>
        <v>10.531419666666643</v>
      </c>
      <c r="F124" s="246">
        <f t="shared" si="19"/>
        <v>8.4415629427083153E-2</v>
      </c>
      <c r="G124" s="2"/>
      <c r="H124" s="25"/>
      <c r="I124" s="2"/>
    </row>
    <row r="125" spans="2:9" ht="18" customHeight="1" x14ac:dyDescent="0.25">
      <c r="B125" s="245" t="s">
        <v>404</v>
      </c>
      <c r="C125" s="246">
        <f t="shared" si="21"/>
        <v>10.531419666666643</v>
      </c>
      <c r="D125" s="246">
        <f t="shared" si="22"/>
        <v>0.26321441666666667</v>
      </c>
      <c r="E125" s="246">
        <f t="shared" si="18"/>
        <v>10.268205249999976</v>
      </c>
      <c r="F125" s="246">
        <f t="shared" si="19"/>
        <v>8.2331848628472037E-2</v>
      </c>
      <c r="G125" s="2"/>
      <c r="H125" s="25"/>
      <c r="I125" s="2"/>
    </row>
    <row r="126" spans="2:9" ht="18" customHeight="1" x14ac:dyDescent="0.25">
      <c r="B126" s="245" t="s">
        <v>405</v>
      </c>
      <c r="C126" s="246">
        <f t="shared" si="21"/>
        <v>10.268205249999976</v>
      </c>
      <c r="D126" s="246">
        <f t="shared" si="22"/>
        <v>0.26321441666666667</v>
      </c>
      <c r="E126" s="246">
        <f t="shared" si="18"/>
        <v>10.004990833333309</v>
      </c>
      <c r="F126" s="246">
        <f t="shared" si="19"/>
        <v>8.0248067829860922E-2</v>
      </c>
      <c r="G126" s="2"/>
      <c r="H126" s="25"/>
      <c r="I126" s="2"/>
    </row>
    <row r="127" spans="2:9" ht="18" customHeight="1" x14ac:dyDescent="0.25">
      <c r="B127" s="245" t="s">
        <v>406</v>
      </c>
      <c r="C127" s="246">
        <f t="shared" si="21"/>
        <v>10.004990833333309</v>
      </c>
      <c r="D127" s="246">
        <f t="shared" si="22"/>
        <v>0.26321441666666667</v>
      </c>
      <c r="E127" s="246">
        <f t="shared" si="18"/>
        <v>9.7417764166666423</v>
      </c>
      <c r="F127" s="246">
        <f t="shared" si="19"/>
        <v>7.8164287031249807E-2</v>
      </c>
      <c r="G127" s="2"/>
      <c r="H127" s="25"/>
      <c r="I127" s="2"/>
    </row>
    <row r="128" spans="2:9" ht="18" customHeight="1" x14ac:dyDescent="0.25">
      <c r="B128" s="245" t="s">
        <v>407</v>
      </c>
      <c r="C128" s="246">
        <f t="shared" si="21"/>
        <v>9.7417764166666423</v>
      </c>
      <c r="D128" s="246">
        <f t="shared" si="22"/>
        <v>0.26321441666666667</v>
      </c>
      <c r="E128" s="246">
        <f t="shared" si="18"/>
        <v>9.4785619999999753</v>
      </c>
      <c r="F128" s="246">
        <f t="shared" si="19"/>
        <v>7.6080506232638692E-2</v>
      </c>
      <c r="G128" s="2"/>
      <c r="H128" s="25"/>
      <c r="I128" s="2"/>
    </row>
    <row r="129" spans="2:9" ht="18" customHeight="1" x14ac:dyDescent="0.25">
      <c r="B129" s="235" t="s">
        <v>417</v>
      </c>
      <c r="C129" s="236"/>
      <c r="D129" s="235"/>
      <c r="E129" s="236"/>
      <c r="F129" s="236"/>
      <c r="G129" s="2"/>
      <c r="H129" s="25"/>
      <c r="I129" s="619">
        <v>0.12</v>
      </c>
    </row>
    <row r="130" spans="2:9" ht="18" customHeight="1" x14ac:dyDescent="0.25">
      <c r="B130" s="237" t="s">
        <v>395</v>
      </c>
      <c r="C130" s="238">
        <f>E128</f>
        <v>9.4785619999999753</v>
      </c>
      <c r="D130" s="238">
        <f>$C$22*$I$129/12</f>
        <v>0.2843</v>
      </c>
      <c r="E130" s="238">
        <f t="shared" si="18"/>
        <v>9.1942619999999753</v>
      </c>
      <c r="F130" s="238">
        <f t="shared" si="19"/>
        <v>7.3913261666666466E-2</v>
      </c>
      <c r="G130" s="2"/>
      <c r="H130" s="25"/>
      <c r="I130" s="2"/>
    </row>
    <row r="131" spans="2:9" ht="18" customHeight="1" x14ac:dyDescent="0.25">
      <c r="B131" s="237" t="s">
        <v>396</v>
      </c>
      <c r="C131" s="238">
        <f t="shared" si="21"/>
        <v>9.1942619999999753</v>
      </c>
      <c r="D131" s="238">
        <f t="shared" ref="D131:D141" si="23">$C$22*$I$129/12</f>
        <v>0.2843</v>
      </c>
      <c r="E131" s="238">
        <f t="shared" si="18"/>
        <v>8.9099619999999753</v>
      </c>
      <c r="F131" s="238">
        <f t="shared" si="19"/>
        <v>7.1662553333333143E-2</v>
      </c>
      <c r="G131" s="2"/>
      <c r="H131" s="25"/>
      <c r="I131" s="2"/>
    </row>
    <row r="132" spans="2:9" ht="18" customHeight="1" x14ac:dyDescent="0.25">
      <c r="B132" s="237" t="s">
        <v>397</v>
      </c>
      <c r="C132" s="238">
        <f t="shared" si="21"/>
        <v>8.9099619999999753</v>
      </c>
      <c r="D132" s="238">
        <f t="shared" si="23"/>
        <v>0.2843</v>
      </c>
      <c r="E132" s="238">
        <f t="shared" si="18"/>
        <v>8.6256619999999753</v>
      </c>
      <c r="F132" s="238">
        <f t="shared" si="19"/>
        <v>6.9411844999999792E-2</v>
      </c>
      <c r="G132" s="2"/>
      <c r="H132" s="25"/>
      <c r="I132" s="2"/>
    </row>
    <row r="133" spans="2:9" ht="18" customHeight="1" x14ac:dyDescent="0.25">
      <c r="B133" s="237" t="s">
        <v>398</v>
      </c>
      <c r="C133" s="238">
        <f t="shared" si="21"/>
        <v>8.6256619999999753</v>
      </c>
      <c r="D133" s="238">
        <f t="shared" si="23"/>
        <v>0.2843</v>
      </c>
      <c r="E133" s="238">
        <f t="shared" si="18"/>
        <v>8.3413619999999753</v>
      </c>
      <c r="F133" s="238">
        <f t="shared" si="19"/>
        <v>6.7161136666666482E-2</v>
      </c>
      <c r="G133" s="2"/>
      <c r="H133" s="25"/>
      <c r="I133" s="2"/>
    </row>
    <row r="134" spans="2:9" ht="18" customHeight="1" x14ac:dyDescent="0.25">
      <c r="B134" s="237" t="s">
        <v>399</v>
      </c>
      <c r="C134" s="238">
        <f t="shared" si="21"/>
        <v>8.3413619999999753</v>
      </c>
      <c r="D134" s="238">
        <f t="shared" si="23"/>
        <v>0.2843</v>
      </c>
      <c r="E134" s="238">
        <f t="shared" si="18"/>
        <v>8.0570619999999753</v>
      </c>
      <c r="F134" s="238">
        <f t="shared" si="19"/>
        <v>6.4910428333333131E-2</v>
      </c>
      <c r="G134" s="2"/>
      <c r="H134" s="25"/>
      <c r="I134" s="2"/>
    </row>
    <row r="135" spans="2:9" ht="18" customHeight="1" x14ac:dyDescent="0.25">
      <c r="B135" s="237" t="s">
        <v>401</v>
      </c>
      <c r="C135" s="238">
        <f t="shared" si="21"/>
        <v>8.0570619999999753</v>
      </c>
      <c r="D135" s="238">
        <f t="shared" si="23"/>
        <v>0.2843</v>
      </c>
      <c r="E135" s="238">
        <f t="shared" si="18"/>
        <v>7.7727619999999753</v>
      </c>
      <c r="F135" s="238">
        <f t="shared" si="19"/>
        <v>6.2659719999999808E-2</v>
      </c>
      <c r="G135" s="2"/>
      <c r="H135" s="25"/>
      <c r="I135" s="2"/>
    </row>
    <row r="136" spans="2:9" ht="18" customHeight="1" x14ac:dyDescent="0.25">
      <c r="B136" s="237" t="s">
        <v>402</v>
      </c>
      <c r="C136" s="238">
        <f t="shared" si="21"/>
        <v>7.7727619999999753</v>
      </c>
      <c r="D136" s="238">
        <f t="shared" si="23"/>
        <v>0.2843</v>
      </c>
      <c r="E136" s="238">
        <f t="shared" si="18"/>
        <v>7.4884619999999753</v>
      </c>
      <c r="F136" s="238">
        <f t="shared" si="19"/>
        <v>6.0409011666666478E-2</v>
      </c>
      <c r="G136" s="2"/>
      <c r="H136" s="25"/>
      <c r="I136" s="2"/>
    </row>
    <row r="137" spans="2:9" ht="18" customHeight="1" x14ac:dyDescent="0.25">
      <c r="B137" s="237" t="s">
        <v>403</v>
      </c>
      <c r="C137" s="238">
        <f t="shared" si="21"/>
        <v>7.4884619999999753</v>
      </c>
      <c r="D137" s="238">
        <f t="shared" si="23"/>
        <v>0.2843</v>
      </c>
      <c r="E137" s="238">
        <f t="shared" si="18"/>
        <v>7.2041619999999753</v>
      </c>
      <c r="F137" s="238">
        <f t="shared" si="19"/>
        <v>5.815830333333314E-2</v>
      </c>
      <c r="G137" s="2"/>
      <c r="H137" s="25"/>
      <c r="I137" s="2"/>
    </row>
    <row r="138" spans="2:9" ht="18" customHeight="1" x14ac:dyDescent="0.25">
      <c r="B138" s="237" t="s">
        <v>404</v>
      </c>
      <c r="C138" s="238">
        <f t="shared" si="21"/>
        <v>7.2041619999999753</v>
      </c>
      <c r="D138" s="238">
        <f t="shared" si="23"/>
        <v>0.2843</v>
      </c>
      <c r="E138" s="238">
        <f t="shared" si="18"/>
        <v>6.9198619999999753</v>
      </c>
      <c r="F138" s="238">
        <f t="shared" si="19"/>
        <v>5.5907594999999803E-2</v>
      </c>
      <c r="G138" s="2"/>
      <c r="H138" s="25"/>
      <c r="I138" s="2"/>
    </row>
    <row r="139" spans="2:9" ht="18" customHeight="1" x14ac:dyDescent="0.25">
      <c r="B139" s="237" t="s">
        <v>405</v>
      </c>
      <c r="C139" s="238">
        <f t="shared" si="21"/>
        <v>6.9198619999999753</v>
      </c>
      <c r="D139" s="238">
        <f t="shared" si="23"/>
        <v>0.2843</v>
      </c>
      <c r="E139" s="238">
        <f t="shared" si="18"/>
        <v>6.6355619999999753</v>
      </c>
      <c r="F139" s="238">
        <f t="shared" si="19"/>
        <v>5.3656886666666466E-2</v>
      </c>
      <c r="G139" s="2"/>
      <c r="H139" s="25"/>
      <c r="I139" s="2"/>
    </row>
    <row r="140" spans="2:9" ht="18" customHeight="1" x14ac:dyDescent="0.25">
      <c r="B140" s="237" t="s">
        <v>406</v>
      </c>
      <c r="C140" s="238">
        <f t="shared" si="21"/>
        <v>6.6355619999999753</v>
      </c>
      <c r="D140" s="238">
        <f t="shared" si="23"/>
        <v>0.2843</v>
      </c>
      <c r="E140" s="238">
        <f t="shared" si="18"/>
        <v>6.3512619999999753</v>
      </c>
      <c r="F140" s="238">
        <f t="shared" si="19"/>
        <v>5.1406178333333136E-2</v>
      </c>
      <c r="G140" s="2"/>
      <c r="H140" s="25"/>
      <c r="I140" s="2"/>
    </row>
    <row r="141" spans="2:9" ht="18" customHeight="1" x14ac:dyDescent="0.25">
      <c r="B141" s="237" t="s">
        <v>407</v>
      </c>
      <c r="C141" s="238">
        <f t="shared" si="21"/>
        <v>6.3512619999999753</v>
      </c>
      <c r="D141" s="238">
        <f t="shared" si="23"/>
        <v>0.2843</v>
      </c>
      <c r="E141" s="238">
        <f t="shared" si="18"/>
        <v>6.0669619999999753</v>
      </c>
      <c r="F141" s="238">
        <f t="shared" si="19"/>
        <v>4.9155469999999805E-2</v>
      </c>
      <c r="G141" s="2"/>
      <c r="H141" s="25"/>
      <c r="I141" s="2"/>
    </row>
    <row r="142" spans="2:9" ht="18" customHeight="1" x14ac:dyDescent="0.25">
      <c r="B142" s="231" t="s">
        <v>418</v>
      </c>
      <c r="C142" s="232"/>
      <c r="D142" s="231"/>
      <c r="E142" s="232"/>
      <c r="F142" s="232"/>
      <c r="G142" s="2"/>
      <c r="H142" s="25"/>
      <c r="I142" s="619">
        <v>0.13</v>
      </c>
    </row>
    <row r="143" spans="2:9" ht="18" customHeight="1" x14ac:dyDescent="0.25">
      <c r="B143" s="233" t="s">
        <v>395</v>
      </c>
      <c r="C143" s="234">
        <f>E141</f>
        <v>6.0669619999999753</v>
      </c>
      <c r="D143" s="234">
        <f>$C$22*$I$142/12</f>
        <v>0.30799166666666666</v>
      </c>
      <c r="E143" s="234">
        <f t="shared" si="18"/>
        <v>5.7589703333333091</v>
      </c>
      <c r="F143" s="234">
        <f t="shared" si="19"/>
        <v>4.681098215277759E-2</v>
      </c>
      <c r="G143" s="2"/>
      <c r="H143" s="25"/>
      <c r="I143" s="2"/>
    </row>
    <row r="144" spans="2:9" ht="18" customHeight="1" x14ac:dyDescent="0.25">
      <c r="B144" s="233" t="s">
        <v>396</v>
      </c>
      <c r="C144" s="234">
        <f t="shared" si="21"/>
        <v>5.7589703333333091</v>
      </c>
      <c r="D144" s="234">
        <f t="shared" ref="D144:D154" si="24">$C$22*$I$142/12</f>
        <v>0.30799166666666666</v>
      </c>
      <c r="E144" s="234">
        <f t="shared" si="18"/>
        <v>5.4509786666666429</v>
      </c>
      <c r="F144" s="234">
        <f t="shared" si="19"/>
        <v>4.4372714791666483E-2</v>
      </c>
      <c r="G144" s="2"/>
      <c r="H144" s="25"/>
      <c r="I144" s="2"/>
    </row>
    <row r="145" spans="2:9" ht="18" customHeight="1" x14ac:dyDescent="0.25">
      <c r="B145" s="233" t="s">
        <v>397</v>
      </c>
      <c r="C145" s="234">
        <f t="shared" si="21"/>
        <v>5.4509786666666429</v>
      </c>
      <c r="D145" s="234">
        <f t="shared" si="24"/>
        <v>0.30799166666666666</v>
      </c>
      <c r="E145" s="234">
        <f t="shared" si="18"/>
        <v>5.1429869999999767</v>
      </c>
      <c r="F145" s="234">
        <f t="shared" si="19"/>
        <v>4.1934447430555376E-2</v>
      </c>
      <c r="G145" s="2"/>
      <c r="H145" s="25"/>
      <c r="I145" s="2"/>
    </row>
    <row r="146" spans="2:9" ht="18" customHeight="1" x14ac:dyDescent="0.25">
      <c r="B146" s="233" t="s">
        <v>398</v>
      </c>
      <c r="C146" s="234">
        <f t="shared" si="21"/>
        <v>5.1429869999999767</v>
      </c>
      <c r="D146" s="234">
        <f t="shared" si="24"/>
        <v>0.30799166666666666</v>
      </c>
      <c r="E146" s="234">
        <f t="shared" si="18"/>
        <v>4.8349953333333104</v>
      </c>
      <c r="F146" s="234">
        <f t="shared" si="19"/>
        <v>3.9496180069444262E-2</v>
      </c>
      <c r="G146" s="2"/>
      <c r="H146" s="25"/>
      <c r="I146" s="2"/>
    </row>
    <row r="147" spans="2:9" ht="18" customHeight="1" x14ac:dyDescent="0.25">
      <c r="B147" s="233" t="s">
        <v>399</v>
      </c>
      <c r="C147" s="234">
        <f t="shared" si="21"/>
        <v>4.8349953333333104</v>
      </c>
      <c r="D147" s="234">
        <f t="shared" si="24"/>
        <v>0.30799166666666666</v>
      </c>
      <c r="E147" s="234">
        <f t="shared" si="18"/>
        <v>4.5270036666666442</v>
      </c>
      <c r="F147" s="234">
        <f t="shared" si="19"/>
        <v>3.7057912708333154E-2</v>
      </c>
      <c r="G147" s="2"/>
      <c r="H147" s="25"/>
      <c r="I147" s="2"/>
    </row>
    <row r="148" spans="2:9" ht="18" customHeight="1" x14ac:dyDescent="0.25">
      <c r="B148" s="233" t="s">
        <v>401</v>
      </c>
      <c r="C148" s="234">
        <f t="shared" si="21"/>
        <v>4.5270036666666442</v>
      </c>
      <c r="D148" s="234">
        <f t="shared" si="24"/>
        <v>0.30799166666666666</v>
      </c>
      <c r="E148" s="234">
        <f t="shared" si="18"/>
        <v>4.219011999999978</v>
      </c>
      <c r="F148" s="234">
        <f t="shared" si="19"/>
        <v>3.4619645347222047E-2</v>
      </c>
      <c r="G148" s="2"/>
      <c r="H148" s="25"/>
      <c r="I148" s="2"/>
    </row>
    <row r="149" spans="2:9" ht="18" customHeight="1" x14ac:dyDescent="0.25">
      <c r="B149" s="233" t="s">
        <v>402</v>
      </c>
      <c r="C149" s="234">
        <f t="shared" si="21"/>
        <v>4.219011999999978</v>
      </c>
      <c r="D149" s="234">
        <f t="shared" si="24"/>
        <v>0.30799166666666666</v>
      </c>
      <c r="E149" s="234">
        <f t="shared" si="18"/>
        <v>3.9110203333333113</v>
      </c>
      <c r="F149" s="234">
        <f t="shared" si="19"/>
        <v>3.218137798611094E-2</v>
      </c>
      <c r="G149" s="2"/>
      <c r="H149" s="25"/>
      <c r="I149" s="2"/>
    </row>
    <row r="150" spans="2:9" ht="18" customHeight="1" x14ac:dyDescent="0.25">
      <c r="B150" s="233" t="s">
        <v>403</v>
      </c>
      <c r="C150" s="234">
        <f t="shared" si="21"/>
        <v>3.9110203333333113</v>
      </c>
      <c r="D150" s="234">
        <f t="shared" si="24"/>
        <v>0.30799166666666666</v>
      </c>
      <c r="E150" s="234">
        <f t="shared" si="18"/>
        <v>3.6030286666666447</v>
      </c>
      <c r="F150" s="234">
        <f t="shared" si="19"/>
        <v>2.9743110624999822E-2</v>
      </c>
      <c r="G150" s="2"/>
      <c r="H150" s="25"/>
      <c r="I150" s="2"/>
    </row>
    <row r="151" spans="2:9" ht="18" customHeight="1" x14ac:dyDescent="0.25">
      <c r="B151" s="233" t="s">
        <v>404</v>
      </c>
      <c r="C151" s="234">
        <f t="shared" si="21"/>
        <v>3.6030286666666447</v>
      </c>
      <c r="D151" s="234">
        <f t="shared" si="24"/>
        <v>0.30799166666666666</v>
      </c>
      <c r="E151" s="234">
        <f t="shared" si="18"/>
        <v>3.295036999999978</v>
      </c>
      <c r="F151" s="234">
        <f t="shared" si="19"/>
        <v>2.7304843263888715E-2</v>
      </c>
      <c r="G151" s="2"/>
      <c r="H151" s="25"/>
      <c r="I151" s="2"/>
    </row>
    <row r="152" spans="2:9" ht="18" customHeight="1" x14ac:dyDescent="0.25">
      <c r="B152" s="233" t="s">
        <v>405</v>
      </c>
      <c r="C152" s="234">
        <f t="shared" si="21"/>
        <v>3.295036999999978</v>
      </c>
      <c r="D152" s="234">
        <f t="shared" si="24"/>
        <v>0.30799166666666666</v>
      </c>
      <c r="E152" s="234">
        <f t="shared" si="18"/>
        <v>2.9870453333333113</v>
      </c>
      <c r="F152" s="234">
        <f t="shared" si="19"/>
        <v>2.4866575902777605E-2</v>
      </c>
      <c r="G152" s="2"/>
      <c r="H152" s="25"/>
      <c r="I152" s="2"/>
    </row>
    <row r="153" spans="2:9" ht="18" customHeight="1" x14ac:dyDescent="0.25">
      <c r="B153" s="233" t="s">
        <v>406</v>
      </c>
      <c r="C153" s="234">
        <f t="shared" si="21"/>
        <v>2.9870453333333113</v>
      </c>
      <c r="D153" s="234">
        <f t="shared" si="24"/>
        <v>0.30799166666666666</v>
      </c>
      <c r="E153" s="234">
        <f t="shared" si="18"/>
        <v>2.6790536666666447</v>
      </c>
      <c r="F153" s="234">
        <f t="shared" si="19"/>
        <v>2.2428308541666494E-2</v>
      </c>
      <c r="G153" s="2"/>
      <c r="H153" s="25"/>
      <c r="I153" s="2"/>
    </row>
    <row r="154" spans="2:9" ht="18" customHeight="1" x14ac:dyDescent="0.25">
      <c r="B154" s="233" t="s">
        <v>407</v>
      </c>
      <c r="C154" s="234">
        <f t="shared" si="21"/>
        <v>2.6790536666666447</v>
      </c>
      <c r="D154" s="234">
        <f t="shared" si="24"/>
        <v>0.30799166666666666</v>
      </c>
      <c r="E154" s="234">
        <f t="shared" si="18"/>
        <v>2.371061999999978</v>
      </c>
      <c r="F154" s="234">
        <f t="shared" si="19"/>
        <v>1.999004118055538E-2</v>
      </c>
      <c r="G154" s="2"/>
      <c r="H154" s="25"/>
      <c r="I154" s="2"/>
    </row>
    <row r="155" spans="2:9" ht="18" customHeight="1" x14ac:dyDescent="0.25">
      <c r="B155" s="243" t="s">
        <v>419</v>
      </c>
      <c r="C155" s="244"/>
      <c r="D155" s="243"/>
      <c r="E155" s="244"/>
      <c r="F155" s="244"/>
      <c r="G155" s="2"/>
      <c r="H155" s="25"/>
      <c r="I155" s="619">
        <v>0.15</v>
      </c>
    </row>
    <row r="156" spans="2:9" ht="18" customHeight="1" x14ac:dyDescent="0.25">
      <c r="B156" s="245" t="s">
        <v>395</v>
      </c>
      <c r="C156" s="246">
        <f>E154</f>
        <v>2.371061999999978</v>
      </c>
      <c r="D156" s="246">
        <f>$C$22*$I$155/12</f>
        <v>0.355375</v>
      </c>
      <c r="E156" s="246">
        <f t="shared" si="18"/>
        <v>2.015686999999978</v>
      </c>
      <c r="F156" s="246">
        <f t="shared" si="19"/>
        <v>1.7364214791666492E-2</v>
      </c>
      <c r="G156" s="2"/>
      <c r="H156" s="25"/>
      <c r="I156" s="2"/>
    </row>
    <row r="157" spans="2:9" ht="18" customHeight="1" x14ac:dyDescent="0.25">
      <c r="B157" s="245" t="s">
        <v>396</v>
      </c>
      <c r="C157" s="246">
        <f t="shared" ref="C157:C167" si="25">E156</f>
        <v>2.015686999999978</v>
      </c>
      <c r="D157" s="246">
        <f t="shared" ref="D157:D160" si="26">$C$22*$I$155/12</f>
        <v>0.355375</v>
      </c>
      <c r="E157" s="246">
        <f t="shared" si="18"/>
        <v>1.660311999999978</v>
      </c>
      <c r="F157" s="246">
        <f t="shared" si="19"/>
        <v>1.4550829374999826E-2</v>
      </c>
      <c r="G157" s="2"/>
      <c r="H157" s="25"/>
      <c r="I157" s="2"/>
    </row>
    <row r="158" spans="2:9" ht="18" customHeight="1" x14ac:dyDescent="0.25">
      <c r="B158" s="245" t="s">
        <v>397</v>
      </c>
      <c r="C158" s="246">
        <f t="shared" si="25"/>
        <v>1.660311999999978</v>
      </c>
      <c r="D158" s="246">
        <f t="shared" si="26"/>
        <v>0.355375</v>
      </c>
      <c r="E158" s="246">
        <f t="shared" si="18"/>
        <v>1.304936999999978</v>
      </c>
      <c r="F158" s="246">
        <f t="shared" si="19"/>
        <v>1.1737443958333158E-2</v>
      </c>
      <c r="G158" s="2"/>
      <c r="H158" s="25"/>
      <c r="I158" s="2"/>
    </row>
    <row r="159" spans="2:9" ht="18" customHeight="1" x14ac:dyDescent="0.25">
      <c r="B159" s="245" t="s">
        <v>398</v>
      </c>
      <c r="C159" s="246">
        <f t="shared" si="25"/>
        <v>1.304936999999978</v>
      </c>
      <c r="D159" s="246">
        <f t="shared" si="26"/>
        <v>0.355375</v>
      </c>
      <c r="E159" s="246">
        <f t="shared" ref="E159:E167" si="27">C159-D159</f>
        <v>0.94956199999997803</v>
      </c>
      <c r="F159" s="246">
        <f t="shared" si="19"/>
        <v>8.9240585416664932E-3</v>
      </c>
      <c r="G159" s="2"/>
      <c r="H159" s="25"/>
      <c r="I159" s="2"/>
    </row>
    <row r="160" spans="2:9" ht="18" customHeight="1" x14ac:dyDescent="0.25">
      <c r="B160" s="245" t="s">
        <v>399</v>
      </c>
      <c r="C160" s="246">
        <f t="shared" si="25"/>
        <v>0.94956199999997803</v>
      </c>
      <c r="D160" s="246">
        <f t="shared" si="26"/>
        <v>0.355375</v>
      </c>
      <c r="E160" s="246">
        <f t="shared" si="27"/>
        <v>0.59418699999997804</v>
      </c>
      <c r="F160" s="246">
        <f t="shared" ref="F160:F167" si="28">AVERAGE(C160,E160)*$C$23/12</f>
        <v>6.1106731249998261E-3</v>
      </c>
      <c r="G160" s="2"/>
      <c r="H160" s="25"/>
      <c r="I160" s="2"/>
    </row>
    <row r="161" spans="2:9" ht="18" customHeight="1" x14ac:dyDescent="0.25">
      <c r="B161" s="245" t="s">
        <v>401</v>
      </c>
      <c r="C161" s="246">
        <f t="shared" si="25"/>
        <v>0.59418699999997804</v>
      </c>
      <c r="D161" s="246">
        <f>C161</f>
        <v>0.59418699999997804</v>
      </c>
      <c r="E161" s="246">
        <f t="shared" si="27"/>
        <v>0</v>
      </c>
      <c r="F161" s="246">
        <f t="shared" si="28"/>
        <v>2.3519902083332465E-3</v>
      </c>
      <c r="G161" s="2"/>
      <c r="H161" s="25"/>
      <c r="I161" s="2"/>
    </row>
    <row r="162" spans="2:9" ht="18" customHeight="1" x14ac:dyDescent="0.25">
      <c r="B162" s="245" t="s">
        <v>402</v>
      </c>
      <c r="C162" s="246">
        <f t="shared" si="25"/>
        <v>0</v>
      </c>
      <c r="D162" s="246">
        <f t="shared" ref="D162:D167" si="29">C162</f>
        <v>0</v>
      </c>
      <c r="E162" s="246">
        <f t="shared" si="27"/>
        <v>0</v>
      </c>
      <c r="F162" s="246">
        <f t="shared" si="28"/>
        <v>0</v>
      </c>
      <c r="G162" s="2"/>
      <c r="H162" s="25"/>
      <c r="I162" s="2"/>
    </row>
    <row r="163" spans="2:9" ht="18" customHeight="1" x14ac:dyDescent="0.25">
      <c r="B163" s="245" t="s">
        <v>403</v>
      </c>
      <c r="C163" s="246">
        <f t="shared" si="25"/>
        <v>0</v>
      </c>
      <c r="D163" s="246">
        <f t="shared" si="29"/>
        <v>0</v>
      </c>
      <c r="E163" s="246">
        <f t="shared" si="27"/>
        <v>0</v>
      </c>
      <c r="F163" s="246">
        <f t="shared" si="28"/>
        <v>0</v>
      </c>
      <c r="G163" s="2"/>
      <c r="H163" s="25"/>
      <c r="I163" s="2"/>
    </row>
    <row r="164" spans="2:9" ht="18" customHeight="1" x14ac:dyDescent="0.25">
      <c r="B164" s="245" t="s">
        <v>404</v>
      </c>
      <c r="C164" s="246">
        <f t="shared" si="25"/>
        <v>0</v>
      </c>
      <c r="D164" s="246">
        <f t="shared" si="29"/>
        <v>0</v>
      </c>
      <c r="E164" s="246">
        <f t="shared" si="27"/>
        <v>0</v>
      </c>
      <c r="F164" s="246">
        <f t="shared" si="28"/>
        <v>0</v>
      </c>
      <c r="G164" s="2"/>
      <c r="H164" s="25"/>
      <c r="I164" s="2"/>
    </row>
    <row r="165" spans="2:9" ht="18" customHeight="1" x14ac:dyDescent="0.25">
      <c r="B165" s="245" t="s">
        <v>405</v>
      </c>
      <c r="C165" s="246">
        <f t="shared" si="25"/>
        <v>0</v>
      </c>
      <c r="D165" s="246">
        <f t="shared" si="29"/>
        <v>0</v>
      </c>
      <c r="E165" s="246">
        <f t="shared" si="27"/>
        <v>0</v>
      </c>
      <c r="F165" s="246">
        <f t="shared" si="28"/>
        <v>0</v>
      </c>
      <c r="G165" s="2"/>
      <c r="H165" s="25"/>
      <c r="I165" s="2"/>
    </row>
    <row r="166" spans="2:9" ht="18" customHeight="1" x14ac:dyDescent="0.25">
      <c r="B166" s="245" t="s">
        <v>406</v>
      </c>
      <c r="C166" s="246">
        <f t="shared" si="25"/>
        <v>0</v>
      </c>
      <c r="D166" s="246">
        <f t="shared" si="29"/>
        <v>0</v>
      </c>
      <c r="E166" s="246">
        <f t="shared" si="27"/>
        <v>0</v>
      </c>
      <c r="F166" s="246">
        <f t="shared" si="28"/>
        <v>0</v>
      </c>
      <c r="G166" s="2"/>
      <c r="H166" s="25"/>
      <c r="I166" s="2"/>
    </row>
    <row r="167" spans="2:9" ht="18" customHeight="1" x14ac:dyDescent="0.25">
      <c r="B167" s="245" t="s">
        <v>407</v>
      </c>
      <c r="C167" s="246">
        <f t="shared" si="25"/>
        <v>0</v>
      </c>
      <c r="D167" s="246">
        <f t="shared" si="29"/>
        <v>0</v>
      </c>
      <c r="E167" s="246">
        <f t="shared" si="27"/>
        <v>0</v>
      </c>
      <c r="F167" s="246">
        <f t="shared" si="28"/>
        <v>0</v>
      </c>
      <c r="G167" s="2"/>
      <c r="H167" s="25"/>
      <c r="I167" s="2"/>
    </row>
    <row r="168" spans="2:9" ht="18" customHeight="1" x14ac:dyDescent="0.25">
      <c r="B168" s="88" t="s">
        <v>273</v>
      </c>
      <c r="C168" s="247"/>
      <c r="D168" s="89">
        <f>SUM(D26:D167)</f>
        <v>28.430000000000003</v>
      </c>
      <c r="E168" s="89"/>
      <c r="F168" s="89">
        <f>SUM(F26:F167)</f>
        <v>14.986386451666654</v>
      </c>
      <c r="G168" s="2"/>
      <c r="H168" s="25"/>
      <c r="I168" s="2"/>
    </row>
  </sheetData>
  <mergeCells count="2">
    <mergeCell ref="D8:E8"/>
    <mergeCell ref="F8:O8"/>
  </mergeCells>
  <pageMargins left="0.7" right="0.7" top="0.75" bottom="0.75" header="0.3" footer="0.3"/>
  <pageSetup orientation="portrait" r:id="rId1"/>
  <ignoredErrors>
    <ignoredError sqref="C31 C53" formula="1"/>
    <ignoredError sqref="E14:F14" formulaRange="1"/>
  </ignoredError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181"/>
  <sheetViews>
    <sheetView showGridLines="0" workbookViewId="0"/>
  </sheetViews>
  <sheetFormatPr defaultColWidth="13.7109375" defaultRowHeight="18" customHeight="1" x14ac:dyDescent="0.25"/>
  <cols>
    <col min="1" max="1" width="4.28515625" style="1" customWidth="1"/>
    <col min="2" max="2" width="38.7109375" style="1" customWidth="1"/>
    <col min="3" max="3" width="7.140625" style="1" customWidth="1"/>
    <col min="4" max="6" width="12.7109375" style="1" customWidth="1"/>
    <col min="7" max="7" width="17.7109375" style="1" customWidth="1"/>
    <col min="8" max="8" width="15.7109375" style="42" customWidth="1"/>
    <col min="9" max="9" width="13" style="1" customWidth="1"/>
    <col min="10" max="15" width="12.7109375" style="1" customWidth="1"/>
    <col min="16" max="16384" width="13.7109375" style="1"/>
  </cols>
  <sheetData>
    <row r="1" spans="2:16" ht="15.75" customHeight="1" x14ac:dyDescent="0.25"/>
    <row r="2" spans="2:16" s="2" customFormat="1" ht="18" customHeight="1" x14ac:dyDescent="0.25">
      <c r="B2" s="34" t="str">
        <f>"Financial Model of " &amp; B4</f>
        <v>Financial Model of Proposed 6000 KGPD CBG plant set up M/s. NRS BIO FUEL ENERGIES LLP</v>
      </c>
      <c r="C2" s="35"/>
      <c r="D2" s="35"/>
      <c r="E2" s="35"/>
      <c r="F2" s="35"/>
      <c r="G2" s="35"/>
      <c r="H2" s="35"/>
      <c r="I2" s="35"/>
      <c r="J2" s="35"/>
      <c r="K2" s="35"/>
      <c r="L2" s="35"/>
      <c r="M2" s="35"/>
      <c r="N2" s="35"/>
      <c r="O2" s="35"/>
      <c r="P2" s="25"/>
    </row>
    <row r="3" spans="2:16" s="2" customFormat="1" ht="12" customHeight="1" x14ac:dyDescent="0.25">
      <c r="C3" s="25"/>
      <c r="D3" s="25"/>
      <c r="E3" s="25"/>
      <c r="F3" s="25"/>
      <c r="G3" s="25"/>
      <c r="H3" s="25"/>
      <c r="I3" s="25"/>
      <c r="J3" s="25"/>
      <c r="K3" s="25"/>
      <c r="L3" s="25"/>
      <c r="M3" s="25"/>
      <c r="N3" s="25"/>
      <c r="O3" s="25"/>
      <c r="P3" s="25"/>
    </row>
    <row r="4" spans="2:16" s="2" customFormat="1" ht="18" customHeight="1" x14ac:dyDescent="0.25">
      <c r="B4" s="26" t="str">
        <f>'Common Assumption'!B4</f>
        <v>Proposed 6000 KGPD CBG plant set up M/s. NRS BIO FUEL ENERGIES LLP</v>
      </c>
      <c r="C4" s="26"/>
      <c r="D4" s="27"/>
      <c r="E4" s="27"/>
      <c r="F4" s="27"/>
      <c r="G4" s="27"/>
      <c r="H4" s="27"/>
      <c r="I4" s="27"/>
      <c r="J4" s="27"/>
      <c r="K4" s="27"/>
      <c r="L4" s="27"/>
      <c r="M4" s="27"/>
      <c r="N4" s="27"/>
      <c r="O4" s="27"/>
      <c r="P4" s="25"/>
    </row>
    <row r="5" spans="2:16" s="2" customFormat="1" ht="13.5" customHeight="1" x14ac:dyDescent="0.25">
      <c r="C5" s="25"/>
      <c r="D5" s="25"/>
      <c r="F5" s="28"/>
      <c r="H5" s="25"/>
      <c r="P5" s="25"/>
    </row>
    <row r="6" spans="2:16" s="2" customFormat="1" ht="18" customHeight="1" x14ac:dyDescent="0.25">
      <c r="B6" s="26" t="s">
        <v>421</v>
      </c>
      <c r="C6" s="26"/>
      <c r="D6" s="27"/>
      <c r="E6" s="27"/>
      <c r="F6" s="27"/>
      <c r="G6" s="27"/>
      <c r="H6" s="27"/>
      <c r="I6" s="27"/>
      <c r="J6" s="27"/>
      <c r="K6" s="27"/>
      <c r="L6" s="27"/>
      <c r="M6" s="27"/>
      <c r="N6" s="27"/>
      <c r="O6" s="27"/>
      <c r="P6" s="25"/>
    </row>
    <row r="7" spans="2:16" s="2" customFormat="1" ht="12.75" customHeight="1" x14ac:dyDescent="0.25">
      <c r="C7" s="25"/>
      <c r="D7" s="25"/>
      <c r="F7" s="28"/>
      <c r="H7" s="25"/>
      <c r="O7" s="25"/>
      <c r="P7" s="25"/>
    </row>
    <row r="8" spans="2:16" s="2" customFormat="1" ht="18" customHeight="1" x14ac:dyDescent="0.25">
      <c r="C8" s="25"/>
      <c r="D8" s="675" t="s">
        <v>8</v>
      </c>
      <c r="E8" s="675"/>
      <c r="F8" s="676" t="s">
        <v>52</v>
      </c>
      <c r="G8" s="676"/>
      <c r="H8" s="676"/>
      <c r="I8" s="676"/>
      <c r="J8" s="676"/>
      <c r="K8" s="676"/>
      <c r="L8" s="676"/>
      <c r="M8" s="676"/>
      <c r="N8" s="676"/>
      <c r="O8" s="676"/>
      <c r="P8" s="25"/>
    </row>
    <row r="9" spans="2:16" s="2" customFormat="1" ht="18" customHeight="1" x14ac:dyDescent="0.25">
      <c r="B9" s="29" t="s">
        <v>53</v>
      </c>
      <c r="C9" s="30" t="s">
        <v>54</v>
      </c>
      <c r="D9" s="31">
        <f>EOMONTH('Common Assumption'!E11,5)</f>
        <v>45747</v>
      </c>
      <c r="E9" s="31">
        <f>'Common Assumption'!E13</f>
        <v>45930</v>
      </c>
      <c r="F9" s="31">
        <f>DATE(YEAR(E9)+1,MONTH(E9)-6,DAY(E9)+1)</f>
        <v>46112</v>
      </c>
      <c r="G9" s="31">
        <f>DATE(YEAR(F9)+1,MONTH(F9),DAY(F9))</f>
        <v>46477</v>
      </c>
      <c r="H9" s="31">
        <f t="shared" ref="H9:O9" si="0">DATE(YEAR(G9)+1,MONTH(G9),DAY(G9))</f>
        <v>46843</v>
      </c>
      <c r="I9" s="31">
        <f t="shared" si="0"/>
        <v>47208</v>
      </c>
      <c r="J9" s="31">
        <f t="shared" si="0"/>
        <v>47573</v>
      </c>
      <c r="K9" s="31">
        <f t="shared" si="0"/>
        <v>47938</v>
      </c>
      <c r="L9" s="31">
        <f t="shared" si="0"/>
        <v>48304</v>
      </c>
      <c r="M9" s="31">
        <f t="shared" si="0"/>
        <v>48669</v>
      </c>
      <c r="N9" s="31">
        <f t="shared" si="0"/>
        <v>49034</v>
      </c>
      <c r="O9" s="31">
        <f t="shared" si="0"/>
        <v>49399</v>
      </c>
      <c r="P9" s="25"/>
    </row>
    <row r="10" spans="2:16" s="32" customFormat="1" ht="18" customHeight="1" x14ac:dyDescent="0.25">
      <c r="B10" s="37" t="s">
        <v>55</v>
      </c>
      <c r="C10" s="38"/>
      <c r="D10" s="36">
        <v>0</v>
      </c>
      <c r="E10" s="36">
        <v>0</v>
      </c>
      <c r="F10" s="39">
        <v>1</v>
      </c>
      <c r="G10" s="39">
        <f>F10+1</f>
        <v>2</v>
      </c>
      <c r="H10" s="39">
        <f t="shared" ref="H10:O10" si="1">G10+1</f>
        <v>3</v>
      </c>
      <c r="I10" s="39">
        <f t="shared" si="1"/>
        <v>4</v>
      </c>
      <c r="J10" s="39">
        <f t="shared" si="1"/>
        <v>5</v>
      </c>
      <c r="K10" s="39">
        <f t="shared" si="1"/>
        <v>6</v>
      </c>
      <c r="L10" s="39">
        <f t="shared" si="1"/>
        <v>7</v>
      </c>
      <c r="M10" s="39">
        <f t="shared" si="1"/>
        <v>8</v>
      </c>
      <c r="N10" s="39">
        <f t="shared" si="1"/>
        <v>9</v>
      </c>
      <c r="O10" s="39">
        <f t="shared" si="1"/>
        <v>10</v>
      </c>
      <c r="P10" s="33"/>
    </row>
    <row r="11" spans="2:16" s="32" customFormat="1" ht="18" customHeight="1" x14ac:dyDescent="0.25">
      <c r="B11" s="37" t="s">
        <v>56</v>
      </c>
      <c r="C11" s="38">
        <f>'Common Assumption'!E12</f>
        <v>11</v>
      </c>
      <c r="D11" s="36">
        <f>MONTH(D9-'Common Assumption'!E11)</f>
        <v>5</v>
      </c>
      <c r="E11" s="36">
        <f>C11-D11</f>
        <v>6</v>
      </c>
      <c r="F11" s="38">
        <f>MONTH(F9-E9)</f>
        <v>6</v>
      </c>
      <c r="G11" s="38">
        <f t="shared" ref="G11:O11" si="2">MONTH(G9-F9)</f>
        <v>12</v>
      </c>
      <c r="H11" s="38">
        <f t="shared" si="2"/>
        <v>12</v>
      </c>
      <c r="I11" s="38">
        <f t="shared" si="2"/>
        <v>12</v>
      </c>
      <c r="J11" s="38">
        <f t="shared" si="2"/>
        <v>12</v>
      </c>
      <c r="K11" s="38">
        <f t="shared" si="2"/>
        <v>12</v>
      </c>
      <c r="L11" s="38">
        <f t="shared" si="2"/>
        <v>12</v>
      </c>
      <c r="M11" s="38">
        <f t="shared" si="2"/>
        <v>12</v>
      </c>
      <c r="N11" s="38">
        <f t="shared" si="2"/>
        <v>12</v>
      </c>
      <c r="O11" s="38">
        <f t="shared" si="2"/>
        <v>12</v>
      </c>
      <c r="P11" s="33"/>
    </row>
    <row r="12" spans="2:16" ht="18" customHeight="1" x14ac:dyDescent="0.25">
      <c r="B12" s="2" t="s">
        <v>422</v>
      </c>
      <c r="F12" s="251">
        <f>'Revenue &amp; Expense Modelling'!F19</f>
        <v>350</v>
      </c>
      <c r="G12" s="251">
        <f>'Revenue &amp; Expense Modelling'!G19</f>
        <v>350</v>
      </c>
      <c r="H12" s="251">
        <f>'Revenue &amp; Expense Modelling'!H19</f>
        <v>350</v>
      </c>
      <c r="I12" s="251">
        <f>'Revenue &amp; Expense Modelling'!I19</f>
        <v>350</v>
      </c>
      <c r="J12" s="251">
        <f>'Revenue &amp; Expense Modelling'!J19</f>
        <v>350</v>
      </c>
      <c r="K12" s="251">
        <f>'Revenue &amp; Expense Modelling'!K19</f>
        <v>350</v>
      </c>
      <c r="L12" s="251">
        <f>'Revenue &amp; Expense Modelling'!L19</f>
        <v>350</v>
      </c>
      <c r="M12" s="251">
        <f>'Revenue &amp; Expense Modelling'!M19</f>
        <v>350</v>
      </c>
      <c r="N12" s="251">
        <f>'Revenue &amp; Expense Modelling'!N19</f>
        <v>350</v>
      </c>
      <c r="O12" s="251">
        <f>'Revenue &amp; Expense Modelling'!O19</f>
        <v>350</v>
      </c>
    </row>
    <row r="13" spans="2:16" ht="18" customHeight="1" x14ac:dyDescent="0.25">
      <c r="B13" s="2" t="s">
        <v>74</v>
      </c>
      <c r="F13" s="251">
        <f>'Revenue &amp; Expense Modelling'!F20</f>
        <v>182</v>
      </c>
      <c r="G13" s="251">
        <f>'Revenue &amp; Expense Modelling'!G20</f>
        <v>350</v>
      </c>
      <c r="H13" s="251">
        <f>'Revenue &amp; Expense Modelling'!H20</f>
        <v>350</v>
      </c>
      <c r="I13" s="251">
        <f>'Revenue &amp; Expense Modelling'!I20</f>
        <v>350</v>
      </c>
      <c r="J13" s="251">
        <f>'Revenue &amp; Expense Modelling'!J20</f>
        <v>350</v>
      </c>
      <c r="K13" s="251">
        <f>'Revenue &amp; Expense Modelling'!K20</f>
        <v>350</v>
      </c>
      <c r="L13" s="251">
        <f>'Revenue &amp; Expense Modelling'!L20</f>
        <v>350</v>
      </c>
      <c r="M13" s="251">
        <f>'Revenue &amp; Expense Modelling'!M20</f>
        <v>350</v>
      </c>
      <c r="N13" s="251">
        <f>'Revenue &amp; Expense Modelling'!N20</f>
        <v>350</v>
      </c>
      <c r="O13" s="251">
        <f>'Revenue &amp; Expense Modelling'!O20</f>
        <v>350</v>
      </c>
    </row>
    <row r="14" spans="2:16" ht="18" customHeight="1" x14ac:dyDescent="0.25">
      <c r="H14" s="1"/>
    </row>
    <row r="15" spans="2:16" ht="30" x14ac:dyDescent="0.25">
      <c r="B15" s="29" t="s">
        <v>423</v>
      </c>
      <c r="C15" s="252" t="s">
        <v>431</v>
      </c>
      <c r="D15" s="30" t="s">
        <v>424</v>
      </c>
      <c r="E15" s="252" t="s">
        <v>255</v>
      </c>
      <c r="F15" s="30" t="s">
        <v>425</v>
      </c>
      <c r="G15" s="30" t="s">
        <v>426</v>
      </c>
      <c r="H15" s="30" t="s">
        <v>427</v>
      </c>
    </row>
    <row r="16" spans="2:16" ht="18" customHeight="1" x14ac:dyDescent="0.25">
      <c r="B16" s="2" t="str">
        <f>'TPC and MoF'!B8</f>
        <v>Land Cost</v>
      </c>
      <c r="C16" s="2"/>
      <c r="D16" s="56">
        <f>'TPC and MoF'!D8</f>
        <v>0.91252000000000011</v>
      </c>
      <c r="E16" s="55">
        <v>0</v>
      </c>
      <c r="F16" s="55">
        <f>D16+E16</f>
        <v>0.91252000000000011</v>
      </c>
      <c r="G16" s="254">
        <v>0</v>
      </c>
      <c r="H16" s="254">
        <v>0</v>
      </c>
    </row>
    <row r="17" spans="2:15" ht="18" customHeight="1" x14ac:dyDescent="0.25">
      <c r="B17" s="2" t="str">
        <f>'TPC and MoF'!B9</f>
        <v>Building &amp; Civil Works</v>
      </c>
      <c r="C17" s="58">
        <v>30</v>
      </c>
      <c r="D17" s="56">
        <f>'TPC and MoF'!D9</f>
        <v>9.1427939196000025</v>
      </c>
      <c r="E17" s="55">
        <f>('TPC and MoF'!$D$15)*'Depreciation Schedule'!$D17/SUM($D$17:$D$22)</f>
        <v>0.41305399803200837</v>
      </c>
      <c r="F17" s="55">
        <f t="shared" ref="F17:F22" si="3">D17+E17</f>
        <v>9.5558479176320112</v>
      </c>
      <c r="G17" s="254">
        <v>3.1699999999999999E-2</v>
      </c>
      <c r="H17" s="254">
        <v>0.1</v>
      </c>
      <c r="L17" s="55"/>
    </row>
    <row r="18" spans="2:15" ht="18" customHeight="1" x14ac:dyDescent="0.25">
      <c r="B18" s="2" t="str">
        <f>'TPC and MoF'!B10</f>
        <v>Plant &amp; Machinery</v>
      </c>
      <c r="C18" s="58">
        <v>15</v>
      </c>
      <c r="D18" s="56">
        <f>'TPC and MoF'!D10</f>
        <v>21.895806499999999</v>
      </c>
      <c r="E18" s="55">
        <f>('TPC and MoF'!$D$15)*'Depreciation Schedule'!$D18/SUM($D$17:$D$22)</f>
        <v>0.98921079207218054</v>
      </c>
      <c r="F18" s="55">
        <f t="shared" si="3"/>
        <v>22.885017292072181</v>
      </c>
      <c r="G18" s="254">
        <v>6.3299999999999995E-2</v>
      </c>
      <c r="H18" s="254">
        <v>0.15</v>
      </c>
      <c r="L18" s="55"/>
    </row>
    <row r="19" spans="2:15" ht="18" customHeight="1" x14ac:dyDescent="0.25">
      <c r="B19" s="2" t="str">
        <f>'TPC and MoF'!B11</f>
        <v>Electricity Infrastructure</v>
      </c>
      <c r="C19" s="58">
        <v>10</v>
      </c>
      <c r="D19" s="56">
        <f>'TPC and MoF'!D11</f>
        <v>3.9648000000000003</v>
      </c>
      <c r="E19" s="55">
        <f>('TPC and MoF'!$D$15)*'Depreciation Schedule'!$D19/SUM($D$17:$D$22)</f>
        <v>0.17912210488377225</v>
      </c>
      <c r="F19" s="55">
        <f t="shared" si="3"/>
        <v>4.1439221048837727</v>
      </c>
      <c r="G19" s="254">
        <v>9.5000000000000001E-2</v>
      </c>
      <c r="H19" s="254">
        <v>0.1</v>
      </c>
      <c r="L19" s="55"/>
    </row>
    <row r="20" spans="2:15" ht="18" customHeight="1" x14ac:dyDescent="0.25">
      <c r="B20" s="2" t="str">
        <f>'TPC and MoF'!B12</f>
        <v>Vehicles</v>
      </c>
      <c r="C20" s="58">
        <v>8</v>
      </c>
      <c r="D20" s="56">
        <f>'TPC and MoF'!D12</f>
        <v>0.315</v>
      </c>
      <c r="E20" s="55">
        <f>('TPC and MoF'!$D$15)*'Depreciation Schedule'!$D20/SUM($D$17:$D$22)</f>
        <v>1.4231099434621737E-2</v>
      </c>
      <c r="F20" s="55">
        <f t="shared" si="3"/>
        <v>0.32923109943462175</v>
      </c>
      <c r="G20" s="254">
        <v>0.1188</v>
      </c>
      <c r="H20" s="254">
        <v>0.4</v>
      </c>
      <c r="L20" s="55"/>
    </row>
    <row r="21" spans="2:15" ht="18" customHeight="1" x14ac:dyDescent="0.25">
      <c r="B21" s="2" t="str">
        <f>'TPC and MoF'!B13</f>
        <v>Office equipment &amp; Furniture</v>
      </c>
      <c r="C21" s="58">
        <v>5</v>
      </c>
      <c r="D21" s="56">
        <f>'TPC and MoF'!D13</f>
        <v>0.1</v>
      </c>
      <c r="E21" s="55">
        <f>('TPC and MoF'!$D$15)*'Depreciation Schedule'!$D21/SUM($D$17:$D$22)</f>
        <v>4.5178093443243601E-3</v>
      </c>
      <c r="F21" s="55">
        <f t="shared" si="3"/>
        <v>0.10451780934432436</v>
      </c>
      <c r="G21" s="254">
        <v>0.19</v>
      </c>
      <c r="H21" s="254">
        <v>0.15</v>
      </c>
      <c r="L21" s="55"/>
    </row>
    <row r="22" spans="2:15" ht="18" customHeight="1" x14ac:dyDescent="0.25">
      <c r="B22" s="2" t="s">
        <v>1020</v>
      </c>
      <c r="C22" s="58">
        <v>15</v>
      </c>
      <c r="D22" s="56">
        <f>'TPC and MoF'!D14</f>
        <v>0.70006800839200001</v>
      </c>
      <c r="E22" s="55">
        <f>('TPC and MoF'!$D$15)*'Depreciation Schedule'!$D22/SUM($D$17:$D$22)</f>
        <v>3.1627737899759222E-2</v>
      </c>
      <c r="F22" s="55">
        <f t="shared" si="3"/>
        <v>0.73169574629175926</v>
      </c>
      <c r="G22" s="254">
        <v>6.3299999999999995E-2</v>
      </c>
      <c r="H22" s="254">
        <v>0.15</v>
      </c>
      <c r="L22" s="55"/>
    </row>
    <row r="23" spans="2:15" ht="18" customHeight="1" x14ac:dyDescent="0.25">
      <c r="B23" s="62" t="s">
        <v>425</v>
      </c>
      <c r="C23" s="63"/>
      <c r="D23" s="63">
        <f>SUM(D16:D22)</f>
        <v>37.030988427992</v>
      </c>
      <c r="E23" s="63">
        <f>SUM(E16:E22)</f>
        <v>1.6317635416666665</v>
      </c>
      <c r="F23" s="63">
        <f>SUM(F16:F22)</f>
        <v>38.662751969658672</v>
      </c>
      <c r="G23" s="257"/>
      <c r="H23" s="257"/>
    </row>
    <row r="24" spans="2:15" ht="18" customHeight="1" x14ac:dyDescent="0.25">
      <c r="G24" s="286"/>
      <c r="H24" s="1"/>
    </row>
    <row r="25" spans="2:15" ht="18" customHeight="1" x14ac:dyDescent="0.25">
      <c r="H25" s="1"/>
    </row>
    <row r="26" spans="2:15" ht="18" customHeight="1" x14ac:dyDescent="0.25">
      <c r="B26" s="29" t="s">
        <v>428</v>
      </c>
      <c r="C26" s="29"/>
      <c r="D26" s="29"/>
      <c r="E26" s="29"/>
      <c r="F26" s="29"/>
      <c r="G26" s="29"/>
      <c r="H26" s="29"/>
      <c r="I26" s="29"/>
      <c r="J26" s="29"/>
      <c r="K26" s="29"/>
      <c r="L26" s="29"/>
      <c r="M26" s="29"/>
      <c r="N26" s="29"/>
      <c r="O26" s="29"/>
    </row>
    <row r="27" spans="2:15" ht="18" customHeight="1" x14ac:dyDescent="0.25">
      <c r="B27" s="258" t="s">
        <v>2</v>
      </c>
      <c r="C27" s="259"/>
      <c r="D27" s="261">
        <f t="shared" ref="D27:O27" si="4">D9</f>
        <v>45747</v>
      </c>
      <c r="E27" s="261">
        <f t="shared" si="4"/>
        <v>45930</v>
      </c>
      <c r="F27" s="260">
        <f t="shared" si="4"/>
        <v>46112</v>
      </c>
      <c r="G27" s="260">
        <f t="shared" si="4"/>
        <v>46477</v>
      </c>
      <c r="H27" s="260">
        <f t="shared" si="4"/>
        <v>46843</v>
      </c>
      <c r="I27" s="260">
        <f t="shared" si="4"/>
        <v>47208</v>
      </c>
      <c r="J27" s="260">
        <f t="shared" si="4"/>
        <v>47573</v>
      </c>
      <c r="K27" s="260">
        <f t="shared" si="4"/>
        <v>47938</v>
      </c>
      <c r="L27" s="260">
        <f t="shared" si="4"/>
        <v>48304</v>
      </c>
      <c r="M27" s="260">
        <f t="shared" si="4"/>
        <v>48669</v>
      </c>
      <c r="N27" s="260">
        <f t="shared" si="4"/>
        <v>49034</v>
      </c>
      <c r="O27" s="260">
        <f t="shared" si="4"/>
        <v>49399</v>
      </c>
    </row>
    <row r="28" spans="2:15" ht="18" customHeight="1" x14ac:dyDescent="0.25">
      <c r="B28" s="2" t="s">
        <v>249</v>
      </c>
      <c r="C28" s="2"/>
      <c r="D28" s="55">
        <f>F28</f>
        <v>0.91252000000000011</v>
      </c>
      <c r="E28" s="55">
        <f>F28</f>
        <v>0.91252000000000011</v>
      </c>
      <c r="F28" s="55">
        <f>F16</f>
        <v>0.91252000000000011</v>
      </c>
      <c r="G28" s="55">
        <f>F28</f>
        <v>0.91252000000000011</v>
      </c>
      <c r="H28" s="55">
        <f t="shared" ref="H28:O29" si="5">G28</f>
        <v>0.91252000000000011</v>
      </c>
      <c r="I28" s="55">
        <f t="shared" si="5"/>
        <v>0.91252000000000011</v>
      </c>
      <c r="J28" s="55">
        <f t="shared" si="5"/>
        <v>0.91252000000000011</v>
      </c>
      <c r="K28" s="55">
        <f t="shared" si="5"/>
        <v>0.91252000000000011</v>
      </c>
      <c r="L28" s="55">
        <f t="shared" si="5"/>
        <v>0.91252000000000011</v>
      </c>
      <c r="M28" s="55">
        <f t="shared" si="5"/>
        <v>0.91252000000000011</v>
      </c>
      <c r="N28" s="55">
        <f t="shared" si="5"/>
        <v>0.91252000000000011</v>
      </c>
      <c r="O28" s="55">
        <f t="shared" si="5"/>
        <v>0.91252000000000011</v>
      </c>
    </row>
    <row r="29" spans="2:15" ht="18" customHeight="1" x14ac:dyDescent="0.25">
      <c r="B29" s="255" t="s">
        <v>429</v>
      </c>
      <c r="C29" s="255"/>
      <c r="D29" s="256"/>
      <c r="E29" s="256"/>
      <c r="F29" s="256">
        <v>0</v>
      </c>
      <c r="G29" s="256">
        <f>F29</f>
        <v>0</v>
      </c>
      <c r="H29" s="256">
        <f t="shared" si="5"/>
        <v>0</v>
      </c>
      <c r="I29" s="256">
        <f t="shared" si="5"/>
        <v>0</v>
      </c>
      <c r="J29" s="256">
        <f t="shared" si="5"/>
        <v>0</v>
      </c>
      <c r="K29" s="256">
        <f t="shared" si="5"/>
        <v>0</v>
      </c>
      <c r="L29" s="256">
        <f t="shared" si="5"/>
        <v>0</v>
      </c>
      <c r="M29" s="256">
        <f t="shared" si="5"/>
        <v>0</v>
      </c>
      <c r="N29" s="256">
        <f t="shared" si="5"/>
        <v>0</v>
      </c>
      <c r="O29" s="256">
        <f t="shared" si="5"/>
        <v>0</v>
      </c>
    </row>
    <row r="30" spans="2:15" ht="18" customHeight="1" x14ac:dyDescent="0.25">
      <c r="B30" s="2" t="s">
        <v>107</v>
      </c>
      <c r="C30" s="2"/>
      <c r="D30" s="55">
        <f>F17</f>
        <v>9.5558479176320112</v>
      </c>
      <c r="E30" s="55">
        <f>D30</f>
        <v>9.5558479176320112</v>
      </c>
      <c r="F30" s="55">
        <f>F17</f>
        <v>9.5558479176320112</v>
      </c>
      <c r="G30" s="55">
        <f>F30</f>
        <v>9.5558479176320112</v>
      </c>
      <c r="H30" s="55">
        <f t="shared" ref="H30:O30" si="6">G30</f>
        <v>9.5558479176320112</v>
      </c>
      <c r="I30" s="55">
        <f t="shared" si="6"/>
        <v>9.5558479176320112</v>
      </c>
      <c r="J30" s="55">
        <f t="shared" si="6"/>
        <v>9.5558479176320112</v>
      </c>
      <c r="K30" s="55">
        <f t="shared" si="6"/>
        <v>9.5558479176320112</v>
      </c>
      <c r="L30" s="55">
        <f t="shared" si="6"/>
        <v>9.5558479176320112</v>
      </c>
      <c r="M30" s="55">
        <f t="shared" si="6"/>
        <v>9.5558479176320112</v>
      </c>
      <c r="N30" s="55">
        <f t="shared" si="6"/>
        <v>9.5558479176320112</v>
      </c>
      <c r="O30" s="55">
        <f t="shared" si="6"/>
        <v>9.5558479176320112</v>
      </c>
    </row>
    <row r="31" spans="2:15" ht="18" customHeight="1" x14ac:dyDescent="0.25">
      <c r="B31" s="255" t="str">
        <f>"SLM Depreciation " &amp; B30</f>
        <v>SLM Depreciation Building &amp; Civil Works</v>
      </c>
      <c r="C31" s="255"/>
      <c r="D31" s="256"/>
      <c r="E31" s="256"/>
      <c r="F31" s="256">
        <f t="shared" ref="F31:O31" si="7">(F30-F30*5%)/$C$17*F11/12</f>
        <v>0.15130092536250686</v>
      </c>
      <c r="G31" s="256">
        <f t="shared" si="7"/>
        <v>0.30260185072501372</v>
      </c>
      <c r="H31" s="256">
        <f t="shared" si="7"/>
        <v>0.30260185072501372</v>
      </c>
      <c r="I31" s="256">
        <f t="shared" si="7"/>
        <v>0.30260185072501372</v>
      </c>
      <c r="J31" s="256">
        <f t="shared" si="7"/>
        <v>0.30260185072501372</v>
      </c>
      <c r="K31" s="256">
        <f t="shared" si="7"/>
        <v>0.30260185072501372</v>
      </c>
      <c r="L31" s="256">
        <f t="shared" si="7"/>
        <v>0.30260185072501372</v>
      </c>
      <c r="M31" s="256">
        <f t="shared" si="7"/>
        <v>0.30260185072501372</v>
      </c>
      <c r="N31" s="256">
        <f t="shared" si="7"/>
        <v>0.30260185072501372</v>
      </c>
      <c r="O31" s="256">
        <f t="shared" si="7"/>
        <v>0.30260185072501372</v>
      </c>
    </row>
    <row r="32" spans="2:15" ht="18" customHeight="1" x14ac:dyDescent="0.25">
      <c r="B32" s="2" t="s">
        <v>108</v>
      </c>
      <c r="C32" s="2"/>
      <c r="D32" s="55">
        <f>F18-I18</f>
        <v>22.885017292072181</v>
      </c>
      <c r="E32" s="55">
        <f>D32</f>
        <v>22.885017292072181</v>
      </c>
      <c r="F32" s="55">
        <f>D32</f>
        <v>22.885017292072181</v>
      </c>
      <c r="G32" s="55">
        <f>F32-J18</f>
        <v>22.885017292072181</v>
      </c>
      <c r="H32" s="55">
        <f t="shared" ref="H32" si="8">G32</f>
        <v>22.885017292072181</v>
      </c>
      <c r="I32" s="55">
        <f t="shared" ref="I32" si="9">H32</f>
        <v>22.885017292072181</v>
      </c>
      <c r="J32" s="55">
        <f t="shared" ref="J32" si="10">I32</f>
        <v>22.885017292072181</v>
      </c>
      <c r="K32" s="55">
        <f t="shared" ref="K32" si="11">J32</f>
        <v>22.885017292072181</v>
      </c>
      <c r="L32" s="55">
        <f t="shared" ref="L32" si="12">K32</f>
        <v>22.885017292072181</v>
      </c>
      <c r="M32" s="55">
        <f t="shared" ref="M32" si="13">L32</f>
        <v>22.885017292072181</v>
      </c>
      <c r="N32" s="55">
        <f t="shared" ref="N32" si="14">M32</f>
        <v>22.885017292072181</v>
      </c>
      <c r="O32" s="55">
        <f t="shared" ref="O32" si="15">N32</f>
        <v>22.885017292072181</v>
      </c>
    </row>
    <row r="33" spans="2:15" ht="18" customHeight="1" x14ac:dyDescent="0.25">
      <c r="B33" s="255" t="str">
        <f>"SLM Depreciation " &amp; B32</f>
        <v>SLM Depreciation Plant &amp; Machinery</v>
      </c>
      <c r="C33" s="255"/>
      <c r="D33" s="255"/>
      <c r="E33" s="255"/>
      <c r="F33" s="256">
        <f>(F32-F32*5%)/$C$18*F11/12</f>
        <v>0.72469221424895236</v>
      </c>
      <c r="G33" s="256">
        <f t="shared" ref="G33:O33" si="16">(G32-G32*5%)/($C$18-0.5)*G11/12</f>
        <v>1.4993632018943843</v>
      </c>
      <c r="H33" s="256">
        <f t="shared" si="16"/>
        <v>1.4993632018943843</v>
      </c>
      <c r="I33" s="256">
        <f t="shared" si="16"/>
        <v>1.4993632018943843</v>
      </c>
      <c r="J33" s="256">
        <f t="shared" si="16"/>
        <v>1.4993632018943843</v>
      </c>
      <c r="K33" s="256">
        <f t="shared" si="16"/>
        <v>1.4993632018943843</v>
      </c>
      <c r="L33" s="256">
        <f t="shared" si="16"/>
        <v>1.4993632018943843</v>
      </c>
      <c r="M33" s="256">
        <f t="shared" si="16"/>
        <v>1.4993632018943843</v>
      </c>
      <c r="N33" s="256">
        <f t="shared" si="16"/>
        <v>1.4993632018943843</v>
      </c>
      <c r="O33" s="256">
        <f t="shared" si="16"/>
        <v>1.4993632018943843</v>
      </c>
    </row>
    <row r="34" spans="2:15" ht="18" customHeight="1" x14ac:dyDescent="0.25">
      <c r="B34" s="2" t="s">
        <v>109</v>
      </c>
      <c r="C34" s="2"/>
      <c r="D34" s="55">
        <f>F19</f>
        <v>4.1439221048837727</v>
      </c>
      <c r="E34" s="55">
        <f>D34</f>
        <v>4.1439221048837727</v>
      </c>
      <c r="F34" s="55">
        <f>F19</f>
        <v>4.1439221048837727</v>
      </c>
      <c r="G34" s="55">
        <f>F34</f>
        <v>4.1439221048837727</v>
      </c>
      <c r="H34" s="55">
        <f t="shared" ref="H34:O34" si="17">G34</f>
        <v>4.1439221048837727</v>
      </c>
      <c r="I34" s="55">
        <f t="shared" si="17"/>
        <v>4.1439221048837727</v>
      </c>
      <c r="J34" s="55">
        <f t="shared" si="17"/>
        <v>4.1439221048837727</v>
      </c>
      <c r="K34" s="55">
        <f t="shared" si="17"/>
        <v>4.1439221048837727</v>
      </c>
      <c r="L34" s="55">
        <f t="shared" si="17"/>
        <v>4.1439221048837727</v>
      </c>
      <c r="M34" s="55">
        <f t="shared" si="17"/>
        <v>4.1439221048837727</v>
      </c>
      <c r="N34" s="55">
        <f t="shared" si="17"/>
        <v>4.1439221048837727</v>
      </c>
      <c r="O34" s="55">
        <f t="shared" si="17"/>
        <v>4.1439221048837727</v>
      </c>
    </row>
    <row r="35" spans="2:15" ht="18" customHeight="1" x14ac:dyDescent="0.25">
      <c r="B35" s="255" t="str">
        <f>"SLM Depreciation " &amp; B34</f>
        <v>SLM Depreciation Electricity Connection &amp; Infrastructure</v>
      </c>
      <c r="C35" s="255"/>
      <c r="D35" s="255"/>
      <c r="E35" s="255"/>
      <c r="F35" s="256">
        <f t="shared" ref="F35:O35" si="18">(F34-F34*5%)/$C$19*F11/12</f>
        <v>0.19683629998197918</v>
      </c>
      <c r="G35" s="256">
        <f t="shared" si="18"/>
        <v>0.39367259996395837</v>
      </c>
      <c r="H35" s="256">
        <f t="shared" si="18"/>
        <v>0.39367259996395837</v>
      </c>
      <c r="I35" s="256">
        <f t="shared" si="18"/>
        <v>0.39367259996395837</v>
      </c>
      <c r="J35" s="256">
        <f t="shared" si="18"/>
        <v>0.39367259996395837</v>
      </c>
      <c r="K35" s="256">
        <f t="shared" si="18"/>
        <v>0.39367259996395837</v>
      </c>
      <c r="L35" s="256">
        <f t="shared" si="18"/>
        <v>0.39367259996395837</v>
      </c>
      <c r="M35" s="256">
        <f t="shared" si="18"/>
        <v>0.39367259996395837</v>
      </c>
      <c r="N35" s="256">
        <f t="shared" si="18"/>
        <v>0.39367259996395837</v>
      </c>
      <c r="O35" s="256">
        <f t="shared" si="18"/>
        <v>0.39367259996395837</v>
      </c>
    </row>
    <row r="36" spans="2:15" ht="18" customHeight="1" x14ac:dyDescent="0.25">
      <c r="B36" s="2" t="s">
        <v>110</v>
      </c>
      <c r="C36" s="2"/>
      <c r="D36" s="55">
        <f>F20</f>
        <v>0.32923109943462175</v>
      </c>
      <c r="E36" s="55">
        <f>D36</f>
        <v>0.32923109943462175</v>
      </c>
      <c r="F36" s="55">
        <f>F20</f>
        <v>0.32923109943462175</v>
      </c>
      <c r="G36" s="55">
        <f>F36</f>
        <v>0.32923109943462175</v>
      </c>
      <c r="H36" s="55">
        <f t="shared" ref="H36:N36" si="19">G36</f>
        <v>0.32923109943462175</v>
      </c>
      <c r="I36" s="55">
        <f t="shared" si="19"/>
        <v>0.32923109943462175</v>
      </c>
      <c r="J36" s="55">
        <f t="shared" si="19"/>
        <v>0.32923109943462175</v>
      </c>
      <c r="K36" s="55">
        <f t="shared" si="19"/>
        <v>0.32923109943462175</v>
      </c>
      <c r="L36" s="55">
        <f t="shared" si="19"/>
        <v>0.32923109943462175</v>
      </c>
      <c r="M36" s="55">
        <f t="shared" si="19"/>
        <v>0.32923109943462175</v>
      </c>
      <c r="N36" s="55">
        <f t="shared" si="19"/>
        <v>0.32923109943462175</v>
      </c>
      <c r="O36" s="55">
        <f>N36-N36*95%</f>
        <v>1.6461554971731129E-2</v>
      </c>
    </row>
    <row r="37" spans="2:15" ht="18" customHeight="1" x14ac:dyDescent="0.25">
      <c r="B37" s="255" t="str">
        <f>"SLM Depreciation " &amp; B36</f>
        <v>SLM Depreciation Vehicles</v>
      </c>
      <c r="C37" s="255"/>
      <c r="D37" s="255"/>
      <c r="E37" s="255"/>
      <c r="F37" s="256">
        <f t="shared" ref="F37:M37" si="20">(F36-F36*5%)/$C$20*F11/12</f>
        <v>1.9548096528930668E-2</v>
      </c>
      <c r="G37" s="256">
        <f t="shared" si="20"/>
        <v>3.9096193057861335E-2</v>
      </c>
      <c r="H37" s="256">
        <f t="shared" si="20"/>
        <v>3.9096193057861335E-2</v>
      </c>
      <c r="I37" s="256">
        <f t="shared" si="20"/>
        <v>3.9096193057861335E-2</v>
      </c>
      <c r="J37" s="256">
        <f t="shared" si="20"/>
        <v>3.9096193057861335E-2</v>
      </c>
      <c r="K37" s="256">
        <f t="shared" si="20"/>
        <v>3.9096193057861335E-2</v>
      </c>
      <c r="L37" s="256">
        <f t="shared" si="20"/>
        <v>3.9096193057861335E-2</v>
      </c>
      <c r="M37" s="256">
        <f t="shared" si="20"/>
        <v>3.9096193057861335E-2</v>
      </c>
      <c r="N37" s="256">
        <f>(N36-N36*5%)/$C$20*6/12</f>
        <v>1.9548096528930668E-2</v>
      </c>
      <c r="O37" s="256">
        <v>0</v>
      </c>
    </row>
    <row r="38" spans="2:15" ht="18" customHeight="1" x14ac:dyDescent="0.25">
      <c r="B38" s="2" t="s">
        <v>111</v>
      </c>
      <c r="C38" s="2"/>
      <c r="D38" s="55">
        <f>F21</f>
        <v>0.10451780934432436</v>
      </c>
      <c r="E38" s="55">
        <f>D38</f>
        <v>0.10451780934432436</v>
      </c>
      <c r="F38" s="55">
        <f>F21</f>
        <v>0.10451780934432436</v>
      </c>
      <c r="G38" s="55">
        <f>F38</f>
        <v>0.10451780934432436</v>
      </c>
      <c r="H38" s="55">
        <f t="shared" ref="H38:K38" si="21">G38</f>
        <v>0.10451780934432436</v>
      </c>
      <c r="I38" s="55">
        <f t="shared" si="21"/>
        <v>0.10451780934432436</v>
      </c>
      <c r="J38" s="55">
        <f t="shared" si="21"/>
        <v>0.10451780934432436</v>
      </c>
      <c r="K38" s="55">
        <f t="shared" si="21"/>
        <v>0.10451780934432436</v>
      </c>
      <c r="L38" s="55">
        <f>K38-K38*95%</f>
        <v>5.225890467216221E-3</v>
      </c>
      <c r="M38" s="55">
        <f>L38</f>
        <v>5.225890467216221E-3</v>
      </c>
      <c r="N38" s="55">
        <f t="shared" ref="N38:O38" si="22">M38</f>
        <v>5.225890467216221E-3</v>
      </c>
      <c r="O38" s="55">
        <f t="shared" si="22"/>
        <v>5.225890467216221E-3</v>
      </c>
    </row>
    <row r="39" spans="2:15" ht="18" customHeight="1" x14ac:dyDescent="0.25">
      <c r="B39" s="255" t="str">
        <f>"SLM Depreciation " &amp; B38</f>
        <v>SLM Depreciation Office equipment</v>
      </c>
      <c r="C39" s="255"/>
      <c r="D39" s="255"/>
      <c r="E39" s="255"/>
      <c r="F39" s="256">
        <f>(F38-F38*5%)/$C$21*F11/12</f>
        <v>9.929191887710815E-3</v>
      </c>
      <c r="G39" s="256">
        <f>(G38-G38*5%)/$C$21*G11/12</f>
        <v>1.985838377542163E-2</v>
      </c>
      <c r="H39" s="256">
        <f>(H38-H38*5%)/$C$21*H11/12</f>
        <v>1.985838377542163E-2</v>
      </c>
      <c r="I39" s="256">
        <f>(I38-I38*5%)/$C$21*I11/12</f>
        <v>1.985838377542163E-2</v>
      </c>
      <c r="J39" s="256">
        <f>(J38-J38*5%)/$C$21*J11/12</f>
        <v>1.985838377542163E-2</v>
      </c>
      <c r="K39" s="256">
        <f>(K38-K38*5%)/$C$21*6/12</f>
        <v>9.929191887710815E-3</v>
      </c>
      <c r="L39" s="256">
        <f>0</f>
        <v>0</v>
      </c>
      <c r="M39" s="256">
        <f>0</f>
        <v>0</v>
      </c>
      <c r="N39" s="256">
        <f>0</f>
        <v>0</v>
      </c>
      <c r="O39" s="256">
        <f>0</f>
        <v>0</v>
      </c>
    </row>
    <row r="40" spans="2:15" ht="18" customHeight="1" x14ac:dyDescent="0.25">
      <c r="B40" s="2" t="s">
        <v>1020</v>
      </c>
      <c r="C40" s="2"/>
      <c r="D40" s="55">
        <f>F22</f>
        <v>0.73169574629175926</v>
      </c>
      <c r="E40" s="55">
        <f>D40</f>
        <v>0.73169574629175926</v>
      </c>
      <c r="F40" s="55">
        <f t="shared" ref="F40:O40" si="23">E40</f>
        <v>0.73169574629175926</v>
      </c>
      <c r="G40" s="55">
        <f t="shared" si="23"/>
        <v>0.73169574629175926</v>
      </c>
      <c r="H40" s="55">
        <f t="shared" si="23"/>
        <v>0.73169574629175926</v>
      </c>
      <c r="I40" s="55">
        <f t="shared" si="23"/>
        <v>0.73169574629175926</v>
      </c>
      <c r="J40" s="55">
        <f t="shared" si="23"/>
        <v>0.73169574629175926</v>
      </c>
      <c r="K40" s="55">
        <f t="shared" si="23"/>
        <v>0.73169574629175926</v>
      </c>
      <c r="L40" s="55">
        <f t="shared" si="23"/>
        <v>0.73169574629175926</v>
      </c>
      <c r="M40" s="55">
        <f t="shared" si="23"/>
        <v>0.73169574629175926</v>
      </c>
      <c r="N40" s="55">
        <f t="shared" si="23"/>
        <v>0.73169574629175926</v>
      </c>
      <c r="O40" s="55">
        <f t="shared" si="23"/>
        <v>0.73169574629175926</v>
      </c>
    </row>
    <row r="41" spans="2:15" ht="18" customHeight="1" x14ac:dyDescent="0.25">
      <c r="B41" s="255" t="s">
        <v>1021</v>
      </c>
      <c r="C41" s="255"/>
      <c r="D41" s="255"/>
      <c r="E41" s="255"/>
      <c r="F41" s="256">
        <f>(F40-F40*5%)/$C$22*F11/12</f>
        <v>2.3170365299239045E-2</v>
      </c>
      <c r="G41" s="256">
        <f t="shared" ref="G41:O41" si="24">(G40-G40*5%)/$C$22*G11/12</f>
        <v>4.634073059847809E-2</v>
      </c>
      <c r="H41" s="256">
        <f t="shared" si="24"/>
        <v>4.634073059847809E-2</v>
      </c>
      <c r="I41" s="256">
        <f t="shared" si="24"/>
        <v>4.634073059847809E-2</v>
      </c>
      <c r="J41" s="256">
        <f t="shared" si="24"/>
        <v>4.634073059847809E-2</v>
      </c>
      <c r="K41" s="256">
        <f t="shared" si="24"/>
        <v>4.634073059847809E-2</v>
      </c>
      <c r="L41" s="256">
        <f t="shared" si="24"/>
        <v>4.634073059847809E-2</v>
      </c>
      <c r="M41" s="256">
        <f t="shared" si="24"/>
        <v>4.634073059847809E-2</v>
      </c>
      <c r="N41" s="256">
        <f t="shared" si="24"/>
        <v>4.634073059847809E-2</v>
      </c>
      <c r="O41" s="256">
        <f t="shared" si="24"/>
        <v>4.634073059847809E-2</v>
      </c>
    </row>
    <row r="42" spans="2:15" ht="18" customHeight="1" x14ac:dyDescent="0.25">
      <c r="B42" s="62" t="s">
        <v>430</v>
      </c>
      <c r="C42" s="62"/>
      <c r="D42" s="62"/>
      <c r="E42" s="62"/>
      <c r="F42" s="63">
        <f>F29+F31+F33+F35+F37+F39+F41</f>
        <v>1.125477093309319</v>
      </c>
      <c r="G42" s="63">
        <f t="shared" ref="G42:O42" si="25">G29+G31+G33+G35+G37+G39+G41</f>
        <v>2.3009329600151176</v>
      </c>
      <c r="H42" s="63">
        <f t="shared" si="25"/>
        <v>2.3009329600151176</v>
      </c>
      <c r="I42" s="63">
        <f t="shared" si="25"/>
        <v>2.3009329600151176</v>
      </c>
      <c r="J42" s="63">
        <f t="shared" si="25"/>
        <v>2.3009329600151176</v>
      </c>
      <c r="K42" s="63">
        <f t="shared" si="25"/>
        <v>2.2910037681274065</v>
      </c>
      <c r="L42" s="63">
        <f t="shared" si="25"/>
        <v>2.2810745762396958</v>
      </c>
      <c r="M42" s="63">
        <f t="shared" si="25"/>
        <v>2.2810745762396958</v>
      </c>
      <c r="N42" s="63">
        <f t="shared" si="25"/>
        <v>2.2615264797107648</v>
      </c>
      <c r="O42" s="63">
        <f t="shared" si="25"/>
        <v>2.2419783831818343</v>
      </c>
    </row>
    <row r="43" spans="2:15" ht="18" customHeight="1" x14ac:dyDescent="0.25">
      <c r="H43" s="1"/>
    </row>
    <row r="44" spans="2:15" ht="18" customHeight="1" x14ac:dyDescent="0.25">
      <c r="H44" s="1"/>
    </row>
    <row r="45" spans="2:15" ht="18" customHeight="1" x14ac:dyDescent="0.25">
      <c r="B45" s="29" t="s">
        <v>432</v>
      </c>
      <c r="C45" s="29"/>
      <c r="D45" s="29"/>
      <c r="E45" s="29"/>
      <c r="F45" s="29"/>
      <c r="G45" s="29"/>
      <c r="H45" s="29"/>
      <c r="I45" s="29"/>
      <c r="J45" s="29"/>
      <c r="K45" s="29"/>
      <c r="L45" s="29"/>
      <c r="M45" s="29"/>
      <c r="N45" s="29"/>
      <c r="O45" s="29"/>
    </row>
    <row r="46" spans="2:15" ht="18" customHeight="1" x14ac:dyDescent="0.25">
      <c r="B46" s="258" t="s">
        <v>2</v>
      </c>
      <c r="C46" s="259"/>
      <c r="D46" s="261">
        <f t="shared" ref="D46:O46" si="26">D9</f>
        <v>45747</v>
      </c>
      <c r="E46" s="261">
        <f t="shared" si="26"/>
        <v>45930</v>
      </c>
      <c r="F46" s="260">
        <f t="shared" si="26"/>
        <v>46112</v>
      </c>
      <c r="G46" s="260">
        <f t="shared" si="26"/>
        <v>46477</v>
      </c>
      <c r="H46" s="260">
        <f t="shared" si="26"/>
        <v>46843</v>
      </c>
      <c r="I46" s="260">
        <f t="shared" si="26"/>
        <v>47208</v>
      </c>
      <c r="J46" s="260">
        <f t="shared" si="26"/>
        <v>47573</v>
      </c>
      <c r="K46" s="260">
        <f t="shared" si="26"/>
        <v>47938</v>
      </c>
      <c r="L46" s="260">
        <f t="shared" si="26"/>
        <v>48304</v>
      </c>
      <c r="M46" s="260">
        <f t="shared" si="26"/>
        <v>48669</v>
      </c>
      <c r="N46" s="260">
        <f t="shared" si="26"/>
        <v>49034</v>
      </c>
      <c r="O46" s="260">
        <f t="shared" si="26"/>
        <v>49399</v>
      </c>
    </row>
    <row r="47" spans="2:15" ht="18" customHeight="1" x14ac:dyDescent="0.25">
      <c r="B47" s="2" t="s">
        <v>249</v>
      </c>
      <c r="C47" s="2"/>
      <c r="D47" s="2"/>
      <c r="E47" s="2"/>
      <c r="F47" s="55">
        <f>F16</f>
        <v>0.91252000000000011</v>
      </c>
      <c r="G47" s="55">
        <f>F49</f>
        <v>0.91252000000000011</v>
      </c>
      <c r="H47" s="55">
        <f t="shared" ref="H47:O47" si="27">G49</f>
        <v>0.91252000000000011</v>
      </c>
      <c r="I47" s="55">
        <f t="shared" si="27"/>
        <v>0.91252000000000011</v>
      </c>
      <c r="J47" s="55">
        <f t="shared" si="27"/>
        <v>0.91252000000000011</v>
      </c>
      <c r="K47" s="55">
        <f t="shared" si="27"/>
        <v>0.91252000000000011</v>
      </c>
      <c r="L47" s="55">
        <f t="shared" si="27"/>
        <v>0.91252000000000011</v>
      </c>
      <c r="M47" s="55">
        <f t="shared" si="27"/>
        <v>0.91252000000000011</v>
      </c>
      <c r="N47" s="55">
        <f t="shared" si="27"/>
        <v>0.91252000000000011</v>
      </c>
      <c r="O47" s="55">
        <f t="shared" si="27"/>
        <v>0.91252000000000011</v>
      </c>
    </row>
    <row r="48" spans="2:15" ht="18" customHeight="1" x14ac:dyDescent="0.25">
      <c r="B48" s="262" t="str">
        <f>"Depreciation " &amp; B47</f>
        <v>Depreciation Land</v>
      </c>
      <c r="C48" s="262"/>
      <c r="D48" s="262"/>
      <c r="E48" s="262"/>
      <c r="F48" s="263">
        <f t="shared" ref="F48:O48" si="28">F47*$H$16*F11/12</f>
        <v>0</v>
      </c>
      <c r="G48" s="263">
        <f t="shared" si="28"/>
        <v>0</v>
      </c>
      <c r="H48" s="263">
        <f t="shared" si="28"/>
        <v>0</v>
      </c>
      <c r="I48" s="263">
        <f t="shared" si="28"/>
        <v>0</v>
      </c>
      <c r="J48" s="263">
        <f t="shared" si="28"/>
        <v>0</v>
      </c>
      <c r="K48" s="263">
        <f t="shared" si="28"/>
        <v>0</v>
      </c>
      <c r="L48" s="263">
        <f t="shared" si="28"/>
        <v>0</v>
      </c>
      <c r="M48" s="263">
        <f t="shared" si="28"/>
        <v>0</v>
      </c>
      <c r="N48" s="263">
        <f t="shared" si="28"/>
        <v>0</v>
      </c>
      <c r="O48" s="263">
        <f t="shared" si="28"/>
        <v>0</v>
      </c>
    </row>
    <row r="49" spans="2:15" ht="18" customHeight="1" x14ac:dyDescent="0.25">
      <c r="B49" s="2" t="str">
        <f>"WDV " &amp; "of "&amp; B47</f>
        <v>WDV of Land</v>
      </c>
      <c r="C49" s="2"/>
      <c r="D49" s="2"/>
      <c r="E49" s="2"/>
      <c r="F49" s="55">
        <f>F47-F48</f>
        <v>0.91252000000000011</v>
      </c>
      <c r="G49" s="55">
        <f t="shared" ref="G49:O49" si="29">G47-G48</f>
        <v>0.91252000000000011</v>
      </c>
      <c r="H49" s="55">
        <f t="shared" si="29"/>
        <v>0.91252000000000011</v>
      </c>
      <c r="I49" s="55">
        <f t="shared" si="29"/>
        <v>0.91252000000000011</v>
      </c>
      <c r="J49" s="55">
        <f t="shared" si="29"/>
        <v>0.91252000000000011</v>
      </c>
      <c r="K49" s="55">
        <f t="shared" si="29"/>
        <v>0.91252000000000011</v>
      </c>
      <c r="L49" s="55">
        <f t="shared" si="29"/>
        <v>0.91252000000000011</v>
      </c>
      <c r="M49" s="55">
        <f t="shared" si="29"/>
        <v>0.91252000000000011</v>
      </c>
      <c r="N49" s="55">
        <f t="shared" si="29"/>
        <v>0.91252000000000011</v>
      </c>
      <c r="O49" s="55">
        <f t="shared" si="29"/>
        <v>0.91252000000000011</v>
      </c>
    </row>
    <row r="50" spans="2:15" ht="18" customHeight="1" x14ac:dyDescent="0.25">
      <c r="B50" s="2" t="s">
        <v>107</v>
      </c>
      <c r="C50" s="2"/>
      <c r="D50" s="2"/>
      <c r="E50" s="2"/>
      <c r="F50" s="55">
        <f>F17</f>
        <v>9.5558479176320112</v>
      </c>
      <c r="G50" s="55">
        <f>F52</f>
        <v>9.0780555217504109</v>
      </c>
      <c r="H50" s="55">
        <f t="shared" ref="H50:O50" si="30">G52</f>
        <v>8.1702499695753694</v>
      </c>
      <c r="I50" s="55">
        <f t="shared" si="30"/>
        <v>7.3532249726178325</v>
      </c>
      <c r="J50" s="55">
        <f t="shared" si="30"/>
        <v>6.6179024753560487</v>
      </c>
      <c r="K50" s="55">
        <f t="shared" si="30"/>
        <v>5.9561122278204435</v>
      </c>
      <c r="L50" s="55">
        <f t="shared" si="30"/>
        <v>5.3605010050383992</v>
      </c>
      <c r="M50" s="55">
        <f t="shared" si="30"/>
        <v>4.8244509045345589</v>
      </c>
      <c r="N50" s="55">
        <f t="shared" si="30"/>
        <v>4.3420058140811033</v>
      </c>
      <c r="O50" s="55">
        <f t="shared" si="30"/>
        <v>3.9078052326729931</v>
      </c>
    </row>
    <row r="51" spans="2:15" ht="18" customHeight="1" x14ac:dyDescent="0.25">
      <c r="B51" s="262" t="str">
        <f>"Depreciation " &amp; B50</f>
        <v>Depreciation Building &amp; Civil Works</v>
      </c>
      <c r="C51" s="262"/>
      <c r="D51" s="262"/>
      <c r="E51" s="262"/>
      <c r="F51" s="263">
        <f t="shared" ref="F51:O51" si="31">F50*$H$17*F11/12</f>
        <v>0.47779239588160061</v>
      </c>
      <c r="G51" s="263">
        <f t="shared" si="31"/>
        <v>0.90780555217504111</v>
      </c>
      <c r="H51" s="263">
        <f t="shared" si="31"/>
        <v>0.81702499695753694</v>
      </c>
      <c r="I51" s="263">
        <f t="shared" si="31"/>
        <v>0.73532249726178334</v>
      </c>
      <c r="J51" s="263">
        <f t="shared" si="31"/>
        <v>0.66179024753560489</v>
      </c>
      <c r="K51" s="263">
        <f t="shared" si="31"/>
        <v>0.59561122278204437</v>
      </c>
      <c r="L51" s="263">
        <f t="shared" si="31"/>
        <v>0.53605010050383994</v>
      </c>
      <c r="M51" s="263">
        <f t="shared" si="31"/>
        <v>0.4824450904534559</v>
      </c>
      <c r="N51" s="263">
        <f t="shared" si="31"/>
        <v>0.43420058140811041</v>
      </c>
      <c r="O51" s="263">
        <f t="shared" si="31"/>
        <v>0.39078052326729934</v>
      </c>
    </row>
    <row r="52" spans="2:15" ht="18" customHeight="1" x14ac:dyDescent="0.25">
      <c r="B52" s="2" t="str">
        <f>"WDV " &amp; "of "&amp; B50</f>
        <v>WDV of Building &amp; Civil Works</v>
      </c>
      <c r="C52" s="2"/>
      <c r="D52" s="2"/>
      <c r="E52" s="2"/>
      <c r="F52" s="55">
        <f>F50-F51</f>
        <v>9.0780555217504109</v>
      </c>
      <c r="G52" s="55">
        <f t="shared" ref="G52:O52" si="32">G50-G51</f>
        <v>8.1702499695753694</v>
      </c>
      <c r="H52" s="55">
        <f t="shared" si="32"/>
        <v>7.3532249726178325</v>
      </c>
      <c r="I52" s="55">
        <f t="shared" si="32"/>
        <v>6.6179024753560487</v>
      </c>
      <c r="J52" s="55">
        <f t="shared" si="32"/>
        <v>5.9561122278204435</v>
      </c>
      <c r="K52" s="55">
        <f t="shared" si="32"/>
        <v>5.3605010050383992</v>
      </c>
      <c r="L52" s="55">
        <f t="shared" si="32"/>
        <v>4.8244509045345589</v>
      </c>
      <c r="M52" s="55">
        <f t="shared" si="32"/>
        <v>4.3420058140811033</v>
      </c>
      <c r="N52" s="55">
        <f t="shared" si="32"/>
        <v>3.9078052326729931</v>
      </c>
      <c r="O52" s="55">
        <f t="shared" si="32"/>
        <v>3.5170247094056939</v>
      </c>
    </row>
    <row r="53" spans="2:15" ht="18" customHeight="1" x14ac:dyDescent="0.25">
      <c r="B53" s="2" t="s">
        <v>108</v>
      </c>
      <c r="C53" s="2"/>
      <c r="D53" s="55">
        <f>F18-I18</f>
        <v>22.885017292072181</v>
      </c>
      <c r="E53" s="55">
        <f>D53</f>
        <v>22.885017292072181</v>
      </c>
      <c r="F53" s="55">
        <f>E53</f>
        <v>22.885017292072181</v>
      </c>
      <c r="G53" s="55">
        <f>F55-J18</f>
        <v>21.168640995166768</v>
      </c>
      <c r="H53" s="55">
        <f>G55</f>
        <v>17.993344845891752</v>
      </c>
      <c r="I53" s="55">
        <f t="shared" ref="I53:O53" si="33">H55</f>
        <v>15.294343119007989</v>
      </c>
      <c r="J53" s="55">
        <f t="shared" si="33"/>
        <v>13.00019165115679</v>
      </c>
      <c r="K53" s="55">
        <f t="shared" si="33"/>
        <v>11.050162903483272</v>
      </c>
      <c r="L53" s="55">
        <f t="shared" si="33"/>
        <v>9.3926384679607811</v>
      </c>
      <c r="M53" s="55">
        <f t="shared" si="33"/>
        <v>7.9837426977666643</v>
      </c>
      <c r="N53" s="55">
        <f t="shared" si="33"/>
        <v>6.7861812931016647</v>
      </c>
      <c r="O53" s="55">
        <f t="shared" si="33"/>
        <v>5.7682540991364153</v>
      </c>
    </row>
    <row r="54" spans="2:15" ht="18" customHeight="1" x14ac:dyDescent="0.25">
      <c r="B54" s="262" t="str">
        <f>"Depreciation " &amp; B53</f>
        <v>Depreciation Plant &amp; Machinery</v>
      </c>
      <c r="C54" s="262"/>
      <c r="D54" s="262"/>
      <c r="E54" s="262"/>
      <c r="F54" s="263">
        <f t="shared" ref="F54:O54" si="34">F53*$H$18*F11/12</f>
        <v>1.7163762969054135</v>
      </c>
      <c r="G54" s="263">
        <f t="shared" si="34"/>
        <v>3.1752961492750154</v>
      </c>
      <c r="H54" s="263">
        <f t="shared" si="34"/>
        <v>2.6990017268837625</v>
      </c>
      <c r="I54" s="263">
        <f t="shared" si="34"/>
        <v>2.2941514678511981</v>
      </c>
      <c r="J54" s="263">
        <f t="shared" si="34"/>
        <v>1.9500287476735183</v>
      </c>
      <c r="K54" s="263">
        <f t="shared" si="34"/>
        <v>1.6575244355224907</v>
      </c>
      <c r="L54" s="263">
        <f t="shared" si="34"/>
        <v>1.4088957701941169</v>
      </c>
      <c r="M54" s="263">
        <f t="shared" si="34"/>
        <v>1.1975614046649996</v>
      </c>
      <c r="N54" s="263">
        <f t="shared" si="34"/>
        <v>1.0179271939652497</v>
      </c>
      <c r="O54" s="263">
        <f t="shared" si="34"/>
        <v>0.86523811487046232</v>
      </c>
    </row>
    <row r="55" spans="2:15" ht="18" customHeight="1" x14ac:dyDescent="0.25">
      <c r="B55" s="2" t="str">
        <f>"WDV " &amp; "of "&amp; B53</f>
        <v>WDV of Plant &amp; Machinery</v>
      </c>
      <c r="C55" s="2"/>
      <c r="D55" s="2"/>
      <c r="E55" s="2"/>
      <c r="F55" s="55">
        <f>F53-F54</f>
        <v>21.168640995166768</v>
      </c>
      <c r="G55" s="55">
        <f>G53-G54</f>
        <v>17.993344845891752</v>
      </c>
      <c r="H55" s="55">
        <f t="shared" ref="H55:O55" si="35">H53-H54</f>
        <v>15.294343119007989</v>
      </c>
      <c r="I55" s="55">
        <f t="shared" si="35"/>
        <v>13.00019165115679</v>
      </c>
      <c r="J55" s="55">
        <f t="shared" si="35"/>
        <v>11.050162903483272</v>
      </c>
      <c r="K55" s="55">
        <f t="shared" si="35"/>
        <v>9.3926384679607811</v>
      </c>
      <c r="L55" s="55">
        <f t="shared" si="35"/>
        <v>7.9837426977666643</v>
      </c>
      <c r="M55" s="55">
        <f t="shared" si="35"/>
        <v>6.7861812931016647</v>
      </c>
      <c r="N55" s="55">
        <f t="shared" si="35"/>
        <v>5.7682540991364153</v>
      </c>
      <c r="O55" s="55">
        <f t="shared" si="35"/>
        <v>4.9030159842659531</v>
      </c>
    </row>
    <row r="56" spans="2:15" ht="18" customHeight="1" x14ac:dyDescent="0.25">
      <c r="B56" s="2" t="s">
        <v>109</v>
      </c>
      <c r="C56" s="2"/>
      <c r="D56" s="2"/>
      <c r="E56" s="2"/>
      <c r="F56" s="55">
        <f>F19</f>
        <v>4.1439221048837727</v>
      </c>
      <c r="G56" s="55">
        <f>F58</f>
        <v>3.936725999639584</v>
      </c>
      <c r="H56" s="55">
        <f t="shared" ref="H56:O56" si="36">G58</f>
        <v>3.5430533996756255</v>
      </c>
      <c r="I56" s="55">
        <f t="shared" si="36"/>
        <v>3.1887480597080629</v>
      </c>
      <c r="J56" s="55">
        <f t="shared" si="36"/>
        <v>2.8698732537372567</v>
      </c>
      <c r="K56" s="55">
        <f t="shared" si="36"/>
        <v>2.582885928363531</v>
      </c>
      <c r="L56" s="55">
        <f t="shared" si="36"/>
        <v>2.3245973355271778</v>
      </c>
      <c r="M56" s="55">
        <f t="shared" si="36"/>
        <v>2.0921376019744602</v>
      </c>
      <c r="N56" s="55">
        <f t="shared" si="36"/>
        <v>1.8829238417770142</v>
      </c>
      <c r="O56" s="55">
        <f t="shared" si="36"/>
        <v>1.6946314575993129</v>
      </c>
    </row>
    <row r="57" spans="2:15" ht="18" customHeight="1" x14ac:dyDescent="0.25">
      <c r="B57" s="262" t="str">
        <f>"Depreciation " &amp; B56</f>
        <v>Depreciation Electricity Connection &amp; Infrastructure</v>
      </c>
      <c r="C57" s="262"/>
      <c r="D57" s="262"/>
      <c r="E57" s="262"/>
      <c r="F57" s="263">
        <f t="shared" ref="F57:O57" si="37">F56*$H$19*F11/12</f>
        <v>0.20719610524418863</v>
      </c>
      <c r="G57" s="263">
        <f t="shared" si="37"/>
        <v>0.39367259996395837</v>
      </c>
      <c r="H57" s="263">
        <f t="shared" si="37"/>
        <v>0.35430533996756258</v>
      </c>
      <c r="I57" s="263">
        <f t="shared" si="37"/>
        <v>0.31887480597080631</v>
      </c>
      <c r="J57" s="263">
        <f t="shared" si="37"/>
        <v>0.28698732537372568</v>
      </c>
      <c r="K57" s="263">
        <f t="shared" si="37"/>
        <v>0.25828859283635314</v>
      </c>
      <c r="L57" s="263">
        <f t="shared" si="37"/>
        <v>0.23245973355271779</v>
      </c>
      <c r="M57" s="263">
        <f t="shared" si="37"/>
        <v>0.20921376019744606</v>
      </c>
      <c r="N57" s="263">
        <f t="shared" si="37"/>
        <v>0.18829238417770144</v>
      </c>
      <c r="O57" s="263">
        <f t="shared" si="37"/>
        <v>0.16946314575993129</v>
      </c>
    </row>
    <row r="58" spans="2:15" ht="18" customHeight="1" x14ac:dyDescent="0.25">
      <c r="B58" s="2" t="str">
        <f>"WDV " &amp; "of "&amp; B56</f>
        <v>WDV of Electricity Connection &amp; Infrastructure</v>
      </c>
      <c r="C58" s="2"/>
      <c r="D58" s="2"/>
      <c r="E58" s="2"/>
      <c r="F58" s="55">
        <f>F56-F57</f>
        <v>3.936725999639584</v>
      </c>
      <c r="G58" s="55">
        <f t="shared" ref="G58:O58" si="38">G56-G57</f>
        <v>3.5430533996756255</v>
      </c>
      <c r="H58" s="55">
        <f t="shared" si="38"/>
        <v>3.1887480597080629</v>
      </c>
      <c r="I58" s="55">
        <f t="shared" si="38"/>
        <v>2.8698732537372567</v>
      </c>
      <c r="J58" s="55">
        <f t="shared" si="38"/>
        <v>2.582885928363531</v>
      </c>
      <c r="K58" s="55">
        <f t="shared" si="38"/>
        <v>2.3245973355271778</v>
      </c>
      <c r="L58" s="55">
        <f t="shared" si="38"/>
        <v>2.0921376019744602</v>
      </c>
      <c r="M58" s="55">
        <f t="shared" si="38"/>
        <v>1.8829238417770142</v>
      </c>
      <c r="N58" s="55">
        <f t="shared" si="38"/>
        <v>1.6946314575993129</v>
      </c>
      <c r="O58" s="55">
        <f t="shared" si="38"/>
        <v>1.5251683118393815</v>
      </c>
    </row>
    <row r="59" spans="2:15" ht="18" customHeight="1" x14ac:dyDescent="0.25">
      <c r="B59" s="2" t="s">
        <v>110</v>
      </c>
      <c r="C59" s="2"/>
      <c r="D59" s="2"/>
      <c r="E59" s="2"/>
      <c r="F59" s="55">
        <f>F20</f>
        <v>0.32923109943462175</v>
      </c>
      <c r="G59" s="55">
        <f>F61</f>
        <v>0.2633848795476974</v>
      </c>
      <c r="H59" s="55">
        <f t="shared" ref="H59:O59" si="39">G61</f>
        <v>0.15803092772861843</v>
      </c>
      <c r="I59" s="55">
        <f t="shared" si="39"/>
        <v>9.481855663717105E-2</v>
      </c>
      <c r="J59" s="55">
        <f t="shared" si="39"/>
        <v>5.6891133982302625E-2</v>
      </c>
      <c r="K59" s="55">
        <f t="shared" si="39"/>
        <v>3.4134680389381569E-2</v>
      </c>
      <c r="L59" s="55">
        <f t="shared" si="39"/>
        <v>2.0480808233628939E-2</v>
      </c>
      <c r="M59" s="55">
        <f t="shared" si="39"/>
        <v>1.2288484940177364E-2</v>
      </c>
      <c r="N59" s="55">
        <f t="shared" si="39"/>
        <v>7.3730909641064176E-3</v>
      </c>
      <c r="O59" s="55">
        <f t="shared" si="39"/>
        <v>4.4238545784638502E-3</v>
      </c>
    </row>
    <row r="60" spans="2:15" ht="18" customHeight="1" x14ac:dyDescent="0.25">
      <c r="B60" s="262" t="str">
        <f>"Depreciation " &amp; B59</f>
        <v>Depreciation Vehicles</v>
      </c>
      <c r="C60" s="262"/>
      <c r="D60" s="262"/>
      <c r="E60" s="262"/>
      <c r="F60" s="263">
        <f t="shared" ref="F60:O60" si="40">F59*$H$20*F11/12</f>
        <v>6.5846219886924351E-2</v>
      </c>
      <c r="G60" s="263">
        <f t="shared" si="40"/>
        <v>0.10535395181907897</v>
      </c>
      <c r="H60" s="263">
        <f t="shared" si="40"/>
        <v>6.3212371091447381E-2</v>
      </c>
      <c r="I60" s="263">
        <f t="shared" si="40"/>
        <v>3.7927422654868426E-2</v>
      </c>
      <c r="J60" s="263">
        <f t="shared" si="40"/>
        <v>2.2756453592921052E-2</v>
      </c>
      <c r="K60" s="263">
        <f t="shared" si="40"/>
        <v>1.3653872155752629E-2</v>
      </c>
      <c r="L60" s="263">
        <f t="shared" si="40"/>
        <v>8.1923232934515752E-3</v>
      </c>
      <c r="M60" s="263">
        <f t="shared" si="40"/>
        <v>4.915393976070946E-3</v>
      </c>
      <c r="N60" s="263">
        <f t="shared" si="40"/>
        <v>2.9492363856425674E-3</v>
      </c>
      <c r="O60" s="263">
        <f t="shared" si="40"/>
        <v>1.7695418313855404E-3</v>
      </c>
    </row>
    <row r="61" spans="2:15" ht="18" customHeight="1" x14ac:dyDescent="0.25">
      <c r="B61" s="2" t="str">
        <f>"WDV " &amp; "of "&amp; B59</f>
        <v>WDV of Vehicles</v>
      </c>
      <c r="C61" s="2"/>
      <c r="D61" s="2"/>
      <c r="E61" s="2"/>
      <c r="F61" s="55">
        <f>F59-F60</f>
        <v>0.2633848795476974</v>
      </c>
      <c r="G61" s="55">
        <f t="shared" ref="G61:O61" si="41">G59-G60</f>
        <v>0.15803092772861843</v>
      </c>
      <c r="H61" s="55">
        <f t="shared" si="41"/>
        <v>9.481855663717105E-2</v>
      </c>
      <c r="I61" s="55">
        <f t="shared" si="41"/>
        <v>5.6891133982302625E-2</v>
      </c>
      <c r="J61" s="55">
        <f t="shared" si="41"/>
        <v>3.4134680389381569E-2</v>
      </c>
      <c r="K61" s="55">
        <f t="shared" si="41"/>
        <v>2.0480808233628939E-2</v>
      </c>
      <c r="L61" s="55">
        <f t="shared" si="41"/>
        <v>1.2288484940177364E-2</v>
      </c>
      <c r="M61" s="55">
        <f t="shared" si="41"/>
        <v>7.3730909641064176E-3</v>
      </c>
      <c r="N61" s="55">
        <f t="shared" si="41"/>
        <v>4.4238545784638502E-3</v>
      </c>
      <c r="O61" s="55">
        <f t="shared" si="41"/>
        <v>2.6543127470783096E-3</v>
      </c>
    </row>
    <row r="62" spans="2:15" ht="18" customHeight="1" x14ac:dyDescent="0.25">
      <c r="B62" s="2" t="s">
        <v>111</v>
      </c>
      <c r="C62" s="2"/>
      <c r="D62" s="2"/>
      <c r="E62" s="2"/>
      <c r="F62" s="55">
        <f>F21</f>
        <v>0.10451780934432436</v>
      </c>
      <c r="G62" s="55">
        <f>F64</f>
        <v>9.6678973643500032E-2</v>
      </c>
      <c r="H62" s="55">
        <f t="shared" ref="H62:O62" si="42">G64</f>
        <v>8.2177127596975028E-2</v>
      </c>
      <c r="I62" s="55">
        <f t="shared" si="42"/>
        <v>6.9850558457428769E-2</v>
      </c>
      <c r="J62" s="55">
        <f t="shared" si="42"/>
        <v>5.9372974688814452E-2</v>
      </c>
      <c r="K62" s="55">
        <f t="shared" si="42"/>
        <v>5.0467028485492282E-2</v>
      </c>
      <c r="L62" s="55">
        <f t="shared" si="42"/>
        <v>4.2896974212668443E-2</v>
      </c>
      <c r="M62" s="55">
        <f t="shared" si="42"/>
        <v>3.6462428080768175E-2</v>
      </c>
      <c r="N62" s="55">
        <f t="shared" si="42"/>
        <v>3.0993063868652949E-2</v>
      </c>
      <c r="O62" s="55">
        <f t="shared" si="42"/>
        <v>2.6344104288355007E-2</v>
      </c>
    </row>
    <row r="63" spans="2:15" ht="18" customHeight="1" x14ac:dyDescent="0.25">
      <c r="B63" s="262" t="str">
        <f>"Depreciation " &amp; B62</f>
        <v>Depreciation Office equipment</v>
      </c>
      <c r="C63" s="262"/>
      <c r="D63" s="262"/>
      <c r="E63" s="262"/>
      <c r="F63" s="263">
        <f t="shared" ref="F63:O63" si="43">F62*$H$21*F11/12</f>
        <v>7.8388357008243262E-3</v>
      </c>
      <c r="G63" s="263">
        <f t="shared" si="43"/>
        <v>1.4501846046525005E-2</v>
      </c>
      <c r="H63" s="263">
        <f t="shared" si="43"/>
        <v>1.2326569139546254E-2</v>
      </c>
      <c r="I63" s="263">
        <f t="shared" si="43"/>
        <v>1.0477583768614315E-2</v>
      </c>
      <c r="J63" s="263">
        <f t="shared" si="43"/>
        <v>8.9059462033221678E-3</v>
      </c>
      <c r="K63" s="263">
        <f t="shared" si="43"/>
        <v>7.5700542728238422E-3</v>
      </c>
      <c r="L63" s="263">
        <f t="shared" si="43"/>
        <v>6.4345461319002652E-3</v>
      </c>
      <c r="M63" s="263">
        <f t="shared" si="43"/>
        <v>5.4693642121152264E-3</v>
      </c>
      <c r="N63" s="263">
        <f t="shared" si="43"/>
        <v>4.6489595802979419E-3</v>
      </c>
      <c r="O63" s="263">
        <f t="shared" si="43"/>
        <v>3.9516156432532505E-3</v>
      </c>
    </row>
    <row r="64" spans="2:15" ht="18" customHeight="1" x14ac:dyDescent="0.25">
      <c r="B64" s="2" t="str">
        <f>"WDV " &amp; "of "&amp; B62</f>
        <v>WDV of Office equipment</v>
      </c>
      <c r="C64" s="2"/>
      <c r="D64" s="2"/>
      <c r="E64" s="2"/>
      <c r="F64" s="55">
        <f>F62-F63</f>
        <v>9.6678973643500032E-2</v>
      </c>
      <c r="G64" s="55">
        <f t="shared" ref="G64:O64" si="44">G62-G63</f>
        <v>8.2177127596975028E-2</v>
      </c>
      <c r="H64" s="55">
        <f t="shared" si="44"/>
        <v>6.9850558457428769E-2</v>
      </c>
      <c r="I64" s="55">
        <f t="shared" si="44"/>
        <v>5.9372974688814452E-2</v>
      </c>
      <c r="J64" s="55">
        <f t="shared" si="44"/>
        <v>5.0467028485492282E-2</v>
      </c>
      <c r="K64" s="55">
        <f t="shared" si="44"/>
        <v>4.2896974212668443E-2</v>
      </c>
      <c r="L64" s="55">
        <f t="shared" si="44"/>
        <v>3.6462428080768175E-2</v>
      </c>
      <c r="M64" s="55">
        <f t="shared" si="44"/>
        <v>3.0993063868652949E-2</v>
      </c>
      <c r="N64" s="55">
        <f t="shared" si="44"/>
        <v>2.6344104288355007E-2</v>
      </c>
      <c r="O64" s="55">
        <f t="shared" si="44"/>
        <v>2.2392488645101755E-2</v>
      </c>
    </row>
    <row r="65" spans="2:15" ht="18" customHeight="1" x14ac:dyDescent="0.25">
      <c r="B65" s="2" t="s">
        <v>1020</v>
      </c>
      <c r="C65" s="2"/>
      <c r="D65" s="2"/>
      <c r="E65" s="2"/>
      <c r="F65" s="55">
        <f>F22</f>
        <v>0.73169574629175926</v>
      </c>
      <c r="G65" s="55">
        <f>F67</f>
        <v>0.67681856531987727</v>
      </c>
      <c r="H65" s="55">
        <f t="shared" ref="H65:O65" si="45">G67</f>
        <v>0.57529578052189567</v>
      </c>
      <c r="I65" s="55">
        <f t="shared" si="45"/>
        <v>0.48900141344361131</v>
      </c>
      <c r="J65" s="55">
        <f t="shared" si="45"/>
        <v>0.41565120142706963</v>
      </c>
      <c r="K65" s="55">
        <f t="shared" si="45"/>
        <v>0.35330352121300918</v>
      </c>
      <c r="L65" s="55">
        <f t="shared" si="45"/>
        <v>0.30030799303105782</v>
      </c>
      <c r="M65" s="55">
        <f t="shared" si="45"/>
        <v>0.25526179407639915</v>
      </c>
      <c r="N65" s="55">
        <f t="shared" si="45"/>
        <v>0.2169725249649393</v>
      </c>
      <c r="O65" s="55">
        <f t="shared" si="45"/>
        <v>0.18442664622019839</v>
      </c>
    </row>
    <row r="66" spans="2:15" ht="18" customHeight="1" x14ac:dyDescent="0.25">
      <c r="B66" s="262" t="s">
        <v>1022</v>
      </c>
      <c r="C66" s="262"/>
      <c r="D66" s="262"/>
      <c r="E66" s="262"/>
      <c r="F66" s="263">
        <f>F65*$H$22*F11/12</f>
        <v>5.4877180971881941E-2</v>
      </c>
      <c r="G66" s="263">
        <f t="shared" ref="G66:O66" si="46">G65*$H$22*G11/12</f>
        <v>0.10152278479798159</v>
      </c>
      <c r="H66" s="263">
        <f t="shared" si="46"/>
        <v>8.6294367078284348E-2</v>
      </c>
      <c r="I66" s="263">
        <f t="shared" si="46"/>
        <v>7.3350212016541697E-2</v>
      </c>
      <c r="J66" s="263">
        <f t="shared" si="46"/>
        <v>6.2347680214060432E-2</v>
      </c>
      <c r="K66" s="263">
        <f t="shared" si="46"/>
        <v>5.2995528181951378E-2</v>
      </c>
      <c r="L66" s="263">
        <f t="shared" si="46"/>
        <v>4.5046198954658674E-2</v>
      </c>
      <c r="M66" s="263">
        <f t="shared" si="46"/>
        <v>3.828926911145987E-2</v>
      </c>
      <c r="N66" s="263">
        <f t="shared" si="46"/>
        <v>3.2545878744740894E-2</v>
      </c>
      <c r="O66" s="263">
        <f t="shared" si="46"/>
        <v>2.7663996933029757E-2</v>
      </c>
    </row>
    <row r="67" spans="2:15" ht="18" customHeight="1" x14ac:dyDescent="0.25">
      <c r="B67" s="2" t="s">
        <v>1023</v>
      </c>
      <c r="C67" s="2"/>
      <c r="D67" s="2"/>
      <c r="E67" s="2"/>
      <c r="F67" s="55">
        <f>F65-F66</f>
        <v>0.67681856531987727</v>
      </c>
      <c r="G67" s="55">
        <f t="shared" ref="G67:O67" si="47">G65-G66</f>
        <v>0.57529578052189567</v>
      </c>
      <c r="H67" s="55">
        <f t="shared" si="47"/>
        <v>0.48900141344361131</v>
      </c>
      <c r="I67" s="55">
        <f t="shared" si="47"/>
        <v>0.41565120142706963</v>
      </c>
      <c r="J67" s="55">
        <f t="shared" si="47"/>
        <v>0.35330352121300918</v>
      </c>
      <c r="K67" s="55">
        <f t="shared" si="47"/>
        <v>0.30030799303105782</v>
      </c>
      <c r="L67" s="55">
        <f t="shared" si="47"/>
        <v>0.25526179407639915</v>
      </c>
      <c r="M67" s="55">
        <f t="shared" si="47"/>
        <v>0.2169725249649393</v>
      </c>
      <c r="N67" s="55">
        <f t="shared" si="47"/>
        <v>0.18442664622019839</v>
      </c>
      <c r="O67" s="55">
        <f t="shared" si="47"/>
        <v>0.15676264928716863</v>
      </c>
    </row>
    <row r="68" spans="2:15" ht="18" customHeight="1" x14ac:dyDescent="0.25">
      <c r="B68" s="255" t="s">
        <v>433</v>
      </c>
      <c r="C68" s="255"/>
      <c r="D68" s="255"/>
      <c r="E68" s="255"/>
      <c r="F68" s="256">
        <f>F49+F52+F55+F58+F61+F64+F67</f>
        <v>36.132824935067838</v>
      </c>
      <c r="G68" s="256">
        <f t="shared" ref="G68:O68" si="48">G49+G52+G55+G58+G61+G64+G67</f>
        <v>31.434672050990233</v>
      </c>
      <c r="H68" s="256">
        <f t="shared" si="48"/>
        <v>27.402506679872094</v>
      </c>
      <c r="I68" s="256">
        <f t="shared" si="48"/>
        <v>23.93240269034828</v>
      </c>
      <c r="J68" s="256">
        <f t="shared" si="48"/>
        <v>20.939586289755134</v>
      </c>
      <c r="K68" s="256">
        <f t="shared" si="48"/>
        <v>18.353942584003711</v>
      </c>
      <c r="L68" s="256">
        <f t="shared" si="48"/>
        <v>16.116863911373027</v>
      </c>
      <c r="M68" s="256">
        <f t="shared" si="48"/>
        <v>14.178969628757482</v>
      </c>
      <c r="N68" s="256">
        <f t="shared" si="48"/>
        <v>12.498405394495739</v>
      </c>
      <c r="O68" s="256">
        <f t="shared" si="48"/>
        <v>11.039538456190376</v>
      </c>
    </row>
    <row r="69" spans="2:15" ht="18" customHeight="1" x14ac:dyDescent="0.25">
      <c r="B69" s="62" t="s">
        <v>434</v>
      </c>
      <c r="C69" s="62"/>
      <c r="D69" s="62"/>
      <c r="E69" s="62"/>
      <c r="F69" s="63">
        <f>F48+F51+F54+F57+F60+F63+F66</f>
        <v>2.5299270345908327</v>
      </c>
      <c r="G69" s="63">
        <f t="shared" ref="G69:O69" si="49">G48+G51+G54+G57+G60+G63+G66</f>
        <v>4.6981528840775999</v>
      </c>
      <c r="H69" s="63">
        <f t="shared" si="49"/>
        <v>4.0321653711181407</v>
      </c>
      <c r="I69" s="63">
        <f t="shared" si="49"/>
        <v>3.4701039895238117</v>
      </c>
      <c r="J69" s="63">
        <f t="shared" si="49"/>
        <v>2.9928164005931528</v>
      </c>
      <c r="K69" s="63">
        <f t="shared" si="49"/>
        <v>2.5856437057514161</v>
      </c>
      <c r="L69" s="63">
        <f t="shared" si="49"/>
        <v>2.2370786726306853</v>
      </c>
      <c r="M69" s="63">
        <f t="shared" si="49"/>
        <v>1.9378942826155474</v>
      </c>
      <c r="N69" s="63">
        <f t="shared" si="49"/>
        <v>1.6805642342617426</v>
      </c>
      <c r="O69" s="63">
        <f t="shared" si="49"/>
        <v>1.4588669383053614</v>
      </c>
    </row>
    <row r="70" spans="2:15" ht="18" customHeight="1" x14ac:dyDescent="0.25">
      <c r="H70" s="1"/>
    </row>
    <row r="71" spans="2:15" ht="18" customHeight="1" x14ac:dyDescent="0.25">
      <c r="H71" s="1"/>
    </row>
    <row r="72" spans="2:15" ht="18" customHeight="1" x14ac:dyDescent="0.25">
      <c r="H72" s="1"/>
    </row>
    <row r="73" spans="2:15" ht="18" customHeight="1" x14ac:dyDescent="0.25">
      <c r="H73" s="1"/>
    </row>
    <row r="74" spans="2:15" ht="18" customHeight="1" x14ac:dyDescent="0.25">
      <c r="H74" s="1"/>
    </row>
    <row r="75" spans="2:15" ht="18" customHeight="1" x14ac:dyDescent="0.25">
      <c r="H75" s="1"/>
    </row>
    <row r="76" spans="2:15" ht="18" customHeight="1" x14ac:dyDescent="0.25">
      <c r="H76" s="1"/>
    </row>
    <row r="77" spans="2:15" ht="18" customHeight="1" x14ac:dyDescent="0.25">
      <c r="H77" s="1"/>
    </row>
    <row r="78" spans="2:15" ht="18" customHeight="1" x14ac:dyDescent="0.25">
      <c r="H78" s="1"/>
    </row>
    <row r="79" spans="2:15" ht="18" customHeight="1" x14ac:dyDescent="0.25">
      <c r="H79" s="1"/>
    </row>
    <row r="80" spans="2:15" ht="18" customHeight="1" x14ac:dyDescent="0.25">
      <c r="H80" s="1"/>
    </row>
    <row r="81" spans="8:8" ht="18" customHeight="1" x14ac:dyDescent="0.25">
      <c r="H81" s="1"/>
    </row>
    <row r="82" spans="8:8" ht="18" customHeight="1" x14ac:dyDescent="0.25">
      <c r="H82" s="1"/>
    </row>
    <row r="83" spans="8:8" ht="18" customHeight="1" x14ac:dyDescent="0.25">
      <c r="H83" s="1"/>
    </row>
    <row r="84" spans="8:8" ht="18" customHeight="1" x14ac:dyDescent="0.25">
      <c r="H84" s="1"/>
    </row>
    <row r="85" spans="8:8" ht="18" customHeight="1" x14ac:dyDescent="0.25">
      <c r="H85" s="1"/>
    </row>
    <row r="86" spans="8:8" ht="18" customHeight="1" x14ac:dyDescent="0.25">
      <c r="H86" s="1"/>
    </row>
    <row r="87" spans="8:8" ht="18" customHeight="1" x14ac:dyDescent="0.25">
      <c r="H87" s="1"/>
    </row>
    <row r="88" spans="8:8" ht="18" customHeight="1" x14ac:dyDescent="0.25">
      <c r="H88" s="1"/>
    </row>
    <row r="89" spans="8:8" ht="18" customHeight="1" x14ac:dyDescent="0.25">
      <c r="H89" s="1"/>
    </row>
    <row r="90" spans="8:8" ht="18" customHeight="1" x14ac:dyDescent="0.25">
      <c r="H90" s="1"/>
    </row>
    <row r="91" spans="8:8" ht="18" customHeight="1" x14ac:dyDescent="0.25">
      <c r="H91" s="1"/>
    </row>
    <row r="92" spans="8:8" ht="18" customHeight="1" x14ac:dyDescent="0.25">
      <c r="H92" s="1"/>
    </row>
    <row r="93" spans="8:8" ht="18" customHeight="1" x14ac:dyDescent="0.25">
      <c r="H93" s="1"/>
    </row>
    <row r="94" spans="8:8" ht="18" customHeight="1" x14ac:dyDescent="0.25">
      <c r="H94" s="1"/>
    </row>
    <row r="95" spans="8:8" ht="18" customHeight="1" x14ac:dyDescent="0.25">
      <c r="H95" s="1"/>
    </row>
    <row r="96" spans="8:8" ht="18" customHeight="1" x14ac:dyDescent="0.25">
      <c r="H96" s="1"/>
    </row>
    <row r="97" spans="8:8" ht="18" customHeight="1" x14ac:dyDescent="0.25">
      <c r="H97" s="1"/>
    </row>
    <row r="98" spans="8:8" ht="18" customHeight="1" x14ac:dyDescent="0.25">
      <c r="H98" s="1"/>
    </row>
    <row r="99" spans="8:8" ht="18" customHeight="1" x14ac:dyDescent="0.25">
      <c r="H99" s="1"/>
    </row>
    <row r="100" spans="8:8" ht="18" customHeight="1" x14ac:dyDescent="0.25">
      <c r="H100" s="1"/>
    </row>
    <row r="101" spans="8:8" ht="18" customHeight="1" x14ac:dyDescent="0.25">
      <c r="H101" s="1"/>
    </row>
    <row r="102" spans="8:8" ht="18" customHeight="1" x14ac:dyDescent="0.25">
      <c r="H102" s="1"/>
    </row>
    <row r="103" spans="8:8" ht="18" customHeight="1" x14ac:dyDescent="0.25">
      <c r="H103" s="1"/>
    </row>
    <row r="104" spans="8:8" ht="18" customHeight="1" x14ac:dyDescent="0.25">
      <c r="H104" s="1"/>
    </row>
    <row r="105" spans="8:8" ht="18" customHeight="1" x14ac:dyDescent="0.25">
      <c r="H105" s="1"/>
    </row>
    <row r="106" spans="8:8" ht="18" customHeight="1" x14ac:dyDescent="0.25">
      <c r="H106" s="1"/>
    </row>
    <row r="107" spans="8:8" ht="18" customHeight="1" x14ac:dyDescent="0.25">
      <c r="H107" s="1"/>
    </row>
    <row r="108" spans="8:8" ht="18" customHeight="1" x14ac:dyDescent="0.25">
      <c r="H108" s="1"/>
    </row>
    <row r="109" spans="8:8" ht="18" customHeight="1" x14ac:dyDescent="0.25">
      <c r="H109" s="1"/>
    </row>
    <row r="110" spans="8:8" ht="18" customHeight="1" x14ac:dyDescent="0.25">
      <c r="H110" s="1"/>
    </row>
    <row r="111" spans="8:8" ht="18" customHeight="1" x14ac:dyDescent="0.25">
      <c r="H111" s="1"/>
    </row>
    <row r="112" spans="8:8" ht="18" customHeight="1" x14ac:dyDescent="0.25">
      <c r="H112" s="1"/>
    </row>
    <row r="113" spans="8:8" ht="18" customHeight="1" x14ac:dyDescent="0.25">
      <c r="H113" s="1"/>
    </row>
    <row r="114" spans="8:8" ht="18" customHeight="1" x14ac:dyDescent="0.25">
      <c r="H114" s="1"/>
    </row>
    <row r="115" spans="8:8" ht="18" customHeight="1" x14ac:dyDescent="0.25">
      <c r="H115" s="1"/>
    </row>
    <row r="116" spans="8:8" ht="18" customHeight="1" x14ac:dyDescent="0.25">
      <c r="H116" s="1"/>
    </row>
    <row r="117" spans="8:8" ht="18" customHeight="1" x14ac:dyDescent="0.25">
      <c r="H117" s="1"/>
    </row>
    <row r="118" spans="8:8" ht="18" customHeight="1" x14ac:dyDescent="0.25">
      <c r="H118" s="1"/>
    </row>
    <row r="119" spans="8:8" ht="18" customHeight="1" x14ac:dyDescent="0.25">
      <c r="H119" s="1"/>
    </row>
    <row r="120" spans="8:8" ht="18" customHeight="1" x14ac:dyDescent="0.25">
      <c r="H120" s="1"/>
    </row>
    <row r="121" spans="8:8" ht="18" customHeight="1" x14ac:dyDescent="0.25">
      <c r="H121" s="1"/>
    </row>
    <row r="122" spans="8:8" ht="18" customHeight="1" x14ac:dyDescent="0.25">
      <c r="H122" s="1"/>
    </row>
    <row r="123" spans="8:8" ht="18" customHeight="1" x14ac:dyDescent="0.25">
      <c r="H123" s="1"/>
    </row>
    <row r="124" spans="8:8" ht="18" customHeight="1" x14ac:dyDescent="0.25">
      <c r="H124" s="1"/>
    </row>
    <row r="125" spans="8:8" ht="18" customHeight="1" x14ac:dyDescent="0.25">
      <c r="H125" s="1"/>
    </row>
    <row r="126" spans="8:8" ht="18" customHeight="1" x14ac:dyDescent="0.25">
      <c r="H126" s="1"/>
    </row>
    <row r="127" spans="8:8" ht="18" customHeight="1" x14ac:dyDescent="0.25">
      <c r="H127" s="1"/>
    </row>
    <row r="128" spans="8:8" ht="18" customHeight="1" x14ac:dyDescent="0.25">
      <c r="H128" s="1"/>
    </row>
    <row r="129" spans="8:8" ht="18" customHeight="1" x14ac:dyDescent="0.25">
      <c r="H129" s="1"/>
    </row>
    <row r="130" spans="8:8" ht="18" customHeight="1" x14ac:dyDescent="0.25">
      <c r="H130" s="1"/>
    </row>
    <row r="131" spans="8:8" ht="18" customHeight="1" x14ac:dyDescent="0.25">
      <c r="H131" s="1"/>
    </row>
    <row r="132" spans="8:8" ht="18" customHeight="1" x14ac:dyDescent="0.25">
      <c r="H132" s="1"/>
    </row>
    <row r="133" spans="8:8" ht="18" customHeight="1" x14ac:dyDescent="0.25">
      <c r="H133" s="1"/>
    </row>
    <row r="134" spans="8:8" ht="18" customHeight="1" x14ac:dyDescent="0.25">
      <c r="H134" s="1"/>
    </row>
    <row r="135" spans="8:8" ht="18" customHeight="1" x14ac:dyDescent="0.25">
      <c r="H135" s="1"/>
    </row>
    <row r="136" spans="8:8" ht="18" customHeight="1" x14ac:dyDescent="0.25">
      <c r="H136" s="1"/>
    </row>
    <row r="137" spans="8:8" ht="18" customHeight="1" x14ac:dyDescent="0.25">
      <c r="H137" s="1"/>
    </row>
    <row r="138" spans="8:8" ht="18" customHeight="1" x14ac:dyDescent="0.25">
      <c r="H138" s="1"/>
    </row>
    <row r="139" spans="8:8" ht="18" customHeight="1" x14ac:dyDescent="0.25">
      <c r="H139" s="1"/>
    </row>
    <row r="140" spans="8:8" ht="18" customHeight="1" x14ac:dyDescent="0.25">
      <c r="H140" s="1"/>
    </row>
    <row r="141" spans="8:8" ht="18" customHeight="1" x14ac:dyDescent="0.25">
      <c r="H141" s="1"/>
    </row>
    <row r="142" spans="8:8" ht="18" customHeight="1" x14ac:dyDescent="0.25">
      <c r="H142" s="1"/>
    </row>
    <row r="143" spans="8:8" ht="18" customHeight="1" x14ac:dyDescent="0.25">
      <c r="H143" s="1"/>
    </row>
    <row r="144" spans="8:8" ht="18" customHeight="1" x14ac:dyDescent="0.25">
      <c r="H144" s="1"/>
    </row>
    <row r="145" spans="8:8" ht="18" customHeight="1" x14ac:dyDescent="0.25">
      <c r="H145" s="1"/>
    </row>
    <row r="146" spans="8:8" ht="18" customHeight="1" x14ac:dyDescent="0.25">
      <c r="H146" s="1"/>
    </row>
    <row r="147" spans="8:8" ht="18" customHeight="1" x14ac:dyDescent="0.25">
      <c r="H147" s="1"/>
    </row>
    <row r="148" spans="8:8" ht="18" customHeight="1" x14ac:dyDescent="0.25">
      <c r="H148" s="1"/>
    </row>
    <row r="149" spans="8:8" ht="18" customHeight="1" x14ac:dyDescent="0.25">
      <c r="H149" s="1"/>
    </row>
    <row r="150" spans="8:8" ht="18" customHeight="1" x14ac:dyDescent="0.25">
      <c r="H150" s="1"/>
    </row>
    <row r="151" spans="8:8" ht="18" customHeight="1" x14ac:dyDescent="0.25">
      <c r="H151" s="1"/>
    </row>
    <row r="152" spans="8:8" ht="18" customHeight="1" x14ac:dyDescent="0.25">
      <c r="H152" s="1"/>
    </row>
    <row r="153" spans="8:8" ht="18" customHeight="1" x14ac:dyDescent="0.25">
      <c r="H153" s="1"/>
    </row>
    <row r="154" spans="8:8" ht="18" customHeight="1" x14ac:dyDescent="0.25">
      <c r="H154" s="1"/>
    </row>
    <row r="155" spans="8:8" ht="18" customHeight="1" x14ac:dyDescent="0.25">
      <c r="H155" s="1"/>
    </row>
    <row r="156" spans="8:8" ht="18" customHeight="1" x14ac:dyDescent="0.25">
      <c r="H156" s="1"/>
    </row>
    <row r="157" spans="8:8" ht="18" customHeight="1" x14ac:dyDescent="0.25">
      <c r="H157" s="1"/>
    </row>
    <row r="158" spans="8:8" ht="18" customHeight="1" x14ac:dyDescent="0.25">
      <c r="H158" s="1"/>
    </row>
    <row r="159" spans="8:8" ht="18" customHeight="1" x14ac:dyDescent="0.25">
      <c r="H159" s="1"/>
    </row>
    <row r="160" spans="8:8" ht="18" customHeight="1" x14ac:dyDescent="0.25">
      <c r="H160" s="1"/>
    </row>
    <row r="161" spans="8:8" ht="18" customHeight="1" x14ac:dyDescent="0.25">
      <c r="H161" s="1"/>
    </row>
    <row r="162" spans="8:8" ht="18" customHeight="1" x14ac:dyDescent="0.25">
      <c r="H162" s="1"/>
    </row>
    <row r="163" spans="8:8" ht="18" customHeight="1" x14ac:dyDescent="0.25">
      <c r="H163" s="1"/>
    </row>
    <row r="164" spans="8:8" ht="18" customHeight="1" x14ac:dyDescent="0.25">
      <c r="H164" s="1"/>
    </row>
    <row r="165" spans="8:8" ht="18" customHeight="1" x14ac:dyDescent="0.25">
      <c r="H165" s="1"/>
    </row>
    <row r="166" spans="8:8" ht="18" customHeight="1" x14ac:dyDescent="0.25">
      <c r="H166" s="1"/>
    </row>
    <row r="167" spans="8:8" ht="18" customHeight="1" x14ac:dyDescent="0.25">
      <c r="H167" s="1"/>
    </row>
    <row r="168" spans="8:8" ht="18" customHeight="1" x14ac:dyDescent="0.25">
      <c r="H168" s="1"/>
    </row>
    <row r="169" spans="8:8" ht="18" customHeight="1" x14ac:dyDescent="0.25">
      <c r="H169" s="1"/>
    </row>
    <row r="170" spans="8:8" ht="18" customHeight="1" x14ac:dyDescent="0.25">
      <c r="H170" s="1"/>
    </row>
    <row r="171" spans="8:8" ht="18" customHeight="1" x14ac:dyDescent="0.25">
      <c r="H171" s="1"/>
    </row>
    <row r="172" spans="8:8" ht="18" customHeight="1" x14ac:dyDescent="0.25">
      <c r="H172" s="1"/>
    </row>
    <row r="173" spans="8:8" ht="18" customHeight="1" x14ac:dyDescent="0.25">
      <c r="H173" s="1"/>
    </row>
    <row r="174" spans="8:8" ht="18" customHeight="1" x14ac:dyDescent="0.25">
      <c r="H174" s="1"/>
    </row>
    <row r="175" spans="8:8" ht="18" customHeight="1" x14ac:dyDescent="0.25">
      <c r="H175" s="1"/>
    </row>
    <row r="176" spans="8:8" ht="18" customHeight="1" x14ac:dyDescent="0.25">
      <c r="H176" s="1"/>
    </row>
    <row r="177" spans="8:8" ht="18" customHeight="1" x14ac:dyDescent="0.25">
      <c r="H177" s="1"/>
    </row>
    <row r="178" spans="8:8" ht="18" customHeight="1" x14ac:dyDescent="0.25">
      <c r="H178" s="1"/>
    </row>
    <row r="179" spans="8:8" ht="18" customHeight="1" x14ac:dyDescent="0.25">
      <c r="H179" s="1"/>
    </row>
    <row r="180" spans="8:8" ht="18" customHeight="1" x14ac:dyDescent="0.25">
      <c r="H180" s="1"/>
    </row>
    <row r="181" spans="8:8" ht="18" customHeight="1" x14ac:dyDescent="0.25">
      <c r="H181" s="1"/>
    </row>
  </sheetData>
  <mergeCells count="2">
    <mergeCell ref="D8:E8"/>
    <mergeCell ref="F8:O8"/>
  </mergeCells>
  <pageMargins left="0.7" right="0.7" top="0.75" bottom="0.75" header="0.3" footer="0.3"/>
  <pageSetup orientation="portrait" r:id="rId1"/>
  <ignoredErrors>
    <ignoredError sqref="H31:O39" formula="1"/>
  </ignoredError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88"/>
  <sheetViews>
    <sheetView showGridLines="0" workbookViewId="0"/>
  </sheetViews>
  <sheetFormatPr defaultColWidth="13.7109375" defaultRowHeight="18" customHeight="1" x14ac:dyDescent="0.25"/>
  <cols>
    <col min="1" max="1" width="3.7109375" style="1" customWidth="1"/>
    <col min="2" max="2" width="38.7109375" style="1" customWidth="1"/>
    <col min="3" max="3" width="7.140625" style="1" customWidth="1"/>
    <col min="4" max="6" width="12.7109375" style="1" customWidth="1"/>
    <col min="7" max="7" width="17.7109375" style="1" customWidth="1"/>
    <col min="8" max="8" width="15.7109375" style="42" customWidth="1"/>
    <col min="9" max="9" width="13" style="1" customWidth="1"/>
    <col min="10" max="15" width="12.7109375" style="1" customWidth="1"/>
    <col min="16" max="16384" width="13.7109375" style="1"/>
  </cols>
  <sheetData>
    <row r="1" spans="2:16" ht="15.75" customHeight="1" x14ac:dyDescent="0.25"/>
    <row r="2" spans="2:16" s="2" customFormat="1" ht="18" customHeight="1" x14ac:dyDescent="0.25">
      <c r="B2" s="34" t="str">
        <f>"Financial Model of " &amp; B4</f>
        <v>Financial Model of Proposed 6000 KGPD CBG plant set up M/s. NRS BIO FUEL ENERGIES LLP</v>
      </c>
      <c r="C2" s="35"/>
      <c r="D2" s="35"/>
      <c r="E2" s="35"/>
      <c r="F2" s="35"/>
      <c r="G2" s="35"/>
      <c r="H2" s="35"/>
      <c r="I2" s="35"/>
      <c r="J2" s="35"/>
      <c r="K2" s="35"/>
      <c r="L2" s="35"/>
      <c r="M2" s="35"/>
      <c r="N2" s="35"/>
      <c r="O2" s="35"/>
      <c r="P2" s="25"/>
    </row>
    <row r="3" spans="2:16" s="2" customFormat="1" ht="12" customHeight="1" x14ac:dyDescent="0.25">
      <c r="C3" s="25"/>
      <c r="D3" s="25"/>
      <c r="E3" s="25"/>
      <c r="F3" s="25"/>
      <c r="G3" s="25"/>
      <c r="H3" s="25"/>
      <c r="I3" s="25"/>
      <c r="J3" s="25"/>
      <c r="K3" s="25"/>
      <c r="L3" s="25"/>
      <c r="M3" s="25"/>
      <c r="N3" s="25"/>
      <c r="O3" s="25"/>
      <c r="P3" s="25"/>
    </row>
    <row r="4" spans="2:16" s="2" customFormat="1" ht="18" customHeight="1" x14ac:dyDescent="0.25">
      <c r="B4" s="26" t="str">
        <f>'Common Assumption'!B4</f>
        <v>Proposed 6000 KGPD CBG plant set up M/s. NRS BIO FUEL ENERGIES LLP</v>
      </c>
      <c r="C4" s="26"/>
      <c r="D4" s="27"/>
      <c r="E4" s="27"/>
      <c r="F4" s="27"/>
      <c r="G4" s="27"/>
      <c r="H4" s="27"/>
      <c r="I4" s="27"/>
      <c r="J4" s="27"/>
      <c r="K4" s="27"/>
      <c r="L4" s="27"/>
      <c r="M4" s="27"/>
      <c r="N4" s="27"/>
      <c r="O4" s="27"/>
      <c r="P4" s="25"/>
    </row>
    <row r="5" spans="2:16" s="2" customFormat="1" ht="13.5" customHeight="1" x14ac:dyDescent="0.25">
      <c r="C5" s="25"/>
      <c r="D5" s="25"/>
      <c r="F5" s="28"/>
      <c r="H5" s="25"/>
      <c r="P5" s="25"/>
    </row>
    <row r="6" spans="2:16" s="2" customFormat="1" ht="18" customHeight="1" x14ac:dyDescent="0.25">
      <c r="B6" s="26" t="s">
        <v>435</v>
      </c>
      <c r="C6" s="26"/>
      <c r="D6" s="27"/>
      <c r="E6" s="27"/>
      <c r="F6" s="27"/>
      <c r="G6" s="27"/>
      <c r="H6" s="27"/>
      <c r="I6" s="27"/>
      <c r="J6" s="27"/>
      <c r="K6" s="27"/>
      <c r="L6" s="27"/>
      <c r="M6" s="27"/>
      <c r="N6" s="27"/>
      <c r="O6" s="27"/>
      <c r="P6" s="25"/>
    </row>
    <row r="7" spans="2:16" s="2" customFormat="1" ht="12.75" customHeight="1" x14ac:dyDescent="0.25">
      <c r="C7" s="25"/>
      <c r="D7" s="25"/>
      <c r="F7" s="28"/>
      <c r="H7" s="25"/>
      <c r="O7" s="25"/>
      <c r="P7" s="25"/>
    </row>
    <row r="8" spans="2:16" s="2" customFormat="1" ht="18" customHeight="1" x14ac:dyDescent="0.25">
      <c r="C8" s="25"/>
      <c r="D8" s="675" t="s">
        <v>8</v>
      </c>
      <c r="E8" s="675"/>
      <c r="F8" s="676" t="s">
        <v>52</v>
      </c>
      <c r="G8" s="676"/>
      <c r="H8" s="676"/>
      <c r="I8" s="676"/>
      <c r="J8" s="676"/>
      <c r="K8" s="676"/>
      <c r="L8" s="676"/>
      <c r="M8" s="676"/>
      <c r="N8" s="676"/>
      <c r="O8" s="676"/>
      <c r="P8" s="25"/>
    </row>
    <row r="9" spans="2:16" s="2" customFormat="1" ht="18" customHeight="1" x14ac:dyDescent="0.25">
      <c r="B9" s="29" t="s">
        <v>53</v>
      </c>
      <c r="C9" s="30" t="s">
        <v>54</v>
      </c>
      <c r="D9" s="31">
        <f>EOMONTH('Common Assumption'!E11,5)</f>
        <v>45747</v>
      </c>
      <c r="E9" s="31">
        <f>'Common Assumption'!E13</f>
        <v>45930</v>
      </c>
      <c r="F9" s="31">
        <f>DATE(YEAR(E9)+1,MONTH(E9)-6,DAY(E9)+1)</f>
        <v>46112</v>
      </c>
      <c r="G9" s="31">
        <f>DATE(YEAR(F9)+1,MONTH(F9),DAY(F9))</f>
        <v>46477</v>
      </c>
      <c r="H9" s="31">
        <f t="shared" ref="H9:O9" si="0">DATE(YEAR(G9)+1,MONTH(G9),DAY(G9))</f>
        <v>46843</v>
      </c>
      <c r="I9" s="31">
        <f t="shared" si="0"/>
        <v>47208</v>
      </c>
      <c r="J9" s="31">
        <f t="shared" si="0"/>
        <v>47573</v>
      </c>
      <c r="K9" s="31">
        <f t="shared" si="0"/>
        <v>47938</v>
      </c>
      <c r="L9" s="31">
        <f t="shared" si="0"/>
        <v>48304</v>
      </c>
      <c r="M9" s="31">
        <f t="shared" si="0"/>
        <v>48669</v>
      </c>
      <c r="N9" s="31">
        <f t="shared" si="0"/>
        <v>49034</v>
      </c>
      <c r="O9" s="31">
        <f t="shared" si="0"/>
        <v>49399</v>
      </c>
      <c r="P9" s="25"/>
    </row>
    <row r="10" spans="2:16" s="32" customFormat="1" ht="18" customHeight="1" x14ac:dyDescent="0.25">
      <c r="B10" s="37" t="s">
        <v>55</v>
      </c>
      <c r="C10" s="38"/>
      <c r="D10" s="36">
        <v>0</v>
      </c>
      <c r="E10" s="36">
        <v>0</v>
      </c>
      <c r="F10" s="39">
        <v>1</v>
      </c>
      <c r="G10" s="39">
        <f>F10+1</f>
        <v>2</v>
      </c>
      <c r="H10" s="39">
        <f t="shared" ref="H10:O10" si="1">G10+1</f>
        <v>3</v>
      </c>
      <c r="I10" s="39">
        <f t="shared" si="1"/>
        <v>4</v>
      </c>
      <c r="J10" s="39">
        <f t="shared" si="1"/>
        <v>5</v>
      </c>
      <c r="K10" s="39">
        <f t="shared" si="1"/>
        <v>6</v>
      </c>
      <c r="L10" s="39">
        <f t="shared" si="1"/>
        <v>7</v>
      </c>
      <c r="M10" s="39">
        <f t="shared" si="1"/>
        <v>8</v>
      </c>
      <c r="N10" s="39">
        <f t="shared" si="1"/>
        <v>9</v>
      </c>
      <c r="O10" s="39">
        <f t="shared" si="1"/>
        <v>10</v>
      </c>
      <c r="P10" s="33"/>
    </row>
    <row r="11" spans="2:16" s="32" customFormat="1" ht="18" customHeight="1" x14ac:dyDescent="0.25">
      <c r="B11" s="37" t="s">
        <v>56</v>
      </c>
      <c r="C11" s="38">
        <f>'Common Assumption'!E12</f>
        <v>11</v>
      </c>
      <c r="D11" s="36">
        <f>MONTH(D9-'Common Assumption'!E11)</f>
        <v>5</v>
      </c>
      <c r="E11" s="36">
        <f>C11-D11</f>
        <v>6</v>
      </c>
      <c r="F11" s="38">
        <f>MONTH(F9-E9)</f>
        <v>6</v>
      </c>
      <c r="G11" s="38">
        <f t="shared" ref="G11:O11" si="2">MONTH(G9-F9)</f>
        <v>12</v>
      </c>
      <c r="H11" s="38">
        <f t="shared" si="2"/>
        <v>12</v>
      </c>
      <c r="I11" s="38">
        <f t="shared" si="2"/>
        <v>12</v>
      </c>
      <c r="J11" s="38">
        <f t="shared" si="2"/>
        <v>12</v>
      </c>
      <c r="K11" s="38">
        <f t="shared" si="2"/>
        <v>12</v>
      </c>
      <c r="L11" s="38">
        <f t="shared" si="2"/>
        <v>12</v>
      </c>
      <c r="M11" s="38">
        <f t="shared" si="2"/>
        <v>12</v>
      </c>
      <c r="N11" s="38">
        <f t="shared" si="2"/>
        <v>12</v>
      </c>
      <c r="O11" s="38">
        <f t="shared" si="2"/>
        <v>12</v>
      </c>
      <c r="P11" s="33"/>
    </row>
    <row r="12" spans="2:16" ht="18" customHeight="1" x14ac:dyDescent="0.25">
      <c r="B12" s="1" t="s">
        <v>437</v>
      </c>
      <c r="F12" s="42">
        <f>'Common Assumption'!D21</f>
        <v>365</v>
      </c>
      <c r="G12" s="42">
        <f>F12</f>
        <v>365</v>
      </c>
      <c r="H12" s="42">
        <f t="shared" ref="H12:O12" si="3">G12</f>
        <v>365</v>
      </c>
      <c r="I12" s="42">
        <f t="shared" si="3"/>
        <v>365</v>
      </c>
      <c r="J12" s="42">
        <f t="shared" si="3"/>
        <v>365</v>
      </c>
      <c r="K12" s="42">
        <f t="shared" si="3"/>
        <v>365</v>
      </c>
      <c r="L12" s="42">
        <f t="shared" si="3"/>
        <v>365</v>
      </c>
      <c r="M12" s="42">
        <f t="shared" si="3"/>
        <v>365</v>
      </c>
      <c r="N12" s="42">
        <f t="shared" si="3"/>
        <v>365</v>
      </c>
      <c r="O12" s="42">
        <f t="shared" si="3"/>
        <v>365</v>
      </c>
    </row>
    <row r="13" spans="2:16" ht="18" customHeight="1" x14ac:dyDescent="0.25">
      <c r="B13" s="2" t="s">
        <v>436</v>
      </c>
      <c r="F13" s="251">
        <f>'Revenue &amp; Expense Modelling'!F19</f>
        <v>350</v>
      </c>
      <c r="G13" s="251">
        <f>'Revenue &amp; Expense Modelling'!G19</f>
        <v>350</v>
      </c>
      <c r="H13" s="251">
        <f>'Revenue &amp; Expense Modelling'!H19</f>
        <v>350</v>
      </c>
      <c r="I13" s="251">
        <f>'Revenue &amp; Expense Modelling'!I19</f>
        <v>350</v>
      </c>
      <c r="J13" s="251">
        <f>'Revenue &amp; Expense Modelling'!J19</f>
        <v>350</v>
      </c>
      <c r="K13" s="251">
        <f>'Revenue &amp; Expense Modelling'!K19</f>
        <v>350</v>
      </c>
      <c r="L13" s="251">
        <f>'Revenue &amp; Expense Modelling'!L19</f>
        <v>350</v>
      </c>
      <c r="M13" s="251">
        <f>'Revenue &amp; Expense Modelling'!M19</f>
        <v>350</v>
      </c>
      <c r="N13" s="251">
        <f>'Revenue &amp; Expense Modelling'!N19</f>
        <v>350</v>
      </c>
      <c r="O13" s="251">
        <f>'Revenue &amp; Expense Modelling'!O19</f>
        <v>350</v>
      </c>
    </row>
    <row r="14" spans="2:16" ht="18" customHeight="1" x14ac:dyDescent="0.25">
      <c r="B14" s="2" t="s">
        <v>74</v>
      </c>
      <c r="F14" s="251">
        <f>'Revenue &amp; Expense Modelling'!F20</f>
        <v>182</v>
      </c>
      <c r="G14" s="251">
        <f>'Revenue &amp; Expense Modelling'!G20</f>
        <v>350</v>
      </c>
      <c r="H14" s="251">
        <f>'Revenue &amp; Expense Modelling'!H20</f>
        <v>350</v>
      </c>
      <c r="I14" s="251">
        <f>'Revenue &amp; Expense Modelling'!I20</f>
        <v>350</v>
      </c>
      <c r="J14" s="251">
        <f>'Revenue &amp; Expense Modelling'!J20</f>
        <v>350</v>
      </c>
      <c r="K14" s="251">
        <f>'Revenue &amp; Expense Modelling'!K20</f>
        <v>350</v>
      </c>
      <c r="L14" s="251">
        <f>'Revenue &amp; Expense Modelling'!L20</f>
        <v>350</v>
      </c>
      <c r="M14" s="251">
        <f>'Revenue &amp; Expense Modelling'!M20</f>
        <v>350</v>
      </c>
      <c r="N14" s="251">
        <f>'Revenue &amp; Expense Modelling'!N20</f>
        <v>350</v>
      </c>
      <c r="O14" s="251">
        <f>'Revenue &amp; Expense Modelling'!O20</f>
        <v>350</v>
      </c>
    </row>
    <row r="15" spans="2:16" ht="18" customHeight="1" x14ac:dyDescent="0.25">
      <c r="H15" s="1"/>
    </row>
    <row r="16" spans="2:16" ht="18" customHeight="1" x14ac:dyDescent="0.25">
      <c r="B16" s="258" t="s">
        <v>438</v>
      </c>
      <c r="C16" s="258"/>
      <c r="D16" s="258"/>
      <c r="E16" s="258"/>
      <c r="H16" s="1"/>
    </row>
    <row r="17" spans="2:15" ht="18" customHeight="1" x14ac:dyDescent="0.25">
      <c r="B17" s="2" t="s">
        <v>42</v>
      </c>
      <c r="C17" s="2"/>
      <c r="D17" s="253">
        <f>'Common Assumption'!D96</f>
        <v>60</v>
      </c>
      <c r="E17" s="253" t="str">
        <f>'Common Assumption'!E96</f>
        <v>Days</v>
      </c>
      <c r="H17" s="1"/>
    </row>
    <row r="18" spans="2:15" ht="18" customHeight="1" x14ac:dyDescent="0.25">
      <c r="B18" s="2" t="s">
        <v>43</v>
      </c>
      <c r="C18" s="2"/>
      <c r="D18" s="253">
        <f>'Common Assumption'!D97</f>
        <v>30</v>
      </c>
      <c r="E18" s="253" t="str">
        <f>'Common Assumption'!E97</f>
        <v>Days</v>
      </c>
      <c r="H18" s="1"/>
    </row>
    <row r="19" spans="2:15" ht="18" customHeight="1" x14ac:dyDescent="0.25">
      <c r="B19" s="2" t="s">
        <v>44</v>
      </c>
      <c r="C19" s="2"/>
      <c r="D19" s="253">
        <f>'Common Assumption'!D98</f>
        <v>15</v>
      </c>
      <c r="E19" s="253" t="str">
        <f>'Common Assumption'!E98</f>
        <v>Days</v>
      </c>
      <c r="H19" s="1"/>
    </row>
    <row r="20" spans="2:15" ht="18" customHeight="1" x14ac:dyDescent="0.25">
      <c r="B20" s="2" t="s">
        <v>443</v>
      </c>
      <c r="C20" s="2"/>
      <c r="D20" s="253">
        <f>'Common Assumption'!D99</f>
        <v>15</v>
      </c>
      <c r="E20" s="253" t="str">
        <f>'Common Assumption'!E99</f>
        <v>Days</v>
      </c>
      <c r="H20" s="1"/>
    </row>
    <row r="21" spans="2:15" ht="18" customHeight="1" x14ac:dyDescent="0.25">
      <c r="B21" s="2" t="s">
        <v>444</v>
      </c>
      <c r="C21" s="2"/>
      <c r="D21" s="253">
        <f>'Common Assumption'!D100</f>
        <v>15</v>
      </c>
      <c r="E21" s="253" t="str">
        <f>'Common Assumption'!E100</f>
        <v>Days</v>
      </c>
      <c r="H21" s="1"/>
    </row>
    <row r="22" spans="2:15" ht="18" customHeight="1" x14ac:dyDescent="0.25">
      <c r="B22" s="2" t="s">
        <v>450</v>
      </c>
      <c r="C22" s="2"/>
      <c r="D22" s="253">
        <f>'Common Assumption'!D101</f>
        <v>30</v>
      </c>
      <c r="E22" s="253" t="str">
        <f>'Common Assumption'!E101</f>
        <v>Days</v>
      </c>
      <c r="H22" s="1"/>
    </row>
    <row r="23" spans="2:15" ht="18" customHeight="1" x14ac:dyDescent="0.25">
      <c r="B23" s="2" t="s">
        <v>451</v>
      </c>
      <c r="C23" s="2"/>
      <c r="D23" s="253">
        <f>'Common Assumption'!D102</f>
        <v>25</v>
      </c>
      <c r="E23" s="253" t="str">
        <f>'Common Assumption'!E102</f>
        <v>Days</v>
      </c>
      <c r="H23" s="1"/>
    </row>
    <row r="24" spans="2:15" ht="18" customHeight="1" x14ac:dyDescent="0.25">
      <c r="B24" s="2"/>
      <c r="C24" s="2"/>
      <c r="D24" s="253"/>
      <c r="E24" s="253"/>
      <c r="H24" s="1"/>
    </row>
    <row r="25" spans="2:15" ht="18" customHeight="1" x14ac:dyDescent="0.25">
      <c r="H25" s="1"/>
    </row>
    <row r="26" spans="2:15" ht="18" customHeight="1" x14ac:dyDescent="0.25">
      <c r="B26" s="1" t="s">
        <v>439</v>
      </c>
      <c r="F26" s="248">
        <f>IS!F13</f>
        <v>13.336486799999999</v>
      </c>
      <c r="G26" s="248">
        <f>IS!G13</f>
        <v>26.929444499999999</v>
      </c>
      <c r="H26" s="248">
        <f>IS!H13</f>
        <v>28.275916725000005</v>
      </c>
      <c r="I26" s="248">
        <f>IS!I13</f>
        <v>29.726569999600006</v>
      </c>
      <c r="J26" s="248">
        <f>IS!J13</f>
        <v>29.689712561250005</v>
      </c>
      <c r="K26" s="248">
        <f>IS!K13</f>
        <v>31.174198189312506</v>
      </c>
      <c r="L26" s="248">
        <f>IS!L13</f>
        <v>32.73290809877814</v>
      </c>
      <c r="M26" s="248">
        <f>IS!M13</f>
        <v>34.369553503717043</v>
      </c>
      <c r="N26" s="248">
        <f>IS!N13</f>
        <v>36.088031178902895</v>
      </c>
      <c r="O26" s="248">
        <f>IS!O13</f>
        <v>37.89243273784804</v>
      </c>
    </row>
    <row r="27" spans="2:15" ht="18" customHeight="1" x14ac:dyDescent="0.25">
      <c r="B27" s="1" t="s">
        <v>353</v>
      </c>
      <c r="F27" s="248">
        <f>IS!F15</f>
        <v>2.7846000000000002</v>
      </c>
      <c r="G27" s="248">
        <f>IS!G15</f>
        <v>5.6227500000000008</v>
      </c>
      <c r="H27" s="248">
        <f>IS!H15</f>
        <v>5.9038875000000006</v>
      </c>
      <c r="I27" s="248">
        <f>IS!I15</f>
        <v>6.199081875000001</v>
      </c>
      <c r="J27" s="248">
        <f>IS!J15</f>
        <v>6.5090359687500019</v>
      </c>
      <c r="K27" s="248">
        <f>IS!K15</f>
        <v>6.8344877671875013</v>
      </c>
      <c r="L27" s="248">
        <f>IS!L15</f>
        <v>7.1762121555468781</v>
      </c>
      <c r="M27" s="248">
        <f>IS!M15</f>
        <v>7.5350227633242222</v>
      </c>
      <c r="N27" s="248">
        <f>IS!N15</f>
        <v>7.9117739014904336</v>
      </c>
      <c r="O27" s="248">
        <f>IS!O15</f>
        <v>8.3073625965649551</v>
      </c>
    </row>
    <row r="28" spans="2:15" ht="18" customHeight="1" x14ac:dyDescent="0.25">
      <c r="B28" s="1" t="s">
        <v>440</v>
      </c>
      <c r="F28" s="248">
        <f>IS!F16</f>
        <v>1.0920000000000001</v>
      </c>
      <c r="G28" s="248">
        <f>IS!G16</f>
        <v>2.2050000000000001</v>
      </c>
      <c r="H28" s="248">
        <f>IS!H16</f>
        <v>2.3152499999999998</v>
      </c>
      <c r="I28" s="248">
        <f>IS!I16</f>
        <v>2.4310125000000005</v>
      </c>
      <c r="J28" s="248">
        <f>IS!J16</f>
        <v>2.5525631250000003</v>
      </c>
      <c r="K28" s="248">
        <f>IS!K16</f>
        <v>2.6801912812500004</v>
      </c>
      <c r="L28" s="248">
        <f>IS!L16</f>
        <v>2.8142008453125009</v>
      </c>
      <c r="M28" s="248">
        <f>IS!M16</f>
        <v>2.954910887578126</v>
      </c>
      <c r="N28" s="248">
        <f>IS!N16</f>
        <v>3.1026564319570324</v>
      </c>
      <c r="O28" s="248">
        <f>IS!O16</f>
        <v>3.2577892535548845</v>
      </c>
    </row>
    <row r="29" spans="2:15" ht="18" customHeight="1" x14ac:dyDescent="0.25">
      <c r="B29" s="1" t="s">
        <v>441</v>
      </c>
      <c r="F29" s="248">
        <f>'Revenue &amp; Expense Modelling'!F71+'Revenue &amp; Expense Modelling'!F89+'Revenue &amp; Expense Modelling'!F94+'Revenue &amp; Expense Modelling'!F97+'Revenue &amp; Expense Modelling'!F108+'Revenue &amp; Expense Modelling'!F112+'Revenue &amp; Expense Modelling'!F116+'Revenue &amp; Expense Modelling'!F120+'Revenue &amp; Expense Modelling'!F124+'Revenue &amp; Expense Modelling'!F77+'Revenue &amp; Expense Modelling'!F83</f>
        <v>5.1503130909790471</v>
      </c>
      <c r="G29" s="248">
        <f>'Revenue &amp; Expense Modelling'!G71+'Revenue &amp; Expense Modelling'!G89+'Revenue &amp; Expense Modelling'!G94+'Revenue &amp; Expense Modelling'!G97+'Revenue &amp; Expense Modelling'!G108+'Revenue &amp; Expense Modelling'!G112+'Revenue &amp; Expense Modelling'!G116+'Revenue &amp; Expense Modelling'!G120+'Revenue &amp; Expense Modelling'!G124+'Revenue &amp; Expense Modelling'!G77+'Revenue &amp; Expense Modelling'!G83</f>
        <v>10.262224319245998</v>
      </c>
      <c r="H29" s="248">
        <f>'Revenue &amp; Expense Modelling'!H71+'Revenue &amp; Expense Modelling'!H89+'Revenue &amp; Expense Modelling'!H94+'Revenue &amp; Expense Modelling'!H97+'Revenue &amp; Expense Modelling'!H108+'Revenue &amp; Expense Modelling'!H112+'Revenue &amp; Expense Modelling'!H116+'Revenue &amp; Expense Modelling'!H120+'Revenue &amp; Expense Modelling'!H124+'Revenue &amp; Expense Modelling'!H77+'Revenue &amp; Expense Modelling'!H83</f>
        <v>10.795653660068723</v>
      </c>
      <c r="I29" s="248">
        <f>'Revenue &amp; Expense Modelling'!I71+'Revenue &amp; Expense Modelling'!I89+'Revenue &amp; Expense Modelling'!I94+'Revenue &amp; Expense Modelling'!I97+'Revenue &amp; Expense Modelling'!I108+'Revenue &amp; Expense Modelling'!I112+'Revenue &amp; Expense Modelling'!I116+'Revenue &amp; Expense Modelling'!I120+'Revenue &amp; Expense Modelling'!I124+'Revenue &amp; Expense Modelling'!I77+'Revenue &amp; Expense Modelling'!I83</f>
        <v>11.362353892428828</v>
      </c>
      <c r="J29" s="248">
        <f>'Revenue &amp; Expense Modelling'!J71+'Revenue &amp; Expense Modelling'!J89+'Revenue &amp; Expense Modelling'!J94+'Revenue &amp; Expense Modelling'!J97+'Revenue &amp; Expense Modelling'!J108+'Revenue &amp; Expense Modelling'!J112+'Revenue &amp; Expense Modelling'!J116+'Revenue &amp; Expense Modelling'!J120+'Revenue &amp; Expense Modelling'!J124+'Revenue &amp; Expense Modelling'!J77+'Revenue &amp; Expense Modelling'!J83</f>
        <v>11.844575749775945</v>
      </c>
      <c r="K29" s="248">
        <f>'Revenue &amp; Expense Modelling'!K71+'Revenue &amp; Expense Modelling'!K89+'Revenue &amp; Expense Modelling'!K94+'Revenue &amp; Expense Modelling'!K97+'Revenue &amp; Expense Modelling'!K108+'Revenue &amp; Expense Modelling'!K112+'Revenue &amp; Expense Modelling'!K116+'Revenue &amp; Expense Modelling'!K120+'Revenue &amp; Expense Modelling'!K124+'Revenue &amp; Expense Modelling'!K77+'Revenue &amp; Expense Modelling'!K83</f>
        <v>12.469752559964888</v>
      </c>
      <c r="L29" s="248">
        <f>'Revenue &amp; Expense Modelling'!L71+'Revenue &amp; Expense Modelling'!L89+'Revenue &amp; Expense Modelling'!L94+'Revenue &amp; Expense Modelling'!L97+'Revenue &amp; Expense Modelling'!L108+'Revenue &amp; Expense Modelling'!L112+'Revenue &amp; Expense Modelling'!L116+'Revenue &amp; Expense Modelling'!L120+'Revenue &amp; Expense Modelling'!L124+'Revenue &amp; Expense Modelling'!L77+'Revenue &amp; Expense Modelling'!L83</f>
        <v>13.130972901816822</v>
      </c>
      <c r="M29" s="248">
        <f>'Revenue &amp; Expense Modelling'!M71+'Revenue &amp; Expense Modelling'!M89+'Revenue &amp; Expense Modelling'!M94+'Revenue &amp; Expense Modelling'!M97+'Revenue &amp; Expense Modelling'!M108+'Revenue &amp; Expense Modelling'!M112+'Revenue &amp; Expense Modelling'!M116+'Revenue &amp; Expense Modelling'!M120+'Revenue &amp; Expense Modelling'!M124+'Revenue &amp; Expense Modelling'!M77+'Revenue &amp; Expense Modelling'!M83</f>
        <v>13.830993931120434</v>
      </c>
      <c r="N29" s="248">
        <f>'Revenue &amp; Expense Modelling'!N71+'Revenue &amp; Expense Modelling'!N89+'Revenue &amp; Expense Modelling'!N94+'Revenue &amp; Expense Modelling'!N97+'Revenue &amp; Expense Modelling'!N108+'Revenue &amp; Expense Modelling'!N112+'Revenue &amp; Expense Modelling'!N116+'Revenue &amp; Expense Modelling'!N120+'Revenue &amp; Expense Modelling'!N124+'Revenue &amp; Expense Modelling'!N77+'Revenue &amp; Expense Modelling'!N83</f>
        <v>14.572063300677579</v>
      </c>
      <c r="O29" s="248">
        <f>'Revenue &amp; Expense Modelling'!O71+'Revenue &amp; Expense Modelling'!O89+'Revenue &amp; Expense Modelling'!O94+'Revenue &amp; Expense Modelling'!O97+'Revenue &amp; Expense Modelling'!O108+'Revenue &amp; Expense Modelling'!O112+'Revenue &amp; Expense Modelling'!O116+'Revenue &amp; Expense Modelling'!O120+'Revenue &amp; Expense Modelling'!O124+'Revenue &amp; Expense Modelling'!O77+'Revenue &amp; Expense Modelling'!O83</f>
        <v>15.35602038855021</v>
      </c>
    </row>
    <row r="30" spans="2:15" ht="18" customHeight="1" x14ac:dyDescent="0.25">
      <c r="H30" s="1"/>
    </row>
    <row r="31" spans="2:15" s="265" customFormat="1" ht="18" customHeight="1" x14ac:dyDescent="0.25">
      <c r="B31" s="268" t="s">
        <v>442</v>
      </c>
      <c r="C31" s="268"/>
      <c r="D31" s="268"/>
      <c r="E31" s="268"/>
      <c r="F31" s="269"/>
      <c r="G31" s="269"/>
      <c r="H31" s="269"/>
      <c r="I31" s="269"/>
      <c r="J31" s="269"/>
      <c r="K31" s="269"/>
      <c r="L31" s="269"/>
      <c r="M31" s="269"/>
      <c r="N31" s="269"/>
      <c r="O31" s="269"/>
    </row>
    <row r="32" spans="2:15" ht="18" customHeight="1" x14ac:dyDescent="0.25">
      <c r="F32" s="248"/>
      <c r="G32" s="248"/>
      <c r="H32" s="248"/>
      <c r="I32" s="248"/>
      <c r="J32" s="248"/>
      <c r="K32" s="248"/>
      <c r="L32" s="248"/>
      <c r="M32" s="248"/>
      <c r="N32" s="248"/>
      <c r="O32" s="248"/>
    </row>
    <row r="33" spans="2:15" ht="18" customHeight="1" x14ac:dyDescent="0.25">
      <c r="B33" s="266" t="s">
        <v>353</v>
      </c>
      <c r="C33" s="25"/>
      <c r="D33" s="14"/>
      <c r="E33" s="14"/>
      <c r="F33" s="14"/>
      <c r="G33" s="25"/>
      <c r="H33" s="248"/>
      <c r="I33" s="248"/>
      <c r="J33" s="248"/>
      <c r="K33" s="248"/>
      <c r="L33" s="248"/>
      <c r="M33" s="248"/>
      <c r="N33" s="248"/>
      <c r="O33" s="248"/>
    </row>
    <row r="34" spans="2:15" ht="18" customHeight="1" x14ac:dyDescent="0.25">
      <c r="B34" s="87" t="s">
        <v>353</v>
      </c>
      <c r="C34" s="25"/>
      <c r="D34" s="14"/>
      <c r="E34" s="14"/>
      <c r="F34" s="55">
        <f>F27</f>
        <v>2.7846000000000002</v>
      </c>
      <c r="G34" s="55">
        <f t="shared" ref="G34:O34" si="4">G27</f>
        <v>5.6227500000000008</v>
      </c>
      <c r="H34" s="55">
        <f t="shared" si="4"/>
        <v>5.9038875000000006</v>
      </c>
      <c r="I34" s="55">
        <f t="shared" si="4"/>
        <v>6.199081875000001</v>
      </c>
      <c r="J34" s="55">
        <f t="shared" si="4"/>
        <v>6.5090359687500019</v>
      </c>
      <c r="K34" s="55">
        <f t="shared" si="4"/>
        <v>6.8344877671875013</v>
      </c>
      <c r="L34" s="55">
        <f t="shared" si="4"/>
        <v>7.1762121555468781</v>
      </c>
      <c r="M34" s="55">
        <f t="shared" si="4"/>
        <v>7.5350227633242222</v>
      </c>
      <c r="N34" s="55">
        <f t="shared" si="4"/>
        <v>7.9117739014904336</v>
      </c>
      <c r="O34" s="55">
        <f t="shared" si="4"/>
        <v>8.3073625965649551</v>
      </c>
    </row>
    <row r="35" spans="2:15" ht="18" customHeight="1" x14ac:dyDescent="0.25">
      <c r="B35" s="2" t="s">
        <v>327</v>
      </c>
      <c r="C35" s="25"/>
      <c r="D35" s="14"/>
      <c r="E35" s="14"/>
      <c r="F35" s="58">
        <f>D17</f>
        <v>60</v>
      </c>
      <c r="G35" s="58">
        <f>F35</f>
        <v>60</v>
      </c>
      <c r="H35" s="58">
        <f t="shared" ref="H35:O35" si="5">G35</f>
        <v>60</v>
      </c>
      <c r="I35" s="58">
        <f t="shared" si="5"/>
        <v>60</v>
      </c>
      <c r="J35" s="58">
        <f t="shared" si="5"/>
        <v>60</v>
      </c>
      <c r="K35" s="58">
        <f t="shared" si="5"/>
        <v>60</v>
      </c>
      <c r="L35" s="58">
        <f t="shared" si="5"/>
        <v>60</v>
      </c>
      <c r="M35" s="58">
        <f t="shared" si="5"/>
        <v>60</v>
      </c>
      <c r="N35" s="58">
        <f t="shared" si="5"/>
        <v>60</v>
      </c>
      <c r="O35" s="58">
        <f t="shared" si="5"/>
        <v>60</v>
      </c>
    </row>
    <row r="36" spans="2:15" ht="18" customHeight="1" x14ac:dyDescent="0.25">
      <c r="B36" s="207" t="s">
        <v>353</v>
      </c>
      <c r="C36" s="267"/>
      <c r="D36" s="267"/>
      <c r="E36" s="267"/>
      <c r="F36" s="209">
        <f>F34/F14*F35</f>
        <v>0.91800000000000004</v>
      </c>
      <c r="G36" s="209">
        <f t="shared" ref="G36:O36" si="6">G34/G14*G35</f>
        <v>0.9639000000000002</v>
      </c>
      <c r="H36" s="209">
        <f t="shared" si="6"/>
        <v>1.012095</v>
      </c>
      <c r="I36" s="209">
        <f t="shared" si="6"/>
        <v>1.0626997500000002</v>
      </c>
      <c r="J36" s="209">
        <f t="shared" si="6"/>
        <v>1.1158347375000004</v>
      </c>
      <c r="K36" s="209">
        <f t="shared" si="6"/>
        <v>1.1716264743750002</v>
      </c>
      <c r="L36" s="209">
        <f t="shared" si="6"/>
        <v>1.2302077980937505</v>
      </c>
      <c r="M36" s="209">
        <f t="shared" si="6"/>
        <v>1.2917181879984381</v>
      </c>
      <c r="N36" s="209">
        <f t="shared" si="6"/>
        <v>1.35630409739836</v>
      </c>
      <c r="O36" s="209">
        <f t="shared" si="6"/>
        <v>1.4241193022682781</v>
      </c>
    </row>
    <row r="37" spans="2:15" ht="18" customHeight="1" x14ac:dyDescent="0.25">
      <c r="F37" s="248"/>
      <c r="G37" s="248"/>
      <c r="H37" s="248"/>
      <c r="I37" s="248"/>
      <c r="J37" s="248"/>
      <c r="K37" s="248"/>
      <c r="L37" s="248"/>
      <c r="M37" s="248"/>
      <c r="N37" s="248"/>
      <c r="O37" s="248"/>
    </row>
    <row r="38" spans="2:15" ht="18" customHeight="1" x14ac:dyDescent="0.25">
      <c r="B38" s="266" t="s">
        <v>43</v>
      </c>
      <c r="C38" s="2"/>
      <c r="D38" s="2"/>
      <c r="E38" s="2"/>
      <c r="F38" s="2"/>
      <c r="G38" s="2"/>
      <c r="H38" s="2"/>
      <c r="I38" s="248"/>
      <c r="J38" s="248"/>
      <c r="K38" s="248"/>
      <c r="L38" s="248"/>
      <c r="M38" s="248"/>
      <c r="N38" s="248"/>
      <c r="O38" s="248"/>
    </row>
    <row r="39" spans="2:15" ht="18" customHeight="1" x14ac:dyDescent="0.25">
      <c r="B39" s="2" t="s">
        <v>454</v>
      </c>
      <c r="C39" s="2"/>
      <c r="D39" s="2"/>
      <c r="E39" s="2"/>
      <c r="F39" s="55">
        <f>F27</f>
        <v>2.7846000000000002</v>
      </c>
      <c r="G39" s="55">
        <f t="shared" ref="G39:O39" si="7">G27</f>
        <v>5.6227500000000008</v>
      </c>
      <c r="H39" s="55">
        <f t="shared" si="7"/>
        <v>5.9038875000000006</v>
      </c>
      <c r="I39" s="55">
        <f t="shared" si="7"/>
        <v>6.199081875000001</v>
      </c>
      <c r="J39" s="55">
        <f t="shared" si="7"/>
        <v>6.5090359687500019</v>
      </c>
      <c r="K39" s="55">
        <f t="shared" si="7"/>
        <v>6.8344877671875013</v>
      </c>
      <c r="L39" s="55">
        <f t="shared" si="7"/>
        <v>7.1762121555468781</v>
      </c>
      <c r="M39" s="55">
        <f t="shared" si="7"/>
        <v>7.5350227633242222</v>
      </c>
      <c r="N39" s="55">
        <f t="shared" si="7"/>
        <v>7.9117739014904336</v>
      </c>
      <c r="O39" s="55">
        <f t="shared" si="7"/>
        <v>8.3073625965649551</v>
      </c>
    </row>
    <row r="40" spans="2:15" ht="18" customHeight="1" x14ac:dyDescent="0.25">
      <c r="B40" s="2" t="s">
        <v>327</v>
      </c>
      <c r="C40" s="2"/>
      <c r="D40" s="2"/>
      <c r="E40" s="2"/>
      <c r="F40" s="58">
        <f>D18</f>
        <v>30</v>
      </c>
      <c r="G40" s="58">
        <f>F40</f>
        <v>30</v>
      </c>
      <c r="H40" s="58">
        <f t="shared" ref="H40:O40" si="8">G40</f>
        <v>30</v>
      </c>
      <c r="I40" s="58">
        <f t="shared" si="8"/>
        <v>30</v>
      </c>
      <c r="J40" s="58">
        <f t="shared" si="8"/>
        <v>30</v>
      </c>
      <c r="K40" s="58">
        <f t="shared" si="8"/>
        <v>30</v>
      </c>
      <c r="L40" s="58">
        <f t="shared" si="8"/>
        <v>30</v>
      </c>
      <c r="M40" s="58">
        <f t="shared" si="8"/>
        <v>30</v>
      </c>
      <c r="N40" s="58">
        <f t="shared" si="8"/>
        <v>30</v>
      </c>
      <c r="O40" s="58">
        <f t="shared" si="8"/>
        <v>30</v>
      </c>
    </row>
    <row r="41" spans="2:15" ht="18" customHeight="1" x14ac:dyDescent="0.25">
      <c r="B41" s="207" t="s">
        <v>43</v>
      </c>
      <c r="C41" s="267"/>
      <c r="D41" s="267"/>
      <c r="E41" s="267"/>
      <c r="F41" s="209">
        <f>F27/F14*F40</f>
        <v>0.45900000000000002</v>
      </c>
      <c r="G41" s="209">
        <f t="shared" ref="G41:O41" si="9">G27/G14*G40</f>
        <v>0.4819500000000001</v>
      </c>
      <c r="H41" s="209">
        <f t="shared" si="9"/>
        <v>0.50604749999999998</v>
      </c>
      <c r="I41" s="209">
        <f t="shared" si="9"/>
        <v>0.53134987500000008</v>
      </c>
      <c r="J41" s="209">
        <f t="shared" si="9"/>
        <v>0.5579173687500002</v>
      </c>
      <c r="K41" s="209">
        <f t="shared" si="9"/>
        <v>0.58581323718750011</v>
      </c>
      <c r="L41" s="209">
        <f t="shared" si="9"/>
        <v>0.61510389904687524</v>
      </c>
      <c r="M41" s="209">
        <f t="shared" si="9"/>
        <v>0.64585909399921904</v>
      </c>
      <c r="N41" s="209">
        <f t="shared" si="9"/>
        <v>0.67815204869918</v>
      </c>
      <c r="O41" s="209">
        <f t="shared" si="9"/>
        <v>0.71205965113413905</v>
      </c>
    </row>
    <row r="42" spans="2:15" ht="18" customHeight="1" x14ac:dyDescent="0.25">
      <c r="F42" s="248"/>
      <c r="G42" s="248"/>
      <c r="H42" s="248"/>
      <c r="I42" s="248"/>
      <c r="J42" s="248"/>
      <c r="K42" s="248"/>
      <c r="L42" s="248"/>
      <c r="M42" s="248"/>
      <c r="N42" s="248"/>
      <c r="O42" s="248"/>
    </row>
    <row r="43" spans="2:15" ht="18" customHeight="1" x14ac:dyDescent="0.25">
      <c r="B43" s="266" t="s">
        <v>44</v>
      </c>
      <c r="C43" s="2"/>
      <c r="D43" s="2"/>
      <c r="E43" s="2"/>
      <c r="F43" s="2"/>
      <c r="G43" s="2"/>
      <c r="H43" s="248"/>
      <c r="I43" s="248"/>
      <c r="J43" s="248"/>
      <c r="K43" s="248"/>
      <c r="L43" s="248"/>
      <c r="M43" s="248"/>
      <c r="N43" s="248"/>
      <c r="O43" s="248"/>
    </row>
    <row r="44" spans="2:15" ht="18" customHeight="1" x14ac:dyDescent="0.25">
      <c r="B44" s="2" t="s">
        <v>455</v>
      </c>
      <c r="C44" s="2"/>
      <c r="D44" s="2"/>
      <c r="E44" s="2"/>
      <c r="F44" s="55">
        <f ca="1">IS!F32</f>
        <v>7.2326556787841758</v>
      </c>
      <c r="G44" s="55">
        <f ca="1">IS!G32</f>
        <v>16.589853227514677</v>
      </c>
      <c r="H44" s="55">
        <f ca="1">IS!H32</f>
        <v>17.414898770988529</v>
      </c>
      <c r="I44" s="55">
        <f ca="1">IS!I32</f>
        <v>18.203097410769072</v>
      </c>
      <c r="J44" s="55">
        <f ca="1">IS!J32</f>
        <v>19.03151410748108</v>
      </c>
      <c r="K44" s="55">
        <f ca="1">IS!K32</f>
        <v>19.896279378270734</v>
      </c>
      <c r="L44" s="55">
        <f ca="1">IS!L32</f>
        <v>20.809138580683168</v>
      </c>
      <c r="M44" s="55">
        <f ca="1">IS!M32</f>
        <v>21.783341284765971</v>
      </c>
      <c r="N44" s="55">
        <f ca="1">IS!N32</f>
        <v>22.79395337176264</v>
      </c>
      <c r="O44" s="55">
        <f ca="1">IS!O32</f>
        <v>23.861122276391519</v>
      </c>
    </row>
    <row r="45" spans="2:15" ht="18" customHeight="1" x14ac:dyDescent="0.25">
      <c r="B45" s="2" t="s">
        <v>327</v>
      </c>
      <c r="C45" s="2"/>
      <c r="D45" s="2"/>
      <c r="E45" s="2"/>
      <c r="F45" s="55">
        <f>D19</f>
        <v>15</v>
      </c>
      <c r="G45" s="55">
        <f>F45</f>
        <v>15</v>
      </c>
      <c r="H45" s="55">
        <f t="shared" ref="H45:O45" si="10">G45</f>
        <v>15</v>
      </c>
      <c r="I45" s="55">
        <f t="shared" si="10"/>
        <v>15</v>
      </c>
      <c r="J45" s="55">
        <f t="shared" si="10"/>
        <v>15</v>
      </c>
      <c r="K45" s="55">
        <f t="shared" si="10"/>
        <v>15</v>
      </c>
      <c r="L45" s="55">
        <f t="shared" si="10"/>
        <v>15</v>
      </c>
      <c r="M45" s="55">
        <f t="shared" si="10"/>
        <v>15</v>
      </c>
      <c r="N45" s="55">
        <f t="shared" si="10"/>
        <v>15</v>
      </c>
      <c r="O45" s="55">
        <f t="shared" si="10"/>
        <v>15</v>
      </c>
    </row>
    <row r="46" spans="2:15" ht="18" customHeight="1" x14ac:dyDescent="0.25">
      <c r="B46" s="207" t="s">
        <v>456</v>
      </c>
      <c r="C46" s="267"/>
      <c r="D46" s="267"/>
      <c r="E46" s="267"/>
      <c r="F46" s="209">
        <f ca="1">F44/F14*F45</f>
        <v>0.59609799550419029</v>
      </c>
      <c r="G46" s="209">
        <f t="shared" ref="G46:O46" ca="1" si="11">G44/G14*G45</f>
        <v>0.71099370975062903</v>
      </c>
      <c r="H46" s="209">
        <f t="shared" ca="1" si="11"/>
        <v>0.74635280447093699</v>
      </c>
      <c r="I46" s="209">
        <f t="shared" ca="1" si="11"/>
        <v>0.7801327461758174</v>
      </c>
      <c r="J46" s="209">
        <f t="shared" ca="1" si="11"/>
        <v>0.81563631889204624</v>
      </c>
      <c r="K46" s="209">
        <f t="shared" ca="1" si="11"/>
        <v>0.85269768764017428</v>
      </c>
      <c r="L46" s="209">
        <f t="shared" ca="1" si="11"/>
        <v>0.89182022488642154</v>
      </c>
      <c r="M46" s="209">
        <f t="shared" ca="1" si="11"/>
        <v>0.93357176934711306</v>
      </c>
      <c r="N46" s="209">
        <f t="shared" ca="1" si="11"/>
        <v>0.97688371593268464</v>
      </c>
      <c r="O46" s="209">
        <f t="shared" ca="1" si="11"/>
        <v>1.0226195261310651</v>
      </c>
    </row>
    <row r="47" spans="2:15" ht="18" customHeight="1" x14ac:dyDescent="0.25">
      <c r="F47" s="248"/>
      <c r="G47" s="248"/>
      <c r="H47" s="248"/>
      <c r="I47" s="248"/>
      <c r="J47" s="248"/>
      <c r="K47" s="248"/>
      <c r="L47" s="248"/>
      <c r="M47" s="248"/>
      <c r="N47" s="248"/>
      <c r="O47" s="248"/>
    </row>
    <row r="48" spans="2:15" ht="18" customHeight="1" x14ac:dyDescent="0.25">
      <c r="B48" s="43" t="s">
        <v>442</v>
      </c>
      <c r="C48" s="43"/>
      <c r="D48" s="43"/>
      <c r="E48" s="43"/>
      <c r="F48" s="264">
        <f ca="1">F36+F41+F46</f>
        <v>1.9730979955041903</v>
      </c>
      <c r="G48" s="264">
        <f t="shared" ref="G48:O48" ca="1" si="12">G36+G41+G46</f>
        <v>2.1568437097506292</v>
      </c>
      <c r="H48" s="264">
        <f t="shared" ca="1" si="12"/>
        <v>2.2644953044709371</v>
      </c>
      <c r="I48" s="264">
        <f t="shared" ca="1" si="12"/>
        <v>2.3741823711758174</v>
      </c>
      <c r="J48" s="264">
        <f t="shared" ca="1" si="12"/>
        <v>2.4893884251420468</v>
      </c>
      <c r="K48" s="264">
        <f t="shared" ca="1" si="12"/>
        <v>2.6101373992026744</v>
      </c>
      <c r="L48" s="264">
        <f t="shared" ca="1" si="12"/>
        <v>2.7371319220270474</v>
      </c>
      <c r="M48" s="264">
        <f t="shared" ca="1" si="12"/>
        <v>2.8711490513447702</v>
      </c>
      <c r="N48" s="264">
        <f t="shared" ca="1" si="12"/>
        <v>3.0113398620302245</v>
      </c>
      <c r="O48" s="264">
        <f t="shared" ca="1" si="12"/>
        <v>3.1587984795334823</v>
      </c>
    </row>
    <row r="49" spans="2:15" ht="18" customHeight="1" x14ac:dyDescent="0.25">
      <c r="F49" s="248"/>
      <c r="G49" s="248"/>
      <c r="H49" s="248"/>
      <c r="I49" s="248"/>
      <c r="J49" s="248"/>
      <c r="K49" s="248"/>
      <c r="L49" s="248"/>
      <c r="M49" s="248"/>
      <c r="N49" s="248"/>
      <c r="O49" s="248"/>
    </row>
    <row r="50" spans="2:15" s="265" customFormat="1" ht="18" customHeight="1" x14ac:dyDescent="0.25">
      <c r="B50" s="268" t="s">
        <v>448</v>
      </c>
      <c r="C50" s="268"/>
      <c r="D50" s="268"/>
      <c r="E50" s="268"/>
      <c r="F50" s="269"/>
      <c r="G50" s="269"/>
      <c r="H50" s="269"/>
      <c r="I50" s="269"/>
      <c r="J50" s="269"/>
      <c r="K50" s="269"/>
      <c r="L50" s="269"/>
      <c r="M50" s="269"/>
      <c r="N50" s="269"/>
      <c r="O50" s="269"/>
    </row>
    <row r="51" spans="2:15" ht="20.25" customHeight="1" x14ac:dyDescent="0.25">
      <c r="B51" s="1" t="s">
        <v>448</v>
      </c>
      <c r="F51" s="248">
        <f t="shared" ref="F51:O51" si="13">F27/F14*F52</f>
        <v>0.45900000000000002</v>
      </c>
      <c r="G51" s="248">
        <f t="shared" si="13"/>
        <v>0.4819500000000001</v>
      </c>
      <c r="H51" s="248">
        <f t="shared" si="13"/>
        <v>0.50604749999999998</v>
      </c>
      <c r="I51" s="248">
        <f t="shared" si="13"/>
        <v>0.53134987500000008</v>
      </c>
      <c r="J51" s="248">
        <f t="shared" si="13"/>
        <v>0.5579173687500002</v>
      </c>
      <c r="K51" s="248">
        <f t="shared" si="13"/>
        <v>0.58581323718750011</v>
      </c>
      <c r="L51" s="248">
        <f t="shared" si="13"/>
        <v>0.61510389904687524</v>
      </c>
      <c r="M51" s="248">
        <f t="shared" si="13"/>
        <v>0.64585909399921904</v>
      </c>
      <c r="N51" s="248">
        <f t="shared" si="13"/>
        <v>0.67815204869918</v>
      </c>
      <c r="O51" s="248">
        <f t="shared" si="13"/>
        <v>0.71205965113413905</v>
      </c>
    </row>
    <row r="52" spans="2:15" ht="18" customHeight="1" x14ac:dyDescent="0.25">
      <c r="B52" s="1" t="s">
        <v>449</v>
      </c>
      <c r="F52" s="42">
        <f>D22</f>
        <v>30</v>
      </c>
      <c r="G52" s="42">
        <f>F52</f>
        <v>30</v>
      </c>
      <c r="H52" s="42">
        <f t="shared" ref="H52:O52" si="14">G52</f>
        <v>30</v>
      </c>
      <c r="I52" s="42">
        <f t="shared" si="14"/>
        <v>30</v>
      </c>
      <c r="J52" s="42">
        <f t="shared" si="14"/>
        <v>30</v>
      </c>
      <c r="K52" s="42">
        <f t="shared" si="14"/>
        <v>30</v>
      </c>
      <c r="L52" s="42">
        <f t="shared" si="14"/>
        <v>30</v>
      </c>
      <c r="M52" s="42">
        <f t="shared" si="14"/>
        <v>30</v>
      </c>
      <c r="N52" s="42">
        <f t="shared" si="14"/>
        <v>30</v>
      </c>
      <c r="O52" s="42">
        <f t="shared" si="14"/>
        <v>30</v>
      </c>
    </row>
    <row r="53" spans="2:15" ht="18" customHeight="1" x14ac:dyDescent="0.25">
      <c r="B53" s="1" t="s">
        <v>443</v>
      </c>
      <c r="F53" s="248">
        <f t="shared" ref="F53:O53" si="15">F28/F14*F54</f>
        <v>0.09</v>
      </c>
      <c r="G53" s="248">
        <f t="shared" si="15"/>
        <v>9.4500000000000001E-2</v>
      </c>
      <c r="H53" s="248">
        <f t="shared" si="15"/>
        <v>9.9224999999999994E-2</v>
      </c>
      <c r="I53" s="248">
        <f t="shared" si="15"/>
        <v>0.10418625000000002</v>
      </c>
      <c r="J53" s="248">
        <f t="shared" si="15"/>
        <v>0.10939556250000002</v>
      </c>
      <c r="K53" s="248">
        <f t="shared" si="15"/>
        <v>0.11486534062500002</v>
      </c>
      <c r="L53" s="248">
        <f t="shared" si="15"/>
        <v>0.12060860765625003</v>
      </c>
      <c r="M53" s="248">
        <f t="shared" si="15"/>
        <v>0.12663903803906254</v>
      </c>
      <c r="N53" s="248">
        <f t="shared" si="15"/>
        <v>0.13297098994101567</v>
      </c>
      <c r="O53" s="248">
        <f t="shared" si="15"/>
        <v>0.13961953943806646</v>
      </c>
    </row>
    <row r="54" spans="2:15" ht="18" customHeight="1" x14ac:dyDescent="0.25">
      <c r="B54" s="1" t="s">
        <v>449</v>
      </c>
      <c r="F54" s="42">
        <f>D20</f>
        <v>15</v>
      </c>
      <c r="G54" s="42">
        <f>F54</f>
        <v>15</v>
      </c>
      <c r="H54" s="42">
        <f t="shared" ref="H54:O54" si="16">G54</f>
        <v>15</v>
      </c>
      <c r="I54" s="42">
        <f t="shared" si="16"/>
        <v>15</v>
      </c>
      <c r="J54" s="42">
        <f t="shared" si="16"/>
        <v>15</v>
      </c>
      <c r="K54" s="42">
        <f t="shared" si="16"/>
        <v>15</v>
      </c>
      <c r="L54" s="42">
        <f t="shared" si="16"/>
        <v>15</v>
      </c>
      <c r="M54" s="42">
        <f t="shared" si="16"/>
        <v>15</v>
      </c>
      <c r="N54" s="42">
        <f t="shared" si="16"/>
        <v>15</v>
      </c>
      <c r="O54" s="42">
        <f t="shared" si="16"/>
        <v>15</v>
      </c>
    </row>
    <row r="55" spans="2:15" ht="18" customHeight="1" x14ac:dyDescent="0.25">
      <c r="B55" s="1" t="s">
        <v>444</v>
      </c>
      <c r="F55" s="248">
        <f t="shared" ref="F55:O55" si="17">F29/F14*F56</f>
        <v>0.42447635365211928</v>
      </c>
      <c r="G55" s="248">
        <f t="shared" si="17"/>
        <v>0.43980961368197136</v>
      </c>
      <c r="H55" s="248">
        <f t="shared" si="17"/>
        <v>0.46267087114580241</v>
      </c>
      <c r="I55" s="248">
        <f t="shared" si="17"/>
        <v>0.4869580239612355</v>
      </c>
      <c r="J55" s="248">
        <f t="shared" si="17"/>
        <v>0.50762467499039765</v>
      </c>
      <c r="K55" s="248">
        <f t="shared" si="17"/>
        <v>0.53441796685563803</v>
      </c>
      <c r="L55" s="248">
        <f t="shared" si="17"/>
        <v>0.56275598150643524</v>
      </c>
      <c r="M55" s="248">
        <f t="shared" si="17"/>
        <v>0.59275688276230432</v>
      </c>
      <c r="N55" s="248">
        <f t="shared" si="17"/>
        <v>0.62451699860046761</v>
      </c>
      <c r="O55" s="248">
        <f t="shared" si="17"/>
        <v>0.65811515950929478</v>
      </c>
    </row>
    <row r="56" spans="2:15" ht="18" customHeight="1" x14ac:dyDescent="0.25">
      <c r="B56" s="1" t="s">
        <v>449</v>
      </c>
      <c r="F56" s="42">
        <f>D21</f>
        <v>15</v>
      </c>
      <c r="G56" s="42">
        <f>F56</f>
        <v>15</v>
      </c>
      <c r="H56" s="42">
        <f t="shared" ref="H56:O56" si="18">G56</f>
        <v>15</v>
      </c>
      <c r="I56" s="42">
        <f t="shared" si="18"/>
        <v>15</v>
      </c>
      <c r="J56" s="42">
        <f t="shared" si="18"/>
        <v>15</v>
      </c>
      <c r="K56" s="42">
        <f t="shared" si="18"/>
        <v>15</v>
      </c>
      <c r="L56" s="42">
        <f t="shared" si="18"/>
        <v>15</v>
      </c>
      <c r="M56" s="42">
        <f t="shared" si="18"/>
        <v>15</v>
      </c>
      <c r="N56" s="42">
        <f t="shared" si="18"/>
        <v>15</v>
      </c>
      <c r="O56" s="42">
        <f t="shared" si="18"/>
        <v>15</v>
      </c>
    </row>
    <row r="57" spans="2:15" ht="18" customHeight="1" x14ac:dyDescent="0.25">
      <c r="B57" s="43" t="s">
        <v>452</v>
      </c>
      <c r="C57" s="43"/>
      <c r="D57" s="43"/>
      <c r="E57" s="43"/>
      <c r="F57" s="264">
        <f>F51+F53+F55</f>
        <v>0.97347635365211937</v>
      </c>
      <c r="G57" s="264">
        <f t="shared" ref="G57:O57" si="19">G51+G53+G55</f>
        <v>1.0162596136819715</v>
      </c>
      <c r="H57" s="264">
        <f t="shared" si="19"/>
        <v>1.0679433711458024</v>
      </c>
      <c r="I57" s="264">
        <f t="shared" si="19"/>
        <v>1.1224941489612357</v>
      </c>
      <c r="J57" s="264">
        <f t="shared" si="19"/>
        <v>1.1749376062403978</v>
      </c>
      <c r="K57" s="264">
        <f t="shared" si="19"/>
        <v>1.2350965446681381</v>
      </c>
      <c r="L57" s="264">
        <f t="shared" si="19"/>
        <v>1.2984684882095605</v>
      </c>
      <c r="M57" s="264">
        <f t="shared" si="19"/>
        <v>1.365255014800586</v>
      </c>
      <c r="N57" s="264">
        <f t="shared" si="19"/>
        <v>1.4356400372406632</v>
      </c>
      <c r="O57" s="264">
        <f t="shared" si="19"/>
        <v>1.5097943500815003</v>
      </c>
    </row>
    <row r="58" spans="2:15" ht="18" customHeight="1" x14ac:dyDescent="0.25">
      <c r="H58" s="1"/>
    </row>
    <row r="59" spans="2:15" s="265" customFormat="1" ht="18" customHeight="1" x14ac:dyDescent="0.25">
      <c r="B59" s="268" t="s">
        <v>453</v>
      </c>
      <c r="C59" s="268"/>
      <c r="D59" s="268"/>
      <c r="E59" s="268"/>
      <c r="F59" s="269"/>
      <c r="G59" s="269"/>
      <c r="H59" s="269"/>
      <c r="I59" s="269"/>
      <c r="J59" s="269"/>
      <c r="K59" s="269"/>
      <c r="L59" s="269"/>
      <c r="M59" s="269"/>
      <c r="N59" s="269"/>
      <c r="O59" s="269"/>
    </row>
    <row r="60" spans="2:15" ht="18" customHeight="1" x14ac:dyDescent="0.25">
      <c r="B60" s="1" t="str">
        <f>B59</f>
        <v>Trade Recievables</v>
      </c>
      <c r="F60" s="248">
        <f t="shared" ref="F60:O60" si="20">F26/F14*F61</f>
        <v>1.8319349999999999</v>
      </c>
      <c r="G60" s="248">
        <f t="shared" si="20"/>
        <v>1.9235317499999998</v>
      </c>
      <c r="H60" s="248">
        <f t="shared" si="20"/>
        <v>2.0197083375000005</v>
      </c>
      <c r="I60" s="248">
        <f t="shared" si="20"/>
        <v>2.1233264285428577</v>
      </c>
      <c r="J60" s="248">
        <f t="shared" si="20"/>
        <v>2.1206937543750004</v>
      </c>
      <c r="K60" s="248">
        <f t="shared" si="20"/>
        <v>2.2267284420937505</v>
      </c>
      <c r="L60" s="248">
        <f t="shared" si="20"/>
        <v>2.3380648641984387</v>
      </c>
      <c r="M60" s="248">
        <f t="shared" si="20"/>
        <v>2.45496810740836</v>
      </c>
      <c r="N60" s="248">
        <f t="shared" si="20"/>
        <v>2.5777165127787782</v>
      </c>
      <c r="O60" s="248">
        <f t="shared" si="20"/>
        <v>2.7066023384177171</v>
      </c>
    </row>
    <row r="61" spans="2:15" ht="18" customHeight="1" x14ac:dyDescent="0.25">
      <c r="B61" s="1" t="s">
        <v>449</v>
      </c>
      <c r="F61" s="42">
        <f>D23</f>
        <v>25</v>
      </c>
      <c r="G61" s="42">
        <f>F61</f>
        <v>25</v>
      </c>
      <c r="H61" s="42">
        <f t="shared" ref="H61:O61" si="21">G61</f>
        <v>25</v>
      </c>
      <c r="I61" s="42">
        <f t="shared" si="21"/>
        <v>25</v>
      </c>
      <c r="J61" s="42">
        <f t="shared" si="21"/>
        <v>25</v>
      </c>
      <c r="K61" s="42">
        <f t="shared" si="21"/>
        <v>25</v>
      </c>
      <c r="L61" s="42">
        <f t="shared" si="21"/>
        <v>25</v>
      </c>
      <c r="M61" s="42">
        <f t="shared" si="21"/>
        <v>25</v>
      </c>
      <c r="N61" s="42">
        <f t="shared" si="21"/>
        <v>25</v>
      </c>
      <c r="O61" s="42">
        <f t="shared" si="21"/>
        <v>25</v>
      </c>
    </row>
    <row r="62" spans="2:15" ht="18" customHeight="1" x14ac:dyDescent="0.25">
      <c r="B62" s="43" t="s">
        <v>458</v>
      </c>
      <c r="C62" s="43"/>
      <c r="D62" s="43"/>
      <c r="E62" s="43"/>
      <c r="F62" s="264">
        <f>F60</f>
        <v>1.8319349999999999</v>
      </c>
      <c r="G62" s="264">
        <f t="shared" ref="G62:O62" si="22">G60</f>
        <v>1.9235317499999998</v>
      </c>
      <c r="H62" s="264">
        <f t="shared" si="22"/>
        <v>2.0197083375000005</v>
      </c>
      <c r="I62" s="264">
        <f t="shared" si="22"/>
        <v>2.1233264285428577</v>
      </c>
      <c r="J62" s="264">
        <f t="shared" si="22"/>
        <v>2.1206937543750004</v>
      </c>
      <c r="K62" s="264">
        <f t="shared" si="22"/>
        <v>2.2267284420937505</v>
      </c>
      <c r="L62" s="264">
        <f t="shared" si="22"/>
        <v>2.3380648641984387</v>
      </c>
      <c r="M62" s="264">
        <f t="shared" si="22"/>
        <v>2.45496810740836</v>
      </c>
      <c r="N62" s="264">
        <f t="shared" si="22"/>
        <v>2.5777165127787782</v>
      </c>
      <c r="O62" s="264">
        <f t="shared" si="22"/>
        <v>2.7066023384177171</v>
      </c>
    </row>
    <row r="63" spans="2:15" ht="18" customHeight="1" x14ac:dyDescent="0.25">
      <c r="H63" s="1"/>
    </row>
    <row r="64" spans="2:15" ht="18" customHeight="1" x14ac:dyDescent="0.25">
      <c r="H64" s="1"/>
    </row>
    <row r="65" spans="2:15" s="265" customFormat="1" ht="18" customHeight="1" x14ac:dyDescent="0.25">
      <c r="B65" s="268" t="s">
        <v>241</v>
      </c>
      <c r="C65" s="268"/>
      <c r="D65" s="268"/>
      <c r="E65" s="268"/>
      <c r="F65" s="269"/>
      <c r="G65" s="269"/>
      <c r="H65" s="269"/>
      <c r="I65" s="269"/>
      <c r="J65" s="269"/>
      <c r="K65" s="269"/>
      <c r="L65" s="269"/>
      <c r="M65" s="269"/>
      <c r="N65" s="269"/>
      <c r="O65" s="269"/>
    </row>
    <row r="66" spans="2:15" ht="18" customHeight="1" x14ac:dyDescent="0.25">
      <c r="B66" s="2" t="s">
        <v>459</v>
      </c>
      <c r="C66" s="25"/>
      <c r="D66" s="25"/>
      <c r="E66" s="25"/>
      <c r="F66" s="55">
        <f ca="1">F48+F62</f>
        <v>3.8050329955041899</v>
      </c>
      <c r="G66" s="55">
        <f t="shared" ref="G66:O66" ca="1" si="23">G48+G62</f>
        <v>4.0803754597506288</v>
      </c>
      <c r="H66" s="55">
        <f t="shared" ca="1" si="23"/>
        <v>4.2842036419709375</v>
      </c>
      <c r="I66" s="55">
        <f t="shared" ca="1" si="23"/>
        <v>4.4975087997186751</v>
      </c>
      <c r="J66" s="55">
        <f t="shared" ca="1" si="23"/>
        <v>4.6100821795170468</v>
      </c>
      <c r="K66" s="55">
        <f t="shared" ca="1" si="23"/>
        <v>4.8368658412964249</v>
      </c>
      <c r="L66" s="55">
        <f t="shared" ca="1" si="23"/>
        <v>5.0751967862254865</v>
      </c>
      <c r="M66" s="55">
        <f t="shared" ca="1" si="23"/>
        <v>5.3261171587531297</v>
      </c>
      <c r="N66" s="55">
        <f t="shared" ca="1" si="23"/>
        <v>5.5890563748090027</v>
      </c>
      <c r="O66" s="55">
        <f t="shared" ca="1" si="23"/>
        <v>5.8654008179511994</v>
      </c>
    </row>
    <row r="67" spans="2:15" ht="18" customHeight="1" x14ac:dyDescent="0.25">
      <c r="B67" s="2" t="s">
        <v>460</v>
      </c>
      <c r="C67" s="25"/>
      <c r="D67" s="25"/>
      <c r="E67" s="25"/>
      <c r="F67" s="55">
        <f>F57</f>
        <v>0.97347635365211937</v>
      </c>
      <c r="G67" s="55">
        <f t="shared" ref="G67:O67" si="24">G57</f>
        <v>1.0162596136819715</v>
      </c>
      <c r="H67" s="55">
        <f t="shared" si="24"/>
        <v>1.0679433711458024</v>
      </c>
      <c r="I67" s="55">
        <f t="shared" si="24"/>
        <v>1.1224941489612357</v>
      </c>
      <c r="J67" s="55">
        <f t="shared" si="24"/>
        <v>1.1749376062403978</v>
      </c>
      <c r="K67" s="55">
        <f t="shared" si="24"/>
        <v>1.2350965446681381</v>
      </c>
      <c r="L67" s="55">
        <f t="shared" si="24"/>
        <v>1.2984684882095605</v>
      </c>
      <c r="M67" s="55">
        <f t="shared" si="24"/>
        <v>1.365255014800586</v>
      </c>
      <c r="N67" s="55">
        <f t="shared" si="24"/>
        <v>1.4356400372406632</v>
      </c>
      <c r="O67" s="55">
        <f t="shared" si="24"/>
        <v>1.5097943500815003</v>
      </c>
    </row>
    <row r="68" spans="2:15" ht="18" customHeight="1" x14ac:dyDescent="0.25">
      <c r="B68" s="207" t="s">
        <v>241</v>
      </c>
      <c r="C68" s="267"/>
      <c r="D68" s="267"/>
      <c r="E68" s="267"/>
      <c r="F68" s="209">
        <f ca="1">F66-F67</f>
        <v>2.8315566418520706</v>
      </c>
      <c r="G68" s="209">
        <f t="shared" ref="G68:O68" ca="1" si="25">G66-G67</f>
        <v>3.0641158460686571</v>
      </c>
      <c r="H68" s="209">
        <f t="shared" ca="1" si="25"/>
        <v>3.2162602708251349</v>
      </c>
      <c r="I68" s="209">
        <f t="shared" ca="1" si="25"/>
        <v>3.3750146507574392</v>
      </c>
      <c r="J68" s="209">
        <f t="shared" ca="1" si="25"/>
        <v>3.435144573276649</v>
      </c>
      <c r="K68" s="209">
        <f t="shared" ca="1" si="25"/>
        <v>3.6017692966282868</v>
      </c>
      <c r="L68" s="209">
        <f t="shared" ca="1" si="25"/>
        <v>3.776728298015926</v>
      </c>
      <c r="M68" s="209">
        <f t="shared" ca="1" si="25"/>
        <v>3.9608621439525438</v>
      </c>
      <c r="N68" s="209">
        <f t="shared" ca="1" si="25"/>
        <v>4.1534163375683395</v>
      </c>
      <c r="O68" s="209">
        <f t="shared" ca="1" si="25"/>
        <v>4.3556064678696993</v>
      </c>
    </row>
    <row r="69" spans="2:15" ht="18" customHeight="1" x14ac:dyDescent="0.25">
      <c r="H69" s="1"/>
    </row>
    <row r="70" spans="2:15" ht="18" customHeight="1" x14ac:dyDescent="0.25">
      <c r="B70" s="1" t="s">
        <v>461</v>
      </c>
      <c r="C70" s="270">
        <v>0.25</v>
      </c>
      <c r="F70" s="55">
        <f ca="1">$C$70*F68</f>
        <v>0.70788916046301764</v>
      </c>
      <c r="G70" s="55">
        <f t="shared" ref="G70:O70" ca="1" si="26">$C$70*G68</f>
        <v>0.76602896151716426</v>
      </c>
      <c r="H70" s="55">
        <f t="shared" ca="1" si="26"/>
        <v>0.80406506770628372</v>
      </c>
      <c r="I70" s="55">
        <f t="shared" ca="1" si="26"/>
        <v>0.84375366268935981</v>
      </c>
      <c r="J70" s="55">
        <f t="shared" ca="1" si="26"/>
        <v>0.85878614331916225</v>
      </c>
      <c r="K70" s="55">
        <f t="shared" ca="1" si="26"/>
        <v>0.90044232415707171</v>
      </c>
      <c r="L70" s="55">
        <f t="shared" ca="1" si="26"/>
        <v>0.94418207450398151</v>
      </c>
      <c r="M70" s="55">
        <f t="shared" ca="1" si="26"/>
        <v>0.99021553598813594</v>
      </c>
      <c r="N70" s="55">
        <f t="shared" ca="1" si="26"/>
        <v>1.0383540843920849</v>
      </c>
      <c r="O70" s="55">
        <f t="shared" ca="1" si="26"/>
        <v>1.0889016169674248</v>
      </c>
    </row>
    <row r="71" spans="2:15" ht="18" customHeight="1" x14ac:dyDescent="0.25">
      <c r="B71" s="1" t="s">
        <v>462</v>
      </c>
      <c r="F71" s="55">
        <f ca="1">F68-F70</f>
        <v>2.1236674813890528</v>
      </c>
      <c r="G71" s="55">
        <f t="shared" ref="G71:O71" ca="1" si="27">G68-G70</f>
        <v>2.298086884551493</v>
      </c>
      <c r="H71" s="55">
        <f t="shared" ca="1" si="27"/>
        <v>2.4121952031188512</v>
      </c>
      <c r="I71" s="55">
        <f t="shared" ca="1" si="27"/>
        <v>2.5312609880680794</v>
      </c>
      <c r="J71" s="55">
        <f t="shared" ca="1" si="27"/>
        <v>2.5763584299574869</v>
      </c>
      <c r="K71" s="55">
        <f t="shared" ca="1" si="27"/>
        <v>2.701326972471215</v>
      </c>
      <c r="L71" s="55">
        <f t="shared" ca="1" si="27"/>
        <v>2.8325462235119447</v>
      </c>
      <c r="M71" s="55">
        <f t="shared" ca="1" si="27"/>
        <v>2.970646607964408</v>
      </c>
      <c r="N71" s="55">
        <f t="shared" ca="1" si="27"/>
        <v>3.1150622531762546</v>
      </c>
      <c r="O71" s="55">
        <f t="shared" ca="1" si="27"/>
        <v>3.2667048509022747</v>
      </c>
    </row>
    <row r="72" spans="2:15" ht="18" customHeight="1" x14ac:dyDescent="0.25">
      <c r="B72" s="43" t="s">
        <v>472</v>
      </c>
      <c r="C72" s="43"/>
      <c r="D72" s="43"/>
      <c r="E72" s="43"/>
      <c r="F72" s="264">
        <v>1.5</v>
      </c>
      <c r="G72" s="264">
        <f>F72</f>
        <v>1.5</v>
      </c>
      <c r="H72" s="264">
        <f t="shared" ref="H72:O72" si="28">G72</f>
        <v>1.5</v>
      </c>
      <c r="I72" s="264">
        <f t="shared" si="28"/>
        <v>1.5</v>
      </c>
      <c r="J72" s="264">
        <f t="shared" si="28"/>
        <v>1.5</v>
      </c>
      <c r="K72" s="264">
        <f t="shared" si="28"/>
        <v>1.5</v>
      </c>
      <c r="L72" s="264">
        <f t="shared" si="28"/>
        <v>1.5</v>
      </c>
      <c r="M72" s="264">
        <f t="shared" si="28"/>
        <v>1.5</v>
      </c>
      <c r="N72" s="264">
        <f t="shared" si="28"/>
        <v>1.5</v>
      </c>
      <c r="O72" s="264">
        <f t="shared" si="28"/>
        <v>1.5</v>
      </c>
    </row>
    <row r="73" spans="2:15" ht="18" customHeight="1" x14ac:dyDescent="0.25">
      <c r="B73" s="1" t="s">
        <v>384</v>
      </c>
      <c r="F73" s="628">
        <f>'Common Assumption'!D105</f>
        <v>9.5000000000000001E-2</v>
      </c>
      <c r="G73" s="628">
        <f>F73</f>
        <v>9.5000000000000001E-2</v>
      </c>
      <c r="H73" s="628">
        <f t="shared" ref="H73:O73" si="29">G73</f>
        <v>9.5000000000000001E-2</v>
      </c>
      <c r="I73" s="628">
        <f t="shared" si="29"/>
        <v>9.5000000000000001E-2</v>
      </c>
      <c r="J73" s="628">
        <f t="shared" si="29"/>
        <v>9.5000000000000001E-2</v>
      </c>
      <c r="K73" s="628">
        <f t="shared" si="29"/>
        <v>9.5000000000000001E-2</v>
      </c>
      <c r="L73" s="628">
        <f t="shared" si="29"/>
        <v>9.5000000000000001E-2</v>
      </c>
      <c r="M73" s="628">
        <f t="shared" si="29"/>
        <v>9.5000000000000001E-2</v>
      </c>
      <c r="N73" s="628">
        <f t="shared" si="29"/>
        <v>9.5000000000000001E-2</v>
      </c>
      <c r="O73" s="628">
        <f t="shared" si="29"/>
        <v>9.5000000000000001E-2</v>
      </c>
    </row>
    <row r="74" spans="2:15" ht="18" customHeight="1" x14ac:dyDescent="0.25">
      <c r="B74" s="271" t="s">
        <v>463</v>
      </c>
      <c r="C74" s="271"/>
      <c r="D74" s="271"/>
      <c r="E74" s="271"/>
      <c r="F74" s="272">
        <f>F72*F73/F13*F14</f>
        <v>7.4099999999999999E-2</v>
      </c>
      <c r="G74" s="272">
        <f t="shared" ref="G74:O74" si="30">G72*G73/G13*G14</f>
        <v>0.14250000000000002</v>
      </c>
      <c r="H74" s="272">
        <f t="shared" si="30"/>
        <v>0.14250000000000002</v>
      </c>
      <c r="I74" s="272">
        <f t="shared" si="30"/>
        <v>0.14250000000000002</v>
      </c>
      <c r="J74" s="272">
        <f t="shared" si="30"/>
        <v>0.14250000000000002</v>
      </c>
      <c r="K74" s="272">
        <f t="shared" si="30"/>
        <v>0.14250000000000002</v>
      </c>
      <c r="L74" s="272">
        <f t="shared" si="30"/>
        <v>0.14250000000000002</v>
      </c>
      <c r="M74" s="272">
        <f t="shared" si="30"/>
        <v>0.14250000000000002</v>
      </c>
      <c r="N74" s="272">
        <f t="shared" si="30"/>
        <v>0.14250000000000002</v>
      </c>
      <c r="O74" s="272">
        <f t="shared" si="30"/>
        <v>0.14250000000000002</v>
      </c>
    </row>
    <row r="75" spans="2:15" ht="18" customHeight="1" x14ac:dyDescent="0.25">
      <c r="H75" s="1"/>
    </row>
    <row r="76" spans="2:15" ht="18" customHeight="1" x14ac:dyDescent="0.25">
      <c r="B76" s="1" t="s">
        <v>567</v>
      </c>
      <c r="D76" s="248">
        <f>D68-C68</f>
        <v>0</v>
      </c>
      <c r="E76" s="248">
        <f t="shared" ref="E76:O76" si="31">E68-D68</f>
        <v>0</v>
      </c>
      <c r="F76" s="248">
        <f t="shared" ca="1" si="31"/>
        <v>2.8315566418520706</v>
      </c>
      <c r="G76" s="248">
        <f t="shared" ca="1" si="31"/>
        <v>0.23255920421658649</v>
      </c>
      <c r="H76" s="248">
        <f t="shared" ca="1" si="31"/>
        <v>0.15214442475647783</v>
      </c>
      <c r="I76" s="248">
        <f t="shared" ca="1" si="31"/>
        <v>0.15875437993230435</v>
      </c>
      <c r="J76" s="248">
        <f t="shared" ca="1" si="31"/>
        <v>6.0129922519209789E-2</v>
      </c>
      <c r="K76" s="248">
        <f t="shared" ca="1" si="31"/>
        <v>0.1666247233516378</v>
      </c>
      <c r="L76" s="248">
        <f t="shared" ca="1" si="31"/>
        <v>0.1749590013876392</v>
      </c>
      <c r="M76" s="248">
        <f t="shared" ca="1" si="31"/>
        <v>0.18413384593661775</v>
      </c>
      <c r="N76" s="248">
        <f t="shared" ca="1" si="31"/>
        <v>0.19255419361579573</v>
      </c>
      <c r="O76" s="248">
        <f t="shared" ca="1" si="31"/>
        <v>0.20219013030135979</v>
      </c>
    </row>
    <row r="77" spans="2:15" ht="18" customHeight="1" x14ac:dyDescent="0.25">
      <c r="F77" s="248"/>
      <c r="H77" s="1"/>
    </row>
    <row r="78" spans="2:15" ht="18" customHeight="1" x14ac:dyDescent="0.25">
      <c r="H78" s="1"/>
    </row>
    <row r="79" spans="2:15" ht="18" customHeight="1" x14ac:dyDescent="0.25">
      <c r="H79" s="1"/>
    </row>
    <row r="80" spans="2:15" ht="18" customHeight="1" x14ac:dyDescent="0.25">
      <c r="H80" s="1"/>
    </row>
    <row r="81" spans="8:8" ht="18" customHeight="1" x14ac:dyDescent="0.25">
      <c r="H81" s="1"/>
    </row>
    <row r="82" spans="8:8" ht="18" customHeight="1" x14ac:dyDescent="0.25">
      <c r="H82" s="1"/>
    </row>
    <row r="83" spans="8:8" ht="18" customHeight="1" x14ac:dyDescent="0.25">
      <c r="H83" s="1"/>
    </row>
    <row r="84" spans="8:8" ht="18" customHeight="1" x14ac:dyDescent="0.25">
      <c r="H84" s="1"/>
    </row>
    <row r="85" spans="8:8" ht="18" customHeight="1" x14ac:dyDescent="0.25">
      <c r="H85" s="1"/>
    </row>
    <row r="86" spans="8:8" ht="18" customHeight="1" x14ac:dyDescent="0.25">
      <c r="H86" s="1"/>
    </row>
    <row r="87" spans="8:8" ht="18" customHeight="1" x14ac:dyDescent="0.25">
      <c r="H87" s="1"/>
    </row>
    <row r="88" spans="8:8" ht="18" customHeight="1" x14ac:dyDescent="0.25">
      <c r="H88" s="1"/>
    </row>
    <row r="89" spans="8:8" ht="18" customHeight="1" x14ac:dyDescent="0.25">
      <c r="H89" s="1"/>
    </row>
    <row r="90" spans="8:8" ht="18" customHeight="1" x14ac:dyDescent="0.25">
      <c r="H90" s="1"/>
    </row>
    <row r="91" spans="8:8" ht="18" customHeight="1" x14ac:dyDescent="0.25">
      <c r="H91" s="1"/>
    </row>
    <row r="92" spans="8:8" ht="18" customHeight="1" x14ac:dyDescent="0.25">
      <c r="H92" s="1"/>
    </row>
    <row r="93" spans="8:8" ht="18" customHeight="1" x14ac:dyDescent="0.25">
      <c r="H93" s="1"/>
    </row>
    <row r="94" spans="8:8" ht="18" customHeight="1" x14ac:dyDescent="0.25">
      <c r="H94" s="1"/>
    </row>
    <row r="95" spans="8:8" ht="18" customHeight="1" x14ac:dyDescent="0.25">
      <c r="H95" s="1"/>
    </row>
    <row r="96" spans="8:8" ht="18" customHeight="1" x14ac:dyDescent="0.25">
      <c r="H96" s="1"/>
    </row>
    <row r="97" spans="8:8" ht="18" customHeight="1" x14ac:dyDescent="0.25">
      <c r="H97" s="1"/>
    </row>
    <row r="98" spans="8:8" ht="18" customHeight="1" x14ac:dyDescent="0.25">
      <c r="H98" s="1"/>
    </row>
    <row r="99" spans="8:8" ht="18" customHeight="1" x14ac:dyDescent="0.25">
      <c r="H99" s="1"/>
    </row>
    <row r="100" spans="8:8" ht="18" customHeight="1" x14ac:dyDescent="0.25">
      <c r="H100" s="1"/>
    </row>
    <row r="101" spans="8:8" ht="18" customHeight="1" x14ac:dyDescent="0.25">
      <c r="H101" s="1"/>
    </row>
    <row r="102" spans="8:8" ht="18" customHeight="1" x14ac:dyDescent="0.25">
      <c r="H102" s="1"/>
    </row>
    <row r="103" spans="8:8" ht="18" customHeight="1" x14ac:dyDescent="0.25">
      <c r="H103" s="1"/>
    </row>
    <row r="104" spans="8:8" ht="18" customHeight="1" x14ac:dyDescent="0.25">
      <c r="H104" s="1"/>
    </row>
    <row r="105" spans="8:8" ht="18" customHeight="1" x14ac:dyDescent="0.25">
      <c r="H105" s="1"/>
    </row>
    <row r="106" spans="8:8" ht="18" customHeight="1" x14ac:dyDescent="0.25">
      <c r="H106" s="1"/>
    </row>
    <row r="107" spans="8:8" ht="18" customHeight="1" x14ac:dyDescent="0.25">
      <c r="H107" s="1"/>
    </row>
    <row r="108" spans="8:8" ht="18" customHeight="1" x14ac:dyDescent="0.25">
      <c r="H108" s="1"/>
    </row>
    <row r="109" spans="8:8" ht="18" customHeight="1" x14ac:dyDescent="0.25">
      <c r="H109" s="1"/>
    </row>
    <row r="110" spans="8:8" ht="18" customHeight="1" x14ac:dyDescent="0.25">
      <c r="H110" s="1"/>
    </row>
    <row r="111" spans="8:8" ht="18" customHeight="1" x14ac:dyDescent="0.25">
      <c r="H111" s="1"/>
    </row>
    <row r="112" spans="8:8" ht="18" customHeight="1" x14ac:dyDescent="0.25">
      <c r="H112" s="1"/>
    </row>
    <row r="113" spans="8:8" ht="18" customHeight="1" x14ac:dyDescent="0.25">
      <c r="H113" s="1"/>
    </row>
    <row r="114" spans="8:8" ht="18" customHeight="1" x14ac:dyDescent="0.25">
      <c r="H114" s="1"/>
    </row>
    <row r="115" spans="8:8" ht="18" customHeight="1" x14ac:dyDescent="0.25">
      <c r="H115" s="1"/>
    </row>
    <row r="116" spans="8:8" ht="18" customHeight="1" x14ac:dyDescent="0.25">
      <c r="H116" s="1"/>
    </row>
    <row r="117" spans="8:8" ht="18" customHeight="1" x14ac:dyDescent="0.25">
      <c r="H117" s="1"/>
    </row>
    <row r="118" spans="8:8" ht="18" customHeight="1" x14ac:dyDescent="0.25">
      <c r="H118" s="1"/>
    </row>
    <row r="119" spans="8:8" ht="18" customHeight="1" x14ac:dyDescent="0.25">
      <c r="H119" s="1"/>
    </row>
    <row r="120" spans="8:8" ht="18" customHeight="1" x14ac:dyDescent="0.25">
      <c r="H120" s="1"/>
    </row>
    <row r="121" spans="8:8" ht="18" customHeight="1" x14ac:dyDescent="0.25">
      <c r="H121" s="1"/>
    </row>
    <row r="122" spans="8:8" ht="18" customHeight="1" x14ac:dyDescent="0.25">
      <c r="H122" s="1"/>
    </row>
    <row r="123" spans="8:8" ht="18" customHeight="1" x14ac:dyDescent="0.25">
      <c r="H123" s="1"/>
    </row>
    <row r="124" spans="8:8" ht="18" customHeight="1" x14ac:dyDescent="0.25">
      <c r="H124" s="1"/>
    </row>
    <row r="125" spans="8:8" ht="18" customHeight="1" x14ac:dyDescent="0.25">
      <c r="H125" s="1"/>
    </row>
    <row r="126" spans="8:8" ht="18" customHeight="1" x14ac:dyDescent="0.25">
      <c r="H126" s="1"/>
    </row>
    <row r="127" spans="8:8" ht="18" customHeight="1" x14ac:dyDescent="0.25">
      <c r="H127" s="1"/>
    </row>
    <row r="128" spans="8:8" ht="18" customHeight="1" x14ac:dyDescent="0.25">
      <c r="H128" s="1"/>
    </row>
    <row r="129" spans="8:8" ht="18" customHeight="1" x14ac:dyDescent="0.25">
      <c r="H129" s="1"/>
    </row>
    <row r="130" spans="8:8" ht="18" customHeight="1" x14ac:dyDescent="0.25">
      <c r="H130" s="1"/>
    </row>
    <row r="131" spans="8:8" ht="18" customHeight="1" x14ac:dyDescent="0.25">
      <c r="H131" s="1"/>
    </row>
    <row r="132" spans="8:8" ht="18" customHeight="1" x14ac:dyDescent="0.25">
      <c r="H132" s="1"/>
    </row>
    <row r="133" spans="8:8" ht="18" customHeight="1" x14ac:dyDescent="0.25">
      <c r="H133" s="1"/>
    </row>
    <row r="134" spans="8:8" ht="18" customHeight="1" x14ac:dyDescent="0.25">
      <c r="H134" s="1"/>
    </row>
    <row r="135" spans="8:8" ht="18" customHeight="1" x14ac:dyDescent="0.25">
      <c r="H135" s="1"/>
    </row>
    <row r="136" spans="8:8" ht="18" customHeight="1" x14ac:dyDescent="0.25">
      <c r="H136" s="1"/>
    </row>
    <row r="137" spans="8:8" ht="18" customHeight="1" x14ac:dyDescent="0.25">
      <c r="H137" s="1"/>
    </row>
    <row r="138" spans="8:8" ht="18" customHeight="1" x14ac:dyDescent="0.25">
      <c r="H138" s="1"/>
    </row>
    <row r="139" spans="8:8" ht="18" customHeight="1" x14ac:dyDescent="0.25">
      <c r="H139" s="1"/>
    </row>
    <row r="140" spans="8:8" ht="18" customHeight="1" x14ac:dyDescent="0.25">
      <c r="H140" s="1"/>
    </row>
    <row r="141" spans="8:8" ht="18" customHeight="1" x14ac:dyDescent="0.25">
      <c r="H141" s="1"/>
    </row>
    <row r="142" spans="8:8" ht="18" customHeight="1" x14ac:dyDescent="0.25">
      <c r="H142" s="1"/>
    </row>
    <row r="143" spans="8:8" ht="18" customHeight="1" x14ac:dyDescent="0.25">
      <c r="H143" s="1"/>
    </row>
    <row r="144" spans="8:8" ht="18" customHeight="1" x14ac:dyDescent="0.25">
      <c r="H144" s="1"/>
    </row>
    <row r="145" spans="8:8" ht="18" customHeight="1" x14ac:dyDescent="0.25">
      <c r="H145" s="1"/>
    </row>
    <row r="146" spans="8:8" ht="18" customHeight="1" x14ac:dyDescent="0.25">
      <c r="H146" s="1"/>
    </row>
    <row r="147" spans="8:8" ht="18" customHeight="1" x14ac:dyDescent="0.25">
      <c r="H147" s="1"/>
    </row>
    <row r="148" spans="8:8" ht="18" customHeight="1" x14ac:dyDescent="0.25">
      <c r="H148" s="1"/>
    </row>
    <row r="149" spans="8:8" ht="18" customHeight="1" x14ac:dyDescent="0.25">
      <c r="H149" s="1"/>
    </row>
    <row r="150" spans="8:8" ht="18" customHeight="1" x14ac:dyDescent="0.25">
      <c r="H150" s="1"/>
    </row>
    <row r="151" spans="8:8" ht="18" customHeight="1" x14ac:dyDescent="0.25">
      <c r="H151" s="1"/>
    </row>
    <row r="152" spans="8:8" ht="18" customHeight="1" x14ac:dyDescent="0.25">
      <c r="H152" s="1"/>
    </row>
    <row r="153" spans="8:8" ht="18" customHeight="1" x14ac:dyDescent="0.25">
      <c r="H153" s="1"/>
    </row>
    <row r="154" spans="8:8" ht="18" customHeight="1" x14ac:dyDescent="0.25">
      <c r="H154" s="1"/>
    </row>
    <row r="155" spans="8:8" ht="18" customHeight="1" x14ac:dyDescent="0.25">
      <c r="H155" s="1"/>
    </row>
    <row r="156" spans="8:8" ht="18" customHeight="1" x14ac:dyDescent="0.25">
      <c r="H156" s="1"/>
    </row>
    <row r="157" spans="8:8" ht="18" customHeight="1" x14ac:dyDescent="0.25">
      <c r="H157" s="1"/>
    </row>
    <row r="158" spans="8:8" ht="18" customHeight="1" x14ac:dyDescent="0.25">
      <c r="H158" s="1"/>
    </row>
    <row r="159" spans="8:8" ht="18" customHeight="1" x14ac:dyDescent="0.25">
      <c r="H159" s="1"/>
    </row>
    <row r="160" spans="8:8" ht="18" customHeight="1" x14ac:dyDescent="0.25">
      <c r="H160" s="1"/>
    </row>
    <row r="161" spans="8:8" ht="18" customHeight="1" x14ac:dyDescent="0.25">
      <c r="H161" s="1"/>
    </row>
    <row r="162" spans="8:8" ht="18" customHeight="1" x14ac:dyDescent="0.25">
      <c r="H162" s="1"/>
    </row>
    <row r="163" spans="8:8" ht="18" customHeight="1" x14ac:dyDescent="0.25">
      <c r="H163" s="1"/>
    </row>
    <row r="164" spans="8:8" ht="18" customHeight="1" x14ac:dyDescent="0.25">
      <c r="H164" s="1"/>
    </row>
    <row r="165" spans="8:8" ht="18" customHeight="1" x14ac:dyDescent="0.25">
      <c r="H165" s="1"/>
    </row>
    <row r="166" spans="8:8" ht="18" customHeight="1" x14ac:dyDescent="0.25">
      <c r="H166" s="1"/>
    </row>
    <row r="167" spans="8:8" ht="18" customHeight="1" x14ac:dyDescent="0.25">
      <c r="H167" s="1"/>
    </row>
    <row r="168" spans="8:8" ht="18" customHeight="1" x14ac:dyDescent="0.25">
      <c r="H168" s="1"/>
    </row>
    <row r="169" spans="8:8" ht="18" customHeight="1" x14ac:dyDescent="0.25">
      <c r="H169" s="1"/>
    </row>
    <row r="170" spans="8:8" ht="18" customHeight="1" x14ac:dyDescent="0.25">
      <c r="H170" s="1"/>
    </row>
    <row r="171" spans="8:8" ht="18" customHeight="1" x14ac:dyDescent="0.25">
      <c r="H171" s="1"/>
    </row>
    <row r="172" spans="8:8" ht="18" customHeight="1" x14ac:dyDescent="0.25">
      <c r="H172" s="1"/>
    </row>
    <row r="173" spans="8:8" ht="18" customHeight="1" x14ac:dyDescent="0.25">
      <c r="H173" s="1"/>
    </row>
    <row r="174" spans="8:8" ht="18" customHeight="1" x14ac:dyDescent="0.25">
      <c r="H174" s="1"/>
    </row>
    <row r="175" spans="8:8" ht="18" customHeight="1" x14ac:dyDescent="0.25">
      <c r="H175" s="1"/>
    </row>
    <row r="176" spans="8:8" ht="18" customHeight="1" x14ac:dyDescent="0.25">
      <c r="H176" s="1"/>
    </row>
    <row r="177" spans="8:8" ht="18" customHeight="1" x14ac:dyDescent="0.25">
      <c r="H177" s="1"/>
    </row>
    <row r="178" spans="8:8" ht="18" customHeight="1" x14ac:dyDescent="0.25">
      <c r="H178" s="1"/>
    </row>
    <row r="179" spans="8:8" ht="18" customHeight="1" x14ac:dyDescent="0.25">
      <c r="H179" s="1"/>
    </row>
    <row r="180" spans="8:8" ht="18" customHeight="1" x14ac:dyDescent="0.25">
      <c r="H180" s="1"/>
    </row>
    <row r="181" spans="8:8" ht="18" customHeight="1" x14ac:dyDescent="0.25">
      <c r="H181" s="1"/>
    </row>
    <row r="182" spans="8:8" ht="18" customHeight="1" x14ac:dyDescent="0.25">
      <c r="H182" s="1"/>
    </row>
    <row r="183" spans="8:8" ht="18" customHeight="1" x14ac:dyDescent="0.25">
      <c r="H183" s="1"/>
    </row>
    <row r="184" spans="8:8" ht="18" customHeight="1" x14ac:dyDescent="0.25">
      <c r="H184" s="1"/>
    </row>
    <row r="185" spans="8:8" ht="18" customHeight="1" x14ac:dyDescent="0.25">
      <c r="H185" s="1"/>
    </row>
    <row r="186" spans="8:8" ht="18" customHeight="1" x14ac:dyDescent="0.25">
      <c r="H186" s="1"/>
    </row>
    <row r="187" spans="8:8" ht="18" customHeight="1" x14ac:dyDescent="0.25">
      <c r="H187" s="1"/>
    </row>
    <row r="188" spans="8:8" ht="18" customHeight="1" x14ac:dyDescent="0.25">
      <c r="H188" s="1"/>
    </row>
  </sheetData>
  <mergeCells count="2">
    <mergeCell ref="D8:E8"/>
    <mergeCell ref="F8:O8"/>
  </mergeCells>
  <pageMargins left="0.7" right="0.7" top="0.75" bottom="0.75" header="0.3" footer="0.3"/>
  <pageSetup orientation="portrait" r:id="rId1"/>
  <ignoredErrors>
    <ignoredError sqref="G53:O55"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workbookViewId="0">
      <selection activeCell="E88" sqref="E88"/>
    </sheetView>
  </sheetViews>
  <sheetFormatPr defaultRowHeight="15" x14ac:dyDescent="0.25"/>
  <cols>
    <col min="9" max="9" width="15.28515625" bestFit="1" customWidth="1"/>
  </cols>
  <sheetData>
    <row r="1" spans="1:11" x14ac:dyDescent="0.25">
      <c r="A1" t="s">
        <v>964</v>
      </c>
    </row>
    <row r="3" spans="1:11" x14ac:dyDescent="0.25">
      <c r="F3" s="485" t="s">
        <v>1010</v>
      </c>
    </row>
    <row r="4" spans="1:11" x14ac:dyDescent="0.25">
      <c r="F4" t="s">
        <v>1008</v>
      </c>
    </row>
    <row r="6" spans="1:11" x14ac:dyDescent="0.25">
      <c r="F6" t="s">
        <v>982</v>
      </c>
    </row>
    <row r="8" spans="1:11" ht="25.5" customHeight="1" x14ac:dyDescent="0.25">
      <c r="C8" t="s">
        <v>1011</v>
      </c>
      <c r="K8" s="311" t="s">
        <v>1009</v>
      </c>
    </row>
    <row r="9" spans="1:11" x14ac:dyDescent="0.25">
      <c r="G9" t="s">
        <v>983</v>
      </c>
    </row>
    <row r="10" spans="1:11" x14ac:dyDescent="0.25">
      <c r="C10" t="s">
        <v>1007</v>
      </c>
    </row>
    <row r="12" spans="1:11" x14ac:dyDescent="0.25">
      <c r="G12" t="s">
        <v>965</v>
      </c>
    </row>
    <row r="13" spans="1:11" x14ac:dyDescent="0.25">
      <c r="G13" t="s">
        <v>966</v>
      </c>
    </row>
    <row r="16" spans="1:11" x14ac:dyDescent="0.25">
      <c r="H16" t="s">
        <v>967</v>
      </c>
      <c r="J16" t="s">
        <v>973</v>
      </c>
    </row>
    <row r="17" spans="6:10" x14ac:dyDescent="0.25">
      <c r="H17" t="s">
        <v>968</v>
      </c>
    </row>
    <row r="18" spans="6:10" x14ac:dyDescent="0.25">
      <c r="F18" s="323" t="s">
        <v>975</v>
      </c>
      <c r="H18" t="s">
        <v>969</v>
      </c>
      <c r="J18" s="485" t="s">
        <v>974</v>
      </c>
    </row>
    <row r="19" spans="6:10" x14ac:dyDescent="0.25">
      <c r="H19" t="s">
        <v>970</v>
      </c>
    </row>
    <row r="20" spans="6:10" x14ac:dyDescent="0.25">
      <c r="H20" t="s">
        <v>971</v>
      </c>
    </row>
    <row r="21" spans="6:10" x14ac:dyDescent="0.25">
      <c r="F21" s="323" t="s">
        <v>977</v>
      </c>
      <c r="H21" t="s">
        <v>972</v>
      </c>
      <c r="J21" s="485" t="s">
        <v>976</v>
      </c>
    </row>
    <row r="22" spans="6:10" ht="180" customHeight="1" x14ac:dyDescent="0.25">
      <c r="F22" s="622" t="s">
        <v>978</v>
      </c>
    </row>
    <row r="23" spans="6:10" x14ac:dyDescent="0.25">
      <c r="F23" s="311"/>
    </row>
    <row r="24" spans="6:10" x14ac:dyDescent="0.25">
      <c r="F24" s="311"/>
    </row>
    <row r="30" spans="6:10" x14ac:dyDescent="0.25">
      <c r="F30" s="485" t="s">
        <v>979</v>
      </c>
    </row>
    <row r="36" spans="5:5" x14ac:dyDescent="0.25">
      <c r="E36" s="485" t="s">
        <v>980</v>
      </c>
    </row>
    <row r="39" spans="5:5" ht="150" x14ac:dyDescent="0.25">
      <c r="E39" s="311" t="s">
        <v>981</v>
      </c>
    </row>
    <row r="49" spans="5:12" x14ac:dyDescent="0.25">
      <c r="L49" t="s">
        <v>1006</v>
      </c>
    </row>
    <row r="50" spans="5:12" x14ac:dyDescent="0.25">
      <c r="E50" t="s">
        <v>984</v>
      </c>
    </row>
    <row r="51" spans="5:12" x14ac:dyDescent="0.25">
      <c r="E51" t="s">
        <v>985</v>
      </c>
    </row>
    <row r="52" spans="5:12" x14ac:dyDescent="0.25">
      <c r="E52" t="s">
        <v>986</v>
      </c>
    </row>
    <row r="53" spans="5:12" x14ac:dyDescent="0.25">
      <c r="E53" t="s">
        <v>987</v>
      </c>
    </row>
    <row r="54" spans="5:12" x14ac:dyDescent="0.25">
      <c r="E54" t="s">
        <v>988</v>
      </c>
    </row>
    <row r="55" spans="5:12" x14ac:dyDescent="0.25">
      <c r="E55" t="s">
        <v>989</v>
      </c>
    </row>
    <row r="56" spans="5:12" x14ac:dyDescent="0.25">
      <c r="E56" t="s">
        <v>990</v>
      </c>
    </row>
    <row r="57" spans="5:12" x14ac:dyDescent="0.25">
      <c r="E57" t="s">
        <v>991</v>
      </c>
    </row>
    <row r="58" spans="5:12" x14ac:dyDescent="0.25">
      <c r="E58" t="s">
        <v>992</v>
      </c>
    </row>
    <row r="59" spans="5:12" x14ac:dyDescent="0.25">
      <c r="E59" t="s">
        <v>993</v>
      </c>
    </row>
    <row r="60" spans="5:12" x14ac:dyDescent="0.25">
      <c r="E60" t="s">
        <v>994</v>
      </c>
    </row>
    <row r="61" spans="5:12" x14ac:dyDescent="0.25">
      <c r="E61" t="s">
        <v>995</v>
      </c>
    </row>
    <row r="62" spans="5:12" x14ac:dyDescent="0.25">
      <c r="E62" t="s">
        <v>996</v>
      </c>
    </row>
    <row r="63" spans="5:12" x14ac:dyDescent="0.25">
      <c r="E63" t="s">
        <v>997</v>
      </c>
    </row>
    <row r="64" spans="5:12" x14ac:dyDescent="0.25">
      <c r="E64" t="s">
        <v>998</v>
      </c>
    </row>
    <row r="65" spans="5:9" x14ac:dyDescent="0.25">
      <c r="E65" t="s">
        <v>999</v>
      </c>
    </row>
    <row r="66" spans="5:9" x14ac:dyDescent="0.25">
      <c r="E66" t="s">
        <v>1000</v>
      </c>
    </row>
    <row r="67" spans="5:9" x14ac:dyDescent="0.25">
      <c r="E67" t="s">
        <v>1001</v>
      </c>
    </row>
    <row r="68" spans="5:9" x14ac:dyDescent="0.25">
      <c r="E68" t="s">
        <v>1002</v>
      </c>
    </row>
    <row r="69" spans="5:9" x14ac:dyDescent="0.25">
      <c r="E69" t="s">
        <v>1003</v>
      </c>
    </row>
    <row r="70" spans="5:9" x14ac:dyDescent="0.25">
      <c r="E70" t="s">
        <v>1004</v>
      </c>
    </row>
    <row r="71" spans="5:9" x14ac:dyDescent="0.25">
      <c r="E71" t="s">
        <v>1005</v>
      </c>
    </row>
    <row r="76" spans="5:9" ht="15.75" thickBot="1" x14ac:dyDescent="0.3"/>
    <row r="77" spans="5:9" ht="15.75" thickBot="1" x14ac:dyDescent="0.3">
      <c r="G77" s="624">
        <v>70.48</v>
      </c>
      <c r="H77" s="626">
        <v>2100000</v>
      </c>
      <c r="I77" s="400">
        <f>G77*H77</f>
        <v>148008000</v>
      </c>
    </row>
    <row r="78" spans="5:9" ht="15.75" thickBot="1" x14ac:dyDescent="0.3">
      <c r="G78" s="625">
        <v>10</v>
      </c>
      <c r="H78" s="627">
        <v>7000000</v>
      </c>
      <c r="I78" s="400">
        <f t="shared" ref="I78:I79" si="0">G78*H78</f>
        <v>70000000</v>
      </c>
    </row>
    <row r="79" spans="5:9" ht="15.75" thickBot="1" x14ac:dyDescent="0.3">
      <c r="G79" s="625">
        <v>7.5</v>
      </c>
      <c r="H79" s="627">
        <v>3500000</v>
      </c>
      <c r="I79" s="400">
        <f t="shared" si="0"/>
        <v>26250000</v>
      </c>
    </row>
    <row r="80" spans="5:9" x14ac:dyDescent="0.25">
      <c r="I80" s="400">
        <f>SUM(I77:I79)</f>
        <v>244258000</v>
      </c>
    </row>
    <row r="85" spans="5:5" ht="90" x14ac:dyDescent="0.25">
      <c r="E85" s="311" t="s">
        <v>1013</v>
      </c>
    </row>
    <row r="88" spans="5:5" x14ac:dyDescent="0.25">
      <c r="E88" t="s">
        <v>1014</v>
      </c>
    </row>
  </sheetData>
  <hyperlinks>
    <hyperlink ref="F18" r:id="rId1"/>
    <hyperlink ref="F21" r:id="rId2"/>
  </hyperlinks>
  <pageMargins left="0.7" right="0.7" top="0.75" bottom="0.75" header="0.3" footer="0.3"/>
  <pageSetup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4"/>
  <sheetViews>
    <sheetView showGridLines="0" workbookViewId="0"/>
  </sheetViews>
  <sheetFormatPr defaultColWidth="13.7109375" defaultRowHeight="18" customHeight="1" x14ac:dyDescent="0.25"/>
  <cols>
    <col min="1" max="1" width="4.85546875" style="1" customWidth="1"/>
    <col min="2" max="2" width="43.42578125" style="1" customWidth="1"/>
    <col min="3" max="3" width="7.140625" style="1" customWidth="1"/>
    <col min="4" max="15" width="12.7109375" style="1" customWidth="1"/>
    <col min="16" max="16384" width="13.7109375" style="1"/>
  </cols>
  <sheetData>
    <row r="1" spans="2:16" ht="15.75" customHeight="1" x14ac:dyDescent="0.25"/>
    <row r="2" spans="2:16" s="2" customFormat="1" ht="18" customHeight="1" x14ac:dyDescent="0.25">
      <c r="B2" s="34" t="str">
        <f>"Financial Model of " &amp; B4</f>
        <v>Financial Model of Proposed 6000 KGPD CBG plant set up M/s. NRS BIO FUEL ENERGIES LLP</v>
      </c>
      <c r="C2" s="35"/>
      <c r="D2" s="35"/>
      <c r="E2" s="35"/>
      <c r="F2" s="35"/>
      <c r="G2" s="35"/>
      <c r="H2" s="35"/>
      <c r="I2" s="35"/>
      <c r="J2" s="35"/>
      <c r="K2" s="35"/>
      <c r="L2" s="35"/>
      <c r="M2" s="35"/>
      <c r="N2" s="35"/>
      <c r="O2" s="35"/>
      <c r="P2" s="25"/>
    </row>
    <row r="3" spans="2:16" s="2" customFormat="1" ht="12" customHeight="1" x14ac:dyDescent="0.25">
      <c r="C3" s="25"/>
      <c r="D3" s="25"/>
      <c r="E3" s="25"/>
      <c r="F3" s="25"/>
      <c r="G3" s="25"/>
      <c r="H3" s="25"/>
      <c r="I3" s="25"/>
      <c r="J3" s="25"/>
      <c r="K3" s="25"/>
      <c r="L3" s="25"/>
      <c r="M3" s="25"/>
      <c r="N3" s="25"/>
      <c r="O3" s="25"/>
      <c r="P3" s="25"/>
    </row>
    <row r="4" spans="2:16" s="2" customFormat="1" ht="18" customHeight="1" x14ac:dyDescent="0.25">
      <c r="B4" s="26" t="str">
        <f>'Common Assumption'!B4</f>
        <v>Proposed 6000 KGPD CBG plant set up M/s. NRS BIO FUEL ENERGIES LLP</v>
      </c>
      <c r="C4" s="26"/>
      <c r="D4" s="27"/>
      <c r="E4" s="27"/>
      <c r="F4" s="27"/>
      <c r="G4" s="27"/>
      <c r="H4" s="27"/>
      <c r="I4" s="27"/>
      <c r="J4" s="27"/>
      <c r="K4" s="27"/>
      <c r="L4" s="27"/>
      <c r="M4" s="27"/>
      <c r="N4" s="27"/>
      <c r="O4" s="27"/>
      <c r="P4" s="25"/>
    </row>
    <row r="5" spans="2:16" s="2" customFormat="1" ht="13.5" customHeight="1" x14ac:dyDescent="0.25">
      <c r="C5" s="25"/>
      <c r="D5" s="25"/>
      <c r="F5" s="28"/>
      <c r="P5" s="25"/>
    </row>
    <row r="6" spans="2:16" s="2" customFormat="1" ht="18" customHeight="1" x14ac:dyDescent="0.25">
      <c r="B6" s="26" t="s">
        <v>552</v>
      </c>
      <c r="C6" s="26"/>
      <c r="D6" s="27"/>
      <c r="E6" s="27"/>
      <c r="F6" s="27"/>
      <c r="G6" s="27"/>
      <c r="H6" s="27"/>
      <c r="I6" s="27"/>
      <c r="J6" s="27"/>
      <c r="K6" s="27"/>
      <c r="L6" s="27"/>
      <c r="M6" s="27"/>
      <c r="N6" s="27"/>
      <c r="O6" s="27"/>
      <c r="P6" s="25"/>
    </row>
    <row r="7" spans="2:16" s="2" customFormat="1" ht="12.75" customHeight="1" x14ac:dyDescent="0.25">
      <c r="C7" s="25"/>
      <c r="D7" s="25"/>
      <c r="F7" s="28"/>
      <c r="O7" s="25"/>
      <c r="P7" s="25"/>
    </row>
    <row r="8" spans="2:16" s="2" customFormat="1" ht="18" customHeight="1" x14ac:dyDescent="0.25">
      <c r="C8" s="25"/>
      <c r="D8" s="675" t="s">
        <v>8</v>
      </c>
      <c r="E8" s="675"/>
      <c r="F8" s="676" t="s">
        <v>52</v>
      </c>
      <c r="G8" s="676"/>
      <c r="H8" s="676"/>
      <c r="I8" s="676"/>
      <c r="J8" s="676"/>
      <c r="K8" s="676"/>
      <c r="L8" s="676"/>
      <c r="M8" s="676"/>
      <c r="N8" s="676"/>
      <c r="O8" s="676"/>
      <c r="P8" s="25"/>
    </row>
    <row r="9" spans="2:16" s="2" customFormat="1" ht="18" customHeight="1" x14ac:dyDescent="0.25">
      <c r="B9" s="29" t="s">
        <v>53</v>
      </c>
      <c r="C9" s="30" t="s">
        <v>54</v>
      </c>
      <c r="D9" s="31">
        <f>EOMONTH('Common Assumption'!E11,5)</f>
        <v>45747</v>
      </c>
      <c r="E9" s="31">
        <f>'Common Assumption'!E13</f>
        <v>45930</v>
      </c>
      <c r="F9" s="31">
        <f>DATE(YEAR(E9)+1,MONTH(E9)-6,DAY(E9)+1)</f>
        <v>46112</v>
      </c>
      <c r="G9" s="31">
        <f>DATE(YEAR(F9)+1,MONTH(F9),DAY(F9))</f>
        <v>46477</v>
      </c>
      <c r="H9" s="31">
        <f t="shared" ref="H9:O9" si="0">DATE(YEAR(G9)+1,MONTH(G9),DAY(G9))</f>
        <v>46843</v>
      </c>
      <c r="I9" s="31">
        <f t="shared" si="0"/>
        <v>47208</v>
      </c>
      <c r="J9" s="31">
        <f t="shared" si="0"/>
        <v>47573</v>
      </c>
      <c r="K9" s="31">
        <f t="shared" si="0"/>
        <v>47938</v>
      </c>
      <c r="L9" s="31">
        <f t="shared" si="0"/>
        <v>48304</v>
      </c>
      <c r="M9" s="31">
        <f t="shared" si="0"/>
        <v>48669</v>
      </c>
      <c r="N9" s="31">
        <f t="shared" si="0"/>
        <v>49034</v>
      </c>
      <c r="O9" s="31">
        <f t="shared" si="0"/>
        <v>49399</v>
      </c>
      <c r="P9" s="25"/>
    </row>
    <row r="10" spans="2:16" s="32" customFormat="1" ht="18" customHeight="1" x14ac:dyDescent="0.25">
      <c r="B10" s="37" t="s">
        <v>55</v>
      </c>
      <c r="C10" s="38"/>
      <c r="D10" s="36">
        <v>0</v>
      </c>
      <c r="E10" s="36">
        <v>0</v>
      </c>
      <c r="F10" s="39">
        <v>1</v>
      </c>
      <c r="G10" s="39">
        <f>F10+1</f>
        <v>2</v>
      </c>
      <c r="H10" s="39">
        <f t="shared" ref="H10:O10" si="1">G10+1</f>
        <v>3</v>
      </c>
      <c r="I10" s="39">
        <f t="shared" si="1"/>
        <v>4</v>
      </c>
      <c r="J10" s="39">
        <f t="shared" si="1"/>
        <v>5</v>
      </c>
      <c r="K10" s="39">
        <f t="shared" si="1"/>
        <v>6</v>
      </c>
      <c r="L10" s="39">
        <f t="shared" si="1"/>
        <v>7</v>
      </c>
      <c r="M10" s="39">
        <f t="shared" si="1"/>
        <v>8</v>
      </c>
      <c r="N10" s="39">
        <f t="shared" si="1"/>
        <v>9</v>
      </c>
      <c r="O10" s="39">
        <f t="shared" si="1"/>
        <v>10</v>
      </c>
      <c r="P10" s="33"/>
    </row>
    <row r="11" spans="2:16" s="32" customFormat="1" ht="18" customHeight="1" x14ac:dyDescent="0.25">
      <c r="B11" s="37" t="s">
        <v>56</v>
      </c>
      <c r="C11" s="38">
        <f>'Common Assumption'!E12</f>
        <v>11</v>
      </c>
      <c r="D11" s="36">
        <f>MONTH(D9-'Common Assumption'!E11)</f>
        <v>5</v>
      </c>
      <c r="E11" s="36">
        <f>C11-D11</f>
        <v>6</v>
      </c>
      <c r="F11" s="38">
        <f>MONTH(F9-E9)</f>
        <v>6</v>
      </c>
      <c r="G11" s="38">
        <f t="shared" ref="G11:O11" si="2">MONTH(G9-F9)</f>
        <v>12</v>
      </c>
      <c r="H11" s="38">
        <f t="shared" si="2"/>
        <v>12</v>
      </c>
      <c r="I11" s="38">
        <f t="shared" si="2"/>
        <v>12</v>
      </c>
      <c r="J11" s="38">
        <f t="shared" si="2"/>
        <v>12</v>
      </c>
      <c r="K11" s="38">
        <f t="shared" si="2"/>
        <v>12</v>
      </c>
      <c r="L11" s="38">
        <f t="shared" si="2"/>
        <v>12</v>
      </c>
      <c r="M11" s="38">
        <f t="shared" si="2"/>
        <v>12</v>
      </c>
      <c r="N11" s="38">
        <f t="shared" si="2"/>
        <v>12</v>
      </c>
      <c r="O11" s="38">
        <f t="shared" si="2"/>
        <v>12</v>
      </c>
      <c r="P11" s="33"/>
    </row>
    <row r="12" spans="2:16" ht="18" customHeight="1" thickBot="1" x14ac:dyDescent="0.3"/>
    <row r="13" spans="2:16" ht="21" customHeight="1" x14ac:dyDescent="0.25">
      <c r="B13" s="288" t="s">
        <v>539</v>
      </c>
      <c r="C13" s="289">
        <f>'Common Assumption'!D113</f>
        <v>0.16692000000000001</v>
      </c>
    </row>
    <row r="14" spans="2:16" ht="18" customHeight="1" thickBot="1" x14ac:dyDescent="0.3">
      <c r="B14" s="290" t="s">
        <v>540</v>
      </c>
      <c r="C14" s="291">
        <f>'Common Assumption'!D118</f>
        <v>0.2782</v>
      </c>
    </row>
    <row r="16" spans="2:16" ht="18" customHeight="1" x14ac:dyDescent="0.25">
      <c r="B16" s="1" t="s">
        <v>528</v>
      </c>
      <c r="F16" s="248">
        <f ca="1">IS!F41</f>
        <v>2.4356696112158245</v>
      </c>
      <c r="G16" s="248">
        <f ca="1">IS!G41</f>
        <v>3.604065152485322</v>
      </c>
      <c r="H16" s="248">
        <f ca="1">IS!H41</f>
        <v>4.2473958521364743</v>
      </c>
      <c r="I16" s="248">
        <f ca="1">IS!I41</f>
        <v>5.0200821763609351</v>
      </c>
      <c r="J16" s="248">
        <f ca="1">IS!J41</f>
        <v>4.3725513466751762</v>
      </c>
      <c r="K16" s="248">
        <f ca="1">IS!K41</f>
        <v>5.4706600074683358</v>
      </c>
      <c r="L16" s="248">
        <f ca="1">IS!L41</f>
        <v>6.2058652114678639</v>
      </c>
      <c r="M16" s="248">
        <f ca="1">IS!M41</f>
        <v>6.95914569486761</v>
      </c>
      <c r="N16" s="248">
        <f ca="1">IS!N41</f>
        <v>7.7723098263526191</v>
      </c>
      <c r="O16" s="248">
        <f ca="1">IS!O41</f>
        <v>8.6053863186295025</v>
      </c>
    </row>
    <row r="17" spans="2:15" ht="18" customHeight="1" x14ac:dyDescent="0.25">
      <c r="B17" s="1" t="s">
        <v>529</v>
      </c>
      <c r="F17" s="249">
        <v>0</v>
      </c>
      <c r="G17" s="249">
        <v>0</v>
      </c>
      <c r="H17" s="249">
        <v>0</v>
      </c>
      <c r="I17" s="249">
        <v>0</v>
      </c>
      <c r="J17" s="249">
        <v>0</v>
      </c>
      <c r="K17" s="249">
        <v>0</v>
      </c>
      <c r="L17" s="249">
        <v>0</v>
      </c>
      <c r="M17" s="249">
        <v>0</v>
      </c>
      <c r="N17" s="249">
        <v>0</v>
      </c>
      <c r="O17" s="249">
        <v>0</v>
      </c>
    </row>
    <row r="18" spans="2:15" ht="18" customHeight="1" x14ac:dyDescent="0.25">
      <c r="B18" s="1" t="s">
        <v>530</v>
      </c>
      <c r="F18" s="249">
        <v>0</v>
      </c>
      <c r="G18" s="249">
        <v>0</v>
      </c>
      <c r="H18" s="249">
        <v>0</v>
      </c>
      <c r="I18" s="249">
        <v>0</v>
      </c>
      <c r="J18" s="249">
        <v>0</v>
      </c>
      <c r="K18" s="249">
        <v>0</v>
      </c>
      <c r="L18" s="249">
        <v>0</v>
      </c>
      <c r="M18" s="249">
        <v>0</v>
      </c>
      <c r="N18" s="249">
        <v>0</v>
      </c>
      <c r="O18" s="249">
        <v>0</v>
      </c>
    </row>
    <row r="19" spans="2:15" ht="18" customHeight="1" x14ac:dyDescent="0.25">
      <c r="B19" s="1" t="s">
        <v>531</v>
      </c>
      <c r="F19" s="248">
        <f>'Depreciation Schedule'!F42</f>
        <v>1.125477093309319</v>
      </c>
      <c r="G19" s="248">
        <f>'Depreciation Schedule'!G42</f>
        <v>2.3009329600151176</v>
      </c>
      <c r="H19" s="248">
        <f>'Depreciation Schedule'!H42</f>
        <v>2.3009329600151176</v>
      </c>
      <c r="I19" s="248">
        <f>'Depreciation Schedule'!I42</f>
        <v>2.3009329600151176</v>
      </c>
      <c r="J19" s="248">
        <f>'Depreciation Schedule'!J42</f>
        <v>2.3009329600151176</v>
      </c>
      <c r="K19" s="248">
        <f>'Depreciation Schedule'!K42</f>
        <v>2.2910037681274065</v>
      </c>
      <c r="L19" s="248">
        <f>'Depreciation Schedule'!L42</f>
        <v>2.2810745762396958</v>
      </c>
      <c r="M19" s="248">
        <f>'Depreciation Schedule'!M42</f>
        <v>2.2810745762396958</v>
      </c>
      <c r="N19" s="248">
        <f>'Depreciation Schedule'!N42</f>
        <v>2.2615264797107648</v>
      </c>
      <c r="O19" s="248">
        <f>'Depreciation Schedule'!O42</f>
        <v>2.2419783831818343</v>
      </c>
    </row>
    <row r="20" spans="2:15" ht="18" customHeight="1" x14ac:dyDescent="0.25">
      <c r="B20" s="1" t="s">
        <v>532</v>
      </c>
      <c r="F20" s="248">
        <f>'Depreciation Schedule'!F69</f>
        <v>2.5299270345908327</v>
      </c>
      <c r="G20" s="248">
        <f>'Depreciation Schedule'!G69</f>
        <v>4.6981528840775999</v>
      </c>
      <c r="H20" s="248">
        <f>'Depreciation Schedule'!H69</f>
        <v>4.0321653711181407</v>
      </c>
      <c r="I20" s="248">
        <f>'Depreciation Schedule'!I69</f>
        <v>3.4701039895238117</v>
      </c>
      <c r="J20" s="248">
        <f>'Depreciation Schedule'!J69</f>
        <v>2.9928164005931528</v>
      </c>
      <c r="K20" s="248">
        <f>'Depreciation Schedule'!K69</f>
        <v>2.5856437057514161</v>
      </c>
      <c r="L20" s="248">
        <f>'Depreciation Schedule'!L69</f>
        <v>2.2370786726306853</v>
      </c>
      <c r="M20" s="248">
        <f>'Depreciation Schedule'!M69</f>
        <v>1.9378942826155474</v>
      </c>
      <c r="N20" s="248">
        <f>'Depreciation Schedule'!N69</f>
        <v>1.6805642342617426</v>
      </c>
      <c r="O20" s="248">
        <f>'Depreciation Schedule'!O69</f>
        <v>1.4588669383053614</v>
      </c>
    </row>
    <row r="21" spans="2:15" ht="18.75" customHeight="1" x14ac:dyDescent="0.25">
      <c r="B21" s="271" t="s">
        <v>533</v>
      </c>
      <c r="C21" s="271"/>
      <c r="D21" s="271"/>
      <c r="E21" s="271"/>
      <c r="F21" s="272">
        <f ca="1">F16+F17+F18+F19-F20</f>
        <v>1.0312196699343108</v>
      </c>
      <c r="G21" s="272">
        <f t="shared" ref="G21:O21" ca="1" si="3">G16+G17+G18+G19-G20</f>
        <v>1.2068452284228401</v>
      </c>
      <c r="H21" s="272">
        <f t="shared" ca="1" si="3"/>
        <v>2.5161634410334512</v>
      </c>
      <c r="I21" s="272">
        <f t="shared" ca="1" si="3"/>
        <v>3.850911146852241</v>
      </c>
      <c r="J21" s="272">
        <f t="shared" ca="1" si="3"/>
        <v>3.680667906097141</v>
      </c>
      <c r="K21" s="272">
        <f t="shared" ca="1" si="3"/>
        <v>5.1760200698443271</v>
      </c>
      <c r="L21" s="272">
        <f t="shared" ca="1" si="3"/>
        <v>6.2498611150768735</v>
      </c>
      <c r="M21" s="272">
        <f t="shared" ca="1" si="3"/>
        <v>7.3023259884917593</v>
      </c>
      <c r="N21" s="272">
        <f t="shared" ca="1" si="3"/>
        <v>8.3532720718016407</v>
      </c>
      <c r="O21" s="272">
        <f t="shared" ca="1" si="3"/>
        <v>9.3884977635059759</v>
      </c>
    </row>
    <row r="22" spans="2:15" ht="18" customHeight="1" x14ac:dyDescent="0.25">
      <c r="B22" s="1" t="s">
        <v>534</v>
      </c>
      <c r="F22" s="248">
        <f>E25</f>
        <v>0</v>
      </c>
      <c r="G22" s="248">
        <f t="shared" ref="G22:O22" ca="1" si="4">F25</f>
        <v>0</v>
      </c>
      <c r="H22" s="248">
        <f t="shared" ca="1" si="4"/>
        <v>0</v>
      </c>
      <c r="I22" s="248">
        <f t="shared" ca="1" si="4"/>
        <v>0</v>
      </c>
      <c r="J22" s="248">
        <f t="shared" ca="1" si="4"/>
        <v>0</v>
      </c>
      <c r="K22" s="248">
        <f t="shared" ca="1" si="4"/>
        <v>0</v>
      </c>
      <c r="L22" s="248">
        <f t="shared" ca="1" si="4"/>
        <v>0</v>
      </c>
      <c r="M22" s="248">
        <f t="shared" ca="1" si="4"/>
        <v>0</v>
      </c>
      <c r="N22" s="248">
        <f t="shared" ca="1" si="4"/>
        <v>0</v>
      </c>
      <c r="O22" s="248">
        <f t="shared" ca="1" si="4"/>
        <v>0</v>
      </c>
    </row>
    <row r="23" spans="2:15" ht="18" customHeight="1" x14ac:dyDescent="0.25">
      <c r="B23" s="1" t="s">
        <v>535</v>
      </c>
      <c r="F23" s="248">
        <f>E26</f>
        <v>0</v>
      </c>
      <c r="G23" s="248">
        <f t="shared" ref="G23:O23" ca="1" si="5">F26</f>
        <v>0</v>
      </c>
      <c r="H23" s="248">
        <f t="shared" ca="1" si="5"/>
        <v>0</v>
      </c>
      <c r="I23" s="248">
        <f t="shared" ca="1" si="5"/>
        <v>0</v>
      </c>
      <c r="J23" s="248">
        <f t="shared" ca="1" si="5"/>
        <v>0</v>
      </c>
      <c r="K23" s="248">
        <f t="shared" ca="1" si="5"/>
        <v>0</v>
      </c>
      <c r="L23" s="248">
        <f t="shared" ca="1" si="5"/>
        <v>0</v>
      </c>
      <c r="M23" s="248">
        <f t="shared" ca="1" si="5"/>
        <v>0</v>
      </c>
      <c r="N23" s="248">
        <f t="shared" ca="1" si="5"/>
        <v>0</v>
      </c>
      <c r="O23" s="248">
        <f t="shared" ca="1" si="5"/>
        <v>0</v>
      </c>
    </row>
    <row r="24" spans="2:15" ht="18.75" customHeight="1" x14ac:dyDescent="0.25">
      <c r="B24" s="271" t="s">
        <v>536</v>
      </c>
      <c r="C24" s="271"/>
      <c r="D24" s="271"/>
      <c r="E24" s="271"/>
      <c r="F24" s="272">
        <f ca="1">IF((F21+F22+F23)&gt;0,(F21+F22+F23),0)</f>
        <v>1.0312196699343108</v>
      </c>
      <c r="G24" s="272">
        <f ca="1">IF((G21+G22+G23)&gt;0,(G21+G22+G23),0)</f>
        <v>1.2068452284228401</v>
      </c>
      <c r="H24" s="272">
        <f t="shared" ref="H24:O24" ca="1" si="6">IF((H21+H22+H23)&gt;0,(H21+H22+H23),0)</f>
        <v>2.5161634410334512</v>
      </c>
      <c r="I24" s="272">
        <f t="shared" ca="1" si="6"/>
        <v>3.850911146852241</v>
      </c>
      <c r="J24" s="272">
        <f t="shared" ca="1" si="6"/>
        <v>3.680667906097141</v>
      </c>
      <c r="K24" s="272">
        <f t="shared" ca="1" si="6"/>
        <v>5.1760200698443271</v>
      </c>
      <c r="L24" s="272">
        <f t="shared" ca="1" si="6"/>
        <v>6.2498611150768735</v>
      </c>
      <c r="M24" s="272">
        <f t="shared" ca="1" si="6"/>
        <v>7.3023259884917593</v>
      </c>
      <c r="N24" s="272">
        <f t="shared" ca="1" si="6"/>
        <v>8.3532720718016407</v>
      </c>
      <c r="O24" s="272">
        <f t="shared" ca="1" si="6"/>
        <v>9.3884977635059759</v>
      </c>
    </row>
    <row r="25" spans="2:15" ht="18" customHeight="1" x14ac:dyDescent="0.25">
      <c r="B25" s="1" t="s">
        <v>537</v>
      </c>
      <c r="E25" s="287">
        <v>0</v>
      </c>
      <c r="F25" s="248">
        <f ca="1">IF((F21+F22)&lt;0,(F21+F22),0)</f>
        <v>0</v>
      </c>
      <c r="G25" s="248">
        <f t="shared" ref="G25:O25" ca="1" si="7">IF(G21+G22&lt;0,G21+G22,0)</f>
        <v>0</v>
      </c>
      <c r="H25" s="248">
        <f t="shared" ca="1" si="7"/>
        <v>0</v>
      </c>
      <c r="I25" s="248">
        <f t="shared" ca="1" si="7"/>
        <v>0</v>
      </c>
      <c r="J25" s="248">
        <f t="shared" ca="1" si="7"/>
        <v>0</v>
      </c>
      <c r="K25" s="248">
        <f t="shared" ca="1" si="7"/>
        <v>0</v>
      </c>
      <c r="L25" s="248">
        <f t="shared" ca="1" si="7"/>
        <v>0</v>
      </c>
      <c r="M25" s="248">
        <f t="shared" ca="1" si="7"/>
        <v>0</v>
      </c>
      <c r="N25" s="248">
        <f t="shared" ca="1" si="7"/>
        <v>0</v>
      </c>
      <c r="O25" s="248">
        <f t="shared" ca="1" si="7"/>
        <v>0</v>
      </c>
    </row>
    <row r="26" spans="2:15" ht="18" customHeight="1" x14ac:dyDescent="0.25">
      <c r="B26" s="1" t="s">
        <v>538</v>
      </c>
      <c r="E26" s="287">
        <v>0</v>
      </c>
      <c r="F26" s="248">
        <f ca="1">IF(F21+F22&gt;0,IF(F21+F22+F23&lt;0,F21+F22+F23,0),F23)</f>
        <v>0</v>
      </c>
      <c r="G26" s="248">
        <f t="shared" ref="G26:O26" ca="1" si="8">IF(G21+G22&gt;0,IF(G21+G22+G23&lt;0,G21+G22+G23,0),G23)</f>
        <v>0</v>
      </c>
      <c r="H26" s="248">
        <f t="shared" ca="1" si="8"/>
        <v>0</v>
      </c>
      <c r="I26" s="248">
        <f t="shared" ca="1" si="8"/>
        <v>0</v>
      </c>
      <c r="J26" s="248">
        <f t="shared" ca="1" si="8"/>
        <v>0</v>
      </c>
      <c r="K26" s="248">
        <f t="shared" ca="1" si="8"/>
        <v>0</v>
      </c>
      <c r="L26" s="248">
        <f t="shared" ca="1" si="8"/>
        <v>0</v>
      </c>
      <c r="M26" s="248">
        <f t="shared" ca="1" si="8"/>
        <v>0</v>
      </c>
      <c r="N26" s="248">
        <f t="shared" ca="1" si="8"/>
        <v>0</v>
      </c>
      <c r="O26" s="248">
        <f t="shared" ca="1" si="8"/>
        <v>0</v>
      </c>
    </row>
    <row r="27" spans="2:15" ht="8.25" customHeight="1" x14ac:dyDescent="0.25"/>
    <row r="28" spans="2:15" ht="18" customHeight="1" x14ac:dyDescent="0.25">
      <c r="B28" s="74" t="s">
        <v>541</v>
      </c>
      <c r="C28" s="74"/>
      <c r="D28" s="74"/>
      <c r="E28" s="74"/>
      <c r="F28" s="292">
        <f ca="1">F24*$C$14</f>
        <v>0.28688531217572527</v>
      </c>
      <c r="G28" s="292">
        <f t="shared" ref="G28:O28" ca="1" si="9">G24*$C$14</f>
        <v>0.33574434254723412</v>
      </c>
      <c r="H28" s="292">
        <f t="shared" ca="1" si="9"/>
        <v>0.69999666929550619</v>
      </c>
      <c r="I28" s="292">
        <f t="shared" ca="1" si="9"/>
        <v>1.0713234810542935</v>
      </c>
      <c r="J28" s="292">
        <f t="shared" ca="1" si="9"/>
        <v>1.0239618114762246</v>
      </c>
      <c r="K28" s="292">
        <f t="shared" ca="1" si="9"/>
        <v>1.4399687834306918</v>
      </c>
      <c r="L28" s="292">
        <f t="shared" ca="1" si="9"/>
        <v>1.7387113622143862</v>
      </c>
      <c r="M28" s="292">
        <f t="shared" ca="1" si="9"/>
        <v>2.0315070899984073</v>
      </c>
      <c r="N28" s="292">
        <f t="shared" ca="1" si="9"/>
        <v>2.3238802903752163</v>
      </c>
      <c r="O28" s="292">
        <f t="shared" ca="1" si="9"/>
        <v>2.6118800778073625</v>
      </c>
    </row>
    <row r="29" spans="2:15" ht="12.75" customHeight="1" x14ac:dyDescent="0.25"/>
    <row r="30" spans="2:15" ht="18" customHeight="1" x14ac:dyDescent="0.25">
      <c r="B30" s="74" t="s">
        <v>542</v>
      </c>
    </row>
    <row r="31" spans="2:15" ht="10.5" customHeight="1" x14ac:dyDescent="0.25"/>
    <row r="32" spans="2:15" ht="18" customHeight="1" x14ac:dyDescent="0.25">
      <c r="B32" s="1" t="s">
        <v>543</v>
      </c>
      <c r="F32" s="248">
        <f ca="1">MAX(SUM(F16:F18,MIN(F25,F26))*$C$13,0)</f>
        <v>0.40656197150414547</v>
      </c>
      <c r="G32" s="248">
        <f t="shared" ref="G32:O32" ca="1" si="10">MAX(SUM(G16:G18,MIN(G25,G26))*$C$13,0)</f>
        <v>0.60159055525284999</v>
      </c>
      <c r="H32" s="248">
        <f t="shared" ca="1" si="10"/>
        <v>0.70897531563862037</v>
      </c>
      <c r="I32" s="248">
        <f t="shared" ca="1" si="10"/>
        <v>0.8379521168781674</v>
      </c>
      <c r="J32" s="248">
        <f t="shared" ca="1" si="10"/>
        <v>0.72986627078702049</v>
      </c>
      <c r="K32" s="248">
        <f t="shared" ca="1" si="10"/>
        <v>0.9131625684466147</v>
      </c>
      <c r="L32" s="248">
        <f t="shared" ca="1" si="10"/>
        <v>1.035883021098216</v>
      </c>
      <c r="M32" s="248">
        <f t="shared" ca="1" si="10"/>
        <v>1.1616205993873017</v>
      </c>
      <c r="N32" s="248">
        <f t="shared" ca="1" si="10"/>
        <v>1.2973539562147793</v>
      </c>
      <c r="O32" s="248">
        <f t="shared" ca="1" si="10"/>
        <v>1.4364110843056366</v>
      </c>
    </row>
    <row r="33" spans="2:16" ht="18" customHeight="1" x14ac:dyDescent="0.25">
      <c r="B33" s="1" t="s">
        <v>541</v>
      </c>
      <c r="F33" s="248">
        <v>0</v>
      </c>
      <c r="G33" s="248">
        <v>0</v>
      </c>
      <c r="H33" s="248">
        <v>0</v>
      </c>
      <c r="I33" s="248">
        <v>0</v>
      </c>
      <c r="J33" s="248">
        <v>0</v>
      </c>
      <c r="K33" s="248">
        <f t="shared" ref="K33:O33" ca="1" si="11">K28</f>
        <v>1.4399687834306918</v>
      </c>
      <c r="L33" s="248">
        <f t="shared" ca="1" si="11"/>
        <v>1.7387113622143862</v>
      </c>
      <c r="M33" s="248">
        <f t="shared" ca="1" si="11"/>
        <v>2.0315070899984073</v>
      </c>
      <c r="N33" s="248">
        <f t="shared" ca="1" si="11"/>
        <v>2.3238802903752163</v>
      </c>
      <c r="O33" s="248">
        <f t="shared" ca="1" si="11"/>
        <v>2.6118800778073625</v>
      </c>
      <c r="P33" s="286"/>
    </row>
    <row r="34" spans="2:16" ht="10.5" customHeight="1" x14ac:dyDescent="0.25"/>
    <row r="35" spans="2:16" ht="18" customHeight="1" x14ac:dyDescent="0.25">
      <c r="B35" s="1" t="s">
        <v>544</v>
      </c>
      <c r="F35" s="248">
        <f ca="1">MAX(F32,F33)</f>
        <v>0.40656197150414547</v>
      </c>
      <c r="G35" s="248">
        <f t="shared" ref="G35:O35" ca="1" si="12">MAX(G32,G33)</f>
        <v>0.60159055525284999</v>
      </c>
      <c r="H35" s="248">
        <f t="shared" ca="1" si="12"/>
        <v>0.70897531563862037</v>
      </c>
      <c r="I35" s="248">
        <f t="shared" ca="1" si="12"/>
        <v>0.8379521168781674</v>
      </c>
      <c r="J35" s="248">
        <f t="shared" ca="1" si="12"/>
        <v>0.72986627078702049</v>
      </c>
      <c r="K35" s="248">
        <f t="shared" ca="1" si="12"/>
        <v>1.4399687834306918</v>
      </c>
      <c r="L35" s="248">
        <f t="shared" ca="1" si="12"/>
        <v>1.7387113622143862</v>
      </c>
      <c r="M35" s="248">
        <f t="shared" ca="1" si="12"/>
        <v>2.0315070899984073</v>
      </c>
      <c r="N35" s="248">
        <f t="shared" ca="1" si="12"/>
        <v>2.3238802903752163</v>
      </c>
      <c r="O35" s="248">
        <f t="shared" ca="1" si="12"/>
        <v>2.6118800778073625</v>
      </c>
    </row>
    <row r="36" spans="2:16" ht="18" customHeight="1" x14ac:dyDescent="0.25">
      <c r="B36" s="1" t="s">
        <v>545</v>
      </c>
      <c r="F36" s="248">
        <f ca="1">IF((F33-F32)&lt;0,0,MIN((F33-F32),E42))</f>
        <v>0</v>
      </c>
      <c r="G36" s="248">
        <f t="shared" ref="G36:O36" ca="1" si="13">IF((G33-G32)&lt;0,0,MIN((G33-G32),F42))</f>
        <v>0</v>
      </c>
      <c r="H36" s="248">
        <f t="shared" ca="1" si="13"/>
        <v>0</v>
      </c>
      <c r="I36" s="248">
        <f t="shared" ca="1" si="13"/>
        <v>0</v>
      </c>
      <c r="J36" s="248">
        <f t="shared" ca="1" si="13"/>
        <v>0</v>
      </c>
      <c r="K36" s="248">
        <f t="shared" ca="1" si="13"/>
        <v>0.52680621498407709</v>
      </c>
      <c r="L36" s="248">
        <f t="shared" ca="1" si="13"/>
        <v>0.70282834111617021</v>
      </c>
      <c r="M36" s="248">
        <f t="shared" ca="1" si="13"/>
        <v>0.86988649061110568</v>
      </c>
      <c r="N36" s="248">
        <f t="shared" ca="1" si="13"/>
        <v>1.0265263341604369</v>
      </c>
      <c r="O36" s="248">
        <f t="shared" ca="1" si="13"/>
        <v>0.15889884918901376</v>
      </c>
    </row>
    <row r="37" spans="2:16" ht="18.75" customHeight="1" x14ac:dyDescent="0.25">
      <c r="B37" s="279" t="s">
        <v>546</v>
      </c>
      <c r="C37" s="279"/>
      <c r="D37" s="279"/>
      <c r="E37" s="279"/>
      <c r="F37" s="284">
        <f ca="1">F35-F36</f>
        <v>0.40656197150414547</v>
      </c>
      <c r="G37" s="284">
        <f t="shared" ref="G37:O37" ca="1" si="14">G35-G36</f>
        <v>0.60159055525284999</v>
      </c>
      <c r="H37" s="284">
        <f t="shared" ca="1" si="14"/>
        <v>0.70897531563862037</v>
      </c>
      <c r="I37" s="284">
        <f t="shared" ca="1" si="14"/>
        <v>0.8379521168781674</v>
      </c>
      <c r="J37" s="284">
        <f t="shared" ca="1" si="14"/>
        <v>0.72986627078702049</v>
      </c>
      <c r="K37" s="284">
        <f t="shared" ca="1" si="14"/>
        <v>0.9131625684466147</v>
      </c>
      <c r="L37" s="284">
        <f t="shared" ca="1" si="14"/>
        <v>1.035883021098216</v>
      </c>
      <c r="M37" s="284">
        <f t="shared" ca="1" si="14"/>
        <v>1.1616205993873017</v>
      </c>
      <c r="N37" s="284">
        <f t="shared" ca="1" si="14"/>
        <v>1.2973539562147793</v>
      </c>
      <c r="O37" s="284">
        <f t="shared" ca="1" si="14"/>
        <v>2.4529812286183486</v>
      </c>
    </row>
    <row r="38" spans="2:16" ht="15" x14ac:dyDescent="0.25"/>
    <row r="39" spans="2:16" ht="18" customHeight="1" x14ac:dyDescent="0.25">
      <c r="B39" s="1" t="s">
        <v>547</v>
      </c>
      <c r="F39" s="248">
        <f>E42</f>
        <v>0</v>
      </c>
      <c r="G39" s="248">
        <f t="shared" ref="G39:O39" ca="1" si="15">F42</f>
        <v>0.40656197150414547</v>
      </c>
      <c r="H39" s="248">
        <f t="shared" ca="1" si="15"/>
        <v>1.0081525267569955</v>
      </c>
      <c r="I39" s="248">
        <f t="shared" ca="1" si="15"/>
        <v>1.717127842395616</v>
      </c>
      <c r="J39" s="248">
        <f t="shared" ca="1" si="15"/>
        <v>2.5550799592737832</v>
      </c>
      <c r="K39" s="248">
        <f t="shared" ca="1" si="15"/>
        <v>3.2849462300608039</v>
      </c>
      <c r="L39" s="248">
        <f t="shared" ca="1" si="15"/>
        <v>2.7581400150767266</v>
      </c>
      <c r="M39" s="248">
        <f t="shared" ca="1" si="15"/>
        <v>2.0553116739605564</v>
      </c>
      <c r="N39" s="248">
        <f t="shared" ca="1" si="15"/>
        <v>1.1854251833494507</v>
      </c>
      <c r="O39" s="248">
        <f t="shared" ca="1" si="15"/>
        <v>0.15889884918901376</v>
      </c>
    </row>
    <row r="40" spans="2:16" ht="18" customHeight="1" x14ac:dyDescent="0.25">
      <c r="B40" s="1" t="s">
        <v>548</v>
      </c>
      <c r="F40" s="248">
        <f ca="1">IF(F32&gt;F33,F32,0)</f>
        <v>0.40656197150414547</v>
      </c>
      <c r="G40" s="248">
        <f t="shared" ref="G40:O40" ca="1" si="16">IF(G32&gt;G33,G32,0)</f>
        <v>0.60159055525284999</v>
      </c>
      <c r="H40" s="248">
        <f t="shared" ca="1" si="16"/>
        <v>0.70897531563862037</v>
      </c>
      <c r="I40" s="248">
        <f t="shared" ca="1" si="16"/>
        <v>0.8379521168781674</v>
      </c>
      <c r="J40" s="248">
        <f t="shared" ca="1" si="16"/>
        <v>0.72986627078702049</v>
      </c>
      <c r="K40" s="248">
        <f t="shared" ca="1" si="16"/>
        <v>0</v>
      </c>
      <c r="L40" s="248">
        <f t="shared" ca="1" si="16"/>
        <v>0</v>
      </c>
      <c r="M40" s="248">
        <f t="shared" ca="1" si="16"/>
        <v>0</v>
      </c>
      <c r="N40" s="248">
        <f t="shared" ca="1" si="16"/>
        <v>0</v>
      </c>
      <c r="O40" s="248">
        <f t="shared" ca="1" si="16"/>
        <v>0</v>
      </c>
    </row>
    <row r="41" spans="2:16" ht="18" customHeight="1" x14ac:dyDescent="0.25">
      <c r="B41" s="1" t="s">
        <v>549</v>
      </c>
      <c r="F41" s="248">
        <f ca="1">-F36</f>
        <v>0</v>
      </c>
      <c r="G41" s="248">
        <f t="shared" ref="G41:O41" ca="1" si="17">-G36</f>
        <v>0</v>
      </c>
      <c r="H41" s="248">
        <f t="shared" ca="1" si="17"/>
        <v>0</v>
      </c>
      <c r="I41" s="248">
        <f t="shared" ca="1" si="17"/>
        <v>0</v>
      </c>
      <c r="J41" s="248">
        <f t="shared" ca="1" si="17"/>
        <v>0</v>
      </c>
      <c r="K41" s="248">
        <f t="shared" ca="1" si="17"/>
        <v>-0.52680621498407709</v>
      </c>
      <c r="L41" s="248">
        <f t="shared" ca="1" si="17"/>
        <v>-0.70282834111617021</v>
      </c>
      <c r="M41" s="248">
        <f t="shared" ca="1" si="17"/>
        <v>-0.86988649061110568</v>
      </c>
      <c r="N41" s="248">
        <f t="shared" ca="1" si="17"/>
        <v>-1.0265263341604369</v>
      </c>
      <c r="O41" s="248">
        <f t="shared" ca="1" si="17"/>
        <v>-0.15889884918901376</v>
      </c>
    </row>
    <row r="42" spans="2:16" ht="18.75" customHeight="1" x14ac:dyDescent="0.25">
      <c r="B42" s="271" t="s">
        <v>550</v>
      </c>
      <c r="C42" s="271"/>
      <c r="D42" s="271"/>
      <c r="E42" s="293">
        <v>0</v>
      </c>
      <c r="F42" s="272">
        <f ca="1">SUM(F39:F41)</f>
        <v>0.40656197150414547</v>
      </c>
      <c r="G42" s="272">
        <f t="shared" ref="G42:O42" ca="1" si="18">SUM(G39:G41)</f>
        <v>1.0081525267569955</v>
      </c>
      <c r="H42" s="272">
        <f t="shared" ca="1" si="18"/>
        <v>1.717127842395616</v>
      </c>
      <c r="I42" s="272">
        <f t="shared" ca="1" si="18"/>
        <v>2.5550799592737832</v>
      </c>
      <c r="J42" s="272">
        <f t="shared" ca="1" si="18"/>
        <v>3.2849462300608039</v>
      </c>
      <c r="K42" s="272">
        <f t="shared" ca="1" si="18"/>
        <v>2.7581400150767266</v>
      </c>
      <c r="L42" s="272">
        <f t="shared" ca="1" si="18"/>
        <v>2.0553116739605564</v>
      </c>
      <c r="M42" s="272">
        <f t="shared" ca="1" si="18"/>
        <v>1.1854251833494507</v>
      </c>
      <c r="N42" s="272">
        <f t="shared" ca="1" si="18"/>
        <v>0.15889884918901376</v>
      </c>
      <c r="O42" s="272">
        <f t="shared" ca="1" si="18"/>
        <v>0</v>
      </c>
    </row>
    <row r="43" spans="2:16" ht="18" customHeight="1" x14ac:dyDescent="0.25">
      <c r="F43" s="248"/>
      <c r="G43" s="248"/>
      <c r="H43" s="248"/>
      <c r="I43" s="248"/>
      <c r="J43" s="248"/>
      <c r="K43" s="248"/>
      <c r="L43" s="248"/>
      <c r="M43" s="248"/>
      <c r="N43" s="248"/>
      <c r="O43" s="248"/>
    </row>
    <row r="44" spans="2:16" ht="18" customHeight="1" x14ac:dyDescent="0.25">
      <c r="F44" s="248"/>
      <c r="G44" s="248"/>
      <c r="H44" s="248"/>
      <c r="I44" s="248"/>
      <c r="J44" s="248"/>
      <c r="K44" s="248"/>
      <c r="L44" s="248"/>
      <c r="M44" s="248"/>
      <c r="N44" s="248"/>
      <c r="O44" s="248"/>
    </row>
  </sheetData>
  <mergeCells count="2">
    <mergeCell ref="D8:E8"/>
    <mergeCell ref="F8:O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3"/>
  <sheetViews>
    <sheetView showGridLines="0" workbookViewId="0"/>
  </sheetViews>
  <sheetFormatPr defaultColWidth="13.7109375" defaultRowHeight="18" customHeight="1" x14ac:dyDescent="0.25"/>
  <cols>
    <col min="1" max="1" width="4.85546875" style="1" customWidth="1"/>
    <col min="2" max="2" width="43.42578125" style="1" customWidth="1"/>
    <col min="3" max="3" width="7.140625" style="1" customWidth="1"/>
    <col min="4" max="15" width="12.7109375" style="1" customWidth="1"/>
    <col min="16" max="16384" width="13.7109375" style="1"/>
  </cols>
  <sheetData>
    <row r="1" spans="2:16" ht="15.75" customHeight="1" x14ac:dyDescent="0.25"/>
    <row r="2" spans="2:16" s="2" customFormat="1" ht="18" customHeight="1" x14ac:dyDescent="0.25">
      <c r="B2" s="34" t="str">
        <f>"Financial Model of " &amp; B4</f>
        <v>Financial Model of Proposed 6000 KGPD CBG plant set up M/s. NRS BIO FUEL ENERGIES LLP</v>
      </c>
      <c r="C2" s="35"/>
      <c r="D2" s="35"/>
      <c r="E2" s="35"/>
      <c r="F2" s="35"/>
      <c r="G2" s="35"/>
      <c r="H2" s="35"/>
      <c r="I2" s="35"/>
      <c r="J2" s="35"/>
      <c r="K2" s="35"/>
      <c r="L2" s="35"/>
      <c r="M2" s="35"/>
      <c r="N2" s="35"/>
      <c r="O2" s="35"/>
      <c r="P2" s="25"/>
    </row>
    <row r="3" spans="2:16" s="2" customFormat="1" ht="12" customHeight="1" x14ac:dyDescent="0.25">
      <c r="C3" s="25"/>
      <c r="D3" s="25"/>
      <c r="E3" s="25"/>
      <c r="F3" s="25"/>
      <c r="G3" s="25"/>
      <c r="H3" s="25"/>
      <c r="I3" s="25"/>
      <c r="J3" s="25"/>
      <c r="K3" s="25"/>
      <c r="L3" s="25"/>
      <c r="M3" s="25"/>
      <c r="N3" s="25"/>
      <c r="O3" s="25"/>
      <c r="P3" s="25"/>
    </row>
    <row r="4" spans="2:16" s="2" customFormat="1" ht="18" customHeight="1" x14ac:dyDescent="0.25">
      <c r="B4" s="26" t="str">
        <f>'Common Assumption'!B4</f>
        <v>Proposed 6000 KGPD CBG plant set up M/s. NRS BIO FUEL ENERGIES LLP</v>
      </c>
      <c r="C4" s="26"/>
      <c r="D4" s="27"/>
      <c r="E4" s="27"/>
      <c r="F4" s="27"/>
      <c r="G4" s="27"/>
      <c r="H4" s="27"/>
      <c r="I4" s="27"/>
      <c r="J4" s="27"/>
      <c r="K4" s="27"/>
      <c r="L4" s="27"/>
      <c r="M4" s="27"/>
      <c r="N4" s="27"/>
      <c r="O4" s="27"/>
      <c r="P4" s="25"/>
    </row>
    <row r="5" spans="2:16" s="2" customFormat="1" ht="13.5" customHeight="1" x14ac:dyDescent="0.25">
      <c r="C5" s="25"/>
      <c r="D5" s="25"/>
      <c r="F5" s="28"/>
      <c r="P5" s="25"/>
    </row>
    <row r="6" spans="2:16" s="2" customFormat="1" ht="18" customHeight="1" x14ac:dyDescent="0.25">
      <c r="B6" s="26" t="s">
        <v>553</v>
      </c>
      <c r="C6" s="26"/>
      <c r="D6" s="27"/>
      <c r="E6" s="27"/>
      <c r="F6" s="27"/>
      <c r="G6" s="27"/>
      <c r="H6" s="27"/>
      <c r="I6" s="27"/>
      <c r="J6" s="27"/>
      <c r="K6" s="27"/>
      <c r="L6" s="27"/>
      <c r="M6" s="27"/>
      <c r="N6" s="27"/>
      <c r="O6" s="27"/>
      <c r="P6" s="25"/>
    </row>
    <row r="7" spans="2:16" s="2" customFormat="1" ht="12.75" customHeight="1" x14ac:dyDescent="0.25">
      <c r="C7" s="25"/>
      <c r="D7" s="25"/>
      <c r="F7" s="28"/>
      <c r="O7" s="25"/>
      <c r="P7" s="25"/>
    </row>
    <row r="8" spans="2:16" s="2" customFormat="1" ht="18" customHeight="1" x14ac:dyDescent="0.25">
      <c r="C8" s="25"/>
      <c r="D8" s="675" t="s">
        <v>8</v>
      </c>
      <c r="E8" s="675"/>
      <c r="F8" s="676" t="s">
        <v>52</v>
      </c>
      <c r="G8" s="676"/>
      <c r="H8" s="676"/>
      <c r="I8" s="676"/>
      <c r="J8" s="676"/>
      <c r="K8" s="676"/>
      <c r="L8" s="676"/>
      <c r="M8" s="676"/>
      <c r="N8" s="676"/>
      <c r="O8" s="676"/>
      <c r="P8" s="25"/>
    </row>
    <row r="9" spans="2:16" s="2" customFormat="1" ht="18" customHeight="1" x14ac:dyDescent="0.25">
      <c r="B9" s="29" t="s">
        <v>53</v>
      </c>
      <c r="C9" s="30" t="s">
        <v>54</v>
      </c>
      <c r="D9" s="31">
        <f>EOMONTH('Common Assumption'!E11,5)</f>
        <v>45747</v>
      </c>
      <c r="E9" s="31">
        <f>'Common Assumption'!E13</f>
        <v>45930</v>
      </c>
      <c r="F9" s="31">
        <f>DATE(YEAR(E9)+1,MONTH(E9)-6,DAY(E9)+1)</f>
        <v>46112</v>
      </c>
      <c r="G9" s="31">
        <f>DATE(YEAR(F9)+1,MONTH(F9),DAY(F9))</f>
        <v>46477</v>
      </c>
      <c r="H9" s="31">
        <f t="shared" ref="H9:O9" si="0">DATE(YEAR(G9)+1,MONTH(G9),DAY(G9))</f>
        <v>46843</v>
      </c>
      <c r="I9" s="31">
        <f t="shared" si="0"/>
        <v>47208</v>
      </c>
      <c r="J9" s="31">
        <f t="shared" si="0"/>
        <v>47573</v>
      </c>
      <c r="K9" s="31">
        <f t="shared" si="0"/>
        <v>47938</v>
      </c>
      <c r="L9" s="31">
        <f t="shared" si="0"/>
        <v>48304</v>
      </c>
      <c r="M9" s="31">
        <f t="shared" si="0"/>
        <v>48669</v>
      </c>
      <c r="N9" s="31">
        <f t="shared" si="0"/>
        <v>49034</v>
      </c>
      <c r="O9" s="31">
        <f t="shared" si="0"/>
        <v>49399</v>
      </c>
      <c r="P9" s="25"/>
    </row>
    <row r="10" spans="2:16" s="32" customFormat="1" ht="18" customHeight="1" x14ac:dyDescent="0.25">
      <c r="B10" s="37" t="s">
        <v>55</v>
      </c>
      <c r="C10" s="38"/>
      <c r="D10" s="36">
        <v>0</v>
      </c>
      <c r="E10" s="36">
        <v>0</v>
      </c>
      <c r="F10" s="39">
        <v>1</v>
      </c>
      <c r="G10" s="39">
        <f>F10+1</f>
        <v>2</v>
      </c>
      <c r="H10" s="39">
        <f t="shared" ref="H10:O10" si="1">G10+1</f>
        <v>3</v>
      </c>
      <c r="I10" s="39">
        <f t="shared" si="1"/>
        <v>4</v>
      </c>
      <c r="J10" s="39">
        <f t="shared" si="1"/>
        <v>5</v>
      </c>
      <c r="K10" s="39">
        <f t="shared" si="1"/>
        <v>6</v>
      </c>
      <c r="L10" s="39">
        <f t="shared" si="1"/>
        <v>7</v>
      </c>
      <c r="M10" s="39">
        <f t="shared" si="1"/>
        <v>8</v>
      </c>
      <c r="N10" s="39">
        <f t="shared" si="1"/>
        <v>9</v>
      </c>
      <c r="O10" s="39">
        <f t="shared" si="1"/>
        <v>10</v>
      </c>
      <c r="P10" s="33"/>
    </row>
    <row r="11" spans="2:16" s="32" customFormat="1" ht="18" customHeight="1" x14ac:dyDescent="0.25">
      <c r="B11" s="37" t="s">
        <v>56</v>
      </c>
      <c r="C11" s="38">
        <f>'Common Assumption'!E12</f>
        <v>11</v>
      </c>
      <c r="D11" s="36">
        <f>MONTH(D9-'Common Assumption'!E11)</f>
        <v>5</v>
      </c>
      <c r="E11" s="36">
        <f>C11-D11</f>
        <v>6</v>
      </c>
      <c r="F11" s="38">
        <f>MONTH(F9-E9)</f>
        <v>6</v>
      </c>
      <c r="G11" s="38">
        <f t="shared" ref="G11:O11" si="2">MONTH(G9-F9)</f>
        <v>12</v>
      </c>
      <c r="H11" s="38">
        <f t="shared" si="2"/>
        <v>12</v>
      </c>
      <c r="I11" s="38">
        <f t="shared" si="2"/>
        <v>12</v>
      </c>
      <c r="J11" s="38">
        <f t="shared" si="2"/>
        <v>12</v>
      </c>
      <c r="K11" s="38">
        <f t="shared" si="2"/>
        <v>12</v>
      </c>
      <c r="L11" s="38">
        <f t="shared" si="2"/>
        <v>12</v>
      </c>
      <c r="M11" s="38">
        <f t="shared" si="2"/>
        <v>12</v>
      </c>
      <c r="N11" s="38">
        <f t="shared" si="2"/>
        <v>12</v>
      </c>
      <c r="O11" s="38">
        <f t="shared" si="2"/>
        <v>12</v>
      </c>
      <c r="P11" s="33"/>
    </row>
    <row r="12" spans="2:16" ht="7.5" customHeight="1" x14ac:dyDescent="0.25"/>
    <row r="13" spans="2:16" ht="18" customHeight="1" x14ac:dyDescent="0.25">
      <c r="B13" s="2" t="s">
        <v>554</v>
      </c>
      <c r="C13" s="2"/>
      <c r="D13" s="2"/>
      <c r="E13" s="2"/>
      <c r="F13" s="55">
        <f ca="1">IS!F50</f>
        <v>3.533584733020998</v>
      </c>
      <c r="G13" s="55">
        <f ca="1">IS!G50</f>
        <v>5.6824075572475898</v>
      </c>
      <c r="H13" s="55">
        <f ca="1">IS!H50</f>
        <v>6.2183534965129716</v>
      </c>
      <c r="I13" s="55">
        <f ca="1">IS!I50</f>
        <v>6.8620630194978851</v>
      </c>
      <c r="J13" s="55">
        <f ca="1">IS!J50</f>
        <v>6.3226180359032735</v>
      </c>
      <c r="K13" s="55">
        <f ca="1">IS!K50</f>
        <v>6.8485012071491269</v>
      </c>
      <c r="L13" s="55">
        <f ca="1">IS!L50</f>
        <v>7.4510567666093444</v>
      </c>
      <c r="M13" s="55">
        <f ca="1">IS!M50</f>
        <v>8.0785996717200046</v>
      </c>
      <c r="N13" s="55">
        <f ca="1">IS!N50</f>
        <v>8.7364823498486039</v>
      </c>
      <c r="O13" s="55">
        <f ca="1">IS!O50</f>
        <v>8.3943834731929883</v>
      </c>
    </row>
    <row r="14" spans="2:16" ht="18" customHeight="1" x14ac:dyDescent="0.25">
      <c r="B14" s="2" t="s">
        <v>368</v>
      </c>
      <c r="C14" s="2"/>
      <c r="D14" s="2"/>
      <c r="E14" s="2"/>
      <c r="F14" s="55">
        <f>IS!F38</f>
        <v>1.350425</v>
      </c>
      <c r="G14" s="55">
        <f>IS!G38</f>
        <v>2.5508177824999998</v>
      </c>
      <c r="H14" s="55">
        <f>IS!H38</f>
        <v>2.2507533474999994</v>
      </c>
      <c r="I14" s="55">
        <f>IS!I38</f>
        <v>1.9506889124999989</v>
      </c>
      <c r="J14" s="55">
        <f>IS!J38</f>
        <v>1.6506244774999985</v>
      </c>
      <c r="K14" s="55">
        <f>IS!K38</f>
        <v>1.3505600424999984</v>
      </c>
      <c r="L14" s="55">
        <f>IS!L38</f>
        <v>1.0504956074999978</v>
      </c>
      <c r="M14" s="55">
        <f>IS!M38</f>
        <v>0.73841238999999759</v>
      </c>
      <c r="N14" s="55">
        <f>IS!N38</f>
        <v>0.40080613999999787</v>
      </c>
      <c r="O14" s="55">
        <f>IS!O38</f>
        <v>6.1039209999999039E-2</v>
      </c>
    </row>
    <row r="15" spans="2:16" ht="18" customHeight="1" x14ac:dyDescent="0.25">
      <c r="B15" s="2" t="s">
        <v>555</v>
      </c>
      <c r="C15" s="2"/>
      <c r="D15" s="2"/>
      <c r="E15" s="2"/>
      <c r="F15" s="55">
        <f>IS!F39</f>
        <v>7.4099999999999999E-2</v>
      </c>
      <c r="G15" s="55">
        <f>IS!G39</f>
        <v>0.14250000000000002</v>
      </c>
      <c r="H15" s="55">
        <f>IS!H39</f>
        <v>0.14250000000000002</v>
      </c>
      <c r="I15" s="55">
        <f>IS!I39</f>
        <v>0.14250000000000002</v>
      </c>
      <c r="J15" s="55">
        <f>IS!J39</f>
        <v>0.14250000000000002</v>
      </c>
      <c r="K15" s="55">
        <f>IS!K39</f>
        <v>0.14250000000000002</v>
      </c>
      <c r="L15" s="55">
        <f>IS!L39</f>
        <v>0.14250000000000002</v>
      </c>
      <c r="M15" s="55">
        <f>IS!M39</f>
        <v>0.14250000000000002</v>
      </c>
      <c r="N15" s="55">
        <f>IS!N39</f>
        <v>0.14250000000000002</v>
      </c>
      <c r="O15" s="55">
        <f>IS!O39</f>
        <v>0.14250000000000002</v>
      </c>
    </row>
    <row r="16" spans="2:16" ht="18" customHeight="1" x14ac:dyDescent="0.25">
      <c r="B16" s="207" t="s">
        <v>556</v>
      </c>
      <c r="C16" s="207"/>
      <c r="D16" s="207"/>
      <c r="E16" s="207"/>
      <c r="F16" s="209">
        <f ca="1">SUM(F13:F15)</f>
        <v>4.9581097330209971</v>
      </c>
      <c r="G16" s="209">
        <f t="shared" ref="G16:O16" ca="1" si="3">SUM(G13:G15)</f>
        <v>8.3757253397475893</v>
      </c>
      <c r="H16" s="209">
        <f t="shared" ca="1" si="3"/>
        <v>8.6116068440129716</v>
      </c>
      <c r="I16" s="209">
        <f t="shared" ca="1" si="3"/>
        <v>8.9552519319978838</v>
      </c>
      <c r="J16" s="209">
        <f t="shared" ca="1" si="3"/>
        <v>8.115742513403271</v>
      </c>
      <c r="K16" s="209">
        <f t="shared" ca="1" si="3"/>
        <v>8.3415612496491249</v>
      </c>
      <c r="L16" s="209">
        <f t="shared" ca="1" si="3"/>
        <v>8.6440523741093429</v>
      </c>
      <c r="M16" s="209">
        <f t="shared" ca="1" si="3"/>
        <v>8.9595120617200017</v>
      </c>
      <c r="N16" s="209">
        <f t="shared" ca="1" si="3"/>
        <v>9.2797884898486025</v>
      </c>
      <c r="O16" s="209">
        <f t="shared" ca="1" si="3"/>
        <v>8.5979226831929871</v>
      </c>
    </row>
    <row r="17" spans="2:15" ht="18" customHeight="1" x14ac:dyDescent="0.25">
      <c r="B17" s="2" t="s">
        <v>368</v>
      </c>
      <c r="C17" s="2"/>
      <c r="D17" s="2"/>
      <c r="E17" s="2"/>
      <c r="F17" s="55">
        <f>IS!F38</f>
        <v>1.350425</v>
      </c>
      <c r="G17" s="55">
        <f>IS!G38</f>
        <v>2.5508177824999998</v>
      </c>
      <c r="H17" s="55">
        <f>IS!H38</f>
        <v>2.2507533474999994</v>
      </c>
      <c r="I17" s="55">
        <f>IS!I38</f>
        <v>1.9506889124999989</v>
      </c>
      <c r="J17" s="55">
        <f>IS!J38</f>
        <v>1.6506244774999985</v>
      </c>
      <c r="K17" s="55">
        <f>IS!K38</f>
        <v>1.3505600424999984</v>
      </c>
      <c r="L17" s="55">
        <f>IS!L38</f>
        <v>1.0504956074999978</v>
      </c>
      <c r="M17" s="55">
        <f>IS!M38</f>
        <v>0.73841238999999759</v>
      </c>
      <c r="N17" s="55">
        <f>IS!N38</f>
        <v>0.40080613999999787</v>
      </c>
      <c r="O17" s="55">
        <f>IS!O38</f>
        <v>6.1039209999999039E-2</v>
      </c>
    </row>
    <row r="18" spans="2:15" ht="18" customHeight="1" x14ac:dyDescent="0.25">
      <c r="B18" s="2" t="s">
        <v>555</v>
      </c>
      <c r="C18" s="2"/>
      <c r="D18" s="2"/>
      <c r="E18" s="2"/>
      <c r="F18" s="55">
        <f>IS!F39</f>
        <v>7.4099999999999999E-2</v>
      </c>
      <c r="G18" s="55">
        <f>IS!G39</f>
        <v>0.14250000000000002</v>
      </c>
      <c r="H18" s="55">
        <f>IS!H39</f>
        <v>0.14250000000000002</v>
      </c>
      <c r="I18" s="55">
        <f>IS!I39</f>
        <v>0.14250000000000002</v>
      </c>
      <c r="J18" s="55">
        <f>IS!J39</f>
        <v>0.14250000000000002</v>
      </c>
      <c r="K18" s="55">
        <f>IS!K39</f>
        <v>0.14250000000000002</v>
      </c>
      <c r="L18" s="55">
        <f>IS!L39</f>
        <v>0.14250000000000002</v>
      </c>
      <c r="M18" s="55">
        <f>IS!M39</f>
        <v>0.14250000000000002</v>
      </c>
      <c r="N18" s="55">
        <f>IS!N39</f>
        <v>0.14250000000000002</v>
      </c>
      <c r="O18" s="55">
        <f>IS!O39</f>
        <v>0.14250000000000002</v>
      </c>
    </row>
    <row r="19" spans="2:15" ht="18" customHeight="1" x14ac:dyDescent="0.25">
      <c r="B19" s="2" t="s">
        <v>557</v>
      </c>
      <c r="C19" s="2"/>
      <c r="D19" s="2"/>
      <c r="E19" s="2"/>
      <c r="F19" s="55">
        <f>'Loan Schedule'!F14</f>
        <v>0</v>
      </c>
      <c r="G19" s="55">
        <f>'Loan Schedule'!G14</f>
        <v>3.1585729999999992</v>
      </c>
      <c r="H19" s="55">
        <f>'Loan Schedule'!H14</f>
        <v>3.1585729999999992</v>
      </c>
      <c r="I19" s="55">
        <f>'Loan Schedule'!I14</f>
        <v>3.1585729999999992</v>
      </c>
      <c r="J19" s="55">
        <f>'Loan Schedule'!J14</f>
        <v>3.1585729999999992</v>
      </c>
      <c r="K19" s="55">
        <f>'Loan Schedule'!K14</f>
        <v>3.1585729999999992</v>
      </c>
      <c r="L19" s="55">
        <f>'Loan Schedule'!L14</f>
        <v>3.1585729999999992</v>
      </c>
      <c r="M19" s="55">
        <f>'Loan Schedule'!M14</f>
        <v>3.4116</v>
      </c>
      <c r="N19" s="55">
        <f>'Loan Schedule'!N14</f>
        <v>3.6959</v>
      </c>
      <c r="O19" s="55">
        <f>'Loan Schedule'!O14</f>
        <v>2.371061999999978</v>
      </c>
    </row>
    <row r="20" spans="2:15" ht="18" customHeight="1" x14ac:dyDescent="0.25">
      <c r="B20" s="207" t="s">
        <v>556</v>
      </c>
      <c r="C20" s="207"/>
      <c r="D20" s="207"/>
      <c r="E20" s="207"/>
      <c r="F20" s="209">
        <f>SUM(F17:F19)</f>
        <v>1.424525</v>
      </c>
      <c r="G20" s="209">
        <f t="shared" ref="G20:O20" si="4">SUM(G17:G19)</f>
        <v>5.8518907824999991</v>
      </c>
      <c r="H20" s="209">
        <f t="shared" si="4"/>
        <v>5.5518263474999987</v>
      </c>
      <c r="I20" s="209">
        <f t="shared" si="4"/>
        <v>5.2517619124999975</v>
      </c>
      <c r="J20" s="209">
        <f t="shared" si="4"/>
        <v>4.951697477499998</v>
      </c>
      <c r="K20" s="209">
        <f t="shared" si="4"/>
        <v>4.6516330424999977</v>
      </c>
      <c r="L20" s="209">
        <f t="shared" si="4"/>
        <v>4.3515686074999973</v>
      </c>
      <c r="M20" s="209">
        <f t="shared" si="4"/>
        <v>4.2925123899999971</v>
      </c>
      <c r="N20" s="209">
        <f t="shared" si="4"/>
        <v>4.2392061399999976</v>
      </c>
      <c r="O20" s="209">
        <f t="shared" si="4"/>
        <v>2.5746012099999769</v>
      </c>
    </row>
    <row r="21" spans="2:15" ht="18" customHeight="1" x14ac:dyDescent="0.25">
      <c r="B21" s="2" t="s">
        <v>558</v>
      </c>
      <c r="C21" s="2"/>
      <c r="D21" s="2"/>
      <c r="E21" s="2"/>
      <c r="F21" s="55">
        <f t="shared" ref="F21:O21" ca="1" si="5">F16/F20</f>
        <v>3.480535429719378</v>
      </c>
      <c r="G21" s="55">
        <f t="shared" ca="1" si="5"/>
        <v>1.4312853146191797</v>
      </c>
      <c r="H21" s="55">
        <f t="shared" ca="1" si="5"/>
        <v>1.5511304397859633</v>
      </c>
      <c r="I21" s="55">
        <f t="shared" ca="1" si="5"/>
        <v>1.7051900069351988</v>
      </c>
      <c r="J21" s="55">
        <f t="shared" ca="1" si="5"/>
        <v>1.6389818946493333</v>
      </c>
      <c r="K21" s="55">
        <f t="shared" ca="1" si="5"/>
        <v>1.7932543632388493</v>
      </c>
      <c r="L21" s="55">
        <f t="shared" ca="1" si="5"/>
        <v>1.9864221741123838</v>
      </c>
      <c r="M21" s="55">
        <f t="shared" ca="1" si="5"/>
        <v>2.0872419803824975</v>
      </c>
      <c r="N21" s="55">
        <f t="shared" ca="1" si="5"/>
        <v>2.1890392171041269</v>
      </c>
      <c r="O21" s="55">
        <f t="shared" ca="1" si="5"/>
        <v>3.3395162908328877</v>
      </c>
    </row>
    <row r="22" spans="2:15" ht="18" customHeight="1" x14ac:dyDescent="0.25">
      <c r="B22" s="29" t="s">
        <v>559</v>
      </c>
      <c r="C22" s="29"/>
      <c r="D22" s="29"/>
      <c r="E22" s="29"/>
      <c r="F22" s="684">
        <f ca="1">AVERAGE(F21:O21)</f>
        <v>2.12025971113798</v>
      </c>
      <c r="G22" s="684"/>
      <c r="H22" s="684"/>
      <c r="I22" s="684"/>
      <c r="J22" s="684"/>
      <c r="K22" s="684"/>
      <c r="L22" s="684"/>
      <c r="M22" s="684"/>
      <c r="N22" s="684"/>
      <c r="O22" s="684"/>
    </row>
    <row r="23" spans="2:15" ht="18" customHeight="1" x14ac:dyDescent="0.25">
      <c r="B23" s="29" t="s">
        <v>560</v>
      </c>
      <c r="C23" s="29"/>
      <c r="D23" s="29"/>
      <c r="E23" s="29"/>
      <c r="F23" s="684">
        <f ca="1">MAX(F21:O21)</f>
        <v>3.480535429719378</v>
      </c>
      <c r="G23" s="684"/>
      <c r="H23" s="684"/>
      <c r="I23" s="684"/>
      <c r="J23" s="684"/>
      <c r="K23" s="684"/>
      <c r="L23" s="684"/>
      <c r="M23" s="684"/>
      <c r="N23" s="684"/>
      <c r="O23" s="684"/>
    </row>
  </sheetData>
  <mergeCells count="4">
    <mergeCell ref="D8:E8"/>
    <mergeCell ref="F8:O8"/>
    <mergeCell ref="F22:O22"/>
    <mergeCell ref="F23:O23"/>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82"/>
  <sheetViews>
    <sheetView showGridLines="0" workbookViewId="0"/>
  </sheetViews>
  <sheetFormatPr defaultColWidth="13.7109375" defaultRowHeight="18" customHeight="1" x14ac:dyDescent="0.25"/>
  <cols>
    <col min="1" max="1" width="4.85546875" style="1" customWidth="1"/>
    <col min="2" max="2" width="43.42578125" style="1" customWidth="1"/>
    <col min="3" max="3" width="7.140625" style="1" customWidth="1"/>
    <col min="4" max="4" width="16.42578125" style="1" customWidth="1"/>
    <col min="5" max="15" width="12.7109375" style="1" customWidth="1"/>
    <col min="16" max="16384" width="13.7109375" style="1"/>
  </cols>
  <sheetData>
    <row r="1" spans="2:16" ht="15.75" customHeight="1" x14ac:dyDescent="0.25"/>
    <row r="2" spans="2:16" s="2" customFormat="1" ht="18" customHeight="1" x14ac:dyDescent="0.25">
      <c r="B2" s="34" t="str">
        <f>"Financial Model of " &amp; B4</f>
        <v>Financial Model of Proposed 6000 KGPD CBG plant set up M/s. NRS BIO FUEL ENERGIES LLP</v>
      </c>
      <c r="C2" s="35"/>
      <c r="D2" s="35"/>
      <c r="E2" s="35"/>
      <c r="F2" s="35"/>
      <c r="G2" s="35"/>
      <c r="H2" s="35"/>
      <c r="I2" s="35"/>
      <c r="J2" s="35"/>
      <c r="K2" s="35"/>
      <c r="L2" s="35"/>
      <c r="M2" s="35"/>
      <c r="N2" s="35"/>
      <c r="O2" s="35"/>
      <c r="P2" s="25"/>
    </row>
    <row r="3" spans="2:16" s="2" customFormat="1" ht="12" customHeight="1" x14ac:dyDescent="0.25">
      <c r="C3" s="25"/>
      <c r="D3" s="25"/>
      <c r="E3" s="25"/>
      <c r="F3" s="25"/>
      <c r="G3" s="25"/>
      <c r="H3" s="25"/>
      <c r="I3" s="25"/>
      <c r="J3" s="25"/>
      <c r="K3" s="25"/>
      <c r="L3" s="25"/>
      <c r="M3" s="25"/>
      <c r="N3" s="25"/>
      <c r="O3" s="25"/>
      <c r="P3" s="25"/>
    </row>
    <row r="4" spans="2:16" s="2" customFormat="1" ht="18" customHeight="1" x14ac:dyDescent="0.25">
      <c r="B4" s="26" t="str">
        <f>'Common Assumption'!B4</f>
        <v>Proposed 6000 KGPD CBG plant set up M/s. NRS BIO FUEL ENERGIES LLP</v>
      </c>
      <c r="C4" s="26"/>
      <c r="D4" s="27"/>
      <c r="E4" s="27"/>
      <c r="F4" s="27"/>
      <c r="G4" s="27"/>
      <c r="H4" s="27"/>
      <c r="I4" s="27"/>
      <c r="J4" s="27"/>
      <c r="K4" s="27"/>
      <c r="L4" s="27"/>
      <c r="M4" s="27"/>
      <c r="N4" s="27"/>
      <c r="O4" s="27"/>
      <c r="P4" s="25"/>
    </row>
    <row r="5" spans="2:16" s="2" customFormat="1" ht="13.5" customHeight="1" x14ac:dyDescent="0.25">
      <c r="C5" s="25"/>
      <c r="D5" s="25"/>
      <c r="F5" s="28"/>
      <c r="P5" s="25"/>
    </row>
    <row r="6" spans="2:16" s="2" customFormat="1" ht="18" customHeight="1" x14ac:dyDescent="0.25">
      <c r="B6" s="26" t="s">
        <v>553</v>
      </c>
      <c r="C6" s="26"/>
      <c r="D6" s="27"/>
      <c r="E6" s="27"/>
      <c r="F6" s="27"/>
      <c r="G6" s="27"/>
      <c r="H6" s="27"/>
      <c r="I6" s="27"/>
      <c r="J6" s="27"/>
      <c r="K6" s="27"/>
      <c r="L6" s="27"/>
      <c r="M6" s="27"/>
      <c r="N6" s="27"/>
      <c r="O6" s="27"/>
      <c r="P6" s="25"/>
    </row>
    <row r="7" spans="2:16" s="2" customFormat="1" ht="12.75" customHeight="1" x14ac:dyDescent="0.25">
      <c r="C7" s="25"/>
      <c r="D7" s="25"/>
      <c r="F7" s="28"/>
      <c r="O7" s="25"/>
      <c r="P7" s="25"/>
    </row>
    <row r="8" spans="2:16" s="2" customFormat="1" ht="18" customHeight="1" x14ac:dyDescent="0.25">
      <c r="C8" s="25"/>
      <c r="D8" s="675" t="s">
        <v>8</v>
      </c>
      <c r="E8" s="675"/>
      <c r="F8" s="676" t="s">
        <v>52</v>
      </c>
      <c r="G8" s="676"/>
      <c r="H8" s="676"/>
      <c r="I8" s="676"/>
      <c r="J8" s="676"/>
      <c r="K8" s="676"/>
      <c r="L8" s="676"/>
      <c r="M8" s="676"/>
      <c r="N8" s="676"/>
      <c r="O8" s="676"/>
      <c r="P8" s="25"/>
    </row>
    <row r="9" spans="2:16" s="2" customFormat="1" ht="18" customHeight="1" x14ac:dyDescent="0.25">
      <c r="B9" s="29" t="s">
        <v>53</v>
      </c>
      <c r="C9" s="30" t="s">
        <v>54</v>
      </c>
      <c r="D9" s="31">
        <f>EOMONTH('Common Assumption'!E11,5)</f>
        <v>45747</v>
      </c>
      <c r="E9" s="31">
        <f>'Common Assumption'!E13</f>
        <v>45930</v>
      </c>
      <c r="F9" s="31">
        <f>DATE(YEAR(E9)+1,MONTH(E9)-6,DAY(E9)+1)</f>
        <v>46112</v>
      </c>
      <c r="G9" s="31">
        <f>DATE(YEAR(F9)+1,MONTH(F9),DAY(F9))</f>
        <v>46477</v>
      </c>
      <c r="H9" s="31">
        <f t="shared" ref="H9:O9" si="0">DATE(YEAR(G9)+1,MONTH(G9),DAY(G9))</f>
        <v>46843</v>
      </c>
      <c r="I9" s="31">
        <f t="shared" si="0"/>
        <v>47208</v>
      </c>
      <c r="J9" s="31">
        <f t="shared" si="0"/>
        <v>47573</v>
      </c>
      <c r="K9" s="31">
        <f t="shared" si="0"/>
        <v>47938</v>
      </c>
      <c r="L9" s="31">
        <f t="shared" si="0"/>
        <v>48304</v>
      </c>
      <c r="M9" s="31">
        <f t="shared" si="0"/>
        <v>48669</v>
      </c>
      <c r="N9" s="31">
        <f t="shared" si="0"/>
        <v>49034</v>
      </c>
      <c r="O9" s="31">
        <f t="shared" si="0"/>
        <v>49399</v>
      </c>
      <c r="P9" s="25"/>
    </row>
    <row r="10" spans="2:16" s="32" customFormat="1" ht="18" customHeight="1" x14ac:dyDescent="0.25">
      <c r="B10" s="37" t="s">
        <v>55</v>
      </c>
      <c r="C10" s="38"/>
      <c r="D10" s="36">
        <v>0</v>
      </c>
      <c r="E10" s="36">
        <v>0</v>
      </c>
      <c r="F10" s="39">
        <v>1</v>
      </c>
      <c r="G10" s="39">
        <f>F10+1</f>
        <v>2</v>
      </c>
      <c r="H10" s="39">
        <f t="shared" ref="H10:O10" si="1">G10+1</f>
        <v>3</v>
      </c>
      <c r="I10" s="39">
        <f t="shared" si="1"/>
        <v>4</v>
      </c>
      <c r="J10" s="39">
        <f t="shared" si="1"/>
        <v>5</v>
      </c>
      <c r="K10" s="39">
        <f t="shared" si="1"/>
        <v>6</v>
      </c>
      <c r="L10" s="39">
        <f t="shared" si="1"/>
        <v>7</v>
      </c>
      <c r="M10" s="39">
        <f t="shared" si="1"/>
        <v>8</v>
      </c>
      <c r="N10" s="39">
        <f t="shared" si="1"/>
        <v>9</v>
      </c>
      <c r="O10" s="39">
        <f t="shared" si="1"/>
        <v>10</v>
      </c>
      <c r="P10" s="33"/>
    </row>
    <row r="11" spans="2:16" s="32" customFormat="1" ht="18" customHeight="1" x14ac:dyDescent="0.25">
      <c r="B11" s="37" t="s">
        <v>56</v>
      </c>
      <c r="C11" s="38">
        <f>'Common Assumption'!E12</f>
        <v>11</v>
      </c>
      <c r="D11" s="36">
        <f>MONTH(D9-'Common Assumption'!E11)</f>
        <v>5</v>
      </c>
      <c r="E11" s="36">
        <f>C11-D11</f>
        <v>6</v>
      </c>
      <c r="F11" s="38">
        <f>MONTH(F9-E9)</f>
        <v>6</v>
      </c>
      <c r="G11" s="38">
        <f t="shared" ref="G11:O11" si="2">MONTH(G9-F9)</f>
        <v>12</v>
      </c>
      <c r="H11" s="38">
        <f t="shared" si="2"/>
        <v>12</v>
      </c>
      <c r="I11" s="38">
        <f t="shared" si="2"/>
        <v>12</v>
      </c>
      <c r="J11" s="38">
        <f t="shared" si="2"/>
        <v>12</v>
      </c>
      <c r="K11" s="38">
        <f t="shared" si="2"/>
        <v>12</v>
      </c>
      <c r="L11" s="38">
        <f t="shared" si="2"/>
        <v>12</v>
      </c>
      <c r="M11" s="38">
        <f t="shared" si="2"/>
        <v>12</v>
      </c>
      <c r="N11" s="38">
        <f t="shared" si="2"/>
        <v>12</v>
      </c>
      <c r="O11" s="38">
        <f t="shared" si="2"/>
        <v>12</v>
      </c>
      <c r="P11" s="33"/>
    </row>
    <row r="12" spans="2:16" ht="7.5" customHeight="1" x14ac:dyDescent="0.25"/>
    <row r="13" spans="2:16" ht="18" customHeight="1" x14ac:dyDescent="0.25">
      <c r="B13" s="2" t="s">
        <v>366</v>
      </c>
      <c r="C13" s="2"/>
      <c r="D13" s="55">
        <f>IS!D59</f>
        <v>0</v>
      </c>
      <c r="E13" s="55">
        <f>IS!E59</f>
        <v>0</v>
      </c>
      <c r="F13" s="55">
        <f ca="1">IS!F59</f>
        <v>3.8601946112158245</v>
      </c>
      <c r="G13" s="55">
        <f ca="1">IS!G59</f>
        <v>6.2973829349853219</v>
      </c>
      <c r="H13" s="55">
        <f ca="1">IS!H59</f>
        <v>6.6406491996364743</v>
      </c>
      <c r="I13" s="55">
        <f ca="1">IS!I59</f>
        <v>7.1132710888609338</v>
      </c>
      <c r="J13" s="55">
        <f ca="1">IS!J59</f>
        <v>6.1656758241751746</v>
      </c>
      <c r="K13" s="55">
        <f ca="1">IS!K59</f>
        <v>6.9637200499683338</v>
      </c>
      <c r="L13" s="55">
        <f ca="1">IS!L59</f>
        <v>7.3988608189678615</v>
      </c>
      <c r="M13" s="55">
        <f ca="1">IS!M59</f>
        <v>7.8400580848676071</v>
      </c>
      <c r="N13" s="55">
        <f ca="1">IS!N59</f>
        <v>8.3156159663526168</v>
      </c>
      <c r="O13" s="55">
        <f ca="1">IS!O59</f>
        <v>8.8089255286295014</v>
      </c>
    </row>
    <row r="14" spans="2:16" ht="18" customHeight="1" x14ac:dyDescent="0.25">
      <c r="B14" s="2" t="s">
        <v>561</v>
      </c>
      <c r="C14" s="2"/>
      <c r="D14" s="55">
        <f>IS!D42</f>
        <v>0</v>
      </c>
      <c r="E14" s="55">
        <f>IS!E42</f>
        <v>0</v>
      </c>
      <c r="F14" s="55">
        <f ca="1">IS!F42</f>
        <v>0.40656197150414547</v>
      </c>
      <c r="G14" s="55">
        <f ca="1">IS!G42</f>
        <v>0.60159055525284999</v>
      </c>
      <c r="H14" s="55">
        <f ca="1">IS!H42</f>
        <v>0.70897531563862037</v>
      </c>
      <c r="I14" s="55">
        <f ca="1">IS!I42</f>
        <v>0.8379521168781674</v>
      </c>
      <c r="J14" s="55">
        <f ca="1">IS!J42</f>
        <v>0.72986627078702049</v>
      </c>
      <c r="K14" s="55">
        <f ca="1">IS!K42</f>
        <v>0.9131625684466147</v>
      </c>
      <c r="L14" s="55">
        <f ca="1">IS!L42</f>
        <v>1.035883021098216</v>
      </c>
      <c r="M14" s="55">
        <f ca="1">IS!M42</f>
        <v>1.1616205993873017</v>
      </c>
      <c r="N14" s="55">
        <f ca="1">IS!N42</f>
        <v>1.2973539562147793</v>
      </c>
      <c r="O14" s="55">
        <f ca="1">IS!O42</f>
        <v>2.4529812286183486</v>
      </c>
    </row>
    <row r="15" spans="2:16" ht="18" customHeight="1" x14ac:dyDescent="0.25">
      <c r="B15" s="2" t="s">
        <v>562</v>
      </c>
      <c r="C15" s="2"/>
      <c r="D15" s="55">
        <f>IS!D22</f>
        <v>0</v>
      </c>
      <c r="E15" s="55">
        <f>IS!E22</f>
        <v>0</v>
      </c>
      <c r="F15" s="55">
        <f>IS!F22</f>
        <v>1.125477093309319</v>
      </c>
      <c r="G15" s="55">
        <f>IS!G22</f>
        <v>2.3009329600151176</v>
      </c>
      <c r="H15" s="55">
        <f>IS!H22</f>
        <v>2.3009329600151176</v>
      </c>
      <c r="I15" s="55">
        <f>IS!I22</f>
        <v>2.3009329600151176</v>
      </c>
      <c r="J15" s="55">
        <f>IS!J22</f>
        <v>2.3009329600151176</v>
      </c>
      <c r="K15" s="55">
        <f>IS!K22</f>
        <v>2.2910037681274065</v>
      </c>
      <c r="L15" s="55">
        <f>IS!L22</f>
        <v>2.2810745762396958</v>
      </c>
      <c r="M15" s="55">
        <f>IS!M22</f>
        <v>2.2810745762396958</v>
      </c>
      <c r="N15" s="55">
        <f>IS!N22</f>
        <v>2.2615264797107648</v>
      </c>
      <c r="O15" s="55">
        <f>IS!O22</f>
        <v>2.2419783831818343</v>
      </c>
    </row>
    <row r="16" spans="2:16" ht="18" customHeight="1" x14ac:dyDescent="0.25">
      <c r="B16" s="207" t="s">
        <v>563</v>
      </c>
      <c r="C16" s="207"/>
      <c r="D16" s="209">
        <f>D13-D14+D15</f>
        <v>0</v>
      </c>
      <c r="E16" s="209">
        <f t="shared" ref="E16:O16" si="3">E13-E14+E15</f>
        <v>0</v>
      </c>
      <c r="F16" s="209">
        <f t="shared" ca="1" si="3"/>
        <v>4.5791097330209976</v>
      </c>
      <c r="G16" s="209">
        <f t="shared" ca="1" si="3"/>
        <v>7.9967253397475897</v>
      </c>
      <c r="H16" s="209">
        <f t="shared" ca="1" si="3"/>
        <v>8.2326068440129703</v>
      </c>
      <c r="I16" s="209">
        <f t="shared" ca="1" si="3"/>
        <v>8.5762519319978843</v>
      </c>
      <c r="J16" s="209">
        <f t="shared" ca="1" si="3"/>
        <v>7.7367425134032715</v>
      </c>
      <c r="K16" s="209">
        <f t="shared" ca="1" si="3"/>
        <v>8.3415612496491249</v>
      </c>
      <c r="L16" s="209">
        <f t="shared" ca="1" si="3"/>
        <v>8.6440523741093411</v>
      </c>
      <c r="M16" s="209">
        <f t="shared" ca="1" si="3"/>
        <v>8.9595120617200017</v>
      </c>
      <c r="N16" s="209">
        <f t="shared" ca="1" si="3"/>
        <v>9.2797884898486025</v>
      </c>
      <c r="O16" s="209">
        <f t="shared" ca="1" si="3"/>
        <v>8.5979226831929871</v>
      </c>
    </row>
    <row r="17" spans="2:15" ht="18" customHeight="1" x14ac:dyDescent="0.25">
      <c r="B17" s="2" t="s">
        <v>564</v>
      </c>
      <c r="C17" s="2"/>
      <c r="D17" s="55">
        <f>'Working Capital Assessment'!D76</f>
        <v>0</v>
      </c>
      <c r="E17" s="55">
        <f>'Working Capital Assessment'!E76</f>
        <v>0</v>
      </c>
      <c r="F17" s="55">
        <f ca="1">'Working Capital Assessment'!F76</f>
        <v>2.8315566418520706</v>
      </c>
      <c r="G17" s="55">
        <f ca="1">'Working Capital Assessment'!G76</f>
        <v>0.23255920421658649</v>
      </c>
      <c r="H17" s="55">
        <f ca="1">'Working Capital Assessment'!H76</f>
        <v>0.15214442475647783</v>
      </c>
      <c r="I17" s="55">
        <f ca="1">'Working Capital Assessment'!I76</f>
        <v>0.15875437993230435</v>
      </c>
      <c r="J17" s="55">
        <f ca="1">'Working Capital Assessment'!J76</f>
        <v>6.0129922519209789E-2</v>
      </c>
      <c r="K17" s="55">
        <f ca="1">'Working Capital Assessment'!K76</f>
        <v>0.1666247233516378</v>
      </c>
      <c r="L17" s="55">
        <f ca="1">'Working Capital Assessment'!L76</f>
        <v>0.1749590013876392</v>
      </c>
      <c r="M17" s="55">
        <f ca="1">'Working Capital Assessment'!M76</f>
        <v>0.18413384593661775</v>
      </c>
      <c r="N17" s="55">
        <f ca="1">'Working Capital Assessment'!N76</f>
        <v>0.19255419361579573</v>
      </c>
      <c r="O17" s="55">
        <f ca="1">'Working Capital Assessment'!O76</f>
        <v>0.20219013030135979</v>
      </c>
    </row>
    <row r="18" spans="2:15" ht="18" customHeight="1" x14ac:dyDescent="0.25">
      <c r="B18" s="2" t="s">
        <v>565</v>
      </c>
      <c r="C18" s="2"/>
      <c r="D18" s="55">
        <f ca="1">CFS!D23</f>
        <v>24.447751969658672</v>
      </c>
      <c r="E18" s="55">
        <f ca="1">CFS!E23</f>
        <v>14.215</v>
      </c>
      <c r="F18" s="55">
        <f>CFS!F23</f>
        <v>0</v>
      </c>
      <c r="G18" s="55">
        <f>CFS!G23</f>
        <v>0</v>
      </c>
      <c r="H18" s="55">
        <f>CFS!H23</f>
        <v>0</v>
      </c>
      <c r="I18" s="55">
        <f>CFS!I23</f>
        <v>0</v>
      </c>
      <c r="J18" s="55">
        <f>CFS!J23</f>
        <v>0</v>
      </c>
      <c r="K18" s="55">
        <f>CFS!K23</f>
        <v>0</v>
      </c>
      <c r="L18" s="55">
        <f>CFS!L23</f>
        <v>-9.9291918877113972E-2</v>
      </c>
      <c r="M18" s="55">
        <f>CFS!M23</f>
        <v>0</v>
      </c>
      <c r="N18" s="55">
        <f>CFS!N23</f>
        <v>0</v>
      </c>
      <c r="O18" s="55">
        <f>CFS!O23</f>
        <v>-0.3127695444628813</v>
      </c>
    </row>
    <row r="19" spans="2:15" ht="18" customHeight="1" x14ac:dyDescent="0.25">
      <c r="B19" s="189" t="s">
        <v>566</v>
      </c>
      <c r="C19" s="189"/>
      <c r="D19" s="190">
        <f ca="1">D16-D17-D18</f>
        <v>-24.447751969658672</v>
      </c>
      <c r="E19" s="190">
        <f ca="1">E16-E17-E18</f>
        <v>-14.215</v>
      </c>
      <c r="F19" s="190">
        <f ca="1">F16-F17+F18</f>
        <v>1.747553091168927</v>
      </c>
      <c r="G19" s="190">
        <f t="shared" ref="G19:O19" ca="1" si="4">G16-G17+G18</f>
        <v>7.7641661355310028</v>
      </c>
      <c r="H19" s="190">
        <f t="shared" ca="1" si="4"/>
        <v>8.0804624192564916</v>
      </c>
      <c r="I19" s="190">
        <f t="shared" ca="1" si="4"/>
        <v>8.4174975520655799</v>
      </c>
      <c r="J19" s="190">
        <f t="shared" ca="1" si="4"/>
        <v>7.6766125908840621</v>
      </c>
      <c r="K19" s="190">
        <f t="shared" ca="1" si="4"/>
        <v>8.1749365262974862</v>
      </c>
      <c r="L19" s="190">
        <f t="shared" ca="1" si="4"/>
        <v>8.3698014538445875</v>
      </c>
      <c r="M19" s="190">
        <f t="shared" ca="1" si="4"/>
        <v>8.775378215783384</v>
      </c>
      <c r="N19" s="190">
        <f t="shared" ca="1" si="4"/>
        <v>9.0872342962328077</v>
      </c>
      <c r="O19" s="190">
        <f t="shared" ca="1" si="4"/>
        <v>8.0829630084287452</v>
      </c>
    </row>
    <row r="20" spans="2:15" ht="18" customHeight="1" x14ac:dyDescent="0.25">
      <c r="F20" s="306"/>
    </row>
    <row r="22" spans="2:15" ht="18" customHeight="1" x14ac:dyDescent="0.25">
      <c r="B22" s="2" t="s">
        <v>568</v>
      </c>
      <c r="C22" s="2"/>
      <c r="D22" s="21">
        <f ca="1">D82</f>
        <v>8.5003413666492805E-2</v>
      </c>
    </row>
    <row r="23" spans="2:15" ht="18" customHeight="1" x14ac:dyDescent="0.25">
      <c r="B23" s="2" t="s">
        <v>569</v>
      </c>
      <c r="C23" s="2"/>
      <c r="D23" s="21">
        <v>0.02</v>
      </c>
    </row>
    <row r="24" spans="2:15" ht="18" customHeight="1" x14ac:dyDescent="0.25">
      <c r="B24" s="207" t="s">
        <v>570</v>
      </c>
      <c r="C24" s="207"/>
      <c r="D24" s="275">
        <f ca="1">SUM(D22:D23)</f>
        <v>0.10500341366649281</v>
      </c>
    </row>
    <row r="25" spans="2:15" ht="18" customHeight="1" x14ac:dyDescent="0.25">
      <c r="B25" s="2" t="s">
        <v>571</v>
      </c>
      <c r="C25" s="2"/>
      <c r="D25" s="21">
        <v>0.02</v>
      </c>
    </row>
    <row r="27" spans="2:15" ht="18" hidden="1" customHeight="1" x14ac:dyDescent="0.25">
      <c r="B27" s="294" t="s">
        <v>572</v>
      </c>
      <c r="C27" s="294"/>
      <c r="D27" s="295"/>
      <c r="E27" s="295">
        <v>0</v>
      </c>
      <c r="F27" s="295">
        <f>F11/12</f>
        <v>0.5</v>
      </c>
      <c r="G27" s="295">
        <f>F27+1</f>
        <v>1.5</v>
      </c>
      <c r="H27" s="295">
        <f t="shared" ref="H27:O27" si="5">G27+1</f>
        <v>2.5</v>
      </c>
      <c r="I27" s="295">
        <f t="shared" si="5"/>
        <v>3.5</v>
      </c>
      <c r="J27" s="295">
        <f t="shared" si="5"/>
        <v>4.5</v>
      </c>
      <c r="K27" s="295">
        <f t="shared" si="5"/>
        <v>5.5</v>
      </c>
      <c r="L27" s="295">
        <f t="shared" si="5"/>
        <v>6.5</v>
      </c>
      <c r="M27" s="295">
        <f t="shared" si="5"/>
        <v>7.5</v>
      </c>
      <c r="N27" s="295">
        <f t="shared" si="5"/>
        <v>8.5</v>
      </c>
      <c r="O27" s="295">
        <f t="shared" si="5"/>
        <v>9.5</v>
      </c>
    </row>
    <row r="28" spans="2:15" ht="18" hidden="1" customHeight="1" x14ac:dyDescent="0.25">
      <c r="B28" s="2" t="s">
        <v>573</v>
      </c>
      <c r="C28" s="2"/>
      <c r="D28" s="55"/>
      <c r="E28" s="55">
        <f t="shared" ref="E28" ca="1" si="6">1/(1+$D$24)^E27</f>
        <v>1</v>
      </c>
      <c r="F28" s="55">
        <f t="shared" ref="F28:O28" ca="1" si="7">1/(1+$D$24)^F27</f>
        <v>0.95130151888653947</v>
      </c>
      <c r="G28" s="55">
        <f t="shared" ca="1" si="7"/>
        <v>0.86090369235153963</v>
      </c>
      <c r="H28" s="55">
        <f t="shared" ca="1" si="7"/>
        <v>0.77909595726495551</v>
      </c>
      <c r="I28" s="55">
        <f t="shared" ca="1" si="7"/>
        <v>0.70506203657765232</v>
      </c>
      <c r="J28" s="55">
        <f t="shared" ca="1" si="7"/>
        <v>0.63806322031006046</v>
      </c>
      <c r="K28" s="55">
        <f t="shared" ca="1" si="7"/>
        <v>0.57743099470879811</v>
      </c>
      <c r="L28" s="55">
        <f t="shared" ca="1" si="7"/>
        <v>0.52256037182078408</v>
      </c>
      <c r="M28" s="55">
        <f t="shared" ca="1" si="7"/>
        <v>0.47290385292737291</v>
      </c>
      <c r="N28" s="55">
        <f t="shared" ca="1" si="7"/>
        <v>0.42796596560569777</v>
      </c>
      <c r="O28" s="55">
        <f t="shared" ca="1" si="7"/>
        <v>0.38729831990805463</v>
      </c>
    </row>
    <row r="29" spans="2:15" ht="18" hidden="1" customHeight="1" x14ac:dyDescent="0.25">
      <c r="B29" s="294" t="s">
        <v>574</v>
      </c>
      <c r="C29" s="294"/>
      <c r="D29" s="295"/>
      <c r="E29" s="295">
        <f t="shared" ref="E29" ca="1" si="8">E28*E19</f>
        <v>-14.215</v>
      </c>
      <c r="F29" s="295">
        <f t="shared" ref="F29:O29" ca="1" si="9">F28*F19</f>
        <v>1.6624499099638674</v>
      </c>
      <c r="G29" s="295">
        <f t="shared" ca="1" si="9"/>
        <v>6.6841992941094244</v>
      </c>
      <c r="H29" s="295">
        <f t="shared" ca="1" si="9"/>
        <v>6.2954556036741343</v>
      </c>
      <c r="I29" s="295">
        <f t="shared" ca="1" si="9"/>
        <v>5.9348579669467609</v>
      </c>
      <c r="J29" s="295">
        <f t="shared" ca="1" si="9"/>
        <v>4.8981641508122413</v>
      </c>
      <c r="K29" s="295">
        <f t="shared" ca="1" si="9"/>
        <v>4.7204617300612446</v>
      </c>
      <c r="L29" s="295">
        <f t="shared" ca="1" si="9"/>
        <v>4.3737265597871664</v>
      </c>
      <c r="M29" s="295">
        <f t="shared" ca="1" si="9"/>
        <v>4.1499101691388978</v>
      </c>
      <c r="N29" s="295">
        <f t="shared" ca="1" si="9"/>
        <v>3.8890270002724869</v>
      </c>
      <c r="O29" s="295">
        <f t="shared" ca="1" si="9"/>
        <v>3.1305179930434077</v>
      </c>
    </row>
    <row r="30" spans="2:15" ht="18" hidden="1" customHeight="1" x14ac:dyDescent="0.25">
      <c r="B30" s="2" t="s">
        <v>575</v>
      </c>
      <c r="C30" s="2"/>
      <c r="D30" s="2"/>
      <c r="E30" s="2"/>
      <c r="F30" s="2"/>
      <c r="G30" s="2"/>
      <c r="O30" s="55">
        <f ca="1">O19*(1+D25)/(D24-D25)</f>
        <v>96.991660840172102</v>
      </c>
    </row>
    <row r="31" spans="2:15" ht="18" hidden="1" customHeight="1" x14ac:dyDescent="0.25">
      <c r="B31" s="294" t="s">
        <v>576</v>
      </c>
      <c r="C31" s="294"/>
      <c r="D31" s="294"/>
      <c r="E31" s="294"/>
      <c r="F31" s="294"/>
      <c r="G31" s="294"/>
      <c r="H31" s="294"/>
      <c r="I31" s="294"/>
      <c r="J31" s="294"/>
      <c r="K31" s="294"/>
      <c r="L31" s="294"/>
      <c r="M31" s="294"/>
      <c r="N31" s="294"/>
      <c r="O31" s="295">
        <f ca="1">O30*O28</f>
        <v>37.56470728849051</v>
      </c>
    </row>
    <row r="32" spans="2:15" ht="18" hidden="1" customHeight="1" x14ac:dyDescent="0.25">
      <c r="B32" s="2" t="s">
        <v>696</v>
      </c>
      <c r="C32" s="2"/>
      <c r="D32" s="55"/>
      <c r="E32" s="55">
        <f t="shared" ref="E32" ca="1" si="10">E19+E30</f>
        <v>-14.215</v>
      </c>
      <c r="F32" s="55">
        <f t="shared" ref="F32:O32" ca="1" si="11">F19+F30</f>
        <v>1.747553091168927</v>
      </c>
      <c r="G32" s="55">
        <f t="shared" ca="1" si="11"/>
        <v>7.7641661355310028</v>
      </c>
      <c r="H32" s="55">
        <f t="shared" ca="1" si="11"/>
        <v>8.0804624192564916</v>
      </c>
      <c r="I32" s="55">
        <f t="shared" ca="1" si="11"/>
        <v>8.4174975520655799</v>
      </c>
      <c r="J32" s="55">
        <f t="shared" ca="1" si="11"/>
        <v>7.6766125908840621</v>
      </c>
      <c r="K32" s="55">
        <f t="shared" ca="1" si="11"/>
        <v>8.1749365262974862</v>
      </c>
      <c r="L32" s="55">
        <f t="shared" ca="1" si="11"/>
        <v>8.3698014538445875</v>
      </c>
      <c r="M32" s="55">
        <f t="shared" ca="1" si="11"/>
        <v>8.775378215783384</v>
      </c>
      <c r="N32" s="55">
        <f t="shared" ca="1" si="11"/>
        <v>9.0872342962328077</v>
      </c>
      <c r="O32" s="55">
        <f t="shared" ca="1" si="11"/>
        <v>105.07462384860085</v>
      </c>
    </row>
    <row r="33" spans="2:15" ht="18" hidden="1" customHeight="1" x14ac:dyDescent="0.25">
      <c r="B33" s="294" t="s">
        <v>577</v>
      </c>
      <c r="C33" s="294"/>
      <c r="D33" s="295"/>
      <c r="E33" s="295">
        <f t="shared" ref="E33" ca="1" si="12">E29+E31</f>
        <v>-14.215</v>
      </c>
      <c r="F33" s="295">
        <f t="shared" ref="F33:O33" ca="1" si="13">F29+F31</f>
        <v>1.6624499099638674</v>
      </c>
      <c r="G33" s="295">
        <f t="shared" ca="1" si="13"/>
        <v>6.6841992941094244</v>
      </c>
      <c r="H33" s="295">
        <f t="shared" ca="1" si="13"/>
        <v>6.2954556036741343</v>
      </c>
      <c r="I33" s="295">
        <f t="shared" ca="1" si="13"/>
        <v>5.9348579669467609</v>
      </c>
      <c r="J33" s="295">
        <f t="shared" ca="1" si="13"/>
        <v>4.8981641508122413</v>
      </c>
      <c r="K33" s="295">
        <f t="shared" ca="1" si="13"/>
        <v>4.7204617300612446</v>
      </c>
      <c r="L33" s="295">
        <f t="shared" ca="1" si="13"/>
        <v>4.3737265597871664</v>
      </c>
      <c r="M33" s="295">
        <f t="shared" ca="1" si="13"/>
        <v>4.1499101691388978</v>
      </c>
      <c r="N33" s="295">
        <f t="shared" ca="1" si="13"/>
        <v>3.8890270002724869</v>
      </c>
      <c r="O33" s="295">
        <f t="shared" ca="1" si="13"/>
        <v>40.695225281533915</v>
      </c>
    </row>
    <row r="34" spans="2:15" ht="18" hidden="1" customHeight="1" x14ac:dyDescent="0.25">
      <c r="E34" s="248"/>
      <c r="F34" s="248"/>
      <c r="G34" s="248"/>
      <c r="H34" s="248"/>
      <c r="I34" s="248"/>
      <c r="J34" s="248"/>
      <c r="K34" s="248"/>
      <c r="L34" s="248"/>
      <c r="M34" s="248"/>
      <c r="N34" s="248"/>
      <c r="O34" s="248"/>
    </row>
    <row r="35" spans="2:15" ht="18" customHeight="1" x14ac:dyDescent="0.25">
      <c r="B35" s="29" t="s">
        <v>578</v>
      </c>
      <c r="C35" s="29"/>
      <c r="D35" s="325">
        <f ca="1">XNPV(D24,D19:O19,D9:O9)</f>
        <v>5.5289355143221357</v>
      </c>
      <c r="E35" s="296"/>
      <c r="F35" s="324"/>
      <c r="G35" s="296"/>
      <c r="H35" s="324"/>
      <c r="I35" s="296"/>
      <c r="J35" s="296"/>
      <c r="K35" s="296"/>
      <c r="L35" s="296"/>
      <c r="M35" s="296"/>
      <c r="N35" s="296"/>
      <c r="O35" s="296"/>
    </row>
    <row r="36" spans="2:15" ht="18" customHeight="1" x14ac:dyDescent="0.25">
      <c r="B36" s="2"/>
      <c r="C36" s="2"/>
      <c r="D36" s="25"/>
      <c r="E36" s="2"/>
      <c r="F36" s="2"/>
      <c r="G36" s="2"/>
      <c r="H36" s="2"/>
      <c r="I36" s="2"/>
      <c r="J36" s="2"/>
      <c r="K36" s="2"/>
      <c r="L36" s="2"/>
      <c r="M36" s="2"/>
      <c r="N36" s="2"/>
    </row>
    <row r="37" spans="2:15" ht="18" customHeight="1" x14ac:dyDescent="0.25">
      <c r="B37" s="29" t="s">
        <v>579</v>
      </c>
      <c r="C37" s="29"/>
      <c r="D37" s="304">
        <f ca="1">XIRR(D19:O19,D9:O9)</f>
        <v>0.1355099856853485</v>
      </c>
      <c r="E37" s="297"/>
      <c r="F37" s="297"/>
      <c r="G37" s="297"/>
      <c r="H37" s="297"/>
      <c r="I37" s="297"/>
      <c r="J37" s="297"/>
      <c r="K37" s="297"/>
      <c r="L37" s="297"/>
      <c r="M37" s="297"/>
      <c r="N37" s="297"/>
      <c r="O37" s="297"/>
    </row>
    <row r="38" spans="2:15" ht="18" customHeight="1" x14ac:dyDescent="0.25">
      <c r="B38" s="2"/>
      <c r="C38" s="2"/>
      <c r="D38" s="303"/>
      <c r="E38" s="2"/>
      <c r="F38" s="2"/>
      <c r="G38" s="2"/>
      <c r="H38" s="2"/>
      <c r="I38" s="2"/>
      <c r="J38" s="2"/>
      <c r="K38" s="2"/>
      <c r="L38" s="2"/>
      <c r="M38" s="2"/>
      <c r="N38" s="2"/>
    </row>
    <row r="39" spans="2:15" ht="18" customHeight="1" x14ac:dyDescent="0.25">
      <c r="B39" s="285" t="s">
        <v>580</v>
      </c>
      <c r="C39" s="285"/>
      <c r="D39" s="285"/>
      <c r="E39" s="285"/>
      <c r="F39" s="285"/>
      <c r="G39" s="285"/>
      <c r="H39" s="285"/>
      <c r="I39" s="285"/>
      <c r="J39" s="285"/>
      <c r="K39" s="285"/>
      <c r="L39" s="285"/>
      <c r="M39" s="285"/>
      <c r="N39" s="285"/>
      <c r="O39" s="298"/>
    </row>
    <row r="41" spans="2:15" ht="18" customHeight="1" x14ac:dyDescent="0.25">
      <c r="B41" s="2" t="s">
        <v>581</v>
      </c>
      <c r="C41" s="2"/>
      <c r="D41" s="58"/>
      <c r="E41" s="58"/>
      <c r="F41" s="58">
        <f t="shared" ref="F41:O41" si="14">F10</f>
        <v>1</v>
      </c>
      <c r="G41" s="58">
        <f t="shared" si="14"/>
        <v>2</v>
      </c>
      <c r="H41" s="58">
        <f t="shared" si="14"/>
        <v>3</v>
      </c>
      <c r="I41" s="58">
        <f t="shared" si="14"/>
        <v>4</v>
      </c>
      <c r="J41" s="58">
        <f t="shared" si="14"/>
        <v>5</v>
      </c>
      <c r="K41" s="58">
        <f t="shared" si="14"/>
        <v>6</v>
      </c>
      <c r="L41" s="58">
        <f t="shared" si="14"/>
        <v>7</v>
      </c>
      <c r="M41" s="58">
        <f t="shared" si="14"/>
        <v>8</v>
      </c>
      <c r="N41" s="58">
        <f t="shared" si="14"/>
        <v>9</v>
      </c>
      <c r="O41" s="58">
        <f t="shared" si="14"/>
        <v>10</v>
      </c>
    </row>
    <row r="42" spans="2:15" ht="18" customHeight="1" x14ac:dyDescent="0.25">
      <c r="B42" s="2" t="s">
        <v>473</v>
      </c>
      <c r="C42" s="2"/>
      <c r="D42" s="55"/>
      <c r="E42" s="55"/>
      <c r="F42" s="55">
        <f ca="1">IS!F50</f>
        <v>3.533584733020998</v>
      </c>
      <c r="G42" s="55">
        <f ca="1">IS!G50</f>
        <v>5.6824075572475898</v>
      </c>
      <c r="H42" s="55">
        <f ca="1">IS!H50</f>
        <v>6.2183534965129716</v>
      </c>
      <c r="I42" s="55">
        <f ca="1">IS!I50</f>
        <v>6.8620630194978851</v>
      </c>
      <c r="J42" s="55">
        <f ca="1">IS!J50</f>
        <v>6.3226180359032735</v>
      </c>
      <c r="K42" s="55">
        <f ca="1">IS!K50</f>
        <v>6.8485012071491269</v>
      </c>
      <c r="L42" s="55">
        <f ca="1">IS!L50</f>
        <v>7.4510567666093444</v>
      </c>
      <c r="M42" s="55">
        <f ca="1">IS!M50</f>
        <v>8.0785996717200046</v>
      </c>
      <c r="N42" s="55">
        <f ca="1">IS!N50</f>
        <v>8.7364823498486039</v>
      </c>
      <c r="O42" s="55">
        <f ca="1">IS!O50</f>
        <v>8.3943834731929883</v>
      </c>
    </row>
    <row r="43" spans="2:15" ht="18" customHeight="1" x14ac:dyDescent="0.25">
      <c r="B43" s="2" t="s">
        <v>582</v>
      </c>
      <c r="C43" s="2"/>
      <c r="D43" s="55"/>
      <c r="E43" s="55"/>
      <c r="F43" s="55">
        <f t="shared" ref="F43:O43" ca="1" si="15">E43+F42</f>
        <v>3.533584733020998</v>
      </c>
      <c r="G43" s="55">
        <f t="shared" ca="1" si="15"/>
        <v>9.2159922902685878</v>
      </c>
      <c r="H43" s="55">
        <f t="shared" ca="1" si="15"/>
        <v>15.434345786781559</v>
      </c>
      <c r="I43" s="55">
        <f t="shared" ca="1" si="15"/>
        <v>22.296408806279445</v>
      </c>
      <c r="J43" s="55">
        <f t="shared" ca="1" si="15"/>
        <v>28.61902684218272</v>
      </c>
      <c r="K43" s="55">
        <f t="shared" ca="1" si="15"/>
        <v>35.467528049331847</v>
      </c>
      <c r="L43" s="55">
        <f t="shared" ca="1" si="15"/>
        <v>42.918584815941188</v>
      </c>
      <c r="M43" s="55">
        <f t="shared" ca="1" si="15"/>
        <v>50.997184487661194</v>
      </c>
      <c r="N43" s="55">
        <f t="shared" ca="1" si="15"/>
        <v>59.733666837509801</v>
      </c>
      <c r="O43" s="55">
        <f t="shared" ca="1" si="15"/>
        <v>68.12805031070279</v>
      </c>
    </row>
    <row r="44" spans="2:15" ht="18" customHeight="1" x14ac:dyDescent="0.25">
      <c r="B44" s="2" t="s">
        <v>583</v>
      </c>
      <c r="C44" s="2"/>
      <c r="E44" s="2"/>
      <c r="F44" s="55">
        <f ca="1">'TPC and MoF'!D20</f>
        <v>41.265641130121686</v>
      </c>
      <c r="G44" s="2"/>
      <c r="H44" s="2"/>
      <c r="I44" s="2"/>
      <c r="J44" s="2"/>
      <c r="K44" s="2"/>
      <c r="L44" s="2"/>
      <c r="M44" s="2"/>
      <c r="N44" s="2"/>
    </row>
    <row r="45" spans="2:15" ht="18" customHeight="1" x14ac:dyDescent="0.25">
      <c r="B45" s="29" t="s">
        <v>584</v>
      </c>
      <c r="C45" s="29"/>
      <c r="D45" s="29"/>
      <c r="E45" s="299"/>
      <c r="F45" s="299">
        <f ca="1">(6/12)+5+((F44-K43)/L42)</f>
        <v>6.2781598318741985</v>
      </c>
      <c r="G45" s="299"/>
      <c r="H45" s="299"/>
      <c r="I45" s="299"/>
      <c r="J45" s="299"/>
      <c r="K45" s="299"/>
      <c r="L45" s="299"/>
      <c r="M45" s="299"/>
      <c r="N45" s="299"/>
    </row>
    <row r="49" spans="2:6" ht="18" customHeight="1" x14ac:dyDescent="0.25">
      <c r="B49" s="41" t="s">
        <v>650</v>
      </c>
      <c r="C49" s="40"/>
      <c r="D49" s="41" t="s">
        <v>473</v>
      </c>
      <c r="E49" s="315" t="s">
        <v>582</v>
      </c>
      <c r="F49" s="40"/>
    </row>
    <row r="50" spans="2:6" ht="18" customHeight="1" x14ac:dyDescent="0.25">
      <c r="B50" s="314">
        <f t="array" ref="B50:B59">TRANSPOSE(F9:O9)</f>
        <v>46112</v>
      </c>
      <c r="D50" s="248">
        <f t="array" aca="1" ref="D50:D59" ca="1">TRANSPOSE(F42:O42)</f>
        <v>3.533584733020998</v>
      </c>
      <c r="E50" s="286">
        <f ca="1">D50</f>
        <v>3.533584733020998</v>
      </c>
    </row>
    <row r="51" spans="2:6" ht="18" customHeight="1" x14ac:dyDescent="0.25">
      <c r="B51" s="314">
        <v>46477</v>
      </c>
      <c r="D51" s="248">
        <f ca="1"/>
        <v>5.6824075572475898</v>
      </c>
      <c r="E51" s="286">
        <f ca="1">D51+E50</f>
        <v>9.2159922902685878</v>
      </c>
    </row>
    <row r="52" spans="2:6" ht="18" customHeight="1" x14ac:dyDescent="0.25">
      <c r="B52" s="314">
        <v>46843</v>
      </c>
      <c r="D52" s="248">
        <f ca="1"/>
        <v>6.2183534965129716</v>
      </c>
      <c r="E52" s="286">
        <f t="shared" ref="E52:E59" ca="1" si="16">D52+E51</f>
        <v>15.434345786781559</v>
      </c>
    </row>
    <row r="53" spans="2:6" ht="18" customHeight="1" x14ac:dyDescent="0.25">
      <c r="B53" s="314">
        <v>47208</v>
      </c>
      <c r="D53" s="248">
        <f ca="1"/>
        <v>6.8620630194978851</v>
      </c>
      <c r="E53" s="286">
        <f t="shared" ca="1" si="16"/>
        <v>22.296408806279445</v>
      </c>
    </row>
    <row r="54" spans="2:6" ht="18" customHeight="1" x14ac:dyDescent="0.25">
      <c r="B54" s="314">
        <v>47573</v>
      </c>
      <c r="D54" s="248">
        <f ca="1"/>
        <v>6.3226180359032735</v>
      </c>
      <c r="E54" s="286">
        <f t="shared" ca="1" si="16"/>
        <v>28.61902684218272</v>
      </c>
    </row>
    <row r="55" spans="2:6" ht="18" customHeight="1" x14ac:dyDescent="0.25">
      <c r="B55" s="314">
        <v>47938</v>
      </c>
      <c r="D55" s="248">
        <f ca="1"/>
        <v>6.8485012071491269</v>
      </c>
      <c r="E55" s="286">
        <f t="shared" ca="1" si="16"/>
        <v>35.467528049331847</v>
      </c>
    </row>
    <row r="56" spans="2:6" ht="18" customHeight="1" x14ac:dyDescent="0.25">
      <c r="B56" s="314">
        <v>48304</v>
      </c>
      <c r="D56" s="248">
        <f ca="1"/>
        <v>7.4510567666093444</v>
      </c>
      <c r="E56" s="286">
        <f t="shared" ca="1" si="16"/>
        <v>42.918584815941188</v>
      </c>
    </row>
    <row r="57" spans="2:6" ht="18" customHeight="1" x14ac:dyDescent="0.25">
      <c r="B57" s="314">
        <v>48669</v>
      </c>
      <c r="D57" s="248">
        <f ca="1"/>
        <v>8.0785996717200046</v>
      </c>
      <c r="E57" s="286">
        <f t="shared" ca="1" si="16"/>
        <v>50.997184487661194</v>
      </c>
    </row>
    <row r="58" spans="2:6" ht="18" customHeight="1" x14ac:dyDescent="0.25">
      <c r="B58" s="314">
        <v>49034</v>
      </c>
      <c r="D58" s="248">
        <f ca="1"/>
        <v>8.7364823498486039</v>
      </c>
      <c r="E58" s="286">
        <f t="shared" ca="1" si="16"/>
        <v>59.733666837509801</v>
      </c>
    </row>
    <row r="59" spans="2:6" ht="18" customHeight="1" x14ac:dyDescent="0.25">
      <c r="B59" s="314">
        <v>49399</v>
      </c>
      <c r="D59" s="248">
        <f ca="1"/>
        <v>8.3943834731929883</v>
      </c>
      <c r="E59" s="286">
        <f t="shared" ca="1" si="16"/>
        <v>68.12805031070279</v>
      </c>
    </row>
    <row r="60" spans="2:6" ht="18" customHeight="1" x14ac:dyDescent="0.25">
      <c r="B60" s="314" t="s">
        <v>273</v>
      </c>
      <c r="D60" s="248">
        <f ca="1">SUM(D50:D59)</f>
        <v>68.12805031070279</v>
      </c>
      <c r="E60" s="286"/>
    </row>
    <row r="61" spans="2:6" ht="18" customHeight="1" x14ac:dyDescent="0.25">
      <c r="B61" s="318" t="s">
        <v>102</v>
      </c>
      <c r="C61" s="319"/>
      <c r="D61" s="320">
        <f ca="1">'TPC and MoF'!D20</f>
        <v>41.265641130121686</v>
      </c>
      <c r="E61" s="321"/>
      <c r="F61" s="319"/>
    </row>
    <row r="62" spans="2:6" ht="18" customHeight="1" x14ac:dyDescent="0.25">
      <c r="B62" s="316" t="s">
        <v>584</v>
      </c>
      <c r="C62" s="316"/>
      <c r="D62" s="317">
        <f ca="1">0.5+5+(D61-E55)/D56</f>
        <v>6.2781598318741985</v>
      </c>
      <c r="E62" s="316" t="s">
        <v>446</v>
      </c>
      <c r="F62" s="316"/>
    </row>
    <row r="68" spans="2:4" ht="18" customHeight="1" x14ac:dyDescent="0.25">
      <c r="B68" s="685" t="s">
        <v>1032</v>
      </c>
      <c r="C68" s="685"/>
      <c r="D68" s="685"/>
    </row>
    <row r="69" spans="2:4" ht="18" customHeight="1" x14ac:dyDescent="0.25">
      <c r="B69" s="646" t="s">
        <v>1033</v>
      </c>
      <c r="C69" s="646"/>
      <c r="D69" s="647">
        <f>'TPC and MoF'!D27</f>
        <v>28.43</v>
      </c>
    </row>
    <row r="70" spans="2:4" ht="18" customHeight="1" x14ac:dyDescent="0.25">
      <c r="B70" s="646" t="s">
        <v>489</v>
      </c>
      <c r="C70" s="646"/>
      <c r="D70" s="647">
        <f ca="1">'TPC and MoF'!D26</f>
        <v>12.835641130121687</v>
      </c>
    </row>
    <row r="71" spans="2:4" ht="18" customHeight="1" x14ac:dyDescent="0.25">
      <c r="B71" s="648" t="s">
        <v>1034</v>
      </c>
      <c r="C71" s="648"/>
      <c r="D71" s="649">
        <f ca="1">SUM(D69:D70)</f>
        <v>41.265641130121686</v>
      </c>
    </row>
    <row r="72" spans="2:4" ht="18" customHeight="1" x14ac:dyDescent="0.25">
      <c r="B72" s="646"/>
      <c r="C72" s="646"/>
      <c r="D72" s="646"/>
    </row>
    <row r="73" spans="2:4" ht="18" customHeight="1" x14ac:dyDescent="0.25">
      <c r="B73" s="646" t="s">
        <v>1035</v>
      </c>
      <c r="C73" s="646"/>
      <c r="D73" s="650">
        <f ca="1">D69/D71</f>
        <v>0.68895088556488315</v>
      </c>
    </row>
    <row r="74" spans="2:4" ht="18" customHeight="1" x14ac:dyDescent="0.25">
      <c r="B74" s="646" t="s">
        <v>1036</v>
      </c>
      <c r="C74" s="646"/>
      <c r="D74" s="650">
        <f ca="1">D70/D71</f>
        <v>0.3110491144351169</v>
      </c>
    </row>
    <row r="75" spans="2:4" ht="18" customHeight="1" x14ac:dyDescent="0.25">
      <c r="B75" s="646"/>
      <c r="C75" s="646"/>
      <c r="D75" s="646"/>
    </row>
    <row r="76" spans="2:4" ht="18" customHeight="1" x14ac:dyDescent="0.25">
      <c r="B76" s="646" t="s">
        <v>1037</v>
      </c>
      <c r="C76" s="646"/>
      <c r="D76" s="651">
        <f>'Common Assumption'!D106</f>
        <v>9.5000000000000001E-2</v>
      </c>
    </row>
    <row r="77" spans="2:4" ht="18" customHeight="1" x14ac:dyDescent="0.25">
      <c r="B77" s="646" t="s">
        <v>1038</v>
      </c>
      <c r="C77" s="646"/>
      <c r="D77" s="651">
        <f>'Common Assumption'!D118</f>
        <v>0.2782</v>
      </c>
    </row>
    <row r="78" spans="2:4" ht="18" customHeight="1" x14ac:dyDescent="0.25">
      <c r="B78" s="646" t="s">
        <v>1039</v>
      </c>
      <c r="C78" s="646"/>
      <c r="D78" s="650">
        <f>D76*(1-D77)</f>
        <v>6.8571000000000007E-2</v>
      </c>
    </row>
    <row r="79" spans="2:4" ht="18" customHeight="1" x14ac:dyDescent="0.25">
      <c r="B79" s="646"/>
      <c r="C79" s="646"/>
      <c r="D79" s="646"/>
    </row>
    <row r="80" spans="2:4" ht="18" customHeight="1" x14ac:dyDescent="0.25">
      <c r="B80" s="646" t="s">
        <v>1040</v>
      </c>
      <c r="C80" s="646"/>
      <c r="D80" s="651">
        <v>0.12139999999999999</v>
      </c>
    </row>
    <row r="81" spans="2:4" ht="18" customHeight="1" x14ac:dyDescent="0.25">
      <c r="B81" s="646"/>
      <c r="C81" s="646"/>
      <c r="D81" s="646"/>
    </row>
    <row r="82" spans="2:4" ht="18" customHeight="1" x14ac:dyDescent="0.25">
      <c r="B82" s="652" t="s">
        <v>1032</v>
      </c>
      <c r="C82" s="652"/>
      <c r="D82" s="653">
        <f ca="1">D73*D78+D74*D80</f>
        <v>8.5003413666492805E-2</v>
      </c>
    </row>
  </sheetData>
  <mergeCells count="3">
    <mergeCell ref="D8:E8"/>
    <mergeCell ref="F8:O8"/>
    <mergeCell ref="B68:D68"/>
  </mergeCells>
  <pageMargins left="0.7" right="0.7" top="0.75" bottom="0.75" header="0.3" footer="0.3"/>
  <pageSetup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9"/>
  <sheetViews>
    <sheetView showGridLines="0" zoomScaleNormal="100" workbookViewId="0"/>
  </sheetViews>
  <sheetFormatPr defaultColWidth="13.7109375" defaultRowHeight="18" customHeight="1" x14ac:dyDescent="0.25"/>
  <cols>
    <col min="1" max="1" width="4.85546875" style="1" customWidth="1"/>
    <col min="2" max="2" width="43.42578125" style="1" customWidth="1"/>
    <col min="3" max="3" width="7.140625" style="1" customWidth="1"/>
    <col min="4" max="13" width="12.7109375" style="1" customWidth="1"/>
    <col min="14" max="15" width="16.140625" style="1" bestFit="1" customWidth="1"/>
    <col min="16" max="16384" width="13.7109375" style="1"/>
  </cols>
  <sheetData>
    <row r="1" spans="2:16" ht="15.75" customHeight="1" x14ac:dyDescent="0.25"/>
    <row r="2" spans="2:16" s="2" customFormat="1" ht="18" customHeight="1" x14ac:dyDescent="0.25">
      <c r="B2" s="34" t="str">
        <f>"Financial Model of " &amp; B4</f>
        <v>Financial Model of Proposed 6000 KGPD CBG plant set up M/s. NRS BIO FUEL ENERGIES LLP</v>
      </c>
      <c r="C2" s="35"/>
      <c r="D2" s="35"/>
      <c r="E2" s="35"/>
      <c r="F2" s="35"/>
      <c r="G2" s="35"/>
      <c r="H2" s="35"/>
      <c r="I2" s="35"/>
      <c r="J2" s="35"/>
      <c r="K2" s="35"/>
      <c r="L2" s="35"/>
      <c r="M2" s="35"/>
      <c r="N2" s="35"/>
      <c r="O2" s="35"/>
      <c r="P2" s="25"/>
    </row>
    <row r="3" spans="2:16" s="2" customFormat="1" ht="12" customHeight="1" x14ac:dyDescent="0.25">
      <c r="C3" s="25"/>
      <c r="D3" s="25"/>
      <c r="E3" s="25"/>
      <c r="F3" s="25"/>
      <c r="G3" s="25"/>
      <c r="H3" s="25"/>
      <c r="I3" s="25"/>
      <c r="J3" s="25"/>
      <c r="K3" s="25"/>
      <c r="L3" s="25"/>
      <c r="M3" s="25"/>
      <c r="N3" s="25"/>
      <c r="O3" s="25"/>
      <c r="P3" s="25"/>
    </row>
    <row r="4" spans="2:16" s="2" customFormat="1" ht="18" customHeight="1" x14ac:dyDescent="0.25">
      <c r="B4" s="26" t="str">
        <f>'Common Assumption'!B4</f>
        <v>Proposed 6000 KGPD CBG plant set up M/s. NRS BIO FUEL ENERGIES LLP</v>
      </c>
      <c r="C4" s="26"/>
      <c r="D4" s="27"/>
      <c r="E4" s="27"/>
      <c r="F4" s="27"/>
      <c r="G4" s="27"/>
      <c r="H4" s="27"/>
      <c r="I4" s="27"/>
      <c r="J4" s="27"/>
      <c r="K4" s="27"/>
      <c r="L4" s="27"/>
      <c r="M4" s="27"/>
      <c r="N4" s="27"/>
      <c r="O4" s="27"/>
      <c r="P4" s="25"/>
    </row>
    <row r="5" spans="2:16" s="2" customFormat="1" ht="13.5" customHeight="1" x14ac:dyDescent="0.25">
      <c r="C5" s="25"/>
      <c r="D5" s="25"/>
      <c r="F5" s="28"/>
      <c r="P5" s="25"/>
    </row>
    <row r="6" spans="2:16" s="2" customFormat="1" ht="18" customHeight="1" x14ac:dyDescent="0.25">
      <c r="B6" s="26" t="s">
        <v>585</v>
      </c>
      <c r="C6" s="26"/>
      <c r="D6" s="27"/>
      <c r="E6" s="27"/>
      <c r="F6" s="27"/>
      <c r="G6" s="27"/>
      <c r="H6" s="27"/>
      <c r="I6" s="27"/>
      <c r="J6" s="27"/>
      <c r="K6" s="27"/>
      <c r="L6" s="27"/>
      <c r="M6" s="27"/>
      <c r="N6" s="27"/>
      <c r="O6" s="27"/>
      <c r="P6" s="25"/>
    </row>
    <row r="7" spans="2:16" s="2" customFormat="1" ht="12.75" customHeight="1" x14ac:dyDescent="0.25">
      <c r="C7" s="25"/>
      <c r="D7" s="25"/>
      <c r="F7" s="28"/>
      <c r="O7" s="25"/>
      <c r="P7" s="25"/>
    </row>
    <row r="8" spans="2:16" s="2" customFormat="1" ht="18" customHeight="1" x14ac:dyDescent="0.25">
      <c r="C8" s="25"/>
      <c r="D8" s="675" t="s">
        <v>8</v>
      </c>
      <c r="E8" s="675"/>
      <c r="F8" s="676" t="s">
        <v>52</v>
      </c>
      <c r="G8" s="676"/>
      <c r="H8" s="676"/>
      <c r="I8" s="676"/>
      <c r="J8" s="676"/>
      <c r="K8" s="676"/>
      <c r="L8" s="676"/>
      <c r="M8" s="676"/>
      <c r="N8" s="676"/>
      <c r="O8" s="676"/>
      <c r="P8" s="25"/>
    </row>
    <row r="9" spans="2:16" s="2" customFormat="1" ht="18" customHeight="1" x14ac:dyDescent="0.25">
      <c r="B9" s="29" t="s">
        <v>53</v>
      </c>
      <c r="C9" s="30" t="s">
        <v>54</v>
      </c>
      <c r="D9" s="31">
        <f>EOMONTH('Common Assumption'!E11,5)</f>
        <v>45747</v>
      </c>
      <c r="E9" s="31">
        <f>'Common Assumption'!E13</f>
        <v>45930</v>
      </c>
      <c r="F9" s="31">
        <f>DATE(YEAR(E9)+1,MONTH(E9)-6,DAY(E9)+1)</f>
        <v>46112</v>
      </c>
      <c r="G9" s="31">
        <f>DATE(YEAR(F9)+1,MONTH(F9),DAY(F9))</f>
        <v>46477</v>
      </c>
      <c r="H9" s="31">
        <f t="shared" ref="H9:O9" si="0">DATE(YEAR(G9)+1,MONTH(G9),DAY(G9))</f>
        <v>46843</v>
      </c>
      <c r="I9" s="31">
        <f t="shared" si="0"/>
        <v>47208</v>
      </c>
      <c r="J9" s="31">
        <f t="shared" si="0"/>
        <v>47573</v>
      </c>
      <c r="K9" s="31">
        <f t="shared" si="0"/>
        <v>47938</v>
      </c>
      <c r="L9" s="31">
        <f t="shared" si="0"/>
        <v>48304</v>
      </c>
      <c r="M9" s="31">
        <f t="shared" si="0"/>
        <v>48669</v>
      </c>
      <c r="N9" s="31">
        <f t="shared" si="0"/>
        <v>49034</v>
      </c>
      <c r="O9" s="31">
        <f t="shared" si="0"/>
        <v>49399</v>
      </c>
      <c r="P9" s="25"/>
    </row>
    <row r="10" spans="2:16" s="32" customFormat="1" ht="18" customHeight="1" x14ac:dyDescent="0.25">
      <c r="B10" s="37" t="s">
        <v>55</v>
      </c>
      <c r="C10" s="38"/>
      <c r="D10" s="36">
        <v>0</v>
      </c>
      <c r="E10" s="36">
        <v>0</v>
      </c>
      <c r="F10" s="39">
        <v>1</v>
      </c>
      <c r="G10" s="39">
        <f>F10+1</f>
        <v>2</v>
      </c>
      <c r="H10" s="39">
        <f t="shared" ref="H10:O10" si="1">G10+1</f>
        <v>3</v>
      </c>
      <c r="I10" s="39">
        <f t="shared" si="1"/>
        <v>4</v>
      </c>
      <c r="J10" s="39">
        <f t="shared" si="1"/>
        <v>5</v>
      </c>
      <c r="K10" s="39">
        <f t="shared" si="1"/>
        <v>6</v>
      </c>
      <c r="L10" s="39">
        <f t="shared" si="1"/>
        <v>7</v>
      </c>
      <c r="M10" s="39">
        <f t="shared" si="1"/>
        <v>8</v>
      </c>
      <c r="N10" s="39">
        <f t="shared" si="1"/>
        <v>9</v>
      </c>
      <c r="O10" s="39">
        <f t="shared" si="1"/>
        <v>10</v>
      </c>
      <c r="P10" s="33"/>
    </row>
    <row r="11" spans="2:16" s="32" customFormat="1" ht="18" customHeight="1" x14ac:dyDescent="0.25">
      <c r="B11" s="37" t="s">
        <v>56</v>
      </c>
      <c r="C11" s="38">
        <f>'Common Assumption'!E12</f>
        <v>11</v>
      </c>
      <c r="D11" s="36">
        <f>MONTH(D9-'Common Assumption'!E11)</f>
        <v>5</v>
      </c>
      <c r="E11" s="36">
        <f>C11-D11</f>
        <v>6</v>
      </c>
      <c r="F11" s="38">
        <f>MONTH(F9-E9)</f>
        <v>6</v>
      </c>
      <c r="G11" s="38">
        <f t="shared" ref="G11:O11" si="2">MONTH(G9-F9)</f>
        <v>12</v>
      </c>
      <c r="H11" s="38">
        <f t="shared" si="2"/>
        <v>12</v>
      </c>
      <c r="I11" s="38">
        <f t="shared" si="2"/>
        <v>12</v>
      </c>
      <c r="J11" s="38">
        <f t="shared" si="2"/>
        <v>12</v>
      </c>
      <c r="K11" s="38">
        <f t="shared" si="2"/>
        <v>12</v>
      </c>
      <c r="L11" s="38">
        <f t="shared" si="2"/>
        <v>12</v>
      </c>
      <c r="M11" s="38">
        <f t="shared" si="2"/>
        <v>12</v>
      </c>
      <c r="N11" s="38">
        <f t="shared" si="2"/>
        <v>12</v>
      </c>
      <c r="O11" s="38">
        <f t="shared" si="2"/>
        <v>12</v>
      </c>
      <c r="P11" s="33"/>
    </row>
    <row r="12" spans="2:16" ht="7.5" customHeight="1" x14ac:dyDescent="0.25"/>
    <row r="13" spans="2:16" ht="18" customHeight="1" x14ac:dyDescent="0.25">
      <c r="B13" s="2" t="s">
        <v>586</v>
      </c>
      <c r="C13" s="2"/>
      <c r="D13" s="2"/>
      <c r="E13" s="2"/>
      <c r="F13" s="55">
        <f>IS!F13</f>
        <v>13.336486799999999</v>
      </c>
      <c r="G13" s="55">
        <f>IS!G13</f>
        <v>26.929444499999999</v>
      </c>
      <c r="H13" s="55">
        <f>IS!H13</f>
        <v>28.275916725000005</v>
      </c>
      <c r="I13" s="55">
        <f>IS!I13</f>
        <v>29.726569999600006</v>
      </c>
      <c r="J13" s="55">
        <f>IS!J13</f>
        <v>29.689712561250005</v>
      </c>
      <c r="K13" s="55">
        <f>IS!K13</f>
        <v>31.174198189312506</v>
      </c>
      <c r="L13" s="55">
        <f>IS!L13</f>
        <v>32.73290809877814</v>
      </c>
      <c r="M13" s="55">
        <f>IS!M13</f>
        <v>34.369553503717043</v>
      </c>
      <c r="N13" s="55">
        <f>IS!N13</f>
        <v>36.088031178902895</v>
      </c>
      <c r="O13" s="55">
        <f>IS!O13</f>
        <v>37.89243273784804</v>
      </c>
    </row>
    <row r="14" spans="2:16" ht="18" customHeight="1" x14ac:dyDescent="0.25">
      <c r="B14" s="2" t="s">
        <v>587</v>
      </c>
      <c r="C14" s="2"/>
      <c r="D14" s="2"/>
      <c r="E14" s="2"/>
      <c r="F14" s="55">
        <f>IS!F15+IS!F16+IS!F17+IS!F18+IS!F19</f>
        <v>6.9746000000000006</v>
      </c>
      <c r="G14" s="55">
        <f>IS!G15+IS!G16+IS!G17+IS!G18+IS!G19</f>
        <v>14.141624999999999</v>
      </c>
      <c r="H14" s="55">
        <f>IS!H15+IS!H16+IS!H17+IS!H18+IS!H19</f>
        <v>14.884181250000001</v>
      </c>
      <c r="I14" s="55">
        <f>IS!I15+IS!I16+IS!I17+IS!I18+IS!I19</f>
        <v>15.667412812500002</v>
      </c>
      <c r="J14" s="55">
        <f>IS!J15+IS!J16+IS!J17+IS!J18+IS!J19</f>
        <v>16.493708203125003</v>
      </c>
      <c r="K14" s="55">
        <f>IS!K15+IS!K16+IS!K17+IS!K18+IS!K19</f>
        <v>17.365610838281256</v>
      </c>
      <c r="L14" s="55">
        <f>IS!L15+IS!L16+IS!L17+IS!L18+IS!L19</f>
        <v>18.285830327695319</v>
      </c>
      <c r="M14" s="55">
        <f>IS!M15+IS!M16+IS!M17+IS!M18+IS!M19</f>
        <v>19.257254686330086</v>
      </c>
      <c r="N14" s="55">
        <f>IS!N15+IS!N16+IS!N17+IS!N18+IS!N19</f>
        <v>20.282963547121589</v>
      </c>
      <c r="O14" s="55">
        <f>IS!O15+IS!O16+IS!O17+IS!O18+IS!O19</f>
        <v>21.366242463600173</v>
      </c>
    </row>
    <row r="15" spans="2:16" ht="18" customHeight="1" x14ac:dyDescent="0.25">
      <c r="B15" s="195" t="s">
        <v>588</v>
      </c>
      <c r="C15" s="195"/>
      <c r="D15" s="195"/>
      <c r="E15" s="195"/>
      <c r="F15" s="204">
        <f>F13-F14</f>
        <v>6.3618867999999988</v>
      </c>
      <c r="G15" s="204">
        <f t="shared" ref="G15:O15" si="3">G13-G14</f>
        <v>12.787819499999999</v>
      </c>
      <c r="H15" s="204">
        <f t="shared" si="3"/>
        <v>13.391735475000004</v>
      </c>
      <c r="I15" s="204">
        <f t="shared" si="3"/>
        <v>14.059157187100004</v>
      </c>
      <c r="J15" s="204">
        <f t="shared" si="3"/>
        <v>13.196004358125002</v>
      </c>
      <c r="K15" s="204">
        <f t="shared" si="3"/>
        <v>13.80858735103125</v>
      </c>
      <c r="L15" s="204">
        <f t="shared" si="3"/>
        <v>14.447077771082821</v>
      </c>
      <c r="M15" s="204">
        <f t="shared" si="3"/>
        <v>15.112298817386957</v>
      </c>
      <c r="N15" s="204">
        <f t="shared" si="3"/>
        <v>15.805067631781306</v>
      </c>
      <c r="O15" s="204">
        <f t="shared" si="3"/>
        <v>16.526190274247867</v>
      </c>
    </row>
    <row r="16" spans="2:16" ht="18" customHeight="1" x14ac:dyDescent="0.25">
      <c r="B16" s="2" t="s">
        <v>589</v>
      </c>
      <c r="C16" s="2"/>
      <c r="D16" s="2"/>
      <c r="E16" s="2"/>
      <c r="F16" s="55">
        <f>IS!F20+IS!F21+IS!F33</f>
        <v>2.0523130909790464</v>
      </c>
      <c r="G16" s="55">
        <f>IS!G20+IS!G21+IS!G33</f>
        <v>3.9483493192459984</v>
      </c>
      <c r="H16" s="55">
        <f>IS!H20+IS!H21+IS!H33</f>
        <v>4.1306099100687197</v>
      </c>
      <c r="I16" s="55">
        <f>IS!I20+IS!I21+IS!I33</f>
        <v>4.3250354549288286</v>
      </c>
      <c r="J16" s="55">
        <f>IS!J20+IS!J21+IS!J33</f>
        <v>4.4124666404009432</v>
      </c>
      <c r="K16" s="55">
        <f>IS!K20+IS!K21+IS!K33</f>
        <v>4.6188207701211352</v>
      </c>
      <c r="L16" s="55">
        <f>IS!L20+IS!L21+IS!L33</f>
        <v>4.835555574980881</v>
      </c>
      <c r="M16" s="55">
        <f>IS!M20+IS!M21+IS!M33</f>
        <v>5.0636728956926955</v>
      </c>
      <c r="N16" s="55">
        <f>IS!N20+IS!N21+IS!N33</f>
        <v>5.3035300870034527</v>
      </c>
      <c r="O16" s="55">
        <f>IS!O20+IS!O21+IS!O33</f>
        <v>5.5549297750698763</v>
      </c>
    </row>
    <row r="17" spans="2:15" ht="18" customHeight="1" x14ac:dyDescent="0.25">
      <c r="B17" s="2" t="s">
        <v>590</v>
      </c>
      <c r="C17" s="2"/>
      <c r="D17" s="2"/>
      <c r="E17" s="2"/>
      <c r="F17" s="55">
        <f>F15-F16</f>
        <v>4.3095737090209525</v>
      </c>
      <c r="G17" s="55">
        <f t="shared" ref="G17:O17" si="4">G15-G16</f>
        <v>8.8394701807540006</v>
      </c>
      <c r="H17" s="55">
        <f t="shared" si="4"/>
        <v>9.2611255649312838</v>
      </c>
      <c r="I17" s="55">
        <f t="shared" si="4"/>
        <v>9.7341217321711753</v>
      </c>
      <c r="J17" s="55">
        <f t="shared" si="4"/>
        <v>8.7835377177240588</v>
      </c>
      <c r="K17" s="55">
        <f t="shared" si="4"/>
        <v>9.1897665809101134</v>
      </c>
      <c r="L17" s="55">
        <f t="shared" si="4"/>
        <v>9.6115221961019408</v>
      </c>
      <c r="M17" s="55">
        <f t="shared" si="4"/>
        <v>10.048625921694262</v>
      </c>
      <c r="N17" s="55">
        <f t="shared" si="4"/>
        <v>10.501537544777854</v>
      </c>
      <c r="O17" s="55">
        <f t="shared" si="4"/>
        <v>10.971260499177991</v>
      </c>
    </row>
    <row r="18" spans="2:15" ht="18" customHeight="1" x14ac:dyDescent="0.25">
      <c r="B18" s="195" t="s">
        <v>591</v>
      </c>
      <c r="C18" s="195"/>
      <c r="D18" s="195"/>
      <c r="E18" s="195"/>
      <c r="F18" s="300">
        <f>F15/F13</f>
        <v>0.47702868794501407</v>
      </c>
      <c r="G18" s="300">
        <f t="shared" ref="G18:O18" si="5">G15/G13</f>
        <v>0.47486384280967991</v>
      </c>
      <c r="H18" s="300">
        <f t="shared" si="5"/>
        <v>0.47360924157623407</v>
      </c>
      <c r="I18" s="300">
        <f t="shared" si="5"/>
        <v>0.47294918947221898</v>
      </c>
      <c r="J18" s="300">
        <f t="shared" si="5"/>
        <v>0.44446386373399838</v>
      </c>
      <c r="K18" s="300">
        <f t="shared" si="5"/>
        <v>0.44294923857144358</v>
      </c>
      <c r="L18" s="300">
        <f t="shared" si="5"/>
        <v>0.44136248840114833</v>
      </c>
      <c r="M18" s="300">
        <f t="shared" si="5"/>
        <v>0.43970017869893402</v>
      </c>
      <c r="N18" s="300">
        <f t="shared" si="5"/>
        <v>0.43795871139185244</v>
      </c>
      <c r="O18" s="300">
        <f t="shared" si="5"/>
        <v>0.43613431707014783</v>
      </c>
    </row>
    <row r="19" spans="2:15" ht="18" customHeight="1" x14ac:dyDescent="0.25">
      <c r="B19" s="301" t="s">
        <v>592</v>
      </c>
      <c r="C19" s="195"/>
      <c r="D19" s="195"/>
      <c r="E19" s="195"/>
      <c r="F19" s="204">
        <f>(F16/F15)*F13</f>
        <v>4.3022844177782691</v>
      </c>
      <c r="G19" s="204">
        <f t="shared" ref="G19:O19" si="6">(G16/G15)*G13</f>
        <v>8.3146977371120929</v>
      </c>
      <c r="H19" s="204">
        <f t="shared" si="6"/>
        <v>8.7215568182780903</v>
      </c>
      <c r="I19" s="204">
        <f t="shared" si="6"/>
        <v>9.144820524495012</v>
      </c>
      <c r="J19" s="204">
        <f t="shared" si="6"/>
        <v>9.9276161695829224</v>
      </c>
      <c r="K19" s="204">
        <f t="shared" si="6"/>
        <v>10.427426819870607</v>
      </c>
      <c r="L19" s="204">
        <f t="shared" si="6"/>
        <v>10.955973155983093</v>
      </c>
      <c r="M19" s="204">
        <f t="shared" si="6"/>
        <v>11.51619476406861</v>
      </c>
      <c r="N19" s="204">
        <f t="shared" si="6"/>
        <v>12.109657712135915</v>
      </c>
      <c r="O19" s="204">
        <f t="shared" si="6"/>
        <v>12.736740856318402</v>
      </c>
    </row>
    <row r="20" spans="2:15" ht="18" customHeight="1" x14ac:dyDescent="0.25">
      <c r="B20" s="88" t="s">
        <v>593</v>
      </c>
      <c r="C20" s="88"/>
      <c r="D20" s="88"/>
      <c r="E20" s="88"/>
      <c r="F20" s="302">
        <f>F19/F13</f>
        <v>0.32259503438178855</v>
      </c>
      <c r="G20" s="302">
        <f t="shared" ref="G20:O20" si="7">G19/G13</f>
        <v>0.30875860573774899</v>
      </c>
      <c r="H20" s="302">
        <f t="shared" si="7"/>
        <v>0.30844470589938366</v>
      </c>
      <c r="I20" s="302">
        <f t="shared" si="7"/>
        <v>0.30763120415904233</v>
      </c>
      <c r="J20" s="302">
        <f t="shared" si="7"/>
        <v>0.33437899235643348</v>
      </c>
      <c r="K20" s="302">
        <f t="shared" si="7"/>
        <v>0.33448901416959159</v>
      </c>
      <c r="L20" s="302">
        <f t="shared" si="7"/>
        <v>0.33470821238740045</v>
      </c>
      <c r="M20" s="302">
        <f t="shared" si="7"/>
        <v>0.3350696645745817</v>
      </c>
      <c r="N20" s="302">
        <f t="shared" si="7"/>
        <v>0.33555883534082165</v>
      </c>
      <c r="O20" s="302">
        <f t="shared" si="7"/>
        <v>0.33612887682443737</v>
      </c>
    </row>
    <row r="21" spans="2:15" ht="18" customHeight="1" x14ac:dyDescent="0.25">
      <c r="B21" s="2"/>
      <c r="C21" s="2"/>
      <c r="D21" s="2"/>
      <c r="E21" s="2"/>
      <c r="F21" s="2"/>
      <c r="G21" s="2"/>
      <c r="H21" s="2"/>
      <c r="I21" s="2"/>
      <c r="J21" s="2"/>
      <c r="K21" s="2"/>
      <c r="L21" s="2"/>
      <c r="M21" s="2"/>
      <c r="N21" s="2"/>
    </row>
    <row r="22" spans="2:15" ht="18" customHeight="1" x14ac:dyDescent="0.25">
      <c r="B22" s="285" t="s">
        <v>594</v>
      </c>
      <c r="C22" s="285"/>
      <c r="D22" s="285"/>
      <c r="E22" s="285"/>
      <c r="F22" s="285"/>
      <c r="G22" s="285"/>
      <c r="H22" s="285"/>
      <c r="I22" s="285"/>
      <c r="J22" s="285"/>
      <c r="K22" s="285"/>
      <c r="L22" s="285"/>
      <c r="M22" s="285"/>
      <c r="N22" s="285"/>
      <c r="O22" s="298"/>
    </row>
    <row r="24" spans="2:15" ht="18" hidden="1" customHeight="1" x14ac:dyDescent="0.25">
      <c r="B24" s="2" t="s">
        <v>481</v>
      </c>
      <c r="C24" s="2"/>
      <c r="D24" s="2"/>
      <c r="E24" s="2"/>
      <c r="F24" s="201">
        <f ca="1">IS!F62</f>
        <v>0.37383696165958369</v>
      </c>
      <c r="G24" s="201">
        <f ca="1">IS!G62</f>
        <v>0.3192905035601622</v>
      </c>
      <c r="H24" s="201">
        <f ca="1">IS!H62</f>
        <v>0.31622607488251436</v>
      </c>
      <c r="I24" s="201">
        <f ca="1">IS!I62</f>
        <v>0.3166932494735426</v>
      </c>
      <c r="J24" s="201">
        <f ca="1">IS!J62</f>
        <v>0.28516977948923022</v>
      </c>
      <c r="K24" s="201">
        <f ca="1">IS!K62</f>
        <v>0.2968712703337002</v>
      </c>
      <c r="L24" s="201">
        <f ca="1">IS!L62</f>
        <v>0.2957248823109882</v>
      </c>
      <c r="M24" s="201">
        <f ca="1">IS!M62</f>
        <v>0.29447960852947103</v>
      </c>
      <c r="N24" s="201">
        <f ca="1">IS!N62</f>
        <v>0.29309280945885435</v>
      </c>
      <c r="O24" s="201">
        <f ca="1">IS!O62</f>
        <v>0.29163880789246288</v>
      </c>
    </row>
    <row r="25" spans="2:15" ht="18" hidden="1" customHeight="1" x14ac:dyDescent="0.25">
      <c r="B25" s="212" t="s">
        <v>595</v>
      </c>
      <c r="C25" s="212"/>
      <c r="D25" s="212"/>
      <c r="E25" s="212"/>
      <c r="F25" s="687">
        <f ca="1">AVERAGE(F24:O24)</f>
        <v>0.30830239475905097</v>
      </c>
      <c r="G25" s="687"/>
      <c r="H25" s="687"/>
      <c r="I25" s="687"/>
      <c r="J25" s="687"/>
      <c r="K25" s="687"/>
      <c r="L25" s="687"/>
      <c r="M25" s="687"/>
      <c r="N25" s="687"/>
      <c r="O25" s="687"/>
    </row>
    <row r="26" spans="2:15" ht="18" hidden="1" customHeight="1" x14ac:dyDescent="0.25">
      <c r="B26" s="2" t="s">
        <v>482</v>
      </c>
      <c r="C26" s="2"/>
      <c r="D26" s="2"/>
      <c r="E26" s="2"/>
      <c r="F26" s="201">
        <f ca="1">IS!F64</f>
        <v>0.28944613893486737</v>
      </c>
      <c r="G26" s="201">
        <f ca="1">IS!G64</f>
        <v>0.23384748745876738</v>
      </c>
      <c r="H26" s="201">
        <f ca="1">IS!H64</f>
        <v>0.23485177383356695</v>
      </c>
      <c r="I26" s="201">
        <f ca="1">IS!I64</f>
        <v>0.23929000516900029</v>
      </c>
      <c r="J26" s="201">
        <f ca="1">IS!J64</f>
        <v>0.20767044515689934</v>
      </c>
      <c r="K26" s="201">
        <f ca="1">IS!K64</f>
        <v>0.22338088722216809</v>
      </c>
      <c r="L26" s="201">
        <f ca="1">IS!L64</f>
        <v>0.2260373809940843</v>
      </c>
      <c r="M26" s="201">
        <f ca="1">IS!M64</f>
        <v>0.22811055965622917</v>
      </c>
      <c r="N26" s="201">
        <f ca="1">IS!N64</f>
        <v>0.23042586959451353</v>
      </c>
      <c r="O26" s="201">
        <f ca="1">IS!O64</f>
        <v>0.23247189193611462</v>
      </c>
    </row>
    <row r="27" spans="2:15" ht="18" hidden="1" customHeight="1" x14ac:dyDescent="0.25">
      <c r="B27" s="212" t="s">
        <v>595</v>
      </c>
      <c r="C27" s="212"/>
      <c r="D27" s="212"/>
      <c r="E27" s="212"/>
      <c r="F27" s="687">
        <f ca="1">AVERAGE(F26:O26)</f>
        <v>0.23455324399562111</v>
      </c>
      <c r="G27" s="687"/>
      <c r="H27" s="687"/>
      <c r="I27" s="687"/>
      <c r="J27" s="687"/>
      <c r="K27" s="687"/>
      <c r="L27" s="687"/>
      <c r="M27" s="687"/>
      <c r="N27" s="687"/>
      <c r="O27" s="687"/>
    </row>
    <row r="28" spans="2:15" ht="18" hidden="1" customHeight="1" x14ac:dyDescent="0.25">
      <c r="B28" s="2" t="s">
        <v>483</v>
      </c>
      <c r="C28" s="2"/>
      <c r="D28" s="2"/>
      <c r="E28" s="2"/>
      <c r="F28" s="201">
        <f ca="1">IS!F66</f>
        <v>0.15214708867043447</v>
      </c>
      <c r="G28" s="201">
        <f ca="1">IS!G66</f>
        <v>0.11149411556679054</v>
      </c>
      <c r="H28" s="201">
        <f ca="1">IS!H66</f>
        <v>0.12513902098775734</v>
      </c>
      <c r="I28" s="201">
        <f ca="1">IS!I66</f>
        <v>0.14068659988485188</v>
      </c>
      <c r="J28" s="201">
        <f ca="1">IS!J66</f>
        <v>0.12269182695431222</v>
      </c>
      <c r="K28" s="201">
        <f ca="1">IS!K66</f>
        <v>0.14619453598598645</v>
      </c>
      <c r="L28" s="201">
        <f ca="1">IS!L66</f>
        <v>0.15794448127762392</v>
      </c>
      <c r="M28" s="201">
        <f ca="1">IS!M66</f>
        <v>0.16868200207643985</v>
      </c>
      <c r="N28" s="201">
        <f ca="1">IS!N66</f>
        <v>0.17942114486763983</v>
      </c>
      <c r="O28" s="201">
        <f ca="1">IS!O66</f>
        <v>0.16236500655884142</v>
      </c>
    </row>
    <row r="29" spans="2:15" ht="18" hidden="1" customHeight="1" x14ac:dyDescent="0.25">
      <c r="B29" s="212" t="s">
        <v>595</v>
      </c>
      <c r="C29" s="212"/>
      <c r="D29" s="212"/>
      <c r="E29" s="212"/>
      <c r="F29" s="687">
        <f ca="1">AVERAGE(F28:O28)</f>
        <v>0.14667658228306779</v>
      </c>
      <c r="G29" s="687"/>
      <c r="H29" s="687"/>
      <c r="I29" s="687"/>
      <c r="J29" s="687"/>
      <c r="K29" s="687"/>
      <c r="L29" s="687"/>
      <c r="M29" s="687"/>
      <c r="N29" s="687"/>
      <c r="O29" s="687"/>
    </row>
    <row r="30" spans="2:15" ht="18" hidden="1" customHeight="1" x14ac:dyDescent="0.25">
      <c r="B30" s="2" t="s">
        <v>484</v>
      </c>
      <c r="C30" s="2"/>
      <c r="D30" s="2"/>
      <c r="E30" s="2"/>
      <c r="F30" s="201">
        <f>IS!F68</f>
        <v>0</v>
      </c>
      <c r="G30" s="201">
        <f>IS!G68</f>
        <v>1.0192307692307692</v>
      </c>
      <c r="H30" s="201">
        <f>IS!H68</f>
        <v>5.0000000000000266E-2</v>
      </c>
      <c r="I30" s="201">
        <f>IS!I68</f>
        <v>5.1303492251319804E-2</v>
      </c>
      <c r="J30" s="201">
        <f>IS!J68</f>
        <v>-1.2398819759729118E-3</v>
      </c>
      <c r="K30" s="201">
        <f>IS!K68</f>
        <v>5.0000000000000044E-2</v>
      </c>
      <c r="L30" s="201">
        <f>IS!L68</f>
        <v>5.0000000000000266E-2</v>
      </c>
      <c r="M30" s="201">
        <f>IS!M68</f>
        <v>4.9999999999999822E-2</v>
      </c>
      <c r="N30" s="201">
        <f>IS!N68</f>
        <v>5.0000000000000044E-2</v>
      </c>
      <c r="O30" s="201">
        <f>IS!O68</f>
        <v>5.0000000000000044E-2</v>
      </c>
    </row>
    <row r="31" spans="2:15" ht="18" hidden="1" customHeight="1" x14ac:dyDescent="0.25">
      <c r="B31" s="212" t="s">
        <v>595</v>
      </c>
      <c r="C31" s="212"/>
      <c r="D31" s="212"/>
      <c r="E31" s="212"/>
      <c r="F31" s="687">
        <f>AVERAGE(F30:O30)</f>
        <v>0.13692943795061166</v>
      </c>
      <c r="G31" s="687"/>
      <c r="H31" s="687"/>
      <c r="I31" s="687"/>
      <c r="J31" s="687"/>
      <c r="K31" s="687"/>
      <c r="L31" s="687"/>
      <c r="M31" s="687"/>
      <c r="N31" s="687"/>
      <c r="O31" s="687"/>
    </row>
    <row r="32" spans="2:15" ht="18" customHeight="1" x14ac:dyDescent="0.25">
      <c r="B32" s="2" t="s">
        <v>596</v>
      </c>
      <c r="C32" s="2"/>
      <c r="D32" s="2"/>
      <c r="E32" s="2"/>
      <c r="F32" s="201">
        <f ca="1">IS!F59/(BS!F13+BS!F14+BS!F15+BS!F16)</f>
        <v>9.6177439359261888E-2</v>
      </c>
      <c r="G32" s="201">
        <f ca="1">IS!G59/(BS!G13+BS!G14+BS!G15+BS!G16)</f>
        <v>0.15751302522923286</v>
      </c>
      <c r="H32" s="201">
        <f ca="1">IS!H59/(BS!H13+BS!H14+BS!H15+BS!H16)</f>
        <v>0.16453571743514614</v>
      </c>
      <c r="I32" s="201">
        <f ca="1">IS!I59/(BS!I13+BS!I14+BS!I15+BS!I16)</f>
        <v>0.17188672270769187</v>
      </c>
      <c r="J32" s="201">
        <f ca="1">IS!J59/(BS!J13+BS!J14+BS!J15+BS!J16)</f>
        <v>0.14726606497716174</v>
      </c>
      <c r="K32" s="201">
        <f ca="1">IS!K59/(BS!K13+BS!K14+BS!K15+BS!K16)</f>
        <v>0.16094939678394155</v>
      </c>
      <c r="L32" s="201">
        <f ca="1">IS!L59/(BS!L13+BS!L14+BS!L15+BS!L16)</f>
        <v>0.16432819859995373</v>
      </c>
      <c r="M32" s="201">
        <f ca="1">IS!M59/(BS!M13+BS!M14+BS!M15+BS!M16)</f>
        <v>0.16636189402463572</v>
      </c>
      <c r="N32" s="201">
        <f ca="1">IS!N59/(BS!N13+BS!N14+BS!N15+BS!N16)</f>
        <v>0.16231793582348233</v>
      </c>
      <c r="O32" s="201">
        <f ca="1">IS!O59/(BS!O13+BS!O14+BS!O15+BS!O16)</f>
        <v>0.15351153539418017</v>
      </c>
    </row>
    <row r="33" spans="2:15" ht="18" customHeight="1" x14ac:dyDescent="0.25">
      <c r="B33" s="212" t="s">
        <v>595</v>
      </c>
      <c r="C33" s="212"/>
      <c r="D33" s="212"/>
      <c r="E33" s="212"/>
      <c r="F33" s="687">
        <f ca="1">AVERAGE(F32:O32)</f>
        <v>0.15448479303346879</v>
      </c>
      <c r="G33" s="687"/>
      <c r="H33" s="687"/>
      <c r="I33" s="687"/>
      <c r="J33" s="687"/>
      <c r="K33" s="687"/>
      <c r="L33" s="687"/>
      <c r="M33" s="687"/>
      <c r="N33" s="687"/>
      <c r="O33" s="687"/>
    </row>
    <row r="34" spans="2:15" ht="18" customHeight="1" x14ac:dyDescent="0.25">
      <c r="B34" s="2" t="s">
        <v>597</v>
      </c>
      <c r="C34" s="2"/>
      <c r="D34" s="2"/>
      <c r="E34" s="2"/>
      <c r="F34" s="201">
        <f ca="1">IS!F43/(BS!F13+BS!F16)</f>
        <v>0.15808385565952968</v>
      </c>
      <c r="G34" s="201">
        <f ca="1">IS!G43/(BS!G13+BS!G16)</f>
        <v>0.2339169946241717</v>
      </c>
      <c r="H34" s="201">
        <f ca="1">IS!H43/(BS!H13+BS!H16)</f>
        <v>0.27567150722172834</v>
      </c>
      <c r="I34" s="201">
        <f ca="1">IS!I43/(BS!I13+BS!I16)</f>
        <v>0.32582167241093002</v>
      </c>
      <c r="J34" s="201">
        <f ca="1">IS!J43/(BS!J13+BS!J16)</f>
        <v>0.28379455603037895</v>
      </c>
      <c r="K34" s="201">
        <f ca="1">IS!K43/(BS!K13+BS!K16)</f>
        <v>0.35506581968286255</v>
      </c>
      <c r="L34" s="201">
        <f ca="1">IS!L43/(BS!L13+BS!L16)</f>
        <v>0.40278332324492427</v>
      </c>
      <c r="M34" s="201">
        <f ca="1">IS!M43/(BS!M13+BS!M16)</f>
        <v>0.4516739784719539</v>
      </c>
      <c r="N34" s="201">
        <f ca="1">IS!N43/(BS!N13+BS!N16)</f>
        <v>0.50445130122428516</v>
      </c>
      <c r="O34" s="201">
        <f ca="1">IS!O43/(BS!O13+BS!O16)</f>
        <v>0.47932199316270746</v>
      </c>
    </row>
    <row r="35" spans="2:15" ht="18" customHeight="1" x14ac:dyDescent="0.25">
      <c r="B35" s="212" t="s">
        <v>595</v>
      </c>
      <c r="C35" s="212"/>
      <c r="D35" s="212"/>
      <c r="E35" s="212"/>
      <c r="F35" s="687">
        <f ca="1">AVERAGE(F34:O34)</f>
        <v>0.34705850017334716</v>
      </c>
      <c r="G35" s="687"/>
      <c r="H35" s="687"/>
      <c r="I35" s="687"/>
      <c r="J35" s="687"/>
      <c r="K35" s="687"/>
      <c r="L35" s="687"/>
      <c r="M35" s="687"/>
      <c r="N35" s="687"/>
      <c r="O35" s="687"/>
    </row>
    <row r="36" spans="2:15" ht="18" customHeight="1" x14ac:dyDescent="0.25">
      <c r="B36" s="2" t="s">
        <v>598</v>
      </c>
      <c r="C36" s="2"/>
      <c r="D36" s="2"/>
      <c r="E36" s="2"/>
      <c r="F36" s="201">
        <f ca="1">IS!F43/(BS!F13+BS!F14+BS!F16)</f>
        <v>0.13650467095882343</v>
      </c>
      <c r="G36" s="201">
        <f ca="1">IS!G43/(BS!G13+BS!G14+BS!G16)</f>
        <v>0.16804371532998524</v>
      </c>
      <c r="H36" s="201">
        <f ca="1">IS!H43/(BS!H13+BS!H14+BS!H16)</f>
        <v>0.1653031580100594</v>
      </c>
      <c r="I36" s="201">
        <f ca="1">IS!I43/(BS!I13+BS!I14+BS!I16)</f>
        <v>0.16344251225302159</v>
      </c>
      <c r="J36" s="201">
        <f ca="1">IS!J43/(BS!J13+BS!J14+BS!J16)</f>
        <v>0.12461949608920418</v>
      </c>
      <c r="K36" s="201">
        <f ca="1">IS!K43/(BS!K13+BS!K14+BS!K16)</f>
        <v>0.13488526428033865</v>
      </c>
      <c r="L36" s="201">
        <f ca="1">IS!L43/(BS!L13+BS!L14+BS!L16)</f>
        <v>0.13270676958514246</v>
      </c>
      <c r="M36" s="201">
        <f ca="1">IS!M43/(BS!M13+BS!M14+BS!M16)</f>
        <v>0.12953781746238463</v>
      </c>
      <c r="N36" s="201">
        <f ca="1">IS!N43/(BS!N13+BS!N14+BS!N16)</f>
        <v>0.12638888996817194</v>
      </c>
      <c r="O36" s="201">
        <f ca="1">IS!O43/(BS!O13+BS!O14+BS!O16)</f>
        <v>0.10721683917806062</v>
      </c>
    </row>
    <row r="37" spans="2:15" ht="18" customHeight="1" x14ac:dyDescent="0.25">
      <c r="B37" s="212" t="s">
        <v>595</v>
      </c>
      <c r="C37" s="212"/>
      <c r="D37" s="212"/>
      <c r="E37" s="212"/>
      <c r="F37" s="687">
        <f ca="1">AVERAGE(F36:O36)</f>
        <v>0.13886491331151923</v>
      </c>
      <c r="G37" s="687"/>
      <c r="H37" s="687"/>
      <c r="I37" s="687"/>
      <c r="J37" s="687"/>
      <c r="K37" s="687"/>
      <c r="L37" s="687"/>
      <c r="M37" s="687"/>
      <c r="N37" s="687"/>
      <c r="O37" s="687"/>
    </row>
    <row r="38" spans="2:15" ht="18" customHeight="1" x14ac:dyDescent="0.25">
      <c r="B38" s="2" t="s">
        <v>558</v>
      </c>
      <c r="C38" s="2"/>
      <c r="D38" s="2"/>
      <c r="E38" s="2"/>
      <c r="F38" s="55">
        <f ca="1">DSCR!F21</f>
        <v>3.480535429719378</v>
      </c>
      <c r="G38" s="55">
        <f ca="1">DSCR!G21</f>
        <v>1.4312853146191797</v>
      </c>
      <c r="H38" s="55">
        <f ca="1">DSCR!H21</f>
        <v>1.5511304397859633</v>
      </c>
      <c r="I38" s="55">
        <f ca="1">DSCR!I21</f>
        <v>1.7051900069351988</v>
      </c>
      <c r="J38" s="55">
        <f ca="1">DSCR!J21</f>
        <v>1.6389818946493333</v>
      </c>
      <c r="K38" s="55">
        <f ca="1">DSCR!K21</f>
        <v>1.7932543632388493</v>
      </c>
      <c r="L38" s="55">
        <f ca="1">DSCR!L21</f>
        <v>1.9864221741123838</v>
      </c>
      <c r="M38" s="55">
        <f ca="1">DSCR!M21</f>
        <v>2.0872419803824975</v>
      </c>
      <c r="N38" s="55">
        <f ca="1">DSCR!N21</f>
        <v>2.1890392171041269</v>
      </c>
      <c r="O38" s="55">
        <f ca="1">DSCR!O21</f>
        <v>3.3395162908328877</v>
      </c>
    </row>
    <row r="39" spans="2:15" ht="18" customHeight="1" x14ac:dyDescent="0.25">
      <c r="B39" s="212" t="s">
        <v>595</v>
      </c>
      <c r="C39" s="212"/>
      <c r="D39" s="212"/>
      <c r="E39" s="212"/>
      <c r="F39" s="686">
        <f ca="1">AVERAGE(F38:O38)</f>
        <v>2.12025971113798</v>
      </c>
      <c r="G39" s="686"/>
      <c r="H39" s="686"/>
      <c r="I39" s="686"/>
      <c r="J39" s="686"/>
      <c r="K39" s="686"/>
      <c r="L39" s="686"/>
      <c r="M39" s="686"/>
      <c r="N39" s="686"/>
      <c r="O39" s="686"/>
    </row>
    <row r="40" spans="2:15" ht="18" customHeight="1" x14ac:dyDescent="0.25">
      <c r="B40" s="2" t="s">
        <v>599</v>
      </c>
      <c r="C40" s="2"/>
      <c r="D40" s="2"/>
      <c r="E40" s="2"/>
      <c r="F40" s="55">
        <f ca="1">IS!F58/(IS!F38+IS!F39)</f>
        <v>3.4998836135028477</v>
      </c>
      <c r="G40" s="55">
        <f ca="1">IS!G58/(IS!G38+IS!G39)</f>
        <v>3.1924624531381083</v>
      </c>
      <c r="H40" s="55">
        <f ca="1">IS!H58/(IS!H38+IS!H39)</f>
        <v>3.7361619775825234</v>
      </c>
      <c r="I40" s="55">
        <f ca="1">IS!I58/(IS!I38+IS!I39)</f>
        <v>4.4975415227248661</v>
      </c>
      <c r="J40" s="55">
        <f ca="1">IS!J58/(IS!J38+IS!J39)</f>
        <v>4.7217072157726419</v>
      </c>
      <c r="K40" s="55">
        <f ca="1">IS!K58/(IS!K38+IS!K39)</f>
        <v>6.1984940689990706</v>
      </c>
      <c r="L40" s="55">
        <f ca="1">IS!L58/(IS!L38+IS!L39)</f>
        <v>8.1139740451287246</v>
      </c>
      <c r="M40" s="55">
        <f ca="1">IS!M58/(IS!M38+IS!M39)</f>
        <v>11.489374852710757</v>
      </c>
      <c r="N40" s="55">
        <f ca="1">IS!N58/(IS!N38+IS!N39)</f>
        <v>19.468107697187857</v>
      </c>
      <c r="O40" s="55">
        <f ca="1">IS!O58/(IS!O38+IS!O39)</f>
        <v>54.293734911378436</v>
      </c>
    </row>
    <row r="41" spans="2:15" ht="18" customHeight="1" x14ac:dyDescent="0.25">
      <c r="B41" s="212" t="s">
        <v>595</v>
      </c>
      <c r="C41" s="212"/>
      <c r="D41" s="212"/>
      <c r="E41" s="212"/>
      <c r="F41" s="686">
        <f ca="1">AVERAGE(F40:O40)</f>
        <v>11.921144235812584</v>
      </c>
      <c r="G41" s="686"/>
      <c r="H41" s="686"/>
      <c r="I41" s="686"/>
      <c r="J41" s="686"/>
      <c r="K41" s="686"/>
      <c r="L41" s="686"/>
      <c r="M41" s="686"/>
      <c r="N41" s="686"/>
      <c r="O41" s="686"/>
    </row>
    <row r="42" spans="2:15" ht="18" customHeight="1" x14ac:dyDescent="0.25">
      <c r="B42" s="2" t="s">
        <v>600</v>
      </c>
      <c r="C42" s="2"/>
      <c r="D42" s="2"/>
      <c r="E42" s="2"/>
      <c r="F42" s="55">
        <f>IFERROR(BS!F34/BS!F15,0)</f>
        <v>1.4853642762772894</v>
      </c>
      <c r="G42" s="55">
        <f>IFERROR(BS!G34/BS!G15,0)</f>
        <v>1.593477798765109</v>
      </c>
      <c r="H42" s="55">
        <f>IFERROR(BS!H34/BS!H15,0)</f>
        <v>1.7376237566763475</v>
      </c>
      <c r="I42" s="55">
        <f>IFERROR(BS!I34/BS!I15,0)</f>
        <v>1.9394177200733262</v>
      </c>
      <c r="J42" s="55">
        <f>IFERROR(BS!J34/BS!J15,0)</f>
        <v>2.2420859661852846</v>
      </c>
      <c r="K42" s="55">
        <f>IFERROR(BS!K34/BS!K15,0)</f>
        <v>2.7475200635034587</v>
      </c>
      <c r="L42" s="55">
        <f>IFERROR(BS!L34/BS!L15,0)</f>
        <v>3.9001682840678185</v>
      </c>
      <c r="M42" s="55">
        <f>IFERROR(BS!M34/BS!M15,0)</f>
        <v>9.0175196586191984</v>
      </c>
      <c r="N42" s="55" t="s">
        <v>731</v>
      </c>
      <c r="O42" s="55" t="s">
        <v>731</v>
      </c>
    </row>
    <row r="43" spans="2:15" ht="18" customHeight="1" x14ac:dyDescent="0.25">
      <c r="B43" s="212" t="s">
        <v>595</v>
      </c>
      <c r="C43" s="212"/>
      <c r="D43" s="212"/>
      <c r="E43" s="212"/>
      <c r="F43" s="688">
        <f>AVERAGE(F42:M42)</f>
        <v>3.082897190520979</v>
      </c>
      <c r="G43" s="688"/>
      <c r="H43" s="688"/>
      <c r="I43" s="688"/>
      <c r="J43" s="688"/>
      <c r="K43" s="688"/>
      <c r="L43" s="688"/>
      <c r="M43" s="688"/>
      <c r="N43" s="688"/>
      <c r="O43" s="688"/>
    </row>
    <row r="44" spans="2:15" ht="18" customHeight="1" x14ac:dyDescent="0.25">
      <c r="B44" s="2" t="s">
        <v>601</v>
      </c>
      <c r="C44" s="2"/>
      <c r="D44" s="2"/>
      <c r="E44" s="2"/>
      <c r="F44" s="55">
        <f ca="1">'Working Capital Assessment'!F66/'Working Capital Assessment'!F67</f>
        <v>3.9087061346987304</v>
      </c>
      <c r="G44" s="55">
        <f ca="1">'Working Capital Assessment'!G66/'Working Capital Assessment'!G67</f>
        <v>4.0150916210939211</v>
      </c>
      <c r="H44" s="55">
        <f ca="1">'Working Capital Assessment'!H66/'Working Capital Assessment'!H67</f>
        <v>4.0116393413017688</v>
      </c>
      <c r="I44" s="55">
        <f ca="1">'Working Capital Assessment'!I66/'Working Capital Assessment'!I67</f>
        <v>4.0067102388735858</v>
      </c>
      <c r="J44" s="55">
        <f ca="1">'Working Capital Assessment'!J66/'Working Capital Assessment'!J67</f>
        <v>3.9236825470831023</v>
      </c>
      <c r="K44" s="55">
        <f ca="1">'Working Capital Assessment'!K66/'Working Capital Assessment'!K67</f>
        <v>3.9161844166571265</v>
      </c>
      <c r="L44" s="55">
        <f ca="1">'Working Capital Assessment'!L66/'Working Capital Assessment'!L67</f>
        <v>3.9086021973652993</v>
      </c>
      <c r="M44" s="55">
        <f ca="1">'Working Capital Assessment'!M66/'Working Capital Assessment'!M67</f>
        <v>3.901188496664179</v>
      </c>
      <c r="N44" s="55">
        <f ca="1">'Working Capital Assessment'!N66/'Working Capital Assessment'!N67</f>
        <v>3.8930764187597551</v>
      </c>
      <c r="O44" s="55">
        <f ca="1">'Working Capital Assessment'!O66/'Working Capital Assessment'!O67</f>
        <v>3.8849004949810406</v>
      </c>
    </row>
    <row r="45" spans="2:15" ht="18" customHeight="1" x14ac:dyDescent="0.25">
      <c r="B45" s="212" t="s">
        <v>595</v>
      </c>
      <c r="C45" s="212"/>
      <c r="D45" s="212"/>
      <c r="E45" s="212"/>
      <c r="F45" s="686">
        <f ca="1">AVERAGE(F44:O44)</f>
        <v>3.9369781907478512</v>
      </c>
      <c r="G45" s="686"/>
      <c r="H45" s="686"/>
      <c r="I45" s="686"/>
      <c r="J45" s="686"/>
      <c r="K45" s="686"/>
      <c r="L45" s="686"/>
      <c r="M45" s="686"/>
      <c r="N45" s="686"/>
      <c r="O45" s="686"/>
    </row>
    <row r="46" spans="2:15" ht="18" customHeight="1" x14ac:dyDescent="0.25">
      <c r="B46" s="2" t="s">
        <v>602</v>
      </c>
      <c r="C46" s="2"/>
      <c r="D46" s="2"/>
      <c r="E46" s="2"/>
      <c r="F46" s="55">
        <f ca="1">(BS!F15+BS!F18+BS!F19+BS!F20)/(BS!F13+BS!F14+BS!F16-BS!F43)</f>
        <v>2.3150841241008608</v>
      </c>
      <c r="G46" s="55">
        <f ca="1">(BS!G15+BS!G18+BS!G19+BS!G20)/(BS!G13+BS!G14+BS!G16-BS!G43)</f>
        <v>1.6609274128630718</v>
      </c>
      <c r="H46" s="55">
        <f ca="1">(BS!H15+BS!H18+BS!H19+BS!H20)/(BS!H13+BS!H14+BS!H16-BS!H43)</f>
        <v>1.1953323820586621</v>
      </c>
      <c r="I46" s="55">
        <f ca="1">(BS!I15+BS!I18+BS!I19+BS!I20)/(BS!I13+BS!I14+BS!I16-BS!I43)</f>
        <v>0.85592322659525732</v>
      </c>
      <c r="J46" s="55">
        <f ca="1">(BS!J15+BS!J18+BS!J19+BS!J20)/(BS!J13+BS!J14+BS!J16-BS!J43)</f>
        <v>0.63189721316513447</v>
      </c>
      <c r="K46" s="55">
        <f ca="1">(BS!K15+BS!K18+BS!K19+BS!K20)/(BS!K13+BS!K14+BS!K16-BS!K43)</f>
        <v>0.45496186058772647</v>
      </c>
      <c r="L46" s="55">
        <f ca="1">(BS!L15+BS!L18+BS!L19+BS!L20)/(BS!L13+BS!L14+BS!L16-BS!L43)</f>
        <v>0.31513552584832139</v>
      </c>
      <c r="M46" s="55">
        <f ca="1">(BS!M15+BS!M18+BS!M19+BS!M20)/(BS!M13+BS!M14+BS!M16-BS!M43)</f>
        <v>0.1995782472937766</v>
      </c>
      <c r="N46" s="55">
        <f ca="1">(BS!N15+BS!N18+BS!N19+BS!N20)/(BS!N13+BS!N14+BS!N16-BS!N43)</f>
        <v>0.10358498086017166</v>
      </c>
      <c r="O46" s="55">
        <f ca="1">(BS!O15+BS!O18+BS!O19+BS!O20)/(BS!O13+BS!O14+BS!O16-BS!O43)</f>
        <v>5.2451136111900783E-2</v>
      </c>
    </row>
    <row r="47" spans="2:15" ht="18" customHeight="1" x14ac:dyDescent="0.25">
      <c r="B47" s="212" t="s">
        <v>595</v>
      </c>
      <c r="C47" s="212"/>
      <c r="D47" s="212"/>
      <c r="E47" s="212"/>
      <c r="F47" s="686">
        <f ca="1">AVERAGE(F46:O46)</f>
        <v>0.77848761094848828</v>
      </c>
      <c r="G47" s="686"/>
      <c r="H47" s="686"/>
      <c r="I47" s="686"/>
      <c r="J47" s="686"/>
      <c r="K47" s="686"/>
      <c r="L47" s="686"/>
      <c r="M47" s="686"/>
      <c r="N47" s="686"/>
      <c r="O47" s="686"/>
    </row>
    <row r="48" spans="2:15" ht="18" customHeight="1" x14ac:dyDescent="0.25">
      <c r="B48" s="2" t="s">
        <v>603</v>
      </c>
      <c r="C48" s="2"/>
      <c r="D48" s="2"/>
      <c r="E48" s="2"/>
      <c r="F48" s="55">
        <f ca="1">(BS!F15+BS!F19)/(BS!F13+BS!F16)</f>
        <v>2.2149263688342518</v>
      </c>
      <c r="G48" s="55">
        <f ca="1">(BS!G15+BS!G19)/(BS!G13+BS!G16)</f>
        <v>1.9688480492567664</v>
      </c>
      <c r="H48" s="55">
        <f ca="1">(BS!H15+BS!H19)/(BS!H13+BS!H16)</f>
        <v>1.722769729679281</v>
      </c>
      <c r="I48" s="55">
        <f ca="1">(BS!I15+BS!I19)/(BS!I13+BS!I16)</f>
        <v>1.4766914101017956</v>
      </c>
      <c r="J48" s="55">
        <f ca="1">(BS!J15+BS!J19)/(BS!J13+BS!J16)</f>
        <v>1.2306130905243102</v>
      </c>
      <c r="K48" s="55">
        <f ca="1">(BS!K15+BS!K19)/(BS!K13+BS!K16)</f>
        <v>0.98453477094682496</v>
      </c>
      <c r="L48" s="55">
        <f ca="1">(BS!L15+BS!L19)/(BS!L13+BS!L16)</f>
        <v>0.73845645136933968</v>
      </c>
      <c r="M48" s="55">
        <f ca="1">(BS!M15+BS!M19)/(BS!M13+BS!M16)</f>
        <v>0.4726652871092295</v>
      </c>
      <c r="N48" s="55">
        <f ca="1">(BS!N15+BS!N19)/(BS!N13+BS!N16)</f>
        <v>0.18472485916077677</v>
      </c>
      <c r="O48" s="55">
        <f ca="1">(BS!O15+BS!O19)/(BS!O13+BS!O16)</f>
        <v>1.868299143673241E-15</v>
      </c>
    </row>
    <row r="49" spans="2:15" ht="18" customHeight="1" x14ac:dyDescent="0.25">
      <c r="B49" s="212" t="s">
        <v>595</v>
      </c>
      <c r="C49" s="212"/>
      <c r="D49" s="212"/>
      <c r="E49" s="212"/>
      <c r="F49" s="686">
        <f ca="1">AVERAGE(F48:O48)</f>
        <v>1.0994230016982578</v>
      </c>
      <c r="G49" s="686"/>
      <c r="H49" s="686"/>
      <c r="I49" s="686"/>
      <c r="J49" s="686"/>
      <c r="K49" s="686"/>
      <c r="L49" s="686"/>
      <c r="M49" s="686"/>
      <c r="N49" s="686"/>
      <c r="O49" s="686"/>
    </row>
  </sheetData>
  <mergeCells count="15">
    <mergeCell ref="F49:O49"/>
    <mergeCell ref="F47:O47"/>
    <mergeCell ref="F45:O45"/>
    <mergeCell ref="F43:O43"/>
    <mergeCell ref="F41:O41"/>
    <mergeCell ref="F39:O39"/>
    <mergeCell ref="F37:O37"/>
    <mergeCell ref="D8:E8"/>
    <mergeCell ref="F8:O8"/>
    <mergeCell ref="F25:O25"/>
    <mergeCell ref="F35:O35"/>
    <mergeCell ref="F33:O33"/>
    <mergeCell ref="F31:O31"/>
    <mergeCell ref="F29:O29"/>
    <mergeCell ref="F27:O27"/>
  </mergeCells>
  <pageMargins left="0.7" right="0.7" top="0.75" bottom="0.75" header="0.3" footer="0.3"/>
  <pageSetup orientation="portrait" r:id="rId1"/>
  <ignoredErrors>
    <ignoredError sqref="F26:N26 F28 F30 F32:N32 F42 F44:N44 F48:N48 F46 F34:N34 F36:N36 F38:N38 F40:N40 F16:O16"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9"/>
  <sheetViews>
    <sheetView topLeftCell="A202" workbookViewId="0">
      <selection activeCell="D230" sqref="D230"/>
    </sheetView>
  </sheetViews>
  <sheetFormatPr defaultRowHeight="15" x14ac:dyDescent="0.25"/>
  <cols>
    <col min="4" max="4" width="28.5703125" customWidth="1"/>
    <col min="5" max="5" width="13.7109375" customWidth="1"/>
    <col min="6" max="6" width="17.42578125" customWidth="1"/>
    <col min="23" max="23" width="18.42578125" style="311" customWidth="1"/>
    <col min="24" max="24" width="17.7109375" style="311" customWidth="1"/>
    <col min="25" max="25" width="9.140625" style="311"/>
    <col min="26" max="26" width="22.140625" style="311" customWidth="1"/>
    <col min="27" max="30" width="9.140625" style="311"/>
  </cols>
  <sheetData>
    <row r="1" spans="1:29" x14ac:dyDescent="0.25">
      <c r="A1" t="s">
        <v>611</v>
      </c>
    </row>
    <row r="3" spans="1:29" x14ac:dyDescent="0.25">
      <c r="A3" t="s">
        <v>624</v>
      </c>
      <c r="F3" t="s">
        <v>681</v>
      </c>
    </row>
    <row r="4" spans="1:29" x14ac:dyDescent="0.25">
      <c r="A4" t="s">
        <v>625</v>
      </c>
      <c r="J4" t="s">
        <v>646</v>
      </c>
    </row>
    <row r="5" spans="1:29" x14ac:dyDescent="0.25">
      <c r="F5">
        <v>20428.530999999999</v>
      </c>
      <c r="M5" t="s">
        <v>647</v>
      </c>
      <c r="P5" t="s">
        <v>658</v>
      </c>
    </row>
    <row r="6" spans="1:29" x14ac:dyDescent="0.25">
      <c r="B6" t="s">
        <v>686</v>
      </c>
    </row>
    <row r="7" spans="1:29" x14ac:dyDescent="0.25">
      <c r="C7" s="308">
        <f>0.3262+3.92</f>
        <v>4.2462</v>
      </c>
      <c r="E7" t="s">
        <v>623</v>
      </c>
      <c r="Q7" t="s">
        <v>659</v>
      </c>
    </row>
    <row r="8" spans="1:29" x14ac:dyDescent="0.25">
      <c r="G8" s="323" t="s">
        <v>687</v>
      </c>
    </row>
    <row r="9" spans="1:29" ht="30" x14ac:dyDescent="0.25">
      <c r="C9">
        <f>4.66+0.388</f>
        <v>5.048</v>
      </c>
      <c r="I9" t="s">
        <v>649</v>
      </c>
      <c r="W9" s="311" t="s">
        <v>627</v>
      </c>
      <c r="X9" s="311" t="s">
        <v>628</v>
      </c>
      <c r="Y9" s="311" t="s">
        <v>630</v>
      </c>
      <c r="Z9" s="311" t="s">
        <v>632</v>
      </c>
      <c r="AA9" s="311" t="s">
        <v>633</v>
      </c>
      <c r="AB9" s="311" t="s">
        <v>635</v>
      </c>
      <c r="AC9" s="311" t="s">
        <v>636</v>
      </c>
    </row>
    <row r="10" spans="1:29" x14ac:dyDescent="0.25">
      <c r="H10" t="s">
        <v>648</v>
      </c>
      <c r="X10" s="311" t="s">
        <v>629</v>
      </c>
      <c r="Y10" s="311" t="s">
        <v>631</v>
      </c>
      <c r="AA10" s="311" t="s">
        <v>634</v>
      </c>
      <c r="AB10" s="311" t="s">
        <v>634</v>
      </c>
      <c r="AC10" s="311" t="s">
        <v>637</v>
      </c>
    </row>
    <row r="11" spans="1:29" x14ac:dyDescent="0.25">
      <c r="C11">
        <v>20428.530999999999</v>
      </c>
      <c r="D11" s="323" t="s">
        <v>747</v>
      </c>
      <c r="F11">
        <v>10449033</v>
      </c>
      <c r="N11" t="s">
        <v>688</v>
      </c>
    </row>
    <row r="12" spans="1:29" ht="78" customHeight="1" x14ac:dyDescent="0.25">
      <c r="D12" t="s">
        <v>652</v>
      </c>
      <c r="H12" t="s">
        <v>689</v>
      </c>
      <c r="M12">
        <f>390</f>
        <v>390</v>
      </c>
      <c r="N12">
        <f>M12/33</f>
        <v>11.818181818181818</v>
      </c>
      <c r="O12">
        <f>28/6</f>
        <v>4.666666666666667</v>
      </c>
      <c r="W12" s="311">
        <v>1</v>
      </c>
      <c r="X12" s="311" t="s">
        <v>638</v>
      </c>
      <c r="Y12" s="311" t="s">
        <v>639</v>
      </c>
      <c r="Z12" s="311" t="s">
        <v>640</v>
      </c>
    </row>
    <row r="13" spans="1:29" ht="15.75" customHeight="1" x14ac:dyDescent="0.25">
      <c r="C13" t="s">
        <v>612</v>
      </c>
      <c r="AA13" s="311" t="s">
        <v>641</v>
      </c>
      <c r="AB13" s="311">
        <v>75000</v>
      </c>
      <c r="AC13" s="311">
        <v>10</v>
      </c>
    </row>
    <row r="14" spans="1:29" ht="57" customHeight="1" x14ac:dyDescent="0.25">
      <c r="C14" t="s">
        <v>613</v>
      </c>
      <c r="W14" s="311">
        <v>3</v>
      </c>
      <c r="X14" s="311" t="s">
        <v>642</v>
      </c>
      <c r="Y14" s="311" t="s">
        <v>643</v>
      </c>
      <c r="Z14" s="311" t="s">
        <v>644</v>
      </c>
    </row>
    <row r="15" spans="1:29" x14ac:dyDescent="0.25">
      <c r="C15" t="s">
        <v>614</v>
      </c>
      <c r="AA15" s="311" t="s">
        <v>641</v>
      </c>
      <c r="AB15" s="311">
        <v>75000</v>
      </c>
      <c r="AC15" s="311">
        <v>10</v>
      </c>
    </row>
    <row r="16" spans="1:29" x14ac:dyDescent="0.25">
      <c r="C16" t="s">
        <v>615</v>
      </c>
      <c r="X16" s="311" t="s">
        <v>645</v>
      </c>
      <c r="AB16" s="311">
        <v>150000</v>
      </c>
    </row>
    <row r="18" spans="3:16" x14ac:dyDescent="0.25">
      <c r="C18" t="s">
        <v>616</v>
      </c>
    </row>
    <row r="20" spans="3:16" x14ac:dyDescent="0.25">
      <c r="C20" t="s">
        <v>617</v>
      </c>
    </row>
    <row r="23" spans="3:16" x14ac:dyDescent="0.25">
      <c r="C23" t="s">
        <v>621</v>
      </c>
    </row>
    <row r="26" spans="3:16" x14ac:dyDescent="0.25">
      <c r="E26" t="s">
        <v>656</v>
      </c>
      <c r="J26" t="s">
        <v>662</v>
      </c>
    </row>
    <row r="27" spans="3:16" x14ac:dyDescent="0.25">
      <c r="C27" t="s">
        <v>626</v>
      </c>
    </row>
    <row r="30" spans="3:16" x14ac:dyDescent="0.25">
      <c r="C30" t="s">
        <v>651</v>
      </c>
      <c r="P30">
        <v>17500</v>
      </c>
    </row>
    <row r="31" spans="3:16" x14ac:dyDescent="0.25">
      <c r="E31" t="s">
        <v>655</v>
      </c>
      <c r="P31">
        <v>350</v>
      </c>
    </row>
    <row r="32" spans="3:16" x14ac:dyDescent="0.25">
      <c r="P32">
        <f>P30/P31</f>
        <v>50</v>
      </c>
    </row>
    <row r="33" spans="3:14" x14ac:dyDescent="0.25">
      <c r="E33" t="s">
        <v>654</v>
      </c>
    </row>
    <row r="35" spans="3:14" x14ac:dyDescent="0.25">
      <c r="C35" t="s">
        <v>653</v>
      </c>
    </row>
    <row r="37" spans="3:14" x14ac:dyDescent="0.25">
      <c r="E37" t="s">
        <v>657</v>
      </c>
    </row>
    <row r="38" spans="3:14" x14ac:dyDescent="0.25">
      <c r="K38" t="s">
        <v>663</v>
      </c>
      <c r="L38" t="s">
        <v>664</v>
      </c>
      <c r="M38" t="s">
        <v>665</v>
      </c>
      <c r="N38" t="s">
        <v>323</v>
      </c>
    </row>
    <row r="41" spans="3:14" x14ac:dyDescent="0.25">
      <c r="C41">
        <v>80</v>
      </c>
      <c r="F41" t="s">
        <v>661</v>
      </c>
    </row>
    <row r="42" spans="3:14" x14ac:dyDescent="0.25">
      <c r="C42">
        <v>40</v>
      </c>
    </row>
    <row r="43" spans="3:14" x14ac:dyDescent="0.25">
      <c r="C43">
        <v>40</v>
      </c>
      <c r="F43">
        <f>25*2</f>
        <v>50</v>
      </c>
      <c r="K43">
        <v>20</v>
      </c>
    </row>
    <row r="44" spans="3:14" x14ac:dyDescent="0.25">
      <c r="C44">
        <v>20</v>
      </c>
      <c r="K44">
        <v>7.5</v>
      </c>
    </row>
    <row r="45" spans="3:14" x14ac:dyDescent="0.25">
      <c r="C45">
        <v>10</v>
      </c>
      <c r="K45">
        <v>10</v>
      </c>
    </row>
    <row r="46" spans="3:14" x14ac:dyDescent="0.25">
      <c r="C46">
        <v>10</v>
      </c>
      <c r="F46" t="s">
        <v>690</v>
      </c>
      <c r="K46">
        <v>11</v>
      </c>
    </row>
    <row r="47" spans="3:14" x14ac:dyDescent="0.25">
      <c r="C47">
        <v>10</v>
      </c>
      <c r="K47">
        <v>55</v>
      </c>
    </row>
    <row r="48" spans="3:14" x14ac:dyDescent="0.25">
      <c r="C48">
        <v>6</v>
      </c>
      <c r="G48" t="s">
        <v>691</v>
      </c>
      <c r="K48">
        <v>80</v>
      </c>
    </row>
    <row r="49" spans="3:11" x14ac:dyDescent="0.25">
      <c r="C49">
        <v>20</v>
      </c>
      <c r="K49">
        <v>10</v>
      </c>
    </row>
    <row r="50" spans="3:11" x14ac:dyDescent="0.25">
      <c r="C50">
        <v>310</v>
      </c>
      <c r="K50">
        <v>10</v>
      </c>
    </row>
    <row r="51" spans="3:11" x14ac:dyDescent="0.25">
      <c r="C51">
        <v>35</v>
      </c>
      <c r="K51">
        <v>15</v>
      </c>
    </row>
    <row r="52" spans="3:11" x14ac:dyDescent="0.25">
      <c r="C52">
        <v>28</v>
      </c>
      <c r="G52" t="s">
        <v>692</v>
      </c>
      <c r="K52">
        <v>66</v>
      </c>
    </row>
    <row r="53" spans="3:11" x14ac:dyDescent="0.25">
      <c r="C53">
        <v>25</v>
      </c>
      <c r="K53">
        <v>97</v>
      </c>
    </row>
    <row r="54" spans="3:11" x14ac:dyDescent="0.25">
      <c r="C54">
        <v>39</v>
      </c>
      <c r="K54">
        <v>5</v>
      </c>
    </row>
    <row r="55" spans="3:11" x14ac:dyDescent="0.25">
      <c r="C55">
        <v>20</v>
      </c>
      <c r="G55" t="s">
        <v>693</v>
      </c>
      <c r="K55">
        <v>30</v>
      </c>
    </row>
    <row r="56" spans="3:11" x14ac:dyDescent="0.25">
      <c r="C56">
        <v>21.31</v>
      </c>
      <c r="K56">
        <v>10</v>
      </c>
    </row>
    <row r="57" spans="3:11" x14ac:dyDescent="0.25">
      <c r="C57">
        <v>15</v>
      </c>
    </row>
    <row r="58" spans="3:11" x14ac:dyDescent="0.25">
      <c r="C58">
        <v>20</v>
      </c>
      <c r="G58" t="s">
        <v>694</v>
      </c>
    </row>
    <row r="59" spans="3:11" x14ac:dyDescent="0.25">
      <c r="C59">
        <v>25</v>
      </c>
      <c r="G59" t="s">
        <v>695</v>
      </c>
    </row>
    <row r="60" spans="3:11" x14ac:dyDescent="0.25">
      <c r="C60">
        <v>7</v>
      </c>
    </row>
    <row r="61" spans="3:11" x14ac:dyDescent="0.25">
      <c r="C61">
        <f>SUM(C41:C60)</f>
        <v>781.31</v>
      </c>
    </row>
    <row r="63" spans="3:11" x14ac:dyDescent="0.25">
      <c r="F63" t="s">
        <v>666</v>
      </c>
      <c r="G63">
        <v>20</v>
      </c>
      <c r="H63">
        <v>2</v>
      </c>
      <c r="I63">
        <v>6</v>
      </c>
      <c r="J63">
        <v>240</v>
      </c>
    </row>
    <row r="64" spans="3:11" x14ac:dyDescent="0.25">
      <c r="F64" t="s">
        <v>667</v>
      </c>
      <c r="G64">
        <v>7.5</v>
      </c>
      <c r="H64">
        <v>2</v>
      </c>
      <c r="I64">
        <v>8</v>
      </c>
      <c r="J64">
        <v>120</v>
      </c>
    </row>
    <row r="65" spans="6:10" x14ac:dyDescent="0.25">
      <c r="F65" t="s">
        <v>668</v>
      </c>
      <c r="G65">
        <v>10</v>
      </c>
      <c r="H65">
        <v>2</v>
      </c>
      <c r="I65">
        <v>2</v>
      </c>
      <c r="J65">
        <v>40</v>
      </c>
    </row>
    <row r="66" spans="6:10" x14ac:dyDescent="0.25">
      <c r="F66" t="s">
        <v>669</v>
      </c>
      <c r="G66">
        <v>11</v>
      </c>
      <c r="H66">
        <v>2</v>
      </c>
      <c r="I66">
        <v>8</v>
      </c>
      <c r="J66">
        <v>176</v>
      </c>
    </row>
    <row r="67" spans="6:10" x14ac:dyDescent="0.25">
      <c r="F67" t="s">
        <v>670</v>
      </c>
      <c r="G67">
        <v>55</v>
      </c>
      <c r="H67">
        <v>1</v>
      </c>
      <c r="I67">
        <v>16</v>
      </c>
      <c r="J67">
        <v>880</v>
      </c>
    </row>
    <row r="68" spans="6:10" x14ac:dyDescent="0.25">
      <c r="F68" t="s">
        <v>189</v>
      </c>
      <c r="G68">
        <v>80</v>
      </c>
      <c r="H68">
        <v>1</v>
      </c>
      <c r="I68">
        <v>6</v>
      </c>
      <c r="J68">
        <v>480</v>
      </c>
    </row>
    <row r="69" spans="6:10" x14ac:dyDescent="0.25">
      <c r="F69" t="s">
        <v>671</v>
      </c>
      <c r="G69">
        <v>10</v>
      </c>
      <c r="H69">
        <v>2</v>
      </c>
      <c r="I69">
        <v>12</v>
      </c>
      <c r="J69">
        <v>240</v>
      </c>
    </row>
    <row r="70" spans="6:10" x14ac:dyDescent="0.25">
      <c r="F70" t="s">
        <v>672</v>
      </c>
      <c r="G70">
        <v>10</v>
      </c>
      <c r="H70">
        <v>2</v>
      </c>
      <c r="I70">
        <v>16</v>
      </c>
      <c r="J70">
        <v>320</v>
      </c>
    </row>
    <row r="71" spans="6:10" x14ac:dyDescent="0.25">
      <c r="F71" t="s">
        <v>673</v>
      </c>
      <c r="G71">
        <v>15</v>
      </c>
      <c r="H71">
        <v>1</v>
      </c>
      <c r="I71">
        <v>16</v>
      </c>
      <c r="J71">
        <v>240</v>
      </c>
    </row>
    <row r="72" spans="6:10" x14ac:dyDescent="0.25">
      <c r="F72" t="s">
        <v>674</v>
      </c>
      <c r="G72">
        <v>66</v>
      </c>
      <c r="H72">
        <v>1</v>
      </c>
      <c r="I72">
        <v>16</v>
      </c>
      <c r="J72">
        <v>1056</v>
      </c>
    </row>
    <row r="73" spans="6:10" x14ac:dyDescent="0.25">
      <c r="F73" t="s">
        <v>675</v>
      </c>
      <c r="G73">
        <v>97</v>
      </c>
      <c r="H73">
        <v>1</v>
      </c>
      <c r="I73">
        <v>16</v>
      </c>
      <c r="J73">
        <v>1552</v>
      </c>
    </row>
    <row r="74" spans="6:10" x14ac:dyDescent="0.25">
      <c r="F74" t="s">
        <v>676</v>
      </c>
      <c r="G74">
        <v>5</v>
      </c>
      <c r="H74">
        <v>1</v>
      </c>
      <c r="I74">
        <v>16</v>
      </c>
      <c r="J74">
        <v>80</v>
      </c>
    </row>
    <row r="75" spans="6:10" x14ac:dyDescent="0.25">
      <c r="F75" t="s">
        <v>677</v>
      </c>
      <c r="G75">
        <v>30</v>
      </c>
      <c r="H75">
        <v>1</v>
      </c>
      <c r="I75">
        <v>10</v>
      </c>
      <c r="J75">
        <v>300</v>
      </c>
    </row>
    <row r="76" spans="6:10" x14ac:dyDescent="0.25">
      <c r="F76" t="s">
        <v>678</v>
      </c>
      <c r="G76">
        <v>10</v>
      </c>
      <c r="H76">
        <v>1</v>
      </c>
      <c r="I76">
        <v>16</v>
      </c>
      <c r="J76">
        <v>160</v>
      </c>
    </row>
    <row r="83" spans="3:6" x14ac:dyDescent="0.25">
      <c r="C83" t="s">
        <v>679</v>
      </c>
    </row>
    <row r="88" spans="3:6" x14ac:dyDescent="0.25">
      <c r="E88" t="s">
        <v>680</v>
      </c>
    </row>
    <row r="90" spans="3:6" x14ac:dyDescent="0.25">
      <c r="E90" t="s">
        <v>683</v>
      </c>
    </row>
    <row r="92" spans="3:6" x14ac:dyDescent="0.25">
      <c r="F92" t="s">
        <v>704</v>
      </c>
    </row>
    <row r="93" spans="3:6" x14ac:dyDescent="0.25">
      <c r="D93" t="s">
        <v>682</v>
      </c>
    </row>
    <row r="95" spans="3:6" x14ac:dyDescent="0.25">
      <c r="E95" t="s">
        <v>684</v>
      </c>
    </row>
    <row r="97" spans="5:7" x14ac:dyDescent="0.25">
      <c r="F97" t="s">
        <v>703</v>
      </c>
    </row>
    <row r="99" spans="5:7" x14ac:dyDescent="0.25">
      <c r="E99" t="s">
        <v>685</v>
      </c>
    </row>
    <row r="100" spans="5:7" x14ac:dyDescent="0.25">
      <c r="G100" t="s">
        <v>705</v>
      </c>
    </row>
    <row r="101" spans="5:7" x14ac:dyDescent="0.25">
      <c r="E101">
        <v>1</v>
      </c>
    </row>
    <row r="102" spans="5:7" x14ac:dyDescent="0.25">
      <c r="F102" t="s">
        <v>700</v>
      </c>
    </row>
    <row r="104" spans="5:7" x14ac:dyDescent="0.25">
      <c r="F104" t="s">
        <v>697</v>
      </c>
    </row>
    <row r="105" spans="5:7" x14ac:dyDescent="0.25">
      <c r="F105" t="s">
        <v>698</v>
      </c>
    </row>
    <row r="107" spans="5:7" x14ac:dyDescent="0.25">
      <c r="E107" t="s">
        <v>699</v>
      </c>
    </row>
    <row r="109" spans="5:7" x14ac:dyDescent="0.25">
      <c r="F109" t="s">
        <v>702</v>
      </c>
    </row>
    <row r="110" spans="5:7" x14ac:dyDescent="0.25">
      <c r="F110" t="s">
        <v>701</v>
      </c>
    </row>
    <row r="111" spans="5:7" x14ac:dyDescent="0.25">
      <c r="E111" t="s">
        <v>711</v>
      </c>
    </row>
    <row r="112" spans="5:7" x14ac:dyDescent="0.25">
      <c r="E112" t="s">
        <v>710</v>
      </c>
    </row>
    <row r="113" spans="4:7" x14ac:dyDescent="0.25">
      <c r="E113" t="s">
        <v>708</v>
      </c>
    </row>
    <row r="114" spans="4:7" x14ac:dyDescent="0.25">
      <c r="E114" t="s">
        <v>707</v>
      </c>
    </row>
    <row r="115" spans="4:7" x14ac:dyDescent="0.25">
      <c r="E115" t="s">
        <v>709</v>
      </c>
    </row>
    <row r="116" spans="4:7" x14ac:dyDescent="0.25">
      <c r="E116" t="s">
        <v>706</v>
      </c>
    </row>
    <row r="119" spans="4:7" x14ac:dyDescent="0.25">
      <c r="E119" t="s">
        <v>712</v>
      </c>
    </row>
    <row r="121" spans="4:7" x14ac:dyDescent="0.25">
      <c r="E121" t="s">
        <v>713</v>
      </c>
    </row>
    <row r="123" spans="4:7" x14ac:dyDescent="0.25">
      <c r="E123" t="s">
        <v>714</v>
      </c>
    </row>
    <row r="127" spans="4:7" x14ac:dyDescent="0.25">
      <c r="D127" t="s">
        <v>715</v>
      </c>
    </row>
    <row r="128" spans="4:7" x14ac:dyDescent="0.25">
      <c r="D128" t="s">
        <v>723</v>
      </c>
      <c r="G128" t="s">
        <v>762</v>
      </c>
    </row>
    <row r="129" spans="4:10" x14ac:dyDescent="0.25">
      <c r="D129" t="s">
        <v>716</v>
      </c>
    </row>
    <row r="130" spans="4:10" x14ac:dyDescent="0.25">
      <c r="D130" t="s">
        <v>717</v>
      </c>
      <c r="G130" t="s">
        <v>766</v>
      </c>
    </row>
    <row r="131" spans="4:10" x14ac:dyDescent="0.25">
      <c r="D131" t="s">
        <v>718</v>
      </c>
    </row>
    <row r="132" spans="4:10" x14ac:dyDescent="0.25">
      <c r="D132" t="s">
        <v>719</v>
      </c>
    </row>
    <row r="133" spans="4:10" x14ac:dyDescent="0.25">
      <c r="D133" t="s">
        <v>720</v>
      </c>
    </row>
    <row r="134" spans="4:10" x14ac:dyDescent="0.25">
      <c r="D134" t="s">
        <v>721</v>
      </c>
    </row>
    <row r="135" spans="4:10" x14ac:dyDescent="0.25">
      <c r="D135" t="s">
        <v>722</v>
      </c>
    </row>
    <row r="137" spans="4:10" x14ac:dyDescent="0.25">
      <c r="D137" t="s">
        <v>723</v>
      </c>
    </row>
    <row r="138" spans="4:10" x14ac:dyDescent="0.25">
      <c r="D138" s="327" t="s">
        <v>724</v>
      </c>
      <c r="E138" s="326" t="s">
        <v>725</v>
      </c>
      <c r="F138" s="326" t="s">
        <v>726</v>
      </c>
    </row>
    <row r="139" spans="4:10" x14ac:dyDescent="0.25">
      <c r="D139" s="327" t="s">
        <v>727</v>
      </c>
      <c r="E139" s="326">
        <v>1.21</v>
      </c>
      <c r="F139" s="326">
        <v>8.1199999999999992</v>
      </c>
    </row>
    <row r="140" spans="4:10" x14ac:dyDescent="0.25">
      <c r="D140" s="327" t="s">
        <v>728</v>
      </c>
      <c r="E140" s="326">
        <v>5.37</v>
      </c>
      <c r="F140" s="326">
        <v>36.020000000000003</v>
      </c>
      <c r="J140" t="s">
        <v>772</v>
      </c>
    </row>
    <row r="141" spans="4:10" x14ac:dyDescent="0.25">
      <c r="D141" s="327" t="s">
        <v>729</v>
      </c>
      <c r="E141" s="326">
        <v>10.119999999999999</v>
      </c>
      <c r="F141" s="326">
        <v>67.87</v>
      </c>
    </row>
    <row r="142" spans="4:10" x14ac:dyDescent="0.25">
      <c r="D142" s="327" t="s">
        <v>730</v>
      </c>
      <c r="E142" s="326">
        <v>85.09</v>
      </c>
      <c r="F142" s="326" t="s">
        <v>731</v>
      </c>
    </row>
    <row r="143" spans="4:10" x14ac:dyDescent="0.25">
      <c r="D143" s="327" t="s">
        <v>732</v>
      </c>
      <c r="E143" s="326">
        <v>1.01</v>
      </c>
      <c r="F143" s="326">
        <v>6.77</v>
      </c>
    </row>
    <row r="144" spans="4:10" x14ac:dyDescent="0.25">
      <c r="D144" s="327" t="s">
        <v>733</v>
      </c>
      <c r="E144" s="326">
        <v>10.199999999999999</v>
      </c>
      <c r="F144" s="326">
        <v>68.41</v>
      </c>
    </row>
    <row r="147" spans="4:8" x14ac:dyDescent="0.25">
      <c r="D147" s="327" t="s">
        <v>739</v>
      </c>
    </row>
    <row r="148" spans="4:8" x14ac:dyDescent="0.25">
      <c r="D148" t="s">
        <v>734</v>
      </c>
      <c r="E148" t="s">
        <v>735</v>
      </c>
      <c r="F148" t="s">
        <v>736</v>
      </c>
      <c r="G148" t="s">
        <v>737</v>
      </c>
      <c r="H148" t="s">
        <v>738</v>
      </c>
    </row>
    <row r="149" spans="4:8" x14ac:dyDescent="0.25">
      <c r="D149">
        <v>1</v>
      </c>
      <c r="E149">
        <v>5</v>
      </c>
      <c r="F149">
        <v>25</v>
      </c>
      <c r="G149">
        <v>50</v>
      </c>
      <c r="H149">
        <v>400.84</v>
      </c>
    </row>
    <row r="152" spans="4:8" x14ac:dyDescent="0.25">
      <c r="D152" t="s">
        <v>740</v>
      </c>
    </row>
    <row r="154" spans="4:8" x14ac:dyDescent="0.25">
      <c r="D154" t="s">
        <v>741</v>
      </c>
    </row>
    <row r="156" spans="4:8" x14ac:dyDescent="0.25">
      <c r="D156" t="s">
        <v>742</v>
      </c>
    </row>
    <row r="157" spans="4:8" x14ac:dyDescent="0.25">
      <c r="D157" t="s">
        <v>743</v>
      </c>
    </row>
    <row r="158" spans="4:8" x14ac:dyDescent="0.25">
      <c r="D158" t="s">
        <v>744</v>
      </c>
    </row>
    <row r="161" spans="4:4" x14ac:dyDescent="0.25">
      <c r="D161" t="s">
        <v>745</v>
      </c>
    </row>
    <row r="162" spans="4:4" x14ac:dyDescent="0.25">
      <c r="D162" t="s">
        <v>746</v>
      </c>
    </row>
    <row r="163" spans="4:4" x14ac:dyDescent="0.25">
      <c r="D163" t="s">
        <v>755</v>
      </c>
    </row>
    <row r="164" spans="4:4" x14ac:dyDescent="0.25">
      <c r="D164" t="s">
        <v>754</v>
      </c>
    </row>
    <row r="165" spans="4:4" x14ac:dyDescent="0.25">
      <c r="D165" t="s">
        <v>753</v>
      </c>
    </row>
    <row r="166" spans="4:4" x14ac:dyDescent="0.25">
      <c r="D166" t="s">
        <v>752</v>
      </c>
    </row>
    <row r="167" spans="4:4" x14ac:dyDescent="0.25">
      <c r="D167" t="s">
        <v>748</v>
      </c>
    </row>
    <row r="169" spans="4:4" x14ac:dyDescent="0.25">
      <c r="D169" t="s">
        <v>749</v>
      </c>
    </row>
    <row r="171" spans="4:4" x14ac:dyDescent="0.25">
      <c r="D171" t="s">
        <v>751</v>
      </c>
    </row>
    <row r="172" spans="4:4" x14ac:dyDescent="0.25">
      <c r="D172" t="s">
        <v>750</v>
      </c>
    </row>
    <row r="177" spans="4:4" x14ac:dyDescent="0.25">
      <c r="D177" t="s">
        <v>756</v>
      </c>
    </row>
    <row r="178" spans="4:4" x14ac:dyDescent="0.25">
      <c r="D178" t="s">
        <v>757</v>
      </c>
    </row>
    <row r="182" spans="4:4" x14ac:dyDescent="0.25">
      <c r="D182" s="323" t="s">
        <v>758</v>
      </c>
    </row>
    <row r="184" spans="4:4" x14ac:dyDescent="0.25">
      <c r="D184" t="s">
        <v>760</v>
      </c>
    </row>
    <row r="186" spans="4:4" x14ac:dyDescent="0.25">
      <c r="D186" t="s">
        <v>759</v>
      </c>
    </row>
    <row r="189" spans="4:4" x14ac:dyDescent="0.25">
      <c r="D189" t="s">
        <v>765</v>
      </c>
    </row>
    <row r="190" spans="4:4" x14ac:dyDescent="0.25">
      <c r="D190" t="s">
        <v>763</v>
      </c>
    </row>
    <row r="192" spans="4:4" x14ac:dyDescent="0.25">
      <c r="D192" t="s">
        <v>761</v>
      </c>
    </row>
    <row r="194" spans="4:4" x14ac:dyDescent="0.25">
      <c r="D194" t="s">
        <v>762</v>
      </c>
    </row>
    <row r="195" spans="4:4" x14ac:dyDescent="0.25">
      <c r="D195" t="s">
        <v>764</v>
      </c>
    </row>
    <row r="199" spans="4:4" x14ac:dyDescent="0.25">
      <c r="D199" t="s">
        <v>768</v>
      </c>
    </row>
    <row r="201" spans="4:4" x14ac:dyDescent="0.25">
      <c r="D201" t="s">
        <v>767</v>
      </c>
    </row>
    <row r="207" spans="4:4" x14ac:dyDescent="0.25">
      <c r="D207" t="s">
        <v>769</v>
      </c>
    </row>
    <row r="212" spans="4:5" x14ac:dyDescent="0.25">
      <c r="D212" t="s">
        <v>770</v>
      </c>
    </row>
    <row r="218" spans="4:5" x14ac:dyDescent="0.25">
      <c r="D218" t="s">
        <v>771</v>
      </c>
    </row>
    <row r="222" spans="4:5" x14ac:dyDescent="0.25">
      <c r="D222" s="400">
        <f>12*10^7</f>
        <v>120000000</v>
      </c>
      <c r="E222" s="401">
        <v>1.5E-3</v>
      </c>
    </row>
    <row r="223" spans="4:5" x14ac:dyDescent="0.25">
      <c r="E223" s="402">
        <f>D222*E222</f>
        <v>180000</v>
      </c>
    </row>
    <row r="226" spans="4:4" x14ac:dyDescent="0.25">
      <c r="D226" s="400">
        <f>22.8*10^5</f>
        <v>2280000</v>
      </c>
    </row>
    <row r="227" spans="4:4" x14ac:dyDescent="0.25">
      <c r="D227" s="400">
        <v>75000</v>
      </c>
    </row>
    <row r="228" spans="4:4" x14ac:dyDescent="0.25">
      <c r="D228" s="400">
        <v>25000</v>
      </c>
    </row>
    <row r="229" spans="4:4" x14ac:dyDescent="0.25">
      <c r="D229" s="402">
        <f>SUM(D226:D228)</f>
        <v>2380000</v>
      </c>
    </row>
  </sheetData>
  <hyperlinks>
    <hyperlink ref="G8" r:id="rId1"/>
    <hyperlink ref="D11" r:id="rId2"/>
    <hyperlink ref="D182" r:id="rId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vt:i4>
      </vt:variant>
    </vt:vector>
  </HeadingPairs>
  <TitlesOfParts>
    <vt:vector size="25" baseType="lpstr">
      <vt:lpstr>Final Cost Sheet NRSBF</vt:lpstr>
      <vt:lpstr>Revised Cost Sheet Final</vt:lpstr>
      <vt:lpstr>Revised Cost Sheet</vt:lpstr>
      <vt:lpstr>6 TPD CBG Cost sheet</vt:lpstr>
      <vt:lpstr>Input &amp; Output Calc.</vt:lpstr>
      <vt:lpstr>TPC and MoF</vt:lpstr>
      <vt:lpstr>Sheet5</vt:lpstr>
      <vt:lpstr>Sheet2</vt:lpstr>
      <vt:lpstr>Common Assumption</vt:lpstr>
      <vt:lpstr>Revenue &amp; Expense Modelling</vt:lpstr>
      <vt:lpstr>Sheet3</vt:lpstr>
      <vt:lpstr>IS</vt:lpstr>
      <vt:lpstr>BS</vt:lpstr>
      <vt:lpstr>CFS</vt:lpstr>
      <vt:lpstr>sal &amp; wages</vt:lpstr>
      <vt:lpstr>Loan Schedule</vt:lpstr>
      <vt:lpstr>Depreciation Schedule</vt:lpstr>
      <vt:lpstr>Working Capital Assessment</vt:lpstr>
      <vt:lpstr>Sheet4</vt:lpstr>
      <vt:lpstr>Tax Calculations</vt:lpstr>
      <vt:lpstr>DSCR</vt:lpstr>
      <vt:lpstr>NPV &amp; IRR, Payback Period</vt:lpstr>
      <vt:lpstr>Ratio and Break Even Analysis</vt:lpstr>
      <vt:lpstr>Sheet1</vt:lpstr>
      <vt:lpstr>'6 TPD CBG Cost sheet'!Print_Area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2024-11-14T07:46:39Z</dcterms:modified>
</cp:coreProperties>
</file>