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In Progress Files\Amit Jaiswal\VIS(2024-25)-PL046-044-063 Jyoti Structure_Ghoti\"/>
    </mc:Choice>
  </mc:AlternateContent>
  <xr:revisionPtr revIDLastSave="0" documentId="13_ncr:1_{25097361-62E1-45D5-A04A-30DFE11E5AD4}" xr6:coauthVersionLast="47" xr6:coauthVersionMax="47" xr10:uidLastSave="{00000000-0000-0000-0000-000000000000}"/>
  <bookViews>
    <workbookView showVerticalScroll="0" xWindow="-120" yWindow="-120" windowWidth="21840" windowHeight="13140" activeTab="1" xr2:uid="{00000000-000D-0000-FFFF-FFFF00000000}"/>
  </bookViews>
  <sheets>
    <sheet name="Building" sheetId="1" r:id="rId1"/>
    <sheet name="Land Details" sheetId="4" r:id="rId2"/>
  </sheets>
  <definedNames>
    <definedName name="_xlnm.Print_Area" localSheetId="0">Building!$B$2:$U$15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L22" i="1"/>
  <c r="L22" i="4" l="1"/>
  <c r="L19" i="1"/>
  <c r="P18" i="4"/>
  <c r="R18" i="4"/>
  <c r="K19" i="4" l="1"/>
  <c r="K20" i="4" s="1"/>
  <c r="Q10" i="1"/>
  <c r="G10" i="1"/>
  <c r="F10" i="1"/>
  <c r="R22" i="1"/>
  <c r="O5" i="1" l="1"/>
  <c r="L5" i="1" l="1"/>
  <c r="G25" i="1"/>
  <c r="O9" i="1"/>
  <c r="L9" i="1"/>
  <c r="G9" i="1"/>
  <c r="Q9" i="1" s="1"/>
  <c r="R9" i="1" l="1"/>
  <c r="S9" i="1" s="1"/>
  <c r="U9" i="1" s="1"/>
  <c r="M30" i="1" l="1"/>
  <c r="Z20" i="1" l="1"/>
  <c r="G6" i="1" l="1"/>
  <c r="Q6" i="1" s="1"/>
  <c r="O6" i="1"/>
  <c r="L6" i="1"/>
  <c r="R6" i="1" l="1"/>
  <c r="S6" i="1" s="1"/>
  <c r="U6" i="1" s="1"/>
  <c r="G5" i="1"/>
  <c r="Q5" i="1" l="1"/>
  <c r="L7" i="1"/>
  <c r="L8" i="1"/>
  <c r="G7" i="1"/>
  <c r="G8" i="1"/>
  <c r="G27" i="1" l="1"/>
  <c r="G28" i="1" s="1"/>
  <c r="R5" i="1"/>
  <c r="O8" i="1"/>
  <c r="O7" i="1"/>
  <c r="Q7" i="1"/>
  <c r="Q8" i="1"/>
  <c r="Q16" i="1" l="1"/>
  <c r="S5" i="1"/>
  <c r="R8" i="1"/>
  <c r="S8" i="1" s="1"/>
  <c r="R7" i="1"/>
  <c r="R10" i="1" l="1"/>
  <c r="U5" i="1"/>
  <c r="S7" i="1"/>
  <c r="U7" i="1" s="1"/>
  <c r="U8" i="1"/>
  <c r="U10" i="1" l="1"/>
  <c r="S10" i="1"/>
  <c r="L30" i="1"/>
  <c r="L20" i="1" l="1"/>
  <c r="L23" i="1" l="1"/>
  <c r="L24" i="1" l="1"/>
  <c r="L25" i="1"/>
</calcChain>
</file>

<file path=xl/sharedStrings.xml><?xml version="1.0" encoding="utf-8"?>
<sst xmlns="http://schemas.openxmlformats.org/spreadsheetml/2006/main" count="74" uniqueCount="56">
  <si>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</si>
  <si>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</si>
  <si>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</si>
  <si>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</si>
  <si>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</si>
  <si>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</si>
  <si>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</si>
  <si>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</si>
  <si>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</si>
  <si>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</si>
  <si>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</si>
  <si>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</si>
  <si>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</si>
  <si>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</si>
  <si>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</si>
  <si>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</si>
  <si>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DV</t>
  </si>
  <si>
    <t>TOTAL FMV</t>
  </si>
  <si>
    <t>ROUND OFF</t>
  </si>
  <si>
    <t>LAND</t>
  </si>
  <si>
    <t>BUILDING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</si>
  <si>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</si>
  <si>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</si>
  <si>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Area(in sq. mtr.)</t>
  </si>
  <si>
    <r>
      <t>Height per floor (</t>
    </r>
    <r>
      <rPr>
        <b/>
        <i/>
        <sz val="10"/>
        <rFont val="Calibri"/>
        <family val="2"/>
        <scheme val="minor"/>
      </rPr>
      <t>in ft.)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</si>
  <si>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</si>
  <si>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Boundary wall</t>
  </si>
  <si>
    <t xml:space="preserve">Land </t>
  </si>
  <si>
    <t xml:space="preserve">Building </t>
  </si>
  <si>
    <t>3. Age of the building has been taken from the information received from client during site survey</t>
  </si>
  <si>
    <t>Floor</t>
  </si>
  <si>
    <t>GF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</si>
  <si>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site measurement as no other document provided to us.</t>
    </r>
  </si>
  <si>
    <t xml:space="preserve"> </t>
  </si>
  <si>
    <t>RCC</t>
  </si>
  <si>
    <t>Boundary</t>
  </si>
  <si>
    <t>Particular</t>
  </si>
  <si>
    <t>P&amp;M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</si>
  <si>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Jyoti Structure Limited.</t>
    </r>
  </si>
  <si>
    <t>BUILDING VALUATION OF M/S JYOTI STRUCTURES LIMITED</t>
  </si>
  <si>
    <t>R&amp;D Maintenance Building</t>
  </si>
  <si>
    <t>Fabrication Shed</t>
  </si>
  <si>
    <t>Winch Room 1</t>
  </si>
  <si>
    <t>Winch Room 2</t>
  </si>
  <si>
    <t>Maintenance Shed</t>
  </si>
  <si>
    <t>Shed</t>
  </si>
  <si>
    <t>Date</t>
  </si>
  <si>
    <t>Gat no.</t>
  </si>
  <si>
    <t>Area</t>
  </si>
  <si>
    <t>Unit</t>
  </si>
  <si>
    <t>Unit in sq.m.</t>
  </si>
  <si>
    <t>Total area in sq. mtr.</t>
  </si>
  <si>
    <t>Total Area in Acres</t>
  </si>
  <si>
    <t>Hectare</t>
  </si>
  <si>
    <t>Are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</si>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</sst>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  <numFmt numFmtId="169" formatCode="_ [$₹-4009]\ * #,##0.0_ ;_ [$₹-4009]\ * \-#,##0.0_ ;_ [$₹-4009]\ * &quot;-&quot;?_ ;_ @_ "/>
    <numFmt numFmtId="174" formatCode="_ * #,##0.0_ ;_ * \-#,##0.0_ ;_ * &quot;-&quot;?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167" fontId="0" fillId="4" borderId="0" xfId="0" applyNumberFormat="1" applyFill="1"/>
    <xf numFmtId="166" fontId="2" fillId="4" borderId="0" xfId="1" applyNumberFormat="1" applyFont="1" applyFill="1"/>
    <xf numFmtId="167" fontId="0" fillId="0" borderId="0" xfId="0" applyNumberFormat="1"/>
    <xf numFmtId="164" fontId="5" fillId="2" borderId="1" xfId="2" applyNumberFormat="1" applyFont="1" applyFill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0" fillId="0" borderId="0" xfId="2" applyNumberFormat="1" applyFont="1" applyAlignment="1">
      <alignment wrapText="1"/>
    </xf>
    <xf numFmtId="164" fontId="0" fillId="0" borderId="0" xfId="2" applyNumberFormat="1" applyFont="1"/>
    <xf numFmtId="167" fontId="0" fillId="0" borderId="0" xfId="2" applyNumberFormat="1" applyFont="1"/>
    <xf numFmtId="164" fontId="0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wrapText="1"/>
    </xf>
    <xf numFmtId="167" fontId="2" fillId="4" borderId="0" xfId="0" applyNumberFormat="1" applyFont="1" applyFill="1" applyAlignment="1">
      <alignment vertical="center"/>
    </xf>
    <xf numFmtId="164" fontId="0" fillId="0" borderId="0" xfId="2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3" fontId="0" fillId="0" borderId="0" xfId="0" applyNumberFormat="1" applyAlignment="1">
      <alignment wrapText="1"/>
    </xf>
    <xf numFmtId="43" fontId="0" fillId="0" borderId="0" xfId="2" applyFont="1" applyFill="1" applyAlignment="1">
      <alignment horizontal="center"/>
    </xf>
    <xf numFmtId="169" fontId="0" fillId="0" borderId="0" xfId="0" applyNumberFormat="1"/>
    <xf numFmtId="164" fontId="5" fillId="0" borderId="1" xfId="2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9" fontId="0" fillId="0" borderId="1" xfId="3" applyFont="1" applyFill="1" applyBorder="1" applyAlignment="1">
      <alignment horizontal="center" vertical="center"/>
    </xf>
    <xf numFmtId="164" fontId="2" fillId="0" borderId="0" xfId="2" applyNumberFormat="1" applyFont="1" applyAlignment="1">
      <alignment wrapText="1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64" fontId="2" fillId="0" borderId="1" xfId="2" applyNumberFormat="1" applyFont="1" applyBorder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4" fontId="0" fillId="0" borderId="0" xfId="0" applyNumberFormat="1" applyAlignment="1">
      <alignment wrapText="1"/>
    </xf>
    <xf numFmtId="0" fontId="0" fillId="0" borderId="1" xfId="0" applyBorder="1" applyAlignment="1">
      <alignment horizontal="righ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36"/>
  <sheetViews>
    <sheetView topLeftCell="A7" zoomScale="85" zoomScaleNormal="85" zoomScaleSheetLayoutView="85" workbookViewId="0">
      <selection activeCell="E17" sqref="E17"/>
    </sheetView>
  </sheetViews>
  <sheetFormatPr defaultRowHeight="15" x14ac:dyDescent="0.25"/>
  <cols>
    <col min="2" max="2" width="5.140625" customWidth="1"/>
    <col min="3" max="3" width="15.7109375" style="10" customWidth="1"/>
    <col min="4" max="4" width="6.7109375" style="10" customWidth="1"/>
    <col min="5" max="5" width="9.28515625" style="10" customWidth="1"/>
    <col min="6" max="6" width="1.28515625" style="10" hidden="1" customWidth="1"/>
    <col min="7" max="7" width="9" style="33" customWidth="1"/>
    <col min="8" max="8" width="5" style="33" hidden="1" customWidth="1"/>
    <col min="9" max="9" width="7" customWidth="1"/>
    <col min="10" max="10" width="8.28515625" customWidth="1"/>
    <col min="11" max="11" width="7.85546875" customWidth="1"/>
    <col min="12" max="12" width="14.42578125" bestFit="1" customWidth="1"/>
    <col min="13" max="13" width="7.85546875" customWidth="1"/>
    <col min="14" max="14" width="9.7109375" hidden="1" customWidth="1"/>
    <col min="15" max="15" width="6.5703125" hidden="1" customWidth="1"/>
    <col min="16" max="16" width="6.7109375" customWidth="1"/>
    <col min="17" max="17" width="13.42578125" customWidth="1"/>
    <col min="18" max="18" width="13.42578125" hidden="1" customWidth="1"/>
    <col min="19" max="19" width="16.140625" hidden="1" customWidth="1"/>
    <col min="20" max="20" width="14.28515625" hidden="1" customWidth="1"/>
    <col min="21" max="21" width="12.42578125" style="11" customWidth="1"/>
    <col min="22" max="23" width="17" bestFit="1" customWidth="1"/>
    <col min="24" max="24" width="14.28515625" bestFit="1" customWidth="1"/>
  </cols>
  <sheetData>
    <row r="3" spans="2:26" ht="26.25" customHeight="1" x14ac:dyDescent="0.25">
      <c r="B3" s="57" t="s">
        <v>39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2:26" s="8" customFormat="1" ht="74.25" customHeight="1" x14ac:dyDescent="0.25">
      <c r="B4" s="7" t="s">
        <v>0</v>
      </c>
      <c r="C4" s="7" t="s">
        <v>36</v>
      </c>
      <c r="D4" s="7" t="s">
        <v>30</v>
      </c>
      <c r="E4" s="7" t="s">
        <v>3</v>
      </c>
      <c r="F4" s="34" t="s">
        <v>23</v>
      </c>
      <c r="G4" s="7" t="s">
        <v>22</v>
      </c>
      <c r="H4" s="42"/>
      <c r="I4" s="17" t="s">
        <v>24</v>
      </c>
      <c r="J4" s="7" t="s">
        <v>1</v>
      </c>
      <c r="K4" s="7" t="s">
        <v>2</v>
      </c>
      <c r="L4" s="7" t="s">
        <v>12</v>
      </c>
      <c r="M4" s="7" t="s">
        <v>13</v>
      </c>
      <c r="N4" s="34" t="s">
        <v>4</v>
      </c>
      <c r="O4" s="34" t="s">
        <v>6</v>
      </c>
      <c r="P4" s="7" t="s">
        <v>14</v>
      </c>
      <c r="Q4" s="7" t="s">
        <v>10</v>
      </c>
      <c r="R4" s="34" t="s">
        <v>7</v>
      </c>
      <c r="S4" s="34" t="s">
        <v>8</v>
      </c>
      <c r="T4" s="34" t="s">
        <v>11</v>
      </c>
      <c r="U4" s="7" t="s">
        <v>9</v>
      </c>
    </row>
    <row r="5" spans="2:26" ht="45" x14ac:dyDescent="0.25">
      <c r="B5" s="2">
        <v>1</v>
      </c>
      <c r="C5" s="9" t="s">
        <v>40</v>
      </c>
      <c r="D5" s="9" t="s">
        <v>31</v>
      </c>
      <c r="E5" s="9" t="s">
        <v>34</v>
      </c>
      <c r="F5" s="30">
        <v>620</v>
      </c>
      <c r="G5" s="30">
        <f>F5*10.764</f>
        <v>6673.6799999999994</v>
      </c>
      <c r="H5" s="5"/>
      <c r="I5" s="5">
        <v>10</v>
      </c>
      <c r="J5" s="2">
        <v>1999</v>
      </c>
      <c r="K5" s="2">
        <v>2024</v>
      </c>
      <c r="L5" s="2">
        <f t="shared" ref="L5:L8" si="0">K5-J5</f>
        <v>25</v>
      </c>
      <c r="M5" s="2">
        <v>60</v>
      </c>
      <c r="N5" s="37">
        <v>0.1</v>
      </c>
      <c r="O5" s="38">
        <f>(1-N5)/M5</f>
        <v>1.5000000000000001E-2</v>
      </c>
      <c r="P5" s="30">
        <v>1600</v>
      </c>
      <c r="Q5" s="28">
        <f>P5*G5</f>
        <v>10677887.999999998</v>
      </c>
      <c r="R5" s="30">
        <f>Q5*O5*IF(L5&gt;M5,M5,L5)</f>
        <v>4004207.9999999995</v>
      </c>
      <c r="S5" s="30">
        <f>MAX(Q5-R5,0)</f>
        <v>6673679.9999999981</v>
      </c>
      <c r="T5" s="44">
        <v>0.3</v>
      </c>
      <c r="U5" s="28">
        <f>IF(S5&gt;N5*Q5,S5*(1-T5),Q5*N5)</f>
        <v>4671575.9999999981</v>
      </c>
      <c r="V5" s="6"/>
      <c r="W5" s="1"/>
      <c r="X5" s="1"/>
    </row>
    <row r="6" spans="2:26" ht="30" x14ac:dyDescent="0.25">
      <c r="B6" s="2">
        <v>2</v>
      </c>
      <c r="C6" s="9" t="s">
        <v>41</v>
      </c>
      <c r="D6" s="9" t="s">
        <v>31</v>
      </c>
      <c r="E6" s="9" t="s">
        <v>45</v>
      </c>
      <c r="F6" s="30">
        <v>652</v>
      </c>
      <c r="G6" s="30">
        <f>F6*10.764</f>
        <v>7018.1279999999997</v>
      </c>
      <c r="H6" s="5"/>
      <c r="I6" s="5">
        <v>22</v>
      </c>
      <c r="J6" s="2">
        <v>1999</v>
      </c>
      <c r="K6" s="2">
        <v>2024</v>
      </c>
      <c r="L6" s="2">
        <f t="shared" ref="L6" si="1">K6-J6</f>
        <v>25</v>
      </c>
      <c r="M6" s="2">
        <v>45</v>
      </c>
      <c r="N6" s="37">
        <v>0.1</v>
      </c>
      <c r="O6" s="38">
        <f t="shared" ref="O6" si="2">(1-N6)/M6</f>
        <v>0.02</v>
      </c>
      <c r="P6" s="30">
        <v>1100</v>
      </c>
      <c r="Q6" s="28">
        <f t="shared" ref="Q6" si="3">P6*G6</f>
        <v>7719940.7999999998</v>
      </c>
      <c r="R6" s="30">
        <f t="shared" ref="R6:R9" si="4">Q6*O6*IF(L6&gt;M6,M6,L6)</f>
        <v>3859970.4</v>
      </c>
      <c r="S6" s="30">
        <f t="shared" ref="S6" si="5">MAX(Q6-R6,0)</f>
        <v>3859970.4</v>
      </c>
      <c r="T6" s="44">
        <v>0.3</v>
      </c>
      <c r="U6" s="28">
        <f t="shared" ref="U6" si="6">IF(S6&gt;N6*Q6,S6*(1-T6),Q6*N6)</f>
        <v>2701979.28</v>
      </c>
      <c r="V6" s="6"/>
      <c r="W6" s="1"/>
      <c r="X6" s="1"/>
    </row>
    <row r="7" spans="2:26" x14ac:dyDescent="0.25">
      <c r="B7" s="2">
        <v>3</v>
      </c>
      <c r="C7" s="9" t="s">
        <v>42</v>
      </c>
      <c r="D7" s="9" t="s">
        <v>31</v>
      </c>
      <c r="E7" s="9" t="s">
        <v>34</v>
      </c>
      <c r="F7" s="30">
        <v>197</v>
      </c>
      <c r="G7" s="30">
        <f t="shared" ref="G7:G9" si="7">F7*10.764</f>
        <v>2120.5079999999998</v>
      </c>
      <c r="H7" s="5"/>
      <c r="I7" s="5">
        <v>10</v>
      </c>
      <c r="J7" s="2">
        <v>1999</v>
      </c>
      <c r="K7" s="2">
        <v>2024</v>
      </c>
      <c r="L7" s="2">
        <f t="shared" si="0"/>
        <v>25</v>
      </c>
      <c r="M7" s="2">
        <v>60</v>
      </c>
      <c r="N7" s="37">
        <v>0.1</v>
      </c>
      <c r="O7" s="38">
        <f t="shared" ref="O7:O9" si="8">(1-N7)/M7</f>
        <v>1.5000000000000001E-2</v>
      </c>
      <c r="P7" s="30">
        <v>1500</v>
      </c>
      <c r="Q7" s="28">
        <f t="shared" ref="Q7:Q9" si="9">P7*G7</f>
        <v>3180761.9999999995</v>
      </c>
      <c r="R7" s="30">
        <f t="shared" si="4"/>
        <v>1192785.75</v>
      </c>
      <c r="S7" s="30">
        <f t="shared" ref="S7:S8" si="10">MAX(Q7-R7,0)</f>
        <v>1987976.2499999995</v>
      </c>
      <c r="T7" s="44">
        <v>0.3</v>
      </c>
      <c r="U7" s="28">
        <f t="shared" ref="U7:U8" si="11">IF(S7&gt;N7*Q7,S7*(1-T7),Q7*N7)</f>
        <v>1391583.3749999995</v>
      </c>
      <c r="V7" s="6"/>
      <c r="W7" s="1"/>
      <c r="X7" s="1"/>
    </row>
    <row r="8" spans="2:26" x14ac:dyDescent="0.25">
      <c r="B8" s="2">
        <v>4</v>
      </c>
      <c r="C8" s="9" t="s">
        <v>43</v>
      </c>
      <c r="D8" s="9" t="s">
        <v>31</v>
      </c>
      <c r="E8" s="9" t="s">
        <v>34</v>
      </c>
      <c r="F8" s="30">
        <v>109</v>
      </c>
      <c r="G8" s="30">
        <f t="shared" si="7"/>
        <v>1173.2759999999998</v>
      </c>
      <c r="H8" s="5"/>
      <c r="I8" s="5">
        <v>10</v>
      </c>
      <c r="J8" s="2">
        <v>1999</v>
      </c>
      <c r="K8" s="2">
        <v>2024</v>
      </c>
      <c r="L8" s="2">
        <f t="shared" si="0"/>
        <v>25</v>
      </c>
      <c r="M8" s="2">
        <v>60</v>
      </c>
      <c r="N8" s="37">
        <v>0.1</v>
      </c>
      <c r="O8" s="38">
        <f t="shared" si="8"/>
        <v>1.5000000000000001E-2</v>
      </c>
      <c r="P8" s="30">
        <v>1500</v>
      </c>
      <c r="Q8" s="28">
        <f t="shared" si="9"/>
        <v>1759913.9999999998</v>
      </c>
      <c r="R8" s="30">
        <f t="shared" si="4"/>
        <v>659967.75</v>
      </c>
      <c r="S8" s="30">
        <f t="shared" si="10"/>
        <v>1099946.2499999998</v>
      </c>
      <c r="T8" s="44">
        <v>0.3</v>
      </c>
      <c r="U8" s="28">
        <f t="shared" si="11"/>
        <v>769962.37499999977</v>
      </c>
      <c r="V8" s="6"/>
      <c r="W8" s="1"/>
      <c r="X8" s="1"/>
    </row>
    <row r="9" spans="2:26" ht="30" x14ac:dyDescent="0.25">
      <c r="B9" s="2">
        <v>5</v>
      </c>
      <c r="C9" s="9" t="s">
        <v>44</v>
      </c>
      <c r="D9" s="9" t="s">
        <v>31</v>
      </c>
      <c r="E9" s="9" t="s">
        <v>45</v>
      </c>
      <c r="F9" s="30">
        <v>420</v>
      </c>
      <c r="G9" s="30">
        <f t="shared" si="7"/>
        <v>4520.88</v>
      </c>
      <c r="H9" s="5"/>
      <c r="I9" s="5">
        <v>12</v>
      </c>
      <c r="J9" s="2">
        <v>1999</v>
      </c>
      <c r="K9" s="2">
        <v>2024</v>
      </c>
      <c r="L9" s="2">
        <f t="shared" ref="L9" si="12">K9-J9</f>
        <v>25</v>
      </c>
      <c r="M9" s="2">
        <v>40</v>
      </c>
      <c r="N9" s="37">
        <v>0.1</v>
      </c>
      <c r="O9" s="38">
        <f t="shared" si="8"/>
        <v>2.2499999999999999E-2</v>
      </c>
      <c r="P9" s="30">
        <v>900</v>
      </c>
      <c r="Q9" s="28">
        <f t="shared" si="9"/>
        <v>4068792</v>
      </c>
      <c r="R9" s="30">
        <f t="shared" si="4"/>
        <v>2288695.5</v>
      </c>
      <c r="S9" s="30">
        <f t="shared" ref="S9" si="13">MAX(Q9-R9,0)</f>
        <v>1780096.5</v>
      </c>
      <c r="T9" s="44">
        <v>0.3</v>
      </c>
      <c r="U9" s="28">
        <f t="shared" ref="U9" si="14">IF(S9&gt;N9*Q9,S9*(1-T9),Q9*N9)</f>
        <v>1246067.5499999998</v>
      </c>
      <c r="V9" s="6"/>
      <c r="W9" s="1"/>
      <c r="X9" s="1"/>
    </row>
    <row r="10" spans="2:26" x14ac:dyDescent="0.25">
      <c r="B10" s="60" t="s">
        <v>5</v>
      </c>
      <c r="C10" s="60"/>
      <c r="D10" s="60"/>
      <c r="E10" s="60"/>
      <c r="F10" s="48">
        <f>SUM(F5:F9)</f>
        <v>1998</v>
      </c>
      <c r="G10" s="35">
        <f>SUM(G5:G9)</f>
        <v>21506.471999999998</v>
      </c>
      <c r="H10" s="46" t="s">
        <v>33</v>
      </c>
      <c r="I10" s="66"/>
      <c r="J10" s="67"/>
      <c r="K10" s="67"/>
      <c r="L10" s="67"/>
      <c r="M10" s="67"/>
      <c r="N10" s="67"/>
      <c r="O10" s="67"/>
      <c r="P10" s="68"/>
      <c r="Q10" s="29">
        <f>SUM(Q5:Q9)</f>
        <v>27407296.799999997</v>
      </c>
      <c r="R10" s="35">
        <f>SUM(R5:R9)</f>
        <v>12005627.399999999</v>
      </c>
      <c r="S10" s="35">
        <f>SUM(S5:S9)</f>
        <v>15401669.399999999</v>
      </c>
      <c r="T10" s="44"/>
      <c r="U10" s="29">
        <f>SUM(U5:U9)</f>
        <v>10781168.579999998</v>
      </c>
      <c r="V10" s="43"/>
    </row>
    <row r="11" spans="2:26" x14ac:dyDescent="0.25">
      <c r="B11" s="62" t="s">
        <v>15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"/>
      <c r="Z11">
        <v>1265</v>
      </c>
    </row>
    <row r="12" spans="2:26" ht="15" customHeight="1" x14ac:dyDescent="0.25">
      <c r="B12" s="61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"/>
      <c r="Z12">
        <v>1265</v>
      </c>
    </row>
    <row r="13" spans="2:26" ht="15.75" customHeight="1" x14ac:dyDescent="0.25">
      <c r="B13" s="61" t="s">
        <v>38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6"/>
      <c r="Z13">
        <v>645</v>
      </c>
    </row>
    <row r="14" spans="2:26" x14ac:dyDescent="0.25">
      <c r="B14" s="63" t="s">
        <v>29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5"/>
      <c r="V14" s="6"/>
      <c r="Z14">
        <v>560</v>
      </c>
    </row>
    <row r="15" spans="2:26" x14ac:dyDescent="0.25">
      <c r="B15" s="56" t="s">
        <v>25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6"/>
      <c r="Z15">
        <v>501</v>
      </c>
    </row>
    <row r="16" spans="2:26" x14ac:dyDescent="0.25">
      <c r="Q16" s="1">
        <f>Q10*0.8</f>
        <v>21925837.439999998</v>
      </c>
      <c r="V16" s="6"/>
      <c r="Z16">
        <v>725</v>
      </c>
    </row>
    <row r="17" spans="3:26" x14ac:dyDescent="0.25">
      <c r="E17" s="72">
        <f>G10/10.764</f>
        <v>1998</v>
      </c>
      <c r="V17" s="6"/>
      <c r="Z17">
        <v>1800</v>
      </c>
    </row>
    <row r="18" spans="3:26" ht="15.75" x14ac:dyDescent="0.25">
      <c r="I18" t="s">
        <v>26</v>
      </c>
      <c r="K18" s="12" t="s">
        <v>35</v>
      </c>
      <c r="L18" s="14"/>
      <c r="S18" s="36"/>
      <c r="T18" s="16"/>
      <c r="V18" s="6"/>
      <c r="Z18">
        <v>4718</v>
      </c>
    </row>
    <row r="19" spans="3:26" ht="15.75" x14ac:dyDescent="0.25">
      <c r="I19" t="s">
        <v>27</v>
      </c>
      <c r="K19" s="12" t="s">
        <v>19</v>
      </c>
      <c r="L19" s="14">
        <f>'Land Details'!$L$22</f>
        <v>132538641.16535084</v>
      </c>
      <c r="Q19" s="16"/>
      <c r="S19" s="36"/>
      <c r="T19" s="16"/>
      <c r="V19" s="6"/>
      <c r="Z19">
        <v>7590</v>
      </c>
    </row>
    <row r="20" spans="3:26" x14ac:dyDescent="0.25">
      <c r="I20" t="s">
        <v>28</v>
      </c>
      <c r="K20" s="12" t="s">
        <v>20</v>
      </c>
      <c r="L20" s="14">
        <f>U10</f>
        <v>10781168.579999998</v>
      </c>
      <c r="Q20" s="41"/>
      <c r="R20">
        <v>2700</v>
      </c>
      <c r="V20" s="6"/>
      <c r="Z20">
        <f>SUM(Z11:Z19)</f>
        <v>19069</v>
      </c>
    </row>
    <row r="21" spans="3:26" x14ac:dyDescent="0.25">
      <c r="K21" s="12" t="s">
        <v>37</v>
      </c>
      <c r="L21" s="14">
        <v>28862344.456952374</v>
      </c>
      <c r="Q21" s="41"/>
      <c r="V21" s="6"/>
    </row>
    <row r="22" spans="3:26" ht="31.5" customHeight="1" x14ac:dyDescent="0.25">
      <c r="I22" s="10" t="s">
        <v>21</v>
      </c>
      <c r="J22" s="27"/>
      <c r="K22" s="13" t="s">
        <v>17</v>
      </c>
      <c r="L22" s="32">
        <f>SUM(L19:L21)</f>
        <v>172182154.2023032</v>
      </c>
      <c r="P22" s="16"/>
      <c r="Q22" s="47"/>
      <c r="R22" s="45">
        <f>R20*0.85</f>
        <v>2295</v>
      </c>
      <c r="S22" s="10"/>
      <c r="T22" s="10"/>
      <c r="U22" s="31"/>
      <c r="V22" s="18"/>
    </row>
    <row r="23" spans="3:26" ht="30" x14ac:dyDescent="0.25">
      <c r="K23" s="13" t="s">
        <v>18</v>
      </c>
      <c r="L23" s="32">
        <f>ROUND(L22,-5)</f>
        <v>172200000</v>
      </c>
      <c r="R23" s="26"/>
      <c r="V23" s="43"/>
    </row>
    <row r="24" spans="3:26" x14ac:dyDescent="0.25">
      <c r="G24" s="33">
        <v>22000</v>
      </c>
      <c r="K24" s="12" t="s">
        <v>55</v>
      </c>
      <c r="L24" s="15">
        <f>0.85*L23</f>
        <v>146370000</v>
      </c>
      <c r="R24" s="26"/>
      <c r="V24" s="43"/>
      <c r="W24" s="26"/>
    </row>
    <row r="25" spans="3:26" x14ac:dyDescent="0.25">
      <c r="E25" s="25"/>
      <c r="G25" s="33">
        <f>G24*7150</f>
        <v>157300000</v>
      </c>
      <c r="K25" s="12" t="s">
        <v>16</v>
      </c>
      <c r="L25" s="15">
        <f>0.75*L23</f>
        <v>129150000</v>
      </c>
      <c r="V25" s="6"/>
    </row>
    <row r="26" spans="3:26" ht="15" customHeight="1" x14ac:dyDescent="0.25">
      <c r="Q26" s="26"/>
      <c r="V26" s="6"/>
    </row>
    <row r="27" spans="3:26" x14ac:dyDescent="0.25">
      <c r="G27" s="40">
        <f>1000*G10</f>
        <v>21506471.999999996</v>
      </c>
      <c r="H27" s="40"/>
      <c r="V27" s="26"/>
    </row>
    <row r="28" spans="3:26" x14ac:dyDescent="0.25">
      <c r="C28" s="23"/>
      <c r="D28" s="23"/>
      <c r="E28" s="24"/>
      <c r="F28" s="24"/>
      <c r="G28" s="33">
        <f>G25+G27</f>
        <v>178806472</v>
      </c>
      <c r="V28" s="4"/>
      <c r="W28" s="3"/>
      <c r="X28" s="3"/>
    </row>
    <row r="29" spans="3:26" x14ac:dyDescent="0.25">
      <c r="C29" s="21"/>
      <c r="D29" s="21"/>
      <c r="E29"/>
      <c r="F29"/>
      <c r="I29" s="20"/>
      <c r="Q29" s="1"/>
      <c r="V29" s="3"/>
    </row>
    <row r="30" spans="3:26" x14ac:dyDescent="0.25">
      <c r="C30" s="21"/>
      <c r="D30" s="21"/>
      <c r="E30"/>
      <c r="F30"/>
      <c r="K30" s="1"/>
      <c r="L30" s="19">
        <f>K30/10.7642</f>
        <v>0</v>
      </c>
      <c r="M30" s="26">
        <f>3750*19070.93</f>
        <v>71515987.5</v>
      </c>
    </row>
    <row r="31" spans="3:26" x14ac:dyDescent="0.25">
      <c r="C31" s="21"/>
      <c r="D31" s="21"/>
      <c r="E31"/>
      <c r="F31"/>
      <c r="Q31" s="19"/>
    </row>
    <row r="32" spans="3:26" x14ac:dyDescent="0.25">
      <c r="C32" s="21"/>
      <c r="D32" s="21"/>
      <c r="E32" s="20"/>
      <c r="F32" s="20"/>
    </row>
    <row r="33" spans="3:6" x14ac:dyDescent="0.25">
      <c r="C33" s="21"/>
      <c r="D33" s="21"/>
      <c r="E33" s="20"/>
      <c r="F33" s="20"/>
    </row>
    <row r="34" spans="3:6" ht="15" customHeight="1" x14ac:dyDescent="0.25">
      <c r="C34" s="22"/>
      <c r="D34" s="22"/>
      <c r="E34" s="20"/>
      <c r="F34" s="20"/>
    </row>
    <row r="35" spans="3:6" x14ac:dyDescent="0.25">
      <c r="E35" s="20"/>
      <c r="F35" s="20"/>
    </row>
    <row r="36" spans="3:6" x14ac:dyDescent="0.25">
      <c r="F36" s="39"/>
    </row>
  </sheetData>
  <mergeCells count="8">
    <mergeCell ref="B15:U15"/>
    <mergeCell ref="B3:U3"/>
    <mergeCell ref="B10:E10"/>
    <mergeCell ref="B12:U12"/>
    <mergeCell ref="B13:U13"/>
    <mergeCell ref="B11:U11"/>
    <mergeCell ref="B14:U14"/>
    <mergeCell ref="I10:P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5:R22"/>
  <sheetViews>
    <sheetView tabSelected="1" workbookViewId="0">
      <selection activeCell="G5" sqref="G5:K20"/>
    </sheetView>
  </sheetViews>
  <sheetFormatPr defaultRowHeight="15" x14ac:dyDescent="0.25"/>
  <cols>
    <col min="3" max="3" width="16" bestFit="1" customWidth="1"/>
    <col min="7" max="7" width="10.42578125" bestFit="1" customWidth="1"/>
    <col min="9" max="10" width="0" hidden="1" customWidth="1"/>
    <col min="11" max="11" width="13.140625" customWidth="1"/>
    <col min="12" max="12" width="14.28515625" bestFit="1" customWidth="1"/>
    <col min="16" max="16" width="12.5703125" bestFit="1" customWidth="1"/>
    <col min="18" max="18" width="10" bestFit="1" customWidth="1"/>
  </cols>
  <sheetData>
    <row r="5" spans="7:18" ht="15.75" x14ac:dyDescent="0.25">
      <c r="G5" s="53" t="s">
        <v>46</v>
      </c>
      <c r="H5" s="53" t="s">
        <v>47</v>
      </c>
      <c r="I5" s="53" t="s">
        <v>48</v>
      </c>
      <c r="J5" s="53" t="s">
        <v>49</v>
      </c>
      <c r="K5" s="53" t="s">
        <v>50</v>
      </c>
      <c r="L5" s="52"/>
    </row>
    <row r="6" spans="7:18" x14ac:dyDescent="0.25">
      <c r="G6" s="50">
        <v>35067</v>
      </c>
      <c r="H6" s="2">
        <v>196</v>
      </c>
      <c r="I6" s="49">
        <v>0.33</v>
      </c>
      <c r="J6" s="49" t="s">
        <v>53</v>
      </c>
      <c r="K6" s="73">
        <v>3242</v>
      </c>
    </row>
    <row r="7" spans="7:18" x14ac:dyDescent="0.25">
      <c r="G7" s="50">
        <v>35067</v>
      </c>
      <c r="H7" s="2">
        <v>242</v>
      </c>
      <c r="I7" s="49">
        <v>0.55000000000000004</v>
      </c>
      <c r="J7" s="49" t="s">
        <v>53</v>
      </c>
      <c r="K7" s="73">
        <v>5500</v>
      </c>
    </row>
    <row r="8" spans="7:18" x14ac:dyDescent="0.25">
      <c r="G8" s="50">
        <v>34981</v>
      </c>
      <c r="H8" s="2">
        <v>244</v>
      </c>
      <c r="I8" s="49">
        <v>0.63</v>
      </c>
      <c r="J8" s="49" t="s">
        <v>53</v>
      </c>
      <c r="K8" s="73">
        <v>9800</v>
      </c>
    </row>
    <row r="9" spans="7:18" x14ac:dyDescent="0.25">
      <c r="G9" s="50">
        <v>35998</v>
      </c>
      <c r="H9" s="2">
        <v>187</v>
      </c>
      <c r="I9" s="49">
        <v>59</v>
      </c>
      <c r="J9" s="49" t="s">
        <v>54</v>
      </c>
      <c r="K9" s="73">
        <v>5796</v>
      </c>
    </row>
    <row r="10" spans="7:18" x14ac:dyDescent="0.25">
      <c r="G10" s="50">
        <v>35067</v>
      </c>
      <c r="H10" s="2">
        <v>195</v>
      </c>
      <c r="I10" s="51">
        <v>1.1599999999999999</v>
      </c>
      <c r="J10" s="49" t="s">
        <v>53</v>
      </c>
      <c r="K10" s="73">
        <v>14342</v>
      </c>
    </row>
    <row r="11" spans="7:18" x14ac:dyDescent="0.25">
      <c r="G11" s="50">
        <v>34973</v>
      </c>
      <c r="H11" s="2">
        <v>194</v>
      </c>
      <c r="I11" s="49">
        <v>0.83</v>
      </c>
      <c r="J11" s="49" t="s">
        <v>53</v>
      </c>
      <c r="K11" s="73">
        <v>8154</v>
      </c>
    </row>
    <row r="12" spans="7:18" x14ac:dyDescent="0.25">
      <c r="G12" s="50">
        <v>35300</v>
      </c>
      <c r="H12" s="2">
        <v>193</v>
      </c>
      <c r="I12" s="49">
        <v>1.41</v>
      </c>
      <c r="J12" s="49" t="s">
        <v>53</v>
      </c>
      <c r="K12" s="73">
        <v>14146</v>
      </c>
    </row>
    <row r="13" spans="7:18" x14ac:dyDescent="0.25">
      <c r="G13" s="50">
        <v>34985</v>
      </c>
      <c r="H13" s="2">
        <v>251</v>
      </c>
      <c r="I13" s="49">
        <v>6.03</v>
      </c>
      <c r="J13" s="49" t="s">
        <v>53</v>
      </c>
      <c r="K13" s="73">
        <v>56200</v>
      </c>
    </row>
    <row r="14" spans="7:18" x14ac:dyDescent="0.25">
      <c r="G14" s="50">
        <v>35258</v>
      </c>
      <c r="H14" s="2">
        <v>253</v>
      </c>
      <c r="I14" s="49">
        <v>0.57999999999999996</v>
      </c>
      <c r="J14" s="49" t="s">
        <v>53</v>
      </c>
      <c r="K14" s="73">
        <v>5300</v>
      </c>
    </row>
    <row r="15" spans="7:18" x14ac:dyDescent="0.25">
      <c r="G15" s="50">
        <v>35647</v>
      </c>
      <c r="H15" s="2">
        <v>252</v>
      </c>
      <c r="I15" s="49">
        <v>0.67</v>
      </c>
      <c r="J15" s="49" t="s">
        <v>53</v>
      </c>
      <c r="K15" s="73">
        <v>6700</v>
      </c>
    </row>
    <row r="16" spans="7:18" x14ac:dyDescent="0.25">
      <c r="G16" s="50">
        <v>35161</v>
      </c>
      <c r="H16" s="2">
        <v>243</v>
      </c>
      <c r="I16" s="49">
        <v>2.21</v>
      </c>
      <c r="J16" s="49" t="s">
        <v>53</v>
      </c>
      <c r="K16" s="73">
        <v>11050</v>
      </c>
      <c r="P16" s="26">
        <v>4000000</v>
      </c>
      <c r="R16" s="26">
        <v>3700000</v>
      </c>
    </row>
    <row r="17" spans="7:18" x14ac:dyDescent="0.25">
      <c r="G17" s="50">
        <v>35067</v>
      </c>
      <c r="H17" s="2">
        <v>241</v>
      </c>
      <c r="I17" s="49">
        <v>0.53</v>
      </c>
      <c r="J17" s="49" t="s">
        <v>53</v>
      </c>
      <c r="K17" s="73">
        <v>5300</v>
      </c>
    </row>
    <row r="18" spans="7:18" x14ac:dyDescent="0.25">
      <c r="G18" s="50">
        <v>39021</v>
      </c>
      <c r="H18" s="2">
        <v>197</v>
      </c>
      <c r="I18" s="49">
        <v>0.45</v>
      </c>
      <c r="J18" s="49" t="s">
        <v>53</v>
      </c>
      <c r="K18" s="73">
        <v>3460</v>
      </c>
      <c r="P18" s="26">
        <f>P16*0.9</f>
        <v>3600000</v>
      </c>
      <c r="R18" s="19">
        <f>R16/4046.85</f>
        <v>914.29136241768288</v>
      </c>
    </row>
    <row r="19" spans="7:18" x14ac:dyDescent="0.25">
      <c r="G19" s="69" t="s">
        <v>51</v>
      </c>
      <c r="H19" s="70"/>
      <c r="I19" s="70"/>
      <c r="J19" s="71"/>
      <c r="K19" s="55">
        <f>SUM(K6:K18)</f>
        <v>148990</v>
      </c>
    </row>
    <row r="20" spans="7:18" x14ac:dyDescent="0.25">
      <c r="G20" s="69" t="s">
        <v>52</v>
      </c>
      <c r="H20" s="70"/>
      <c r="I20" s="70"/>
      <c r="J20" s="71"/>
      <c r="K20" s="54">
        <f>K19/4046.85</f>
        <v>36.816289212597454</v>
      </c>
    </row>
    <row r="22" spans="7:18" x14ac:dyDescent="0.25">
      <c r="L22" s="26">
        <f>K20*P18</f>
        <v>132538641.16535084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 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Amit Jaiswal</cp:lastModifiedBy>
  <cp:lastPrinted>2022-01-07T08:12:53Z</cp:lastPrinted>
  <dcterms:created xsi:type="dcterms:W3CDTF">2021-09-16T11:33:35Z</dcterms:created>
  <dcterms:modified xsi:type="dcterms:W3CDTF">2024-06-03T12:44:26Z</dcterms:modified>
</cp:coreProperties>
</file>