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hinav Chaturvedi's Assignments\In-Progress\Warehouse Valuation\Report\"/>
    </mc:Choice>
  </mc:AlternateContent>
  <xr:revisionPtr revIDLastSave="0" documentId="13_ncr:1_{66974938-A427-4FC7-967E-ED81A871B0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PV" sheetId="3" r:id="rId1"/>
    <sheet name="WACC &amp; Dep" sheetId="4" r:id="rId2"/>
    <sheet name="Security Deposit" sheetId="12" r:id="rId3"/>
    <sheet name="Sheet3" sheetId="15" r:id="rId4"/>
    <sheet name="NAV" sheetId="16" r:id="rId5"/>
  </sheets>
  <externalReferences>
    <externalReference r:id="rId6"/>
  </externalReferenc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6" l="1"/>
  <c r="M38" i="16" s="1"/>
  <c r="N38" i="16" s="1"/>
  <c r="O38" i="16" s="1"/>
  <c r="P38" i="16" s="1"/>
  <c r="Q38" i="16" s="1"/>
  <c r="R38" i="16" s="1"/>
  <c r="S38" i="16" s="1"/>
  <c r="T38" i="16" s="1"/>
  <c r="U38" i="16" s="1"/>
  <c r="V38" i="16" s="1"/>
  <c r="W38" i="16" s="1"/>
  <c r="X38" i="16" s="1"/>
  <c r="Y38" i="16" s="1"/>
  <c r="Z38" i="16" s="1"/>
  <c r="K38" i="16"/>
  <c r="J38" i="16"/>
  <c r="I38" i="16"/>
  <c r="H26" i="16"/>
  <c r="G26" i="16"/>
  <c r="F26" i="16"/>
  <c r="E58" i="16" l="1"/>
  <c r="P52" i="16"/>
  <c r="P50" i="16"/>
  <c r="E47" i="16"/>
  <c r="G38" i="16"/>
  <c r="E38" i="16"/>
  <c r="F38" i="16" s="1"/>
  <c r="B37" i="16"/>
  <c r="I39" i="16" s="1"/>
  <c r="Z36" i="16"/>
  <c r="Z28" i="16"/>
  <c r="Z32" i="16" s="1"/>
  <c r="Y28" i="16"/>
  <c r="Y32" i="16" s="1"/>
  <c r="X28" i="16"/>
  <c r="X32" i="16" s="1"/>
  <c r="W28" i="16"/>
  <c r="W32" i="16" s="1"/>
  <c r="V28" i="16"/>
  <c r="V32" i="16" s="1"/>
  <c r="U28" i="16"/>
  <c r="U32" i="16" s="1"/>
  <c r="T28" i="16"/>
  <c r="T32" i="16" s="1"/>
  <c r="S28" i="16"/>
  <c r="S32" i="16" s="1"/>
  <c r="R28" i="16"/>
  <c r="R32" i="16" s="1"/>
  <c r="Q28" i="16"/>
  <c r="Q32" i="16" s="1"/>
  <c r="P28" i="16"/>
  <c r="P32" i="16" s="1"/>
  <c r="O28" i="16"/>
  <c r="O32" i="16" s="1"/>
  <c r="N28" i="16"/>
  <c r="N32" i="16" s="1"/>
  <c r="M28" i="16"/>
  <c r="M32" i="16" s="1"/>
  <c r="L28" i="16"/>
  <c r="L32" i="16" s="1"/>
  <c r="K28" i="16"/>
  <c r="K32" i="16" s="1"/>
  <c r="J28" i="16"/>
  <c r="J32" i="16" s="1"/>
  <c r="I28" i="16"/>
  <c r="I32" i="16" s="1"/>
  <c r="H28" i="16"/>
  <c r="H32" i="16" s="1"/>
  <c r="G28" i="16"/>
  <c r="G32" i="16" s="1"/>
  <c r="F28" i="16"/>
  <c r="F32" i="16" s="1"/>
  <c r="E28" i="16"/>
  <c r="E32" i="16" s="1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4" i="16"/>
  <c r="H24" i="16"/>
  <c r="G24" i="16"/>
  <c r="F24" i="16"/>
  <c r="H23" i="16"/>
  <c r="G23" i="16"/>
  <c r="F23" i="16"/>
  <c r="E23" i="16"/>
  <c r="I22" i="16"/>
  <c r="H22" i="16"/>
  <c r="G22" i="16"/>
  <c r="F22" i="16"/>
  <c r="D22" i="16"/>
  <c r="I21" i="16"/>
  <c r="H21" i="16"/>
  <c r="G21" i="16"/>
  <c r="F21" i="16"/>
  <c r="E21" i="16"/>
  <c r="D21" i="16"/>
  <c r="I20" i="16"/>
  <c r="H20" i="16"/>
  <c r="G20" i="16"/>
  <c r="F20" i="16"/>
  <c r="E20" i="16"/>
  <c r="D20" i="16"/>
  <c r="I19" i="16"/>
  <c r="H19" i="16"/>
  <c r="G19" i="16"/>
  <c r="F19" i="16"/>
  <c r="E19" i="16"/>
  <c r="D19" i="16"/>
  <c r="I18" i="16"/>
  <c r="H18" i="16"/>
  <c r="G18" i="16"/>
  <c r="F18" i="16"/>
  <c r="E18" i="16"/>
  <c r="D18" i="16"/>
  <c r="I16" i="16"/>
  <c r="H16" i="16"/>
  <c r="G16" i="16"/>
  <c r="F16" i="16"/>
  <c r="E16" i="16"/>
  <c r="D16" i="16"/>
  <c r="I15" i="16"/>
  <c r="H15" i="16"/>
  <c r="G15" i="16"/>
  <c r="F15" i="16"/>
  <c r="E15" i="16"/>
  <c r="D15" i="16"/>
  <c r="I14" i="16"/>
  <c r="H14" i="16"/>
  <c r="G14" i="16"/>
  <c r="F14" i="16"/>
  <c r="E14" i="16"/>
  <c r="D14" i="16"/>
  <c r="I13" i="16"/>
  <c r="H13" i="16"/>
  <c r="G13" i="16"/>
  <c r="F13" i="16"/>
  <c r="E13" i="16"/>
  <c r="D13" i="16"/>
  <c r="D12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Z7" i="16"/>
  <c r="Z9" i="16" s="1"/>
  <c r="Z27" i="16" s="1"/>
  <c r="Z29" i="16" s="1"/>
  <c r="Z31" i="16" s="1"/>
  <c r="Y7" i="16"/>
  <c r="Y9" i="16" s="1"/>
  <c r="Y27" i="16" s="1"/>
  <c r="Y29" i="16" s="1"/>
  <c r="Y31" i="16" s="1"/>
  <c r="Y35" i="16" s="1"/>
  <c r="X7" i="16"/>
  <c r="X9" i="16" s="1"/>
  <c r="X27" i="16" s="1"/>
  <c r="X29" i="16" s="1"/>
  <c r="X31" i="16" s="1"/>
  <c r="W7" i="16"/>
  <c r="W9" i="16" s="1"/>
  <c r="W27" i="16" s="1"/>
  <c r="W29" i="16" s="1"/>
  <c r="W31" i="16" s="1"/>
  <c r="V7" i="16"/>
  <c r="V9" i="16" s="1"/>
  <c r="V27" i="16" s="1"/>
  <c r="V29" i="16" s="1"/>
  <c r="V31" i="16" s="1"/>
  <c r="U7" i="16"/>
  <c r="U9" i="16" s="1"/>
  <c r="U27" i="16" s="1"/>
  <c r="U29" i="16" s="1"/>
  <c r="U31" i="16" s="1"/>
  <c r="U35" i="16" s="1"/>
  <c r="T7" i="16"/>
  <c r="T9" i="16" s="1"/>
  <c r="T27" i="16" s="1"/>
  <c r="T29" i="16" s="1"/>
  <c r="T31" i="16" s="1"/>
  <c r="S7" i="16"/>
  <c r="S9" i="16" s="1"/>
  <c r="S27" i="16" s="1"/>
  <c r="S29" i="16" s="1"/>
  <c r="S31" i="16" s="1"/>
  <c r="R7" i="16"/>
  <c r="R9" i="16" s="1"/>
  <c r="R27" i="16" s="1"/>
  <c r="R29" i="16" s="1"/>
  <c r="R31" i="16" s="1"/>
  <c r="Q7" i="16"/>
  <c r="P7" i="16"/>
  <c r="P9" i="16" s="1"/>
  <c r="P27" i="16" s="1"/>
  <c r="P29" i="16" s="1"/>
  <c r="P31" i="16" s="1"/>
  <c r="O7" i="16"/>
  <c r="O9" i="16" s="1"/>
  <c r="O27" i="16" s="1"/>
  <c r="O29" i="16" s="1"/>
  <c r="O31" i="16" s="1"/>
  <c r="N7" i="16"/>
  <c r="N9" i="16" s="1"/>
  <c r="N27" i="16" s="1"/>
  <c r="N29" i="16" s="1"/>
  <c r="N31" i="16" s="1"/>
  <c r="M7" i="16"/>
  <c r="M9" i="16" s="1"/>
  <c r="M27" i="16" s="1"/>
  <c r="M29" i="16" s="1"/>
  <c r="M31" i="16" s="1"/>
  <c r="M35" i="16" s="1"/>
  <c r="L7" i="16"/>
  <c r="L9" i="16" s="1"/>
  <c r="L27" i="16" s="1"/>
  <c r="L29" i="16" s="1"/>
  <c r="L31" i="16" s="1"/>
  <c r="K7" i="16"/>
  <c r="K9" i="16" s="1"/>
  <c r="K27" i="16" s="1"/>
  <c r="K29" i="16" s="1"/>
  <c r="K31" i="16" s="1"/>
  <c r="J7" i="16"/>
  <c r="J9" i="16" s="1"/>
  <c r="J27" i="16" s="1"/>
  <c r="J29" i="16" s="1"/>
  <c r="J31" i="16" s="1"/>
  <c r="I7" i="16"/>
  <c r="I9" i="16" s="1"/>
  <c r="H7" i="16"/>
  <c r="H9" i="16" s="1"/>
  <c r="G7" i="16"/>
  <c r="G9" i="16" s="1"/>
  <c r="F7" i="16"/>
  <c r="F9" i="16" s="1"/>
  <c r="E7" i="16"/>
  <c r="E9" i="16" s="1"/>
  <c r="K5" i="16"/>
  <c r="L5" i="16" s="1"/>
  <c r="F5" i="16"/>
  <c r="G5" i="16" s="1"/>
  <c r="H5" i="16" s="1"/>
  <c r="F3" i="16"/>
  <c r="G3" i="16" s="1"/>
  <c r="H3" i="16" s="1"/>
  <c r="I3" i="16" s="1"/>
  <c r="K3" i="16" s="1"/>
  <c r="L3" i="16" s="1"/>
  <c r="M3" i="16" s="1"/>
  <c r="N3" i="16" s="1"/>
  <c r="O3" i="16" s="1"/>
  <c r="P3" i="16" s="1"/>
  <c r="Q3" i="16" s="1"/>
  <c r="R3" i="16" s="1"/>
  <c r="S3" i="16" s="1"/>
  <c r="T3" i="16" s="1"/>
  <c r="U3" i="16" s="1"/>
  <c r="V3" i="16" s="1"/>
  <c r="W3" i="16" s="1"/>
  <c r="X3" i="16" s="1"/>
  <c r="Y3" i="16" s="1"/>
  <c r="Z3" i="16" s="1"/>
  <c r="AA3" i="16" s="1"/>
  <c r="AB3" i="16" s="1"/>
  <c r="AC3" i="16" s="1"/>
  <c r="AD3" i="16" s="1"/>
  <c r="AE3" i="16" s="1"/>
  <c r="AF3" i="16" s="1"/>
  <c r="AG3" i="16" s="1"/>
  <c r="AH3" i="16" s="1"/>
  <c r="AI3" i="16" s="1"/>
  <c r="AJ3" i="16" s="1"/>
  <c r="AK3" i="16" s="1"/>
  <c r="AL3" i="16" s="1"/>
  <c r="AM3" i="16" s="1"/>
  <c r="AN3" i="16" s="1"/>
  <c r="AO3" i="16" s="1"/>
  <c r="AP3" i="16" s="1"/>
  <c r="AQ3" i="16" s="1"/>
  <c r="AR3" i="16" s="1"/>
  <c r="AS3" i="16" s="1"/>
  <c r="AT3" i="16" s="1"/>
  <c r="AU3" i="16" s="1"/>
  <c r="AV3" i="16" s="1"/>
  <c r="AW3" i="16" s="1"/>
  <c r="AX3" i="16" s="1"/>
  <c r="AY3" i="16" s="1"/>
  <c r="AZ3" i="16" s="1"/>
  <c r="BA3" i="16" s="1"/>
  <c r="BB3" i="16" s="1"/>
  <c r="BC3" i="16" s="1"/>
  <c r="BD3" i="16" s="1"/>
  <c r="BE3" i="16" s="1"/>
  <c r="BF3" i="16" s="1"/>
  <c r="BG3" i="16" s="1"/>
  <c r="BH3" i="16" s="1"/>
  <c r="BI3" i="16" s="1"/>
  <c r="BJ3" i="16" s="1"/>
  <c r="BK3" i="16" s="1"/>
  <c r="BL3" i="16" s="1"/>
  <c r="BM3" i="16" s="1"/>
  <c r="BN3" i="16" s="1"/>
  <c r="BO3" i="16" s="1"/>
  <c r="M2" i="4"/>
  <c r="O49" i="4"/>
  <c r="O50" i="4" s="1"/>
  <c r="O42" i="4"/>
  <c r="O43" i="4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P50" i="3"/>
  <c r="P52" i="3" s="1"/>
  <c r="M5" i="16" l="1"/>
  <c r="L1" i="16"/>
  <c r="K35" i="16"/>
  <c r="G1" i="16"/>
  <c r="B3" i="16"/>
  <c r="B2" i="16" s="1"/>
  <c r="G27" i="16"/>
  <c r="G29" i="16" s="1"/>
  <c r="G31" i="16" s="1"/>
  <c r="G35" i="16" s="1"/>
  <c r="G37" i="16" s="1"/>
  <c r="J35" i="16"/>
  <c r="N35" i="16"/>
  <c r="R35" i="16"/>
  <c r="V35" i="16"/>
  <c r="Z35" i="16"/>
  <c r="E39" i="16"/>
  <c r="K1" i="16"/>
  <c r="O35" i="16"/>
  <c r="O37" i="16" s="1"/>
  <c r="W35" i="16"/>
  <c r="Q9" i="16"/>
  <c r="Q27" i="16" s="1"/>
  <c r="Q29" i="16" s="1"/>
  <c r="Q31" i="16" s="1"/>
  <c r="Q35" i="16" s="1"/>
  <c r="F27" i="16"/>
  <c r="F29" i="16" s="1"/>
  <c r="F31" i="16" s="1"/>
  <c r="F35" i="16" s="1"/>
  <c r="F37" i="16" s="1"/>
  <c r="Y37" i="16"/>
  <c r="K37" i="16"/>
  <c r="I1" i="16"/>
  <c r="I2" i="16"/>
  <c r="H2" i="16"/>
  <c r="H1" i="16"/>
  <c r="U37" i="16"/>
  <c r="Q37" i="16"/>
  <c r="W37" i="16"/>
  <c r="BO5" i="16"/>
  <c r="L2" i="16"/>
  <c r="K2" i="16"/>
  <c r="N37" i="16"/>
  <c r="R37" i="16"/>
  <c r="F2" i="16"/>
  <c r="M2" i="16"/>
  <c r="S35" i="16"/>
  <c r="G39" i="16"/>
  <c r="H38" i="16"/>
  <c r="H39" i="16" s="1"/>
  <c r="F1" i="16"/>
  <c r="M37" i="16"/>
  <c r="G2" i="16"/>
  <c r="J37" i="16"/>
  <c r="V37" i="16"/>
  <c r="L35" i="16"/>
  <c r="P35" i="16"/>
  <c r="T35" i="16"/>
  <c r="X35" i="16"/>
  <c r="E12" i="16"/>
  <c r="H27" i="16"/>
  <c r="H29" i="16" s="1"/>
  <c r="H31" i="16" s="1"/>
  <c r="H35" i="16" s="1"/>
  <c r="Z37" i="16"/>
  <c r="K39" i="16"/>
  <c r="K40" i="16" s="1"/>
  <c r="F39" i="16"/>
  <c r="J39" i="16"/>
  <c r="J40" i="16" s="1"/>
  <c r="K18" i="4"/>
  <c r="K14" i="4"/>
  <c r="K17" i="4"/>
  <c r="K16" i="4"/>
  <c r="K15" i="4"/>
  <c r="E47" i="3"/>
  <c r="G6" i="4"/>
  <c r="L39" i="16" l="1"/>
  <c r="L40" i="16" s="1"/>
  <c r="F40" i="16"/>
  <c r="G40" i="16"/>
  <c r="N5" i="16"/>
  <c r="M1" i="16"/>
  <c r="H37" i="16"/>
  <c r="H40" i="16"/>
  <c r="T37" i="16"/>
  <c r="M39" i="16"/>
  <c r="M40" i="16" s="1"/>
  <c r="P37" i="16"/>
  <c r="X37" i="16"/>
  <c r="S37" i="16"/>
  <c r="L37" i="16"/>
  <c r="O5" i="16" l="1"/>
  <c r="N1" i="16"/>
  <c r="N2" i="16"/>
  <c r="N39" i="16"/>
  <c r="N40" i="16" s="1"/>
  <c r="O1" i="16" l="1"/>
  <c r="O2" i="16"/>
  <c r="P5" i="16"/>
  <c r="O39" i="16"/>
  <c r="O40" i="16" s="1"/>
  <c r="P2" i="16" l="1"/>
  <c r="P1" i="16"/>
  <c r="Q5" i="16"/>
  <c r="P39" i="16"/>
  <c r="P40" i="16" s="1"/>
  <c r="Q1" i="16" l="1"/>
  <c r="Q2" i="16"/>
  <c r="R5" i="16"/>
  <c r="Q39" i="16"/>
  <c r="Q40" i="16" s="1"/>
  <c r="S5" i="16" l="1"/>
  <c r="R1" i="16"/>
  <c r="R2" i="16"/>
  <c r="R39" i="16"/>
  <c r="R40" i="16" s="1"/>
  <c r="S2" i="16" l="1"/>
  <c r="S1" i="16"/>
  <c r="T5" i="16"/>
  <c r="S39" i="16"/>
  <c r="S40" i="16" s="1"/>
  <c r="T2" i="16" l="1"/>
  <c r="T1" i="16"/>
  <c r="U5" i="16"/>
  <c r="T39" i="16"/>
  <c r="T40" i="16" s="1"/>
  <c r="U2" i="16" l="1"/>
  <c r="V5" i="16"/>
  <c r="U1" i="16"/>
  <c r="U39" i="16"/>
  <c r="U40" i="16" s="1"/>
  <c r="V1" i="16" l="1"/>
  <c r="V2" i="16"/>
  <c r="W5" i="16"/>
  <c r="V39" i="16"/>
  <c r="V40" i="16" s="1"/>
  <c r="W2" i="16" l="1"/>
  <c r="W1" i="16"/>
  <c r="X5" i="16"/>
  <c r="W39" i="16"/>
  <c r="W40" i="16" s="1"/>
  <c r="X2" i="16" l="1"/>
  <c r="X1" i="16"/>
  <c r="Y5" i="16"/>
  <c r="X39" i="16"/>
  <c r="X40" i="16" s="1"/>
  <c r="Z5" i="16" l="1"/>
  <c r="Y2" i="16"/>
  <c r="Y1" i="16"/>
  <c r="Z39" i="16"/>
  <c r="Z40" i="16" s="1"/>
  <c r="Y39" i="16"/>
  <c r="Y40" i="16" s="1"/>
  <c r="Z1" i="16" l="1"/>
  <c r="Z2" i="16"/>
  <c r="AA5" i="16"/>
  <c r="AA1" i="16" l="1"/>
  <c r="AA2" i="16"/>
  <c r="AB5" i="16"/>
  <c r="AB2" i="16" l="1"/>
  <c r="AB1" i="16"/>
  <c r="AC5" i="16"/>
  <c r="AC2" i="16" l="1"/>
  <c r="AC1" i="16"/>
  <c r="AD5" i="16"/>
  <c r="AD1" i="16" l="1"/>
  <c r="AD2" i="16"/>
  <c r="AE5" i="16"/>
  <c r="AF5" i="16" l="1"/>
  <c r="AE1" i="16"/>
  <c r="AE2" i="16"/>
  <c r="AF2" i="16" l="1"/>
  <c r="AF1" i="16"/>
  <c r="AG5" i="16"/>
  <c r="AG1" i="16" l="1"/>
  <c r="AG2" i="16"/>
  <c r="AH5" i="16"/>
  <c r="AH1" i="16" l="1"/>
  <c r="AH2" i="16"/>
  <c r="AI5" i="16"/>
  <c r="AI2" i="16" l="1"/>
  <c r="AI1" i="16"/>
  <c r="AJ5" i="16"/>
  <c r="AJ2" i="16" l="1"/>
  <c r="AJ1" i="16"/>
  <c r="AK5" i="16"/>
  <c r="AK1" i="16" l="1"/>
  <c r="AK2" i="16"/>
  <c r="AL5" i="16"/>
  <c r="AL1" i="16" l="1"/>
  <c r="AL2" i="16"/>
  <c r="AM5" i="16"/>
  <c r="AM2" i="16" l="1"/>
  <c r="AN5" i="16"/>
  <c r="AM1" i="16"/>
  <c r="AN2" i="16" l="1"/>
  <c r="AN1" i="16"/>
  <c r="AO5" i="16"/>
  <c r="AO2" i="16" l="1"/>
  <c r="AO1" i="16"/>
  <c r="AP5" i="16"/>
  <c r="AP1" i="16" l="1"/>
  <c r="AP2" i="16"/>
  <c r="AQ5" i="16"/>
  <c r="AQ1" i="16" l="1"/>
  <c r="AQ2" i="16"/>
  <c r="AR5" i="16"/>
  <c r="AR2" i="16" l="1"/>
  <c r="AR1" i="16"/>
  <c r="AS5" i="16"/>
  <c r="AS2" i="16" l="1"/>
  <c r="AS1" i="16"/>
  <c r="AT5" i="16"/>
  <c r="AT1" i="16" l="1"/>
  <c r="AT2" i="16"/>
  <c r="AU5" i="16"/>
  <c r="AV5" i="16" l="1"/>
  <c r="AU1" i="16"/>
  <c r="AU2" i="16"/>
  <c r="AV2" i="16" l="1"/>
  <c r="AV1" i="16"/>
  <c r="AW5" i="16"/>
  <c r="AW1" i="16" l="1"/>
  <c r="AW2" i="16"/>
  <c r="AX5" i="16"/>
  <c r="AX1" i="16" l="1"/>
  <c r="AX2" i="16"/>
  <c r="AY5" i="16"/>
  <c r="AY2" i="16" l="1"/>
  <c r="AY1" i="16"/>
  <c r="AZ5" i="16"/>
  <c r="AZ2" i="16" l="1"/>
  <c r="AZ1" i="16"/>
  <c r="BA5" i="16"/>
  <c r="BB5" i="16" l="1"/>
  <c r="BA1" i="16"/>
  <c r="BA2" i="16"/>
  <c r="BB1" i="16" l="1"/>
  <c r="BB2" i="16"/>
  <c r="BC5" i="16"/>
  <c r="BC1" i="16" l="1"/>
  <c r="BC2" i="16"/>
  <c r="BD5" i="16"/>
  <c r="BD2" i="16" l="1"/>
  <c r="BD1" i="16"/>
  <c r="BE5" i="16"/>
  <c r="BE2" i="16" l="1"/>
  <c r="BE1" i="16"/>
  <c r="BF5" i="16"/>
  <c r="BF1" i="16" l="1"/>
  <c r="BG5" i="16"/>
  <c r="BF2" i="16"/>
  <c r="BG1" i="16" l="1"/>
  <c r="BG2" i="16"/>
  <c r="BH5" i="16"/>
  <c r="BH2" i="16" l="1"/>
  <c r="BH1" i="16"/>
  <c r="BI5" i="16"/>
  <c r="BI2" i="16" l="1"/>
  <c r="BI1" i="16"/>
  <c r="BJ5" i="16"/>
  <c r="BJ1" i="16" l="1"/>
  <c r="BJ2" i="16"/>
  <c r="BK5" i="16"/>
  <c r="BK1" i="16" l="1"/>
  <c r="BL5" i="16"/>
  <c r="BK2" i="16"/>
  <c r="BL2" i="16" l="1"/>
  <c r="BL1" i="16"/>
  <c r="BM5" i="16"/>
  <c r="BN5" i="16" l="1"/>
  <c r="BM1" i="16"/>
  <c r="BM2" i="16"/>
  <c r="E8" i="3"/>
  <c r="N1" i="12"/>
  <c r="R28" i="4"/>
  <c r="R30" i="4" s="1"/>
  <c r="Q28" i="4"/>
  <c r="R27" i="4"/>
  <c r="BN2" i="16" l="1"/>
  <c r="BO2" i="16"/>
  <c r="BO1" i="16"/>
  <c r="BN1" i="16"/>
  <c r="O23" i="4"/>
  <c r="P36" i="4"/>
  <c r="P32" i="4"/>
  <c r="D9" i="12"/>
  <c r="P37" i="4" l="1"/>
  <c r="J38" i="3" l="1"/>
  <c r="J7" i="3"/>
  <c r="I7" i="3"/>
  <c r="K5" i="3" l="1"/>
  <c r="I38" i="3"/>
  <c r="K38" i="3" s="1"/>
  <c r="AD1" i="12"/>
  <c r="AC1" i="12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H7" i="3"/>
  <c r="G7" i="3"/>
  <c r="F7" i="3"/>
  <c r="E7" i="3"/>
  <c r="N23" i="4" l="1"/>
  <c r="AB1" i="12"/>
  <c r="AA1" i="12"/>
  <c r="Z1" i="12"/>
  <c r="Y1" i="12"/>
  <c r="X1" i="12"/>
  <c r="W1" i="12"/>
  <c r="V1" i="12"/>
  <c r="U1" i="12"/>
  <c r="T1" i="12"/>
  <c r="S1" i="12"/>
  <c r="H9" i="12" l="1"/>
  <c r="H10" i="12" s="1"/>
  <c r="I9" i="12"/>
  <c r="I10" i="12" s="1"/>
  <c r="R1" i="12"/>
  <c r="Q1" i="12"/>
  <c r="P1" i="12"/>
  <c r="O1" i="12"/>
  <c r="M1" i="12"/>
  <c r="L1" i="12"/>
  <c r="K1" i="12"/>
  <c r="J1" i="12"/>
  <c r="I1" i="12"/>
  <c r="I3" i="12"/>
  <c r="J3" i="12" s="1"/>
  <c r="K3" i="12" s="1"/>
  <c r="L3" i="12" s="1"/>
  <c r="G8" i="12"/>
  <c r="G7" i="12"/>
  <c r="G6" i="12"/>
  <c r="G5" i="12"/>
  <c r="G4" i="12"/>
  <c r="M19" i="4"/>
  <c r="M20" i="4" s="1"/>
  <c r="L19" i="4"/>
  <c r="L20" i="4" s="1"/>
  <c r="M13" i="4"/>
  <c r="N13" i="4" s="1"/>
  <c r="O13" i="4" s="1"/>
  <c r="E19" i="4"/>
  <c r="I18" i="4"/>
  <c r="I17" i="4"/>
  <c r="I16" i="4"/>
  <c r="I15" i="4"/>
  <c r="I14" i="4"/>
  <c r="E28" i="3" l="1"/>
  <c r="K6" i="12"/>
  <c r="P13" i="4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P3" i="12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L7" i="12"/>
  <c r="G9" i="12"/>
  <c r="G10" i="12" s="1"/>
  <c r="J4" i="12"/>
  <c r="K5" i="12"/>
  <c r="L6" i="12"/>
  <c r="I19" i="4"/>
  <c r="M7" i="12" l="1"/>
  <c r="N7" i="12" s="1"/>
  <c r="M6" i="12"/>
  <c r="N6" i="12" s="1"/>
  <c r="K4" i="12"/>
  <c r="K9" i="12" s="1"/>
  <c r="K10" i="12" s="1"/>
  <c r="M8" i="12"/>
  <c r="N8" i="12" s="1"/>
  <c r="O7" i="12"/>
  <c r="I20" i="4"/>
  <c r="J16" i="4"/>
  <c r="J15" i="4"/>
  <c r="J18" i="4"/>
  <c r="J17" i="4"/>
  <c r="J14" i="4"/>
  <c r="O6" i="12"/>
  <c r="L5" i="12"/>
  <c r="J9" i="12"/>
  <c r="J10" i="12" s="1"/>
  <c r="P7" i="12" l="1"/>
  <c r="M5" i="12"/>
  <c r="N5" i="12" s="1"/>
  <c r="P6" i="12"/>
  <c r="F8" i="3"/>
  <c r="G8" i="3"/>
  <c r="Q7" i="12"/>
  <c r="R7" i="12" s="1"/>
  <c r="S7" i="12"/>
  <c r="O8" i="12"/>
  <c r="P8" i="12" s="1"/>
  <c r="L4" i="12"/>
  <c r="K19" i="4"/>
  <c r="K20" i="4" s="1"/>
  <c r="Q6" i="12"/>
  <c r="L9" i="12" l="1"/>
  <c r="L10" i="12" s="1"/>
  <c r="M4" i="12"/>
  <c r="O4" i="12" s="1"/>
  <c r="R6" i="12"/>
  <c r="S6" i="12" s="1"/>
  <c r="T7" i="12"/>
  <c r="U7" i="12" s="1"/>
  <c r="V7" i="12" s="1"/>
  <c r="M9" i="12"/>
  <c r="M10" i="12" s="1"/>
  <c r="O5" i="12"/>
  <c r="O9" i="12" s="1"/>
  <c r="O10" i="12" s="1"/>
  <c r="Q8" i="12"/>
  <c r="K8" i="3" l="1"/>
  <c r="I8" i="3"/>
  <c r="N4" i="12"/>
  <c r="N9" i="12" s="1"/>
  <c r="N10" i="12" s="1"/>
  <c r="P4" i="12"/>
  <c r="H8" i="3"/>
  <c r="P5" i="12"/>
  <c r="W7" i="12"/>
  <c r="T6" i="12"/>
  <c r="U6" i="12" s="1"/>
  <c r="M11" i="12"/>
  <c r="Q5" i="12"/>
  <c r="R8" i="12"/>
  <c r="P9" i="12" l="1"/>
  <c r="P10" i="12" s="1"/>
  <c r="Q4" i="12"/>
  <c r="Q9" i="12" s="1"/>
  <c r="Q10" i="12" s="1"/>
  <c r="J8" i="3"/>
  <c r="J9" i="3" s="1"/>
  <c r="V6" i="12"/>
  <c r="R5" i="12"/>
  <c r="S5" i="12" s="1"/>
  <c r="T5" i="12" s="1"/>
  <c r="U5" i="12" s="1"/>
  <c r="V5" i="12" s="1"/>
  <c r="W5" i="12" s="1"/>
  <c r="X5" i="12" s="1"/>
  <c r="Y5" i="12" s="1"/>
  <c r="Z5" i="12" s="1"/>
  <c r="AA5" i="12" s="1"/>
  <c r="AB5" i="12" s="1"/>
  <c r="AC5" i="12" s="1"/>
  <c r="AD5" i="12" s="1"/>
  <c r="W6" i="12"/>
  <c r="X6" i="12" s="1"/>
  <c r="Y6" i="12" s="1"/>
  <c r="Z6" i="12" s="1"/>
  <c r="AA6" i="12" s="1"/>
  <c r="AB6" i="12" s="1"/>
  <c r="AC6" i="12" s="1"/>
  <c r="AD6" i="12" s="1"/>
  <c r="X7" i="12"/>
  <c r="S8" i="12"/>
  <c r="J26" i="3" l="1"/>
  <c r="J27" i="3" s="1"/>
  <c r="M8" i="3"/>
  <c r="L8" i="3"/>
  <c r="R4" i="12"/>
  <c r="S4" i="12" s="1"/>
  <c r="S9" i="12" s="1"/>
  <c r="S10" i="12" s="1"/>
  <c r="Y7" i="12"/>
  <c r="Z7" i="12" s="1"/>
  <c r="AA7" i="12" s="1"/>
  <c r="AB7" i="12" s="1"/>
  <c r="AC7" i="12" s="1"/>
  <c r="AD7" i="12" s="1"/>
  <c r="T8" i="12"/>
  <c r="U8" i="12" s="1"/>
  <c r="O8" i="3" l="1"/>
  <c r="R9" i="12"/>
  <c r="R10" i="12" s="1"/>
  <c r="T4" i="12"/>
  <c r="U4" i="12" s="1"/>
  <c r="V8" i="12"/>
  <c r="W8" i="12" s="1"/>
  <c r="X8" i="12" s="1"/>
  <c r="Y8" i="12" s="1"/>
  <c r="V4" i="12"/>
  <c r="U9" i="12"/>
  <c r="U10" i="12" s="1"/>
  <c r="T9" i="12"/>
  <c r="T10" i="12" s="1"/>
  <c r="H18" i="4"/>
  <c r="H17" i="4"/>
  <c r="H16" i="4"/>
  <c r="H15" i="4"/>
  <c r="H14" i="4"/>
  <c r="AD15" i="4" l="1"/>
  <c r="AG15" i="4"/>
  <c r="Q15" i="4"/>
  <c r="T15" i="4"/>
  <c r="AA15" i="4"/>
  <c r="Z15" i="4"/>
  <c r="AC15" i="4"/>
  <c r="AF15" i="4"/>
  <c r="P15" i="4"/>
  <c r="W15" i="4"/>
  <c r="V15" i="4"/>
  <c r="Y15" i="4"/>
  <c r="AB15" i="4"/>
  <c r="AE15" i="4"/>
  <c r="S15" i="4"/>
  <c r="R15" i="4"/>
  <c r="U15" i="4"/>
  <c r="X15" i="4"/>
  <c r="O15" i="4"/>
  <c r="AB16" i="4"/>
  <c r="S16" i="4"/>
  <c r="V16" i="4"/>
  <c r="Y16" i="4"/>
  <c r="X16" i="4"/>
  <c r="AE16" i="4"/>
  <c r="O16" i="4"/>
  <c r="R16" i="4"/>
  <c r="U16" i="4"/>
  <c r="T16" i="4"/>
  <c r="AA16" i="4"/>
  <c r="AD16" i="4"/>
  <c r="AG16" i="4"/>
  <c r="Q16" i="4"/>
  <c r="P16" i="4"/>
  <c r="W16" i="4"/>
  <c r="Z16" i="4"/>
  <c r="AC16" i="4"/>
  <c r="AF16" i="4"/>
  <c r="AB18" i="4"/>
  <c r="AA18" i="4"/>
  <c r="Z18" i="4"/>
  <c r="AC18" i="4"/>
  <c r="X18" i="4"/>
  <c r="W18" i="4"/>
  <c r="V18" i="4"/>
  <c r="Y18" i="4"/>
  <c r="T18" i="4"/>
  <c r="S18" i="4"/>
  <c r="R18" i="4"/>
  <c r="U18" i="4"/>
  <c r="AF18" i="4"/>
  <c r="AE18" i="4"/>
  <c r="AD18" i="4"/>
  <c r="AG18" i="4"/>
  <c r="Q18" i="4"/>
  <c r="AG17" i="4"/>
  <c r="Q17" i="4"/>
  <c r="T17" i="4"/>
  <c r="AC17" i="4"/>
  <c r="AF17" i="4"/>
  <c r="P17" i="4"/>
  <c r="S17" i="4"/>
  <c r="Y17" i="4"/>
  <c r="AB17" i="4"/>
  <c r="AE17" i="4"/>
  <c r="AD17" i="4"/>
  <c r="W17" i="4"/>
  <c r="Z17" i="4"/>
  <c r="U17" i="4"/>
  <c r="X17" i="4"/>
  <c r="AA17" i="4"/>
  <c r="V17" i="4"/>
  <c r="R17" i="4"/>
  <c r="Q8" i="3"/>
  <c r="N8" i="3"/>
  <c r="O9" i="3"/>
  <c r="O26" i="3" s="1"/>
  <c r="P8" i="3"/>
  <c r="P9" i="3" s="1"/>
  <c r="Z8" i="12"/>
  <c r="AA8" i="12" s="1"/>
  <c r="AB8" i="12" s="1"/>
  <c r="AC8" i="12" s="1"/>
  <c r="AD8" i="12" s="1"/>
  <c r="W4" i="12"/>
  <c r="V9" i="12"/>
  <c r="V10" i="12" s="1"/>
  <c r="AG14" i="4"/>
  <c r="Q14" i="4"/>
  <c r="T14" i="4"/>
  <c r="AA14" i="4"/>
  <c r="R14" i="4"/>
  <c r="V14" i="4"/>
  <c r="AC14" i="4"/>
  <c r="AF14" i="4"/>
  <c r="P14" i="4"/>
  <c r="W14" i="4"/>
  <c r="AD14" i="4"/>
  <c r="Y14" i="4"/>
  <c r="AB14" i="4"/>
  <c r="S14" i="4"/>
  <c r="N14" i="4"/>
  <c r="N19" i="4" s="1"/>
  <c r="N20" i="4" s="1"/>
  <c r="U14" i="4"/>
  <c r="X14" i="4"/>
  <c r="AE14" i="4"/>
  <c r="O14" i="4"/>
  <c r="Z14" i="4"/>
  <c r="I24" i="3"/>
  <c r="H24" i="3"/>
  <c r="G24" i="3"/>
  <c r="F24" i="3"/>
  <c r="H23" i="3"/>
  <c r="G23" i="3"/>
  <c r="F23" i="3"/>
  <c r="E23" i="3"/>
  <c r="I22" i="3"/>
  <c r="H22" i="3"/>
  <c r="G22" i="3"/>
  <c r="F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6" i="3"/>
  <c r="H16" i="3"/>
  <c r="G16" i="3"/>
  <c r="F16" i="3"/>
  <c r="E16" i="3"/>
  <c r="I15" i="3"/>
  <c r="H15" i="3"/>
  <c r="G15" i="3"/>
  <c r="F15" i="3"/>
  <c r="E15" i="3"/>
  <c r="I14" i="3"/>
  <c r="H14" i="3"/>
  <c r="G14" i="3"/>
  <c r="F14" i="3"/>
  <c r="E14" i="3"/>
  <c r="I13" i="3"/>
  <c r="H13" i="3"/>
  <c r="G13" i="3"/>
  <c r="F13" i="3"/>
  <c r="E13" i="3"/>
  <c r="D22" i="3"/>
  <c r="D21" i="3"/>
  <c r="D20" i="3"/>
  <c r="D19" i="3"/>
  <c r="D18" i="3"/>
  <c r="D16" i="3"/>
  <c r="D15" i="3"/>
  <c r="D14" i="3"/>
  <c r="D13" i="3"/>
  <c r="D12" i="3"/>
  <c r="P26" i="3" l="1"/>
  <c r="P27" i="3"/>
  <c r="Q9" i="3"/>
  <c r="Q26" i="3" s="1"/>
  <c r="R8" i="3"/>
  <c r="O27" i="3"/>
  <c r="W9" i="12"/>
  <c r="W10" i="12" s="1"/>
  <c r="X4" i="12"/>
  <c r="AG19" i="4"/>
  <c r="AG20" i="4" s="1"/>
  <c r="AF19" i="4"/>
  <c r="AF20" i="4" s="1"/>
  <c r="F28" i="3"/>
  <c r="Z19" i="4"/>
  <c r="Z20" i="4" s="1"/>
  <c r="AD19" i="4"/>
  <c r="AD20" i="4" s="1"/>
  <c r="AC19" i="4"/>
  <c r="AC20" i="4" s="1"/>
  <c r="AB19" i="4"/>
  <c r="AB20" i="4" s="1"/>
  <c r="AE19" i="4"/>
  <c r="AE20" i="4" s="1"/>
  <c r="AA19" i="4"/>
  <c r="AA20" i="4" s="1"/>
  <c r="X19" i="4"/>
  <c r="X20" i="4" s="1"/>
  <c r="W19" i="4"/>
  <c r="W20" i="4" s="1"/>
  <c r="P19" i="4"/>
  <c r="P20" i="4" s="1"/>
  <c r="T19" i="4"/>
  <c r="T20" i="4" s="1"/>
  <c r="S19" i="4"/>
  <c r="S20" i="4" s="1"/>
  <c r="Y19" i="4"/>
  <c r="Y20" i="4" s="1"/>
  <c r="O19" i="4"/>
  <c r="O20" i="4" s="1"/>
  <c r="R19" i="4"/>
  <c r="R20" i="4" s="1"/>
  <c r="Q19" i="4"/>
  <c r="Q20" i="4" s="1"/>
  <c r="U19" i="4"/>
  <c r="U20" i="4" s="1"/>
  <c r="V19" i="4"/>
  <c r="V20" i="4" s="1"/>
  <c r="M9" i="3"/>
  <c r="M26" i="3" s="1"/>
  <c r="K9" i="3"/>
  <c r="K26" i="3" s="1"/>
  <c r="H9" i="3"/>
  <c r="F9" i="3"/>
  <c r="E12" i="3"/>
  <c r="O21" i="4" l="1"/>
  <c r="O22" i="4" s="1"/>
  <c r="O24" i="4" s="1"/>
  <c r="N28" i="3"/>
  <c r="R28" i="3"/>
  <c r="R32" i="3" s="1"/>
  <c r="P28" i="3"/>
  <c r="P32" i="3" s="1"/>
  <c r="U28" i="3"/>
  <c r="U32" i="3" s="1"/>
  <c r="L28" i="3"/>
  <c r="Q28" i="3"/>
  <c r="V28" i="3"/>
  <c r="V32" i="3" s="1"/>
  <c r="Y28" i="3"/>
  <c r="Y32" i="3" s="1"/>
  <c r="I28" i="3"/>
  <c r="M28" i="3"/>
  <c r="T28" i="3"/>
  <c r="T32" i="3" s="1"/>
  <c r="W28" i="3"/>
  <c r="W32" i="3" s="1"/>
  <c r="Z28" i="3"/>
  <c r="Z32" i="3" s="1"/>
  <c r="O28" i="3"/>
  <c r="O32" i="3" s="1"/>
  <c r="G28" i="3"/>
  <c r="H28" i="3"/>
  <c r="S28" i="3"/>
  <c r="S32" i="3" s="1"/>
  <c r="Q27" i="3"/>
  <c r="R9" i="3"/>
  <c r="R26" i="3" s="1"/>
  <c r="S8" i="3"/>
  <c r="Y4" i="12"/>
  <c r="X9" i="12"/>
  <c r="X10" i="12" s="1"/>
  <c r="K27" i="3"/>
  <c r="M27" i="3"/>
  <c r="K28" i="3"/>
  <c r="J28" i="3"/>
  <c r="X28" i="3"/>
  <c r="X32" i="3" s="1"/>
  <c r="N21" i="4"/>
  <c r="N22" i="4" s="1"/>
  <c r="N24" i="4" s="1"/>
  <c r="E9" i="3"/>
  <c r="I9" i="3"/>
  <c r="N9" i="3"/>
  <c r="N26" i="3" s="1"/>
  <c r="G9" i="3"/>
  <c r="L9" i="3"/>
  <c r="L26" i="3" s="1"/>
  <c r="P29" i="3" l="1"/>
  <c r="P31" i="3" s="1"/>
  <c r="Q29" i="3"/>
  <c r="Q31" i="3" s="1"/>
  <c r="Q32" i="3"/>
  <c r="M29" i="3"/>
  <c r="O29" i="3"/>
  <c r="O31" i="3" s="1"/>
  <c r="O35" i="3" s="1"/>
  <c r="O37" i="3" s="1"/>
  <c r="Z36" i="3"/>
  <c r="S9" i="3"/>
  <c r="S26" i="3" s="1"/>
  <c r="T8" i="3"/>
  <c r="R27" i="3"/>
  <c r="R29" i="3" s="1"/>
  <c r="R31" i="3" s="1"/>
  <c r="R35" i="3" s="1"/>
  <c r="R37" i="3" s="1"/>
  <c r="Z4" i="12"/>
  <c r="Y9" i="12"/>
  <c r="Y10" i="12" s="1"/>
  <c r="L27" i="3"/>
  <c r="L29" i="3" s="1"/>
  <c r="N27" i="3"/>
  <c r="N29" i="3" s="1"/>
  <c r="K29" i="3"/>
  <c r="J32" i="3"/>
  <c r="J29" i="3"/>
  <c r="J31" i="3" s="1"/>
  <c r="P35" i="3"/>
  <c r="P37" i="3" s="1"/>
  <c r="Q35" i="3" l="1"/>
  <c r="Q37" i="3" s="1"/>
  <c r="S27" i="3"/>
  <c r="S29" i="3" s="1"/>
  <c r="S31" i="3" s="1"/>
  <c r="S35" i="3" s="1"/>
  <c r="S37" i="3" s="1"/>
  <c r="T9" i="3"/>
  <c r="T26" i="3" s="1"/>
  <c r="U8" i="3"/>
  <c r="AA4" i="12"/>
  <c r="Z9" i="12"/>
  <c r="Z10" i="12" s="1"/>
  <c r="J35" i="3"/>
  <c r="J37" i="3" s="1"/>
  <c r="F5" i="3"/>
  <c r="G5" i="3" s="1"/>
  <c r="H5" i="3" s="1"/>
  <c r="T27" i="3" l="1"/>
  <c r="T29" i="3" s="1"/>
  <c r="T31" i="3" s="1"/>
  <c r="T35" i="3" s="1"/>
  <c r="T37" i="3" s="1"/>
  <c r="U9" i="3"/>
  <c r="U26" i="3" s="1"/>
  <c r="V8" i="3"/>
  <c r="AB4" i="12"/>
  <c r="AA9" i="12"/>
  <c r="AA10" i="12" s="1"/>
  <c r="L5" i="3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  <c r="AG5" i="3" s="1"/>
  <c r="AH5" i="3" s="1"/>
  <c r="AI5" i="3" s="1"/>
  <c r="AJ5" i="3" s="1"/>
  <c r="AK5" i="3" s="1"/>
  <c r="AL5" i="3" s="1"/>
  <c r="AM5" i="3" s="1"/>
  <c r="AN5" i="3" s="1"/>
  <c r="AO5" i="3" s="1"/>
  <c r="AP5" i="3" s="1"/>
  <c r="AQ5" i="3" s="1"/>
  <c r="AR5" i="3" s="1"/>
  <c r="AS5" i="3" s="1"/>
  <c r="AT5" i="3" s="1"/>
  <c r="AU5" i="3" s="1"/>
  <c r="AV5" i="3" s="1"/>
  <c r="AW5" i="3" s="1"/>
  <c r="AX5" i="3" s="1"/>
  <c r="AY5" i="3" s="1"/>
  <c r="AZ5" i="3" s="1"/>
  <c r="BA5" i="3" s="1"/>
  <c r="BB5" i="3" s="1"/>
  <c r="BC5" i="3" s="1"/>
  <c r="BD5" i="3" s="1"/>
  <c r="BE5" i="3" s="1"/>
  <c r="BF5" i="3" s="1"/>
  <c r="BG5" i="3" s="1"/>
  <c r="BH5" i="3" s="1"/>
  <c r="BI5" i="3" s="1"/>
  <c r="BJ5" i="3" s="1"/>
  <c r="BK5" i="3" s="1"/>
  <c r="BL5" i="3" s="1"/>
  <c r="BM5" i="3" s="1"/>
  <c r="BN5" i="3" s="1"/>
  <c r="B3" i="3"/>
  <c r="B2" i="3" s="1"/>
  <c r="BO5" i="3" s="1"/>
  <c r="U27" i="3" l="1"/>
  <c r="U29" i="3" s="1"/>
  <c r="U31" i="3" s="1"/>
  <c r="U35" i="3" s="1"/>
  <c r="U37" i="3" s="1"/>
  <c r="V9" i="3"/>
  <c r="V26" i="3" s="1"/>
  <c r="W8" i="3"/>
  <c r="BN2" i="3"/>
  <c r="AB9" i="12"/>
  <c r="AB10" i="12" s="1"/>
  <c r="AC4" i="12"/>
  <c r="BO2" i="3"/>
  <c r="AY2" i="3"/>
  <c r="AZ1" i="3"/>
  <c r="AZ2" i="3"/>
  <c r="BA1" i="3"/>
  <c r="BO1" i="3"/>
  <c r="AY1" i="3"/>
  <c r="BA2" i="3"/>
  <c r="BB1" i="3"/>
  <c r="BK2" i="3"/>
  <c r="BL1" i="3"/>
  <c r="BL2" i="3"/>
  <c r="BM1" i="3"/>
  <c r="BJ2" i="3"/>
  <c r="BK1" i="3"/>
  <c r="BM2" i="3"/>
  <c r="BN1" i="3"/>
  <c r="BH1" i="3"/>
  <c r="BI1" i="3"/>
  <c r="BJ1" i="3"/>
  <c r="BG2" i="3"/>
  <c r="BH2" i="3"/>
  <c r="BF2" i="3"/>
  <c r="BG1" i="3"/>
  <c r="BI2" i="3"/>
  <c r="BC2" i="3"/>
  <c r="BD1" i="3"/>
  <c r="BD2" i="3"/>
  <c r="BE1" i="3"/>
  <c r="BB2" i="3"/>
  <c r="BC1" i="3"/>
  <c r="BE2" i="3"/>
  <c r="BF1" i="3"/>
  <c r="E58" i="3"/>
  <c r="V27" i="3" l="1"/>
  <c r="V29" i="3" s="1"/>
  <c r="V31" i="3" s="1"/>
  <c r="V35" i="3" s="1"/>
  <c r="V37" i="3" s="1"/>
  <c r="X8" i="3"/>
  <c r="AD4" i="12"/>
  <c r="AD9" i="12" s="1"/>
  <c r="AD10" i="12" s="1"/>
  <c r="AC9" i="12"/>
  <c r="AC10" i="12" s="1"/>
  <c r="W9" i="3"/>
  <c r="W26" i="3" s="1"/>
  <c r="D7" i="4"/>
  <c r="F6" i="4" s="1"/>
  <c r="F3" i="3"/>
  <c r="G3" i="3" s="1"/>
  <c r="H3" i="3" s="1"/>
  <c r="I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BL3" i="3" s="1"/>
  <c r="BM3" i="3" s="1"/>
  <c r="BN3" i="3" s="1"/>
  <c r="BO3" i="3" s="1"/>
  <c r="G1" i="3"/>
  <c r="X9" i="3" l="1"/>
  <c r="X26" i="3" s="1"/>
  <c r="Y8" i="3"/>
  <c r="Y9" i="3" s="1"/>
  <c r="Z8" i="3"/>
  <c r="Z9" i="3" s="1"/>
  <c r="W27" i="3"/>
  <c r="W29" i="3" s="1"/>
  <c r="W31" i="3" s="1"/>
  <c r="W35" i="3" s="1"/>
  <c r="W37" i="3" s="1"/>
  <c r="B6" i="4"/>
  <c r="B5" i="4"/>
  <c r="F5" i="4"/>
  <c r="F1" i="3"/>
  <c r="G2" i="3"/>
  <c r="F2" i="3"/>
  <c r="X27" i="3" l="1"/>
  <c r="X29" i="3" s="1"/>
  <c r="X31" i="3" s="1"/>
  <c r="X35" i="3" s="1"/>
  <c r="X37" i="3" s="1"/>
  <c r="B7" i="4"/>
  <c r="Y26" i="3"/>
  <c r="Y27" i="3" s="1"/>
  <c r="Y29" i="3" s="1"/>
  <c r="Y31" i="3" s="1"/>
  <c r="Y35" i="3" s="1"/>
  <c r="Y37" i="3" s="1"/>
  <c r="Z26" i="3"/>
  <c r="Z27" i="3" s="1"/>
  <c r="Z29" i="3" s="1"/>
  <c r="Z31" i="3" s="1"/>
  <c r="Z35" i="3" s="1"/>
  <c r="Z37" i="3" s="1"/>
  <c r="E38" i="3"/>
  <c r="H1" i="3"/>
  <c r="H2" i="3"/>
  <c r="F38" i="3" l="1"/>
  <c r="G38" i="3" s="1"/>
  <c r="H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H32" i="3"/>
  <c r="M32" i="3"/>
  <c r="E32" i="3"/>
  <c r="I32" i="3"/>
  <c r="N32" i="3"/>
  <c r="F32" i="3"/>
  <c r="K32" i="3"/>
  <c r="G32" i="3"/>
  <c r="L32" i="3"/>
  <c r="F7" i="4"/>
  <c r="F9" i="4" s="1"/>
  <c r="B37" i="3" s="1"/>
  <c r="I1" i="3"/>
  <c r="I2" i="3"/>
  <c r="J39" i="3" l="1"/>
  <c r="J40" i="3" s="1"/>
  <c r="Y39" i="3"/>
  <c r="Y40" i="3" s="1"/>
  <c r="Z38" i="3"/>
  <c r="Z39" i="3" s="1"/>
  <c r="Z40" i="3" s="1"/>
  <c r="E39" i="3"/>
  <c r="V39" i="3"/>
  <c r="V40" i="3" s="1"/>
  <c r="R39" i="3"/>
  <c r="R40" i="3" s="1"/>
  <c r="S39" i="3"/>
  <c r="S40" i="3" s="1"/>
  <c r="U39" i="3"/>
  <c r="U40" i="3" s="1"/>
  <c r="Q39" i="3"/>
  <c r="Q40" i="3" s="1"/>
  <c r="W39" i="3"/>
  <c r="W40" i="3" s="1"/>
  <c r="O39" i="3"/>
  <c r="O40" i="3" s="1"/>
  <c r="X39" i="3"/>
  <c r="X40" i="3" s="1"/>
  <c r="T39" i="3"/>
  <c r="T40" i="3" s="1"/>
  <c r="P39" i="3"/>
  <c r="P40" i="3" s="1"/>
  <c r="H39" i="3"/>
  <c r="M39" i="3"/>
  <c r="G39" i="3"/>
  <c r="I39" i="3"/>
  <c r="N39" i="3"/>
  <c r="L39" i="3"/>
  <c r="F39" i="3"/>
  <c r="K39" i="3"/>
  <c r="K1" i="3"/>
  <c r="K2" i="3"/>
  <c r="L1" i="3" l="1"/>
  <c r="L2" i="3"/>
  <c r="M1" i="3" l="1"/>
  <c r="M2" i="3"/>
  <c r="N1" i="3" l="1"/>
  <c r="N2" i="3"/>
  <c r="O1" i="3" l="1"/>
  <c r="O2" i="3"/>
  <c r="P1" i="3" l="1"/>
  <c r="P2" i="3"/>
  <c r="Q1" i="3" l="1"/>
  <c r="Q2" i="3"/>
  <c r="R1" i="3" l="1"/>
  <c r="R2" i="3"/>
  <c r="S1" i="3" l="1"/>
  <c r="S2" i="3"/>
  <c r="T1" i="3" l="1"/>
  <c r="T2" i="3"/>
  <c r="U1" i="3" l="1"/>
  <c r="U2" i="3"/>
  <c r="V1" i="3" l="1"/>
  <c r="V2" i="3"/>
  <c r="W1" i="3" l="1"/>
  <c r="W2" i="3"/>
  <c r="X1" i="3" l="1"/>
  <c r="X2" i="3"/>
  <c r="Y1" i="3" l="1"/>
  <c r="Y2" i="3"/>
  <c r="Z1" i="3" l="1"/>
  <c r="Z2" i="3"/>
  <c r="AA1" i="3" l="1"/>
  <c r="AA2" i="3"/>
  <c r="AB1" i="3" l="1"/>
  <c r="AB2" i="3"/>
  <c r="AC1" i="3" l="1"/>
  <c r="AC2" i="3"/>
  <c r="AD1" i="3" l="1"/>
  <c r="AD2" i="3"/>
  <c r="AE1" i="3" l="1"/>
  <c r="AE2" i="3"/>
  <c r="AF1" i="3" l="1"/>
  <c r="AF2" i="3"/>
  <c r="AG1" i="3" l="1"/>
  <c r="AG2" i="3"/>
  <c r="AH1" i="3" l="1"/>
  <c r="AH2" i="3"/>
  <c r="AI1" i="3" l="1"/>
  <c r="AI2" i="3"/>
  <c r="AJ1" i="3" l="1"/>
  <c r="AJ2" i="3"/>
  <c r="AK1" i="3" l="1"/>
  <c r="AK2" i="3"/>
  <c r="AL1" i="3" l="1"/>
  <c r="AL2" i="3"/>
  <c r="AM1" i="3" l="1"/>
  <c r="AM2" i="3"/>
  <c r="K31" i="3" l="1"/>
  <c r="K35" i="3" s="1"/>
  <c r="AN1" i="3"/>
  <c r="AN2" i="3"/>
  <c r="K40" i="3" l="1"/>
  <c r="K37" i="3"/>
  <c r="L31" i="3"/>
  <c r="L35" i="3" s="1"/>
  <c r="AO1" i="3"/>
  <c r="AO2" i="3"/>
  <c r="L40" i="3" l="1"/>
  <c r="L37" i="3"/>
  <c r="M31" i="3"/>
  <c r="M35" i="3" s="1"/>
  <c r="AP1" i="3"/>
  <c r="AP2" i="3"/>
  <c r="M40" i="3" l="1"/>
  <c r="M37" i="3"/>
  <c r="N31" i="3"/>
  <c r="N35" i="3" s="1"/>
  <c r="AQ1" i="3"/>
  <c r="AQ2" i="3"/>
  <c r="N40" i="3" l="1"/>
  <c r="N37" i="3"/>
  <c r="E43" i="3" s="1"/>
  <c r="E44" i="3" s="1"/>
  <c r="AR1" i="3"/>
  <c r="AR2" i="3"/>
  <c r="AS1" i="3" l="1"/>
  <c r="AS2" i="3"/>
  <c r="AT1" i="3" l="1"/>
  <c r="AT2" i="3"/>
  <c r="AU1" i="3" l="1"/>
  <c r="AU2" i="3"/>
  <c r="AV1" i="3" l="1"/>
  <c r="AV2" i="3"/>
  <c r="AW1" i="3" l="1"/>
  <c r="AW2" i="3"/>
  <c r="AX2" i="3" l="1"/>
  <c r="AX1" i="3"/>
  <c r="D23" i="16"/>
  <c r="I23" i="16"/>
  <c r="D24" i="16"/>
  <c r="E24" i="16"/>
  <c r="D26" i="16"/>
  <c r="E26" i="16"/>
  <c r="I26" i="16"/>
  <c r="E27" i="16"/>
  <c r="I27" i="16"/>
  <c r="E29" i="16"/>
  <c r="I29" i="16"/>
  <c r="E31" i="16"/>
  <c r="I31" i="16"/>
  <c r="E35" i="16"/>
  <c r="I35" i="16"/>
  <c r="E37" i="16"/>
  <c r="I37" i="16"/>
  <c r="E40" i="16"/>
  <c r="I40" i="16"/>
  <c r="E43" i="16"/>
  <c r="D23" i="3"/>
  <c r="I23" i="3"/>
  <c r="D24" i="3"/>
  <c r="E24" i="3"/>
  <c r="E25" i="3"/>
  <c r="F25" i="3"/>
  <c r="G25" i="3"/>
  <c r="H25" i="3"/>
  <c r="I25" i="3"/>
  <c r="D26" i="3"/>
  <c r="E26" i="3"/>
  <c r="F26" i="3"/>
  <c r="G26" i="3"/>
  <c r="H26" i="3"/>
  <c r="I26" i="3"/>
  <c r="E27" i="3"/>
  <c r="F27" i="3"/>
  <c r="G27" i="3"/>
  <c r="H27" i="3"/>
  <c r="I27" i="3"/>
  <c r="E29" i="3"/>
  <c r="F29" i="3"/>
  <c r="G29" i="3"/>
  <c r="H29" i="3"/>
  <c r="I29" i="3"/>
  <c r="E31" i="3"/>
  <c r="F31" i="3"/>
  <c r="G31" i="3"/>
  <c r="H31" i="3"/>
  <c r="I31" i="3"/>
  <c r="E35" i="3"/>
  <c r="F35" i="3"/>
  <c r="G35" i="3"/>
  <c r="H35" i="3"/>
  <c r="I35" i="3"/>
  <c r="E37" i="3"/>
  <c r="F37" i="3"/>
  <c r="G37" i="3"/>
  <c r="H37" i="3"/>
  <c r="I37" i="3"/>
  <c r="E40" i="3"/>
  <c r="F40" i="3"/>
  <c r="G40" i="3"/>
  <c r="H40" i="3"/>
  <c r="I40" i="3"/>
</calcChain>
</file>

<file path=xl/sharedStrings.xml><?xml version="1.0" encoding="utf-8"?>
<sst xmlns="http://schemas.openxmlformats.org/spreadsheetml/2006/main" count="170" uniqueCount="90">
  <si>
    <t>Years</t>
  </si>
  <si>
    <t>Days</t>
  </si>
  <si>
    <t>Particulars</t>
  </si>
  <si>
    <t>End Date</t>
  </si>
  <si>
    <t>Start Date</t>
  </si>
  <si>
    <t xml:space="preserve">Revenue </t>
  </si>
  <si>
    <t>Valuation Date</t>
  </si>
  <si>
    <t>Total Income</t>
  </si>
  <si>
    <t>Expenses</t>
  </si>
  <si>
    <t>Total Expense</t>
  </si>
  <si>
    <t>EBITDA</t>
  </si>
  <si>
    <t>Depreciation</t>
  </si>
  <si>
    <t>Tax Rate</t>
  </si>
  <si>
    <t>EBIT</t>
  </si>
  <si>
    <t>NOPAT</t>
  </si>
  <si>
    <t>Add: Depreciation</t>
  </si>
  <si>
    <t>Less: CAPeX</t>
  </si>
  <si>
    <t>Less: Change in Working Capital</t>
  </si>
  <si>
    <t>FCFF</t>
  </si>
  <si>
    <t>Calculation of WACC</t>
  </si>
  <si>
    <t>Equity</t>
  </si>
  <si>
    <t>Debt</t>
  </si>
  <si>
    <t>Amount</t>
  </si>
  <si>
    <t>Cost</t>
  </si>
  <si>
    <t>Weighted Cost</t>
  </si>
  <si>
    <t>PV of FCFF</t>
  </si>
  <si>
    <t>PVF</t>
  </si>
  <si>
    <t>Total Days in the Year</t>
  </si>
  <si>
    <t>Time Period</t>
  </si>
  <si>
    <t>Net Present Value</t>
  </si>
  <si>
    <t>Company Risk Premium</t>
  </si>
  <si>
    <t>Appropriate Discount Rate</t>
  </si>
  <si>
    <t xml:space="preserve"> </t>
  </si>
  <si>
    <t>Total Cost</t>
  </si>
  <si>
    <t>WACC-Weighted Average Cost of Capita</t>
  </si>
  <si>
    <t>PVF- Present Value Factor</t>
  </si>
  <si>
    <t>PV of FCFF- Present value of free cash flow to firm</t>
  </si>
  <si>
    <t>Land Cost (incl. GST)</t>
  </si>
  <si>
    <t>Construction Cost</t>
  </si>
  <si>
    <t>Total Infra &amp; Landscaping Costs</t>
  </si>
  <si>
    <t>Approval Cost</t>
  </si>
  <si>
    <t>Project Soft Cost</t>
  </si>
  <si>
    <t>Contngencies &amp; Escalations</t>
  </si>
  <si>
    <t>Land Improvement Costs</t>
  </si>
  <si>
    <t>DM Fee</t>
  </si>
  <si>
    <t>Marketing cost</t>
  </si>
  <si>
    <t>Brokerage</t>
  </si>
  <si>
    <t>Processing Fees for CF</t>
  </si>
  <si>
    <t>Hard Cost</t>
  </si>
  <si>
    <t>Soft Cost</t>
  </si>
  <si>
    <t>Rental</t>
  </si>
  <si>
    <t>DSRA for CF</t>
  </si>
  <si>
    <t>Phase 1</t>
  </si>
  <si>
    <t>Phase 2</t>
  </si>
  <si>
    <t>Phase 3</t>
  </si>
  <si>
    <t>Phase 4</t>
  </si>
  <si>
    <t>Phase 5</t>
  </si>
  <si>
    <t>BUA sqft</t>
  </si>
  <si>
    <t>Cons. End Date</t>
  </si>
  <si>
    <t>Phase</t>
  </si>
  <si>
    <t>SV</t>
  </si>
  <si>
    <t>EL</t>
  </si>
  <si>
    <t>Dep. Rate</t>
  </si>
  <si>
    <t>CoC</t>
  </si>
  <si>
    <t>RCN</t>
  </si>
  <si>
    <t>Phasing</t>
  </si>
  <si>
    <t>Leasable area</t>
  </si>
  <si>
    <t>sqft</t>
  </si>
  <si>
    <t>Lease Start date</t>
  </si>
  <si>
    <t>Lease rate 
(Exc CAM) pm (psf) with loading impact</t>
  </si>
  <si>
    <t>Security Deposit Amount</t>
  </si>
  <si>
    <t>Interest on Security Deposit</t>
  </si>
  <si>
    <t>(Nifty -50 10 year Return taken as proxy for cost of equity)</t>
  </si>
  <si>
    <t>Land</t>
  </si>
  <si>
    <t>Building</t>
  </si>
  <si>
    <t>TV</t>
  </si>
  <si>
    <t>o</t>
  </si>
  <si>
    <t>B</t>
  </si>
  <si>
    <t>L</t>
  </si>
  <si>
    <t>B+L</t>
  </si>
  <si>
    <t>Project Cost</t>
  </si>
  <si>
    <t>Approvals</t>
  </si>
  <si>
    <t>Infra + Land development</t>
  </si>
  <si>
    <t>Project Soft Costs (incl. Processing fees)</t>
  </si>
  <si>
    <t>Interest During construction</t>
  </si>
  <si>
    <t>Opex and DM Fees</t>
  </si>
  <si>
    <t>https://www.screener.in/company/NIFTY/</t>
  </si>
  <si>
    <t>Interest Cost on CF</t>
  </si>
  <si>
    <t>WACC(9.40%)</t>
  </si>
  <si>
    <t>FCFF+TV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</si>
</sst>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&quot; &quot;#,##0.00&quot; &quot;;&quot; (&quot;#,##0.00&quot;)&quot;;&quot; -&quot;00&quot; &quot;;&quot; &quot;@&quot; &quot;"/>
    <numFmt numFmtId="167" formatCode="[$-409]d/mmm/yy;@"/>
    <numFmt numFmtId="168" formatCode="yyyy/mm/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0" borderId="0" xfId="0" applyFont="1"/>
    <xf numFmtId="43" fontId="0" fillId="0" borderId="0" xfId="0" applyNumberFormat="1"/>
    <xf numFmtId="1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6" fillId="2" borderId="1" xfId="0" applyFont="1" applyFill="1" applyBorder="1"/>
    <xf numFmtId="14" fontId="6" fillId="2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43" fontId="0" fillId="0" borderId="1" xfId="1" applyFont="1" applyBorder="1"/>
    <xf numFmtId="43" fontId="2" fillId="0" borderId="1" xfId="0" applyNumberFormat="1" applyFont="1" applyBorder="1"/>
    <xf numFmtId="43" fontId="0" fillId="0" borderId="1" xfId="0" applyNumberFormat="1" applyBorder="1"/>
    <xf numFmtId="0" fontId="2" fillId="0" borderId="1" xfId="0" applyFont="1" applyBorder="1"/>
    <xf numFmtId="0" fontId="2" fillId="3" borderId="1" xfId="0" applyFont="1" applyFill="1" applyBorder="1"/>
    <xf numFmtId="43" fontId="2" fillId="0" borderId="1" xfId="1" applyFont="1" applyBorder="1"/>
    <xf numFmtId="10" fontId="2" fillId="0" borderId="1" xfId="0" applyNumberFormat="1" applyFont="1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0" fontId="0" fillId="4" borderId="1" xfId="2" applyNumberFormat="1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0" fontId="2" fillId="4" borderId="1" xfId="2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43" fontId="0" fillId="0" borderId="0" xfId="1" applyFont="1"/>
    <xf numFmtId="43" fontId="2" fillId="0" borderId="1" xfId="1" applyFont="1" applyFill="1" applyBorder="1"/>
    <xf numFmtId="43" fontId="2" fillId="0" borderId="1" xfId="0" applyNumberFormat="1" applyFont="1" applyBorder="1" applyAlignment="1">
      <alignment vertical="center"/>
    </xf>
    <xf numFmtId="0" fontId="0" fillId="4" borderId="0" xfId="0" applyFill="1"/>
    <xf numFmtId="10" fontId="2" fillId="0" borderId="0" xfId="0" applyNumberFormat="1" applyFont="1"/>
    <xf numFmtId="2" fontId="0" fillId="0" borderId="0" xfId="0" applyNumberFormat="1"/>
    <xf numFmtId="0" fontId="8" fillId="0" borderId="0" xfId="0" applyFont="1"/>
    <xf numFmtId="9" fontId="0" fillId="0" borderId="0" xfId="0" applyNumberFormat="1"/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0" fillId="0" borderId="1" xfId="2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2" fillId="3" borderId="1" xfId="0" applyFont="1" applyFill="1" applyBorder="1" applyAlignment="1">
      <alignment horizontal="left" vertical="center"/>
    </xf>
    <xf numFmtId="168" fontId="0" fillId="0" borderId="0" xfId="0" applyNumberForma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7" fontId="0" fillId="0" borderId="0" xfId="0" applyNumberFormat="1"/>
    <xf numFmtId="10" fontId="0" fillId="0" borderId="0" xfId="2" applyNumberFormat="1" applyFont="1"/>
    <xf numFmtId="165" fontId="0" fillId="0" borderId="0" xfId="1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9" fontId="0" fillId="0" borderId="0" xfId="2" applyFont="1"/>
    <xf numFmtId="10" fontId="0" fillId="0" borderId="0" xfId="2" applyNumberFormat="1" applyFont="1" applyAlignment="1">
      <alignment horizontal="center" vertical="center"/>
    </xf>
    <xf numFmtId="9" fontId="0" fillId="0" borderId="1" xfId="2" applyFont="1" applyBorder="1"/>
    <xf numFmtId="165" fontId="1" fillId="0" borderId="0" xfId="1" applyNumberFormat="1" applyFont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43" fontId="2" fillId="0" borderId="0" xfId="1" applyFont="1"/>
    <xf numFmtId="1" fontId="0" fillId="0" borderId="0" xfId="0" applyNumberFormat="1"/>
    <xf numFmtId="0" fontId="0" fillId="4" borderId="1" xfId="0" applyFill="1" applyBorder="1" applyAlignment="1">
      <alignment horizontal="center" vertical="center"/>
    </xf>
    <xf numFmtId="0" fontId="11" fillId="0" borderId="0" xfId="0" applyFont="1"/>
    <xf numFmtId="0" fontId="2" fillId="0" borderId="1" xfId="0" applyFont="1" applyBorder="1" applyAlignment="1">
      <alignment horizontal="right"/>
    </xf>
  </cellXfs>
  <cellStyles count="19">
    <cellStyle name="=C:\WINNT35\SYSTEM32\COMMAND.COM" xfId="3" xr:uid="{00000000-0005-0000-0000-000000000000}"/>
    <cellStyle name="Comma" xfId="1" builtinId="3"/>
    <cellStyle name="Comma 13" xfId="7" xr:uid="{54D26CE5-585B-4CA2-B19C-CAF780C448A9}"/>
    <cellStyle name="Comma 13 2" xfId="15" xr:uid="{7B577D5A-F1E1-42D5-BE01-EDECC659A317}"/>
    <cellStyle name="Comma 2" xfId="9" xr:uid="{5A75CE1D-7448-4F5A-ADC3-3E5D81D509B5}"/>
    <cellStyle name="Comma 2 2" xfId="6" xr:uid="{00000000-0005-0000-0000-000003000000}"/>
    <cellStyle name="Comma 2 3" xfId="8" xr:uid="{98A93B01-1469-4AEF-AA9B-06C4DAF558ED}"/>
    <cellStyle name="Comma 2 3 2" xfId="16" xr:uid="{194CDC2F-8B2A-4CFF-A218-C885C02D3F5D}"/>
    <cellStyle name="Comma 3" xfId="11" xr:uid="{DF0855F0-941A-4FF4-98EF-066443E64BED}"/>
    <cellStyle name="Comma 4" xfId="17" xr:uid="{E5C64322-42F2-4617-9A2B-D857CE7D7C6F}"/>
    <cellStyle name="Comma 5" xfId="13" xr:uid="{97F3A733-3D61-4F6D-902E-BED18FCA4353}"/>
    <cellStyle name="Excel Built-in Normal" xfId="14" xr:uid="{CD5CF788-ADD3-474B-AABF-4388F08D4DE6}"/>
    <cellStyle name="Normal" xfId="0" builtinId="0"/>
    <cellStyle name="Normal 2" xfId="10" xr:uid="{0148004F-DF2D-4D84-A69A-C7FA856CF63F}"/>
    <cellStyle name="Normal 2 3" xfId="4" xr:uid="{00000000-0005-0000-0000-000006000000}"/>
    <cellStyle name="Normal 25" xfId="18" xr:uid="{03A03615-0BF9-48C5-8E64-F4E19A01CD61}"/>
    <cellStyle name="Percent" xfId="2" builtinId="5"/>
    <cellStyle name="Percent 2" xfId="5" xr:uid="{00000000-0005-0000-0000-000008000000}"/>
    <cellStyle name="Percent 2 2" xfId="12" xr:uid="{9101FE2E-5554-4D7D-88CD-AE43A70AA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608578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D4103-AFF4-C986-8866-D253E7F7B6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733" r="4934" b="26597"/>
        <a:stretch/>
      </xdr:blipFill>
      <xdr:spPr>
        <a:xfrm>
          <a:off x="0" y="0"/>
          <a:ext cx="9752578" cy="445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bhinav%20Chaturvedi's%20Assignments\In-Progress\Warehouse%20Valuation\Report\Nagpur-Debt%20Model%20AS_v17_For%20Valuation_New%20Model.xlsx" TargetMode="External"/><Relationship Id="rId1" Type="http://schemas.openxmlformats.org/officeDocument/2006/relationships/externalLinkPath" Target="Nagpur-Debt%20Model%20AS_v17_For%20Valuation_New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st &amp; Means"/>
      <sheetName val="Assumption Sheet"/>
      <sheetName val="Cost Phasing"/>
      <sheetName val="Monthly Cashflow"/>
      <sheetName val="Quarterly Cashflow"/>
      <sheetName val="CF_Debt Schedule"/>
      <sheetName val="Quasi Equity_Schedule"/>
      <sheetName val="Dep &amp; Tax Schedule"/>
      <sheetName val="CF Statement"/>
      <sheetName val="P&amp;L Statement"/>
      <sheetName val="Balance sheet"/>
      <sheetName val="Leasing"/>
      <sheetName val="LRD - Combined"/>
      <sheetName val="LRD_Phase-wise"/>
      <sheetName val="Ratios"/>
      <sheetName val="As per Project"/>
      <sheetName val="As per model"/>
    </sheetNames>
    <sheetDataSet>
      <sheetData sheetId="0"/>
      <sheetData sheetId="1"/>
      <sheetData sheetId="2"/>
      <sheetData sheetId="3">
        <row r="16">
          <cell r="B16">
            <v>-47.58</v>
          </cell>
        </row>
        <row r="17">
          <cell r="B17">
            <v>-254.45065628902654</v>
          </cell>
          <cell r="D17">
            <v>-3.6324646436185324</v>
          </cell>
          <cell r="E17">
            <v>-3.6324646436185324</v>
          </cell>
          <cell r="F17">
            <v>-3.6324646436185324</v>
          </cell>
          <cell r="G17">
            <v>-3.6324646436185324</v>
          </cell>
          <cell r="H17">
            <v>-3.6324646436185324</v>
          </cell>
          <cell r="I17">
            <v>-3.6324646436185324</v>
          </cell>
          <cell r="J17">
            <v>-3.6324646436185324</v>
          </cell>
          <cell r="K17">
            <v>-3.6324646436185324</v>
          </cell>
          <cell r="L17">
            <v>-3.6324646436185324</v>
          </cell>
          <cell r="M17">
            <v>-3.6324646436185324</v>
          </cell>
          <cell r="N17">
            <v>-3.6324646436185324</v>
          </cell>
          <cell r="O17">
            <v>-3.6324646436185324</v>
          </cell>
          <cell r="P17">
            <v>-7.0358926104882773</v>
          </cell>
          <cell r="Q17">
            <v>-7.0358926104882773</v>
          </cell>
          <cell r="R17">
            <v>-7.0358926104882773</v>
          </cell>
          <cell r="S17">
            <v>-7.0358926104882773</v>
          </cell>
          <cell r="T17">
            <v>-7.0358926104882773</v>
          </cell>
          <cell r="U17">
            <v>-7.0358926104882773</v>
          </cell>
          <cell r="V17">
            <v>-7.0358926104882773</v>
          </cell>
          <cell r="W17">
            <v>-7.0358926104882773</v>
          </cell>
          <cell r="X17">
            <v>-7.0358926104882773</v>
          </cell>
          <cell r="Y17">
            <v>-9.9688028135609166</v>
          </cell>
          <cell r="Z17">
            <v>-9.9688028135609166</v>
          </cell>
          <cell r="AA17">
            <v>-9.9688028135609166</v>
          </cell>
          <cell r="AB17">
            <v>-2.9329102030726393</v>
          </cell>
          <cell r="AC17">
            <v>-2.9329102030726393</v>
          </cell>
          <cell r="AD17">
            <v>-2.9329102030726393</v>
          </cell>
          <cell r="AE17">
            <v>-2.9329102030726393</v>
          </cell>
          <cell r="AF17">
            <v>-2.9329102030726393</v>
          </cell>
          <cell r="AG17">
            <v>-2.9329102030726393</v>
          </cell>
          <cell r="AH17">
            <v>-9.2249214961471857</v>
          </cell>
          <cell r="AI17">
            <v>-9.2249214961471857</v>
          </cell>
          <cell r="AJ17">
            <v>-9.2249214961471857</v>
          </cell>
          <cell r="AK17">
            <v>-6.2920112930745455</v>
          </cell>
          <cell r="AL17">
            <v>-6.2920112930745455</v>
          </cell>
          <cell r="AM17">
            <v>-6.2920112930745455</v>
          </cell>
          <cell r="AN17">
            <v>-6.2920112930745455</v>
          </cell>
          <cell r="AO17">
            <v>-6.2920112930745455</v>
          </cell>
          <cell r="AP17">
            <v>-6.2920112930745455</v>
          </cell>
          <cell r="AQ17">
            <v>-7.3407653788064389</v>
          </cell>
          <cell r="AR17">
            <v>-7.3407653788064389</v>
          </cell>
          <cell r="AS17">
            <v>-7.3407653788064389</v>
          </cell>
          <cell r="AT17">
            <v>-1.0487540857318933</v>
          </cell>
          <cell r="AU17">
            <v>-1.0487540857318933</v>
          </cell>
          <cell r="AV17">
            <v>-1.0487540857318933</v>
          </cell>
          <cell r="AW17">
            <v>-1.0487540857318933</v>
          </cell>
          <cell r="AX17">
            <v>-1.0487540857318933</v>
          </cell>
          <cell r="AY17">
            <v>-1.0487540857318933</v>
          </cell>
          <cell r="AZ17">
            <v>-1.0487540857318933</v>
          </cell>
          <cell r="BA17">
            <v>-1.0487540857318933</v>
          </cell>
          <cell r="BB17">
            <v>-1.0487540857318933</v>
          </cell>
          <cell r="BC17">
            <v>-1.0487540857318933</v>
          </cell>
          <cell r="BD17">
            <v>-1.0487540857318933</v>
          </cell>
          <cell r="BE17">
            <v>-1.0487540857318933</v>
          </cell>
          <cell r="BF17">
            <v>0</v>
          </cell>
          <cell r="BG17">
            <v>0</v>
          </cell>
          <cell r="BH17">
            <v>0</v>
          </cell>
        </row>
        <row r="18">
          <cell r="B18">
            <v>-61.603843101553736</v>
          </cell>
          <cell r="D18">
            <v>-1.0553265701460159</v>
          </cell>
          <cell r="E18">
            <v>-1.0553265701460159</v>
          </cell>
          <cell r="F18">
            <v>-0.84426125611681269</v>
          </cell>
          <cell r="G18">
            <v>-0.84426125611681269</v>
          </cell>
          <cell r="H18">
            <v>-0.84426125611681269</v>
          </cell>
          <cell r="I18">
            <v>-0.84426125611681269</v>
          </cell>
          <cell r="J18">
            <v>-0.84426125611681269</v>
          </cell>
          <cell r="K18">
            <v>-0.84426125611681269</v>
          </cell>
          <cell r="L18">
            <v>-0.84426125611681269</v>
          </cell>
          <cell r="M18">
            <v>-0.84426125611681269</v>
          </cell>
          <cell r="N18">
            <v>-0.84426125611681269</v>
          </cell>
          <cell r="O18">
            <v>-0.84426125611681269</v>
          </cell>
          <cell r="P18">
            <v>-2.0441119584155421</v>
          </cell>
          <cell r="Q18">
            <v>-2.0441119584155421</v>
          </cell>
          <cell r="R18">
            <v>-1.6352895667324336</v>
          </cell>
          <cell r="S18">
            <v>-1.6352895667324336</v>
          </cell>
          <cell r="T18">
            <v>-1.6352895667324336</v>
          </cell>
          <cell r="U18">
            <v>-1.6352895667324336</v>
          </cell>
          <cell r="V18">
            <v>-1.6352895667324336</v>
          </cell>
          <cell r="W18">
            <v>-1.6352895667324336</v>
          </cell>
          <cell r="X18">
            <v>-1.6352895667324336</v>
          </cell>
          <cell r="Y18">
            <v>-2.4873771625724848</v>
          </cell>
          <cell r="Z18">
            <v>-2.4873771625724848</v>
          </cell>
          <cell r="AA18">
            <v>-2.3169596434044744</v>
          </cell>
          <cell r="AB18">
            <v>-0.68167007667204083</v>
          </cell>
          <cell r="AC18">
            <v>-0.68167007667204083</v>
          </cell>
          <cell r="AD18">
            <v>-0.68167007667204083</v>
          </cell>
          <cell r="AE18">
            <v>-0.68167007667204083</v>
          </cell>
          <cell r="AF18">
            <v>-0.68167007667204083</v>
          </cell>
          <cell r="AG18">
            <v>-0.68167007667204083</v>
          </cell>
          <cell r="AH18">
            <v>-2.5096649365547514</v>
          </cell>
          <cell r="AI18">
            <v>-2.5096649365547514</v>
          </cell>
          <cell r="AJ18">
            <v>-2.1440659645782092</v>
          </cell>
          <cell r="AK18">
            <v>-1.4623958879061683</v>
          </cell>
          <cell r="AL18">
            <v>-1.4623958879061683</v>
          </cell>
          <cell r="AM18">
            <v>-1.4623958879061683</v>
          </cell>
          <cell r="AN18">
            <v>-1.4623958879061683</v>
          </cell>
          <cell r="AO18">
            <v>-1.4623958879061683</v>
          </cell>
          <cell r="AP18">
            <v>-1.4623958879061683</v>
          </cell>
          <cell r="AQ18">
            <v>-1.7163047718202056</v>
          </cell>
          <cell r="AR18">
            <v>-1.7163047718202056</v>
          </cell>
          <cell r="AS18">
            <v>-1.7163047718202056</v>
          </cell>
          <cell r="AT18">
            <v>-0.25390888391403726</v>
          </cell>
          <cell r="AU18">
            <v>-0.25390888391403726</v>
          </cell>
          <cell r="AV18">
            <v>-0.25390888391403726</v>
          </cell>
          <cell r="AW18">
            <v>-0.25390888391403726</v>
          </cell>
          <cell r="AX18">
            <v>-0.25390888391403726</v>
          </cell>
          <cell r="AY18">
            <v>-0.25390888391403726</v>
          </cell>
          <cell r="AZ18">
            <v>-0.25390888391403726</v>
          </cell>
          <cell r="BA18">
            <v>-0.25390888391403726</v>
          </cell>
          <cell r="BB18">
            <v>-0.25390888391403726</v>
          </cell>
          <cell r="BC18">
            <v>-0.25390888391403726</v>
          </cell>
          <cell r="BD18">
            <v>-0.25390888391403726</v>
          </cell>
          <cell r="BE18">
            <v>-0.25390888391403726</v>
          </cell>
          <cell r="BF18">
            <v>0</v>
          </cell>
          <cell r="BG18">
            <v>0</v>
          </cell>
          <cell r="BH18">
            <v>0</v>
          </cell>
        </row>
        <row r="19">
          <cell r="B19">
            <v>-5.0220524267570994</v>
          </cell>
          <cell r="D19">
            <v>-0.51619234409315995</v>
          </cell>
          <cell r="E19">
            <v>-4.3016028674429996E-2</v>
          </cell>
          <cell r="F19">
            <v>-3.0111220072100993E-2</v>
          </cell>
          <cell r="G19">
            <v>-3.0111220072100993E-2</v>
          </cell>
          <cell r="H19">
            <v>-3.0111220072100993E-2</v>
          </cell>
          <cell r="I19">
            <v>-3.0111220072100993E-2</v>
          </cell>
          <cell r="J19">
            <v>-3.0111220072100993E-2</v>
          </cell>
          <cell r="K19">
            <v>-3.0111220072100993E-2</v>
          </cell>
          <cell r="L19">
            <v>-3.0111220072100993E-2</v>
          </cell>
          <cell r="M19">
            <v>-3.0111220072100993E-2</v>
          </cell>
          <cell r="N19">
            <v>-3.0111220072100993E-2</v>
          </cell>
          <cell r="O19">
            <v>-3.0111220072100993E-2</v>
          </cell>
          <cell r="P19">
            <v>-0.99983737096412384</v>
          </cell>
          <cell r="Q19">
            <v>-8.3319780913676991E-2</v>
          </cell>
          <cell r="R19">
            <v>-5.8323846639573886E-2</v>
          </cell>
          <cell r="S19">
            <v>-5.8323846639573886E-2</v>
          </cell>
          <cell r="T19">
            <v>-5.8323846639573886E-2</v>
          </cell>
          <cell r="U19">
            <v>-5.8323846639573886E-2</v>
          </cell>
          <cell r="V19">
            <v>-5.8323846639573886E-2</v>
          </cell>
          <cell r="W19">
            <v>-5.8323846639573886E-2</v>
          </cell>
          <cell r="X19">
            <v>-5.8323846639573886E-2</v>
          </cell>
          <cell r="Y19">
            <v>-0.47510582286568581</v>
          </cell>
          <cell r="Z19">
            <v>-9.305567799174988E-2</v>
          </cell>
          <cell r="AA19">
            <v>-8.2636128586097091E-2</v>
          </cell>
          <cell r="AB19">
            <v>-2.4312281946523198E-2</v>
          </cell>
          <cell r="AC19">
            <v>-2.4312281946523198E-2</v>
          </cell>
          <cell r="AD19">
            <v>-2.4312281946523198E-2</v>
          </cell>
          <cell r="AE19">
            <v>-2.4312281946523198E-2</v>
          </cell>
          <cell r="AF19">
            <v>-2.4312281946523198E-2</v>
          </cell>
          <cell r="AG19">
            <v>-2.4312281946523198E-2</v>
          </cell>
          <cell r="AH19">
            <v>-0.91844020254132719</v>
          </cell>
          <cell r="AI19">
            <v>-9.8822941996090194E-2</v>
          </cell>
          <cell r="AJ19">
            <v>-7.6469743981220084E-2</v>
          </cell>
          <cell r="AK19">
            <v>-5.2157462034696893E-2</v>
          </cell>
          <cell r="AL19">
            <v>-5.2157462034696893E-2</v>
          </cell>
          <cell r="AM19">
            <v>-5.2157462034696893E-2</v>
          </cell>
          <cell r="AN19">
            <v>-5.2157462034696893E-2</v>
          </cell>
          <cell r="AO19">
            <v>-5.2157462034696893E-2</v>
          </cell>
          <cell r="AP19">
            <v>-5.2157462034696893E-2</v>
          </cell>
          <cell r="AQ19">
            <v>-0.23844930621075688</v>
          </cell>
          <cell r="AR19">
            <v>-7.5443942556704391E-2</v>
          </cell>
          <cell r="AS19">
            <v>-5.991962220869939E-2</v>
          </cell>
          <cell r="AT19">
            <v>-7.7621601740024996E-3</v>
          </cell>
          <cell r="AU19">
            <v>-7.7621601740024996E-3</v>
          </cell>
          <cell r="AV19">
            <v>-7.7621601740024996E-3</v>
          </cell>
          <cell r="AW19">
            <v>-7.7621601740024996E-3</v>
          </cell>
          <cell r="AX19">
            <v>-7.7621601740024996E-3</v>
          </cell>
          <cell r="AY19">
            <v>-7.7621601740024996E-3</v>
          </cell>
          <cell r="AZ19">
            <v>-7.7621601740024996E-3</v>
          </cell>
          <cell r="BA19">
            <v>-7.7621601740024996E-3</v>
          </cell>
          <cell r="BB19">
            <v>-7.7621601740024996E-3</v>
          </cell>
          <cell r="BC19">
            <v>-7.7621601740024996E-3</v>
          </cell>
          <cell r="BD19">
            <v>-7.7621601740024996E-3</v>
          </cell>
          <cell r="BE19">
            <v>-7.7621601740024996E-3</v>
          </cell>
          <cell r="BF19">
            <v>0</v>
          </cell>
          <cell r="BG19">
            <v>0</v>
          </cell>
          <cell r="BH19">
            <v>0</v>
          </cell>
        </row>
        <row r="20">
          <cell r="B20">
            <v>-18.414192231442694</v>
          </cell>
          <cell r="D20">
            <v>-0.31545087694581991</v>
          </cell>
          <cell r="E20">
            <v>-0.31545087694581991</v>
          </cell>
          <cell r="F20">
            <v>-0.25236070155665596</v>
          </cell>
          <cell r="G20">
            <v>-0.25236070155665596</v>
          </cell>
          <cell r="H20">
            <v>-0.25236070155665596</v>
          </cell>
          <cell r="I20">
            <v>-0.25236070155665596</v>
          </cell>
          <cell r="J20">
            <v>-0.25236070155665596</v>
          </cell>
          <cell r="K20">
            <v>-0.25236070155665596</v>
          </cell>
          <cell r="L20">
            <v>-0.25236070155665596</v>
          </cell>
          <cell r="M20">
            <v>-0.25236070155665596</v>
          </cell>
          <cell r="N20">
            <v>-0.25236070155665596</v>
          </cell>
          <cell r="O20">
            <v>-0.25236070155665596</v>
          </cell>
          <cell r="P20">
            <v>-0.6110117267002978</v>
          </cell>
          <cell r="Q20">
            <v>-0.6110117267002978</v>
          </cell>
          <cell r="R20">
            <v>-0.48880938136023833</v>
          </cell>
          <cell r="S20">
            <v>-0.48880938136023833</v>
          </cell>
          <cell r="T20">
            <v>-0.48880938136023833</v>
          </cell>
          <cell r="U20">
            <v>-0.48880938136023833</v>
          </cell>
          <cell r="V20">
            <v>-0.48880938136023833</v>
          </cell>
          <cell r="W20">
            <v>-0.48880938136023833</v>
          </cell>
          <cell r="X20">
            <v>-0.48880938136023833</v>
          </cell>
          <cell r="Y20">
            <v>-0.74350947794286226</v>
          </cell>
          <cell r="Z20">
            <v>-0.74350947794286226</v>
          </cell>
          <cell r="AA20">
            <v>-0.69256945862633745</v>
          </cell>
          <cell r="AB20">
            <v>-0.20376007726609915</v>
          </cell>
          <cell r="AC20">
            <v>-0.20376007726609915</v>
          </cell>
          <cell r="AD20">
            <v>-0.20376007726609915</v>
          </cell>
          <cell r="AE20">
            <v>-0.20376007726609915</v>
          </cell>
          <cell r="AF20">
            <v>-0.20376007726609915</v>
          </cell>
          <cell r="AG20">
            <v>-0.20376007726609915</v>
          </cell>
          <cell r="AH20">
            <v>-0.75017158429625708</v>
          </cell>
          <cell r="AI20">
            <v>-0.75017158429625708</v>
          </cell>
          <cell r="AJ20">
            <v>-0.64088928289022551</v>
          </cell>
          <cell r="AK20">
            <v>-0.43712920562412638</v>
          </cell>
          <cell r="AL20">
            <v>-0.43712920562412638</v>
          </cell>
          <cell r="AM20">
            <v>-0.43712920562412638</v>
          </cell>
          <cell r="AN20">
            <v>-0.43712920562412638</v>
          </cell>
          <cell r="AO20">
            <v>-0.43712920562412638</v>
          </cell>
          <cell r="AP20">
            <v>-0.43712920562412638</v>
          </cell>
          <cell r="AQ20">
            <v>-0.51302588288103967</v>
          </cell>
          <cell r="AR20">
            <v>-0.51302588288103967</v>
          </cell>
          <cell r="AS20">
            <v>-0.51302588288103967</v>
          </cell>
          <cell r="AT20">
            <v>-7.589667725691332E-2</v>
          </cell>
          <cell r="AU20">
            <v>-7.589667725691332E-2</v>
          </cell>
          <cell r="AV20">
            <v>-7.589667725691332E-2</v>
          </cell>
          <cell r="AW20">
            <v>-7.589667725691332E-2</v>
          </cell>
          <cell r="AX20">
            <v>-7.589667725691332E-2</v>
          </cell>
          <cell r="AY20">
            <v>-7.589667725691332E-2</v>
          </cell>
          <cell r="AZ20">
            <v>-7.589667725691332E-2</v>
          </cell>
          <cell r="BA20">
            <v>-7.589667725691332E-2</v>
          </cell>
          <cell r="BB20">
            <v>-7.589667725691332E-2</v>
          </cell>
          <cell r="BC20">
            <v>-7.589667725691332E-2</v>
          </cell>
          <cell r="BD20">
            <v>-7.589667725691332E-2</v>
          </cell>
          <cell r="BE20">
            <v>-7.589667725691332E-2</v>
          </cell>
          <cell r="BF20">
            <v>0</v>
          </cell>
          <cell r="BG20">
            <v>0</v>
          </cell>
          <cell r="BH20">
            <v>0</v>
          </cell>
        </row>
        <row r="21">
          <cell r="B21">
            <v>-34.09973597768068</v>
          </cell>
          <cell r="D21">
            <v>-0.5115083765263887</v>
          </cell>
          <cell r="E21">
            <v>-0.5115083765263887</v>
          </cell>
          <cell r="F21">
            <v>-0.48185599409348151</v>
          </cell>
          <cell r="G21">
            <v>-0.48185599409348151</v>
          </cell>
          <cell r="H21">
            <v>-0.48185599409348151</v>
          </cell>
          <cell r="I21">
            <v>-0.48185599409348151</v>
          </cell>
          <cell r="J21">
            <v>-0.48185599409348151</v>
          </cell>
          <cell r="K21">
            <v>-0.48185599409348151</v>
          </cell>
          <cell r="L21">
            <v>-0.48185599409348151</v>
          </cell>
          <cell r="M21">
            <v>-0.48185599409348151</v>
          </cell>
          <cell r="N21">
            <v>-0.48185599409348151</v>
          </cell>
          <cell r="O21">
            <v>-0.48185599409348151</v>
          </cell>
          <cell r="P21">
            <v>-0.9907647725979678</v>
          </cell>
          <cell r="Q21">
            <v>-0.9907647725979678</v>
          </cell>
          <cell r="R21">
            <v>-0.93332967028813985</v>
          </cell>
          <cell r="S21">
            <v>-0.93332967028813985</v>
          </cell>
          <cell r="T21">
            <v>-0.93332967028813985</v>
          </cell>
          <cell r="U21">
            <v>-0.93332967028813985</v>
          </cell>
          <cell r="V21">
            <v>-0.93332967028813985</v>
          </cell>
          <cell r="W21">
            <v>-0.93332967028813985</v>
          </cell>
          <cell r="X21">
            <v>-0.93332967028813985</v>
          </cell>
          <cell r="Y21">
            <v>-1.346329735989237</v>
          </cell>
          <cell r="Z21">
            <v>-1.346329735989237</v>
          </cell>
          <cell r="AA21">
            <v>-1.3223879269104704</v>
          </cell>
          <cell r="AB21">
            <v>-0.38905825662233057</v>
          </cell>
          <cell r="AC21">
            <v>-0.38905825662233057</v>
          </cell>
          <cell r="AD21">
            <v>-0.38905825662233057</v>
          </cell>
          <cell r="AE21">
            <v>-0.38905825662233057</v>
          </cell>
          <cell r="AF21">
            <v>-0.38905825662233057</v>
          </cell>
          <cell r="AG21">
            <v>-0.38905825662233057</v>
          </cell>
          <cell r="AH21">
            <v>-1.2750727942339595</v>
          </cell>
          <cell r="AI21">
            <v>-1.2750727942339595</v>
          </cell>
          <cell r="AJ21">
            <v>-1.2237101125731247</v>
          </cell>
          <cell r="AK21">
            <v>-0.83465185595079405</v>
          </cell>
          <cell r="AL21">
            <v>-0.83465185595079405</v>
          </cell>
          <cell r="AM21">
            <v>-0.83465185595079405</v>
          </cell>
          <cell r="AN21">
            <v>-0.83465185595079405</v>
          </cell>
          <cell r="AO21">
            <v>-0.83465185595079405</v>
          </cell>
          <cell r="AP21">
            <v>-0.83465185595079405</v>
          </cell>
          <cell r="AQ21">
            <v>-0.97519870283473264</v>
          </cell>
          <cell r="AR21">
            <v>-0.97519870283473264</v>
          </cell>
          <cell r="AS21">
            <v>-0.97519870283473264</v>
          </cell>
          <cell r="AT21">
            <v>-0.14054684688393859</v>
          </cell>
          <cell r="AU21">
            <v>-0.14054684688393859</v>
          </cell>
          <cell r="AV21">
            <v>-0.14054684688393859</v>
          </cell>
          <cell r="AW21">
            <v>-0.14054684688393859</v>
          </cell>
          <cell r="AX21">
            <v>-0.14054684688393859</v>
          </cell>
          <cell r="AY21">
            <v>-0.14054684688393859</v>
          </cell>
          <cell r="AZ21">
            <v>-0.14054684688393859</v>
          </cell>
          <cell r="BA21">
            <v>-0.14054684688393859</v>
          </cell>
          <cell r="BB21">
            <v>-0.14054684688393859</v>
          </cell>
          <cell r="BC21">
            <v>-0.14054684688393859</v>
          </cell>
          <cell r="BD21">
            <v>-0.14054684688393859</v>
          </cell>
          <cell r="BE21">
            <v>-0.14054684688393859</v>
          </cell>
          <cell r="BF21">
            <v>0</v>
          </cell>
          <cell r="BG21">
            <v>0</v>
          </cell>
          <cell r="BH21">
            <v>0</v>
          </cell>
        </row>
        <row r="22">
          <cell r="B22">
            <v>-24.942860386226911</v>
          </cell>
          <cell r="D22">
            <v>-0.42729255149933798</v>
          </cell>
          <cell r="E22">
            <v>-0.42729255149933798</v>
          </cell>
          <cell r="F22">
            <v>-0.34183404119947036</v>
          </cell>
          <cell r="G22">
            <v>-0.34183404119947036</v>
          </cell>
          <cell r="H22">
            <v>-0.34183404119947036</v>
          </cell>
          <cell r="I22">
            <v>-0.34183404119947036</v>
          </cell>
          <cell r="J22">
            <v>-0.34183404119947036</v>
          </cell>
          <cell r="K22">
            <v>-0.34183404119947036</v>
          </cell>
          <cell r="L22">
            <v>-0.34183404119947036</v>
          </cell>
          <cell r="M22">
            <v>-0.34183404119947036</v>
          </cell>
          <cell r="N22">
            <v>-0.34183404119947036</v>
          </cell>
          <cell r="O22">
            <v>-0.34183404119947036</v>
          </cell>
          <cell r="P22">
            <v>-0.82764315707585812</v>
          </cell>
          <cell r="Q22">
            <v>-0.82764315707585812</v>
          </cell>
          <cell r="R22">
            <v>-0.66211452566068651</v>
          </cell>
          <cell r="S22">
            <v>-0.66211452566068651</v>
          </cell>
          <cell r="T22">
            <v>-0.66211452566068651</v>
          </cell>
          <cell r="U22">
            <v>-0.66211452566068651</v>
          </cell>
          <cell r="V22">
            <v>-0.66211452566068651</v>
          </cell>
          <cell r="W22">
            <v>-0.66211452566068651</v>
          </cell>
          <cell r="X22">
            <v>-0.66211452566068651</v>
          </cell>
          <cell r="Y22">
            <v>-1.0071173837589682</v>
          </cell>
          <cell r="Z22">
            <v>-1.0071173837589682</v>
          </cell>
          <cell r="AA22">
            <v>-0.93811681213931175</v>
          </cell>
          <cell r="AB22">
            <v>-0.27600228647862524</v>
          </cell>
          <cell r="AC22">
            <v>-0.27600228647862524</v>
          </cell>
          <cell r="AD22">
            <v>-0.27600228647862524</v>
          </cell>
          <cell r="AE22">
            <v>-0.27600228647862524</v>
          </cell>
          <cell r="AF22">
            <v>-0.27600228647862524</v>
          </cell>
          <cell r="AG22">
            <v>-0.27600228647862524</v>
          </cell>
          <cell r="AH22">
            <v>-1.0161415096376576</v>
          </cell>
          <cell r="AI22">
            <v>-1.0161415096376576</v>
          </cell>
          <cell r="AJ22">
            <v>-0.86811366500585097</v>
          </cell>
          <cell r="AK22">
            <v>-0.59211137852722573</v>
          </cell>
          <cell r="AL22">
            <v>-0.59211137852722573</v>
          </cell>
          <cell r="AM22">
            <v>-0.59211137852722573</v>
          </cell>
          <cell r="AN22">
            <v>-0.59211137852722573</v>
          </cell>
          <cell r="AO22">
            <v>-0.59211137852722573</v>
          </cell>
          <cell r="AP22">
            <v>-0.59211137852722573</v>
          </cell>
          <cell r="AQ22">
            <v>-0.69491687772068111</v>
          </cell>
          <cell r="AR22">
            <v>-0.69491687772068111</v>
          </cell>
          <cell r="AS22">
            <v>-0.69491687772068111</v>
          </cell>
          <cell r="AT22">
            <v>-0.10280549919345533</v>
          </cell>
          <cell r="AU22">
            <v>-0.10280549919345533</v>
          </cell>
          <cell r="AV22">
            <v>-0.10280549919345533</v>
          </cell>
          <cell r="AW22">
            <v>-0.10280549919345533</v>
          </cell>
          <cell r="AX22">
            <v>-0.10280549919345533</v>
          </cell>
          <cell r="AY22">
            <v>-0.10280549919345533</v>
          </cell>
          <cell r="AZ22">
            <v>-0.10280549919345533</v>
          </cell>
          <cell r="BA22">
            <v>-0.10280549919345533</v>
          </cell>
          <cell r="BB22">
            <v>-0.10280549919345533</v>
          </cell>
          <cell r="BC22">
            <v>-0.10280549919345533</v>
          </cell>
          <cell r="BD22">
            <v>-0.10280549919345533</v>
          </cell>
          <cell r="BE22">
            <v>-0.10280549919345533</v>
          </cell>
          <cell r="BF22">
            <v>0</v>
          </cell>
          <cell r="BG22">
            <v>0</v>
          </cell>
          <cell r="BH22">
            <v>0</v>
          </cell>
        </row>
        <row r="23">
          <cell r="B23">
            <v>-18.221680221750354</v>
          </cell>
          <cell r="D23">
            <v>-0.2973363493151433</v>
          </cell>
          <cell r="E23">
            <v>-0.27367753354420682</v>
          </cell>
          <cell r="F23">
            <v>-0.25505159312817866</v>
          </cell>
          <cell r="G23">
            <v>-0.25505159312817866</v>
          </cell>
          <cell r="H23">
            <v>-0.25505159312817866</v>
          </cell>
          <cell r="I23">
            <v>-0.25505159312817866</v>
          </cell>
          <cell r="J23">
            <v>-0.25505159312817866</v>
          </cell>
          <cell r="K23">
            <v>-0.25505159312817866</v>
          </cell>
          <cell r="L23">
            <v>-0.25505159312817866</v>
          </cell>
          <cell r="M23">
            <v>-0.25505159312817866</v>
          </cell>
          <cell r="N23">
            <v>-0.25505159312817866</v>
          </cell>
          <cell r="O23">
            <v>-0.25505159312817866</v>
          </cell>
          <cell r="P23">
            <v>-0.57592484118220499</v>
          </cell>
          <cell r="Q23">
            <v>-0.53009896167968262</v>
          </cell>
          <cell r="R23">
            <v>-0.49402149654406052</v>
          </cell>
          <cell r="S23">
            <v>-0.49402149654406052</v>
          </cell>
          <cell r="T23">
            <v>-0.49402149654406052</v>
          </cell>
          <cell r="U23">
            <v>-0.49402149654406052</v>
          </cell>
          <cell r="V23">
            <v>-0.49402149654406052</v>
          </cell>
          <cell r="W23">
            <v>-0.49402149654406052</v>
          </cell>
          <cell r="X23">
            <v>-0.49402149654406052</v>
          </cell>
          <cell r="Y23">
            <v>-0.73409563303504588</v>
          </cell>
          <cell r="Z23">
            <v>-0.7149931257913491</v>
          </cell>
          <cell r="AA23">
            <v>-0.69995424281585694</v>
          </cell>
          <cell r="AB23">
            <v>-0.20593274627179642</v>
          </cell>
          <cell r="AC23">
            <v>-0.20593274627179642</v>
          </cell>
          <cell r="AD23">
            <v>-0.20593274627179642</v>
          </cell>
          <cell r="AE23">
            <v>-0.20593274627179642</v>
          </cell>
          <cell r="AF23">
            <v>-0.20593274627179642</v>
          </cell>
          <cell r="AG23">
            <v>-0.20593274627179642</v>
          </cell>
          <cell r="AH23">
            <v>-0.72096698645885904</v>
          </cell>
          <cell r="AI23">
            <v>-0.67998612343159703</v>
          </cell>
          <cell r="AJ23">
            <v>-0.64772300763013457</v>
          </cell>
          <cell r="AK23">
            <v>-0.44179026135833815</v>
          </cell>
          <cell r="AL23">
            <v>-0.44179026135833815</v>
          </cell>
          <cell r="AM23">
            <v>-0.44179026135833815</v>
          </cell>
          <cell r="AN23">
            <v>-0.44179026135833815</v>
          </cell>
          <cell r="AO23">
            <v>-0.44179026135833815</v>
          </cell>
          <cell r="AP23">
            <v>-0.44179026135833815</v>
          </cell>
          <cell r="AQ23">
            <v>-0.52517311087195617</v>
          </cell>
          <cell r="AR23">
            <v>-0.51702284268925347</v>
          </cell>
          <cell r="AS23">
            <v>-0.51624662667185328</v>
          </cell>
          <cell r="AT23">
            <v>-7.4456365313515099E-2</v>
          </cell>
          <cell r="AU23">
            <v>-7.4456365313515099E-2</v>
          </cell>
          <cell r="AV23">
            <v>-7.4456365313515099E-2</v>
          </cell>
          <cell r="AW23">
            <v>-7.4456365313515099E-2</v>
          </cell>
          <cell r="AX23">
            <v>-7.4456365313515099E-2</v>
          </cell>
          <cell r="AY23">
            <v>-7.4456365313515099E-2</v>
          </cell>
          <cell r="AZ23">
            <v>-7.4456365313515099E-2</v>
          </cell>
          <cell r="BA23">
            <v>-7.4456365313515099E-2</v>
          </cell>
          <cell r="BB23">
            <v>-7.4456365313515099E-2</v>
          </cell>
          <cell r="BC23">
            <v>-7.4456365313515099E-2</v>
          </cell>
          <cell r="BD23">
            <v>-7.4456365313515099E-2</v>
          </cell>
          <cell r="BE23">
            <v>-7.4456365313515099E-2</v>
          </cell>
          <cell r="BF23">
            <v>0</v>
          </cell>
          <cell r="BG23">
            <v>0</v>
          </cell>
          <cell r="BH23">
            <v>0</v>
          </cell>
        </row>
        <row r="25">
          <cell r="B25">
            <v>-0.70932943880749988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-2.4302841058999998E-2</v>
          </cell>
          <cell r="L25">
            <v>-2.4302841058999998E-2</v>
          </cell>
          <cell r="M25">
            <v>-2.4302841058999998E-2</v>
          </cell>
          <cell r="N25">
            <v>-2.4302841058999998E-2</v>
          </cell>
          <cell r="O25">
            <v>-2.4302841058999998E-2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-4.7073322550099994E-2</v>
          </cell>
          <cell r="X25">
            <v>-4.7073322550099994E-2</v>
          </cell>
          <cell r="Y25">
            <v>-4.7073322550099994E-2</v>
          </cell>
          <cell r="Z25">
            <v>-4.7073322550099994E-2</v>
          </cell>
          <cell r="AA25">
            <v>-4.7073322550099994E-2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-1.9622503588799998E-2</v>
          </cell>
          <cell r="AG25">
            <v>-1.9622503588799998E-2</v>
          </cell>
          <cell r="AH25">
            <v>-1.9622503588799998E-2</v>
          </cell>
          <cell r="AI25">
            <v>-1.9622503588799998E-2</v>
          </cell>
          <cell r="AJ25">
            <v>-1.9622503588799998E-2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-4.2096418107099999E-2</v>
          </cell>
          <cell r="AP25">
            <v>-4.2096418107099999E-2</v>
          </cell>
          <cell r="AQ25">
            <v>-4.2096418107099999E-2</v>
          </cell>
          <cell r="AR25">
            <v>-4.2096418107099999E-2</v>
          </cell>
          <cell r="AS25">
            <v>-4.2096418107099999E-2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-8.7708024565000004E-3</v>
          </cell>
          <cell r="BB25">
            <v>-8.7708024565000004E-3</v>
          </cell>
          <cell r="BC25">
            <v>-8.7708024565000004E-3</v>
          </cell>
          <cell r="BD25">
            <v>-8.7708024565000004E-3</v>
          </cell>
          <cell r="BE25">
            <v>-8.7708024565000004E-3</v>
          </cell>
          <cell r="BF25">
            <v>0</v>
          </cell>
          <cell r="BG25">
            <v>0</v>
          </cell>
          <cell r="BH25">
            <v>0</v>
          </cell>
        </row>
        <row r="26">
          <cell r="B26">
            <v>-5.7297434223802499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-1.0462373075899498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-2.0265065357818051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-0.84474877949784011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-1.8122507995106552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</row>
        <row r="30">
          <cell r="B30">
            <v>-7.1625106833256815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-7.1625106833256815</v>
          </cell>
        </row>
        <row r="31">
          <cell r="B31">
            <v>-2.1240031680815004</v>
          </cell>
          <cell r="D31">
            <v>-2.1240031680815004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</sheetData>
      <sheetData sheetId="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1.5693559613849248</v>
          </cell>
          <cell r="K10">
            <v>1.5693559613849248</v>
          </cell>
          <cell r="L10">
            <v>1.5693559613849248</v>
          </cell>
          <cell r="M10">
            <v>1.5693559613849248</v>
          </cell>
          <cell r="N10">
            <v>4.6875835631268785</v>
          </cell>
          <cell r="O10">
            <v>4.6875835631268785</v>
          </cell>
          <cell r="P10">
            <v>4.6875835631268785</v>
          </cell>
          <cell r="Q10">
            <v>5.9547067323736389</v>
          </cell>
          <cell r="R10">
            <v>6.1890859105299825</v>
          </cell>
          <cell r="S10">
            <v>6.1890859105299825</v>
          </cell>
          <cell r="T10">
            <v>8.907462109795965</v>
          </cell>
          <cell r="U10">
            <v>8.970818268258304</v>
          </cell>
          <cell r="V10">
            <v>9.2169164053224648</v>
          </cell>
          <cell r="W10">
            <v>9.783290973950951</v>
          </cell>
          <cell r="X10">
            <v>9.9192097839142512</v>
          </cell>
          <cell r="Y10">
            <v>9.9857337502997066</v>
          </cell>
          <cell r="Z10">
            <v>10.244136794217077</v>
          </cell>
          <cell r="AA10">
            <v>10.272455522648501</v>
          </cell>
          <cell r="AB10">
            <v>10.415170273109965</v>
          </cell>
          <cell r="AC10">
            <v>10.485020437814693</v>
          </cell>
          <cell r="AD10">
            <v>10.756343633927932</v>
          </cell>
          <cell r="AE10">
            <v>10.786078298780925</v>
          </cell>
          <cell r="AF10">
            <v>10.935928786765464</v>
          </cell>
          <cell r="AG10">
            <v>11.009271459705428</v>
          </cell>
          <cell r="AH10">
            <v>11.29416081562433</v>
          </cell>
          <cell r="AI10">
            <v>11.325382213719974</v>
          </cell>
          <cell r="AJ10">
            <v>11.482725226103739</v>
          </cell>
          <cell r="AK10">
            <v>11.5597350326907</v>
          </cell>
          <cell r="AL10">
            <v>11.858868856405545</v>
          </cell>
          <cell r="AM10">
            <v>11.891651324405972</v>
          </cell>
          <cell r="AN10">
            <v>12.056861487408927</v>
          </cell>
          <cell r="AO10">
            <v>12.137721784325237</v>
          </cell>
          <cell r="AP10">
            <v>12.451812299225825</v>
          </cell>
          <cell r="AQ10">
            <v>12.486233890626272</v>
          </cell>
          <cell r="AR10">
            <v>12.659704561779373</v>
          </cell>
          <cell r="AS10">
            <v>12.744607873541497</v>
          </cell>
          <cell r="AT10">
            <v>13.074402914187111</v>
          </cell>
          <cell r="AU10">
            <v>13.110545585157583</v>
          </cell>
          <cell r="AV10">
            <v>13.292689789868341</v>
          </cell>
          <cell r="AW10">
            <v>13.381838267218571</v>
          </cell>
          <cell r="AX10">
            <v>13.728123059896472</v>
          </cell>
          <cell r="AY10">
            <v>13.766072864415467</v>
          </cell>
          <cell r="AZ10">
            <v>13.957324279361757</v>
          </cell>
          <cell r="BA10">
            <v>14.050930180579501</v>
          </cell>
          <cell r="BB10">
            <v>14.414529212891294</v>
          </cell>
          <cell r="BC10">
            <v>14.45437650763624</v>
          </cell>
          <cell r="BD10">
            <v>14.655190493329846</v>
          </cell>
          <cell r="BE10">
            <v>14.75347668960848</v>
          </cell>
          <cell r="BF10">
            <v>15.135255673535863</v>
          </cell>
          <cell r="BG10">
            <v>15.177095333018054</v>
          </cell>
          <cell r="BH10">
            <v>15.387950017996342</v>
          </cell>
          <cell r="BI10">
            <v>15.491150524088905</v>
          </cell>
          <cell r="BJ10">
            <v>15.892018457212654</v>
          </cell>
          <cell r="BK10">
            <v>15.935950099668958</v>
          </cell>
          <cell r="BL10">
            <v>16.157347518896159</v>
          </cell>
          <cell r="BM10">
            <v>16.265708050293352</v>
          </cell>
          <cell r="BN10">
            <v>16.686619380073289</v>
          </cell>
          <cell r="BO10">
            <v>16.732747604652403</v>
          </cell>
          <cell r="BP10">
            <v>16.965214894840969</v>
          </cell>
          <cell r="BQ10">
            <v>17.078993452808017</v>
          </cell>
          <cell r="BR10">
            <v>17.520950349076955</v>
          </cell>
          <cell r="BS10">
            <v>17.569384984885026</v>
          </cell>
          <cell r="BT10">
            <v>17.813475639583018</v>
          </cell>
          <cell r="BU10">
            <v>17.932943125448425</v>
          </cell>
          <cell r="BV10">
            <v>18.396997866530803</v>
          </cell>
          <cell r="BW10">
            <v>18.447854234129274</v>
          </cell>
          <cell r="BX10">
            <v>18.704149421562164</v>
          </cell>
          <cell r="BY10">
            <v>18.82959028172084</v>
          </cell>
          <cell r="BZ10">
            <v>19.316847759857342</v>
          </cell>
          <cell r="CA10">
            <v>19.370246945835746</v>
          </cell>
          <cell r="CB10">
            <v>19.639356892640279</v>
          </cell>
          <cell r="CC10">
            <v>19.771069795806888</v>
          </cell>
          <cell r="CD10">
            <v>20.282690147850211</v>
          </cell>
          <cell r="CE10">
            <v>20.338759293127531</v>
          </cell>
          <cell r="CF10">
            <v>20.621324737272293</v>
          </cell>
          <cell r="CG10">
            <v>20.759623285597229</v>
          </cell>
          <cell r="CH10">
            <v>21.296824655242723</v>
          </cell>
        </row>
        <row r="32">
          <cell r="D32">
            <v>-0.28751019926803567</v>
          </cell>
          <cell r="E32">
            <v>-0.72462361283612342</v>
          </cell>
          <cell r="F32">
            <v>-1.157212096645261</v>
          </cell>
          <cell r="G32">
            <v>-1.5060570186986002</v>
          </cell>
          <cell r="H32">
            <v>-1.8995329057311201</v>
          </cell>
          <cell r="I32">
            <v>-2.3823699797082449</v>
          </cell>
          <cell r="J32">
            <v>-2.8741815208721286</v>
          </cell>
          <cell r="K32">
            <v>-3.4683111129197073</v>
          </cell>
          <cell r="L32">
            <v>-3.9305274903663117</v>
          </cell>
          <cell r="M32">
            <v>-4.1695660178510519</v>
          </cell>
          <cell r="N32">
            <v>-4.6570278833811054</v>
          </cell>
          <cell r="O32">
            <v>-5.2264309894073282</v>
          </cell>
          <cell r="P32">
            <v>-5.6968699317155114</v>
          </cell>
          <cell r="Q32">
            <v>-6.2199222670415475</v>
          </cell>
          <cell r="R32">
            <v>-6.5738229565469766</v>
          </cell>
          <cell r="S32">
            <v>-6.7282897590217612</v>
          </cell>
          <cell r="T32">
            <v>-6.9048195673495218</v>
          </cell>
          <cell r="U32">
            <v>-7.07036807300058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59"/>
  <sheetViews>
    <sheetView tabSelected="1" topLeftCell="A11" zoomScale="85" zoomScaleNormal="85" workbookViewId="0">
      <selection activeCell="F21" sqref="F21"/>
    </sheetView>
  </sheetViews>
  <sheetFormatPr defaultRowHeight="15" x14ac:dyDescent="0.25"/>
  <cols>
    <col min="1" max="1" width="15.28515625" bestFit="1" customWidth="1"/>
    <col min="2" max="2" width="10.5703125" bestFit="1" customWidth="1"/>
    <col min="3" max="3" width="47.7109375" bestFit="1" customWidth="1"/>
    <col min="4" max="4" width="9.7109375" customWidth="1"/>
    <col min="5" max="5" width="15.140625" customWidth="1"/>
    <col min="6" max="50" width="10.42578125" customWidth="1"/>
    <col min="51" max="53" width="9.85546875" customWidth="1"/>
    <col min="54" max="55" width="10.85546875" customWidth="1"/>
    <col min="56" max="62" width="10.85546875" bestFit="1" customWidth="1"/>
    <col min="63" max="67" width="10.5703125" bestFit="1" customWidth="1"/>
  </cols>
  <sheetData>
    <row r="1" spans="1:68" x14ac:dyDescent="0.25">
      <c r="C1" t="s">
        <v>27</v>
      </c>
      <c r="E1">
        <v>365</v>
      </c>
      <c r="F1">
        <f t="shared" ref="F1:AX1" si="0">F5-E5</f>
        <v>365</v>
      </c>
      <c r="G1">
        <f t="shared" si="0"/>
        <v>365</v>
      </c>
      <c r="H1">
        <f t="shared" si="0"/>
        <v>366</v>
      </c>
      <c r="I1">
        <f t="shared" si="0"/>
        <v>275</v>
      </c>
      <c r="J1" t="s">
        <v>76</v>
      </c>
      <c r="K1">
        <f>K5-I5</f>
        <v>455</v>
      </c>
      <c r="L1">
        <f t="shared" si="0"/>
        <v>365</v>
      </c>
      <c r="M1">
        <f t="shared" si="0"/>
        <v>366</v>
      </c>
      <c r="N1">
        <f t="shared" si="0"/>
        <v>365</v>
      </c>
      <c r="O1">
        <f t="shared" si="0"/>
        <v>365</v>
      </c>
      <c r="P1">
        <f t="shared" si="0"/>
        <v>365</v>
      </c>
      <c r="Q1">
        <f t="shared" si="0"/>
        <v>366</v>
      </c>
      <c r="R1">
        <f t="shared" si="0"/>
        <v>365</v>
      </c>
      <c r="S1">
        <f t="shared" si="0"/>
        <v>365</v>
      </c>
      <c r="T1">
        <f t="shared" si="0"/>
        <v>365</v>
      </c>
      <c r="U1">
        <f t="shared" si="0"/>
        <v>366</v>
      </c>
      <c r="V1">
        <f t="shared" si="0"/>
        <v>365</v>
      </c>
      <c r="W1">
        <f t="shared" si="0"/>
        <v>365</v>
      </c>
      <c r="X1">
        <f t="shared" si="0"/>
        <v>365</v>
      </c>
      <c r="Y1">
        <f t="shared" si="0"/>
        <v>366</v>
      </c>
      <c r="Z1">
        <f t="shared" si="0"/>
        <v>365</v>
      </c>
      <c r="AA1">
        <f t="shared" si="0"/>
        <v>365</v>
      </c>
      <c r="AB1">
        <f t="shared" si="0"/>
        <v>365</v>
      </c>
      <c r="AC1">
        <f t="shared" si="0"/>
        <v>366</v>
      </c>
      <c r="AD1">
        <f t="shared" si="0"/>
        <v>365</v>
      </c>
      <c r="AE1">
        <f t="shared" si="0"/>
        <v>365</v>
      </c>
      <c r="AF1">
        <f t="shared" si="0"/>
        <v>365</v>
      </c>
      <c r="AG1">
        <f t="shared" si="0"/>
        <v>366</v>
      </c>
      <c r="AH1">
        <f t="shared" si="0"/>
        <v>365</v>
      </c>
      <c r="AI1">
        <f t="shared" si="0"/>
        <v>365</v>
      </c>
      <c r="AJ1">
        <f t="shared" si="0"/>
        <v>365</v>
      </c>
      <c r="AK1">
        <f t="shared" si="0"/>
        <v>366</v>
      </c>
      <c r="AL1">
        <f t="shared" si="0"/>
        <v>365</v>
      </c>
      <c r="AM1">
        <f t="shared" si="0"/>
        <v>365</v>
      </c>
      <c r="AN1">
        <f t="shared" si="0"/>
        <v>365</v>
      </c>
      <c r="AO1">
        <f t="shared" si="0"/>
        <v>366</v>
      </c>
      <c r="AP1">
        <f t="shared" si="0"/>
        <v>365</v>
      </c>
      <c r="AQ1">
        <f t="shared" si="0"/>
        <v>365</v>
      </c>
      <c r="AR1">
        <f t="shared" si="0"/>
        <v>365</v>
      </c>
      <c r="AS1">
        <f t="shared" si="0"/>
        <v>366</v>
      </c>
      <c r="AT1">
        <f t="shared" si="0"/>
        <v>365</v>
      </c>
      <c r="AU1">
        <f t="shared" si="0"/>
        <v>365</v>
      </c>
      <c r="AV1">
        <f t="shared" si="0"/>
        <v>365</v>
      </c>
      <c r="AW1">
        <f t="shared" si="0"/>
        <v>366</v>
      </c>
      <c r="AX1">
        <f t="shared" si="0"/>
        <v>365</v>
      </c>
      <c r="AY1">
        <f t="shared" ref="AY1:BO1" si="1">AY5-AX5</f>
        <v>365</v>
      </c>
      <c r="AZ1">
        <f t="shared" si="1"/>
        <v>365</v>
      </c>
      <c r="BA1">
        <f t="shared" si="1"/>
        <v>366</v>
      </c>
      <c r="BB1">
        <f t="shared" si="1"/>
        <v>365</v>
      </c>
      <c r="BC1">
        <f t="shared" si="1"/>
        <v>365</v>
      </c>
      <c r="BD1">
        <f t="shared" si="1"/>
        <v>365</v>
      </c>
      <c r="BE1">
        <f t="shared" si="1"/>
        <v>366</v>
      </c>
      <c r="BF1">
        <f t="shared" si="1"/>
        <v>365</v>
      </c>
      <c r="BG1">
        <f t="shared" si="1"/>
        <v>365</v>
      </c>
      <c r="BH1">
        <f t="shared" si="1"/>
        <v>365</v>
      </c>
      <c r="BI1">
        <f t="shared" si="1"/>
        <v>366</v>
      </c>
      <c r="BJ1">
        <f t="shared" si="1"/>
        <v>365</v>
      </c>
      <c r="BK1">
        <f t="shared" si="1"/>
        <v>365</v>
      </c>
      <c r="BL1">
        <f t="shared" si="1"/>
        <v>365</v>
      </c>
      <c r="BM1">
        <f t="shared" si="1"/>
        <v>366</v>
      </c>
      <c r="BN1">
        <f t="shared" si="1"/>
        <v>365</v>
      </c>
      <c r="BO1">
        <f t="shared" si="1"/>
        <v>-14610</v>
      </c>
    </row>
    <row r="2" spans="1:68" x14ac:dyDescent="0.25">
      <c r="A2" t="s">
        <v>3</v>
      </c>
      <c r="B2" s="3">
        <f>EDATE(B3,180)</f>
        <v>53052</v>
      </c>
      <c r="C2" t="s">
        <v>1</v>
      </c>
      <c r="E2">
        <v>288</v>
      </c>
      <c r="F2">
        <f t="shared" ref="F2:AX2" si="2">IF(F5&lt;=$B$2,(F5-E5),($B$2-E5))</f>
        <v>365</v>
      </c>
      <c r="G2">
        <f t="shared" si="2"/>
        <v>365</v>
      </c>
      <c r="H2">
        <f t="shared" si="2"/>
        <v>366</v>
      </c>
      <c r="I2">
        <f t="shared" si="2"/>
        <v>275</v>
      </c>
      <c r="K2">
        <f>IF(K5&lt;=$B$2,(K5-I5),($B$2-I5))</f>
        <v>455</v>
      </c>
      <c r="L2">
        <f t="shared" si="2"/>
        <v>365</v>
      </c>
      <c r="M2">
        <f t="shared" si="2"/>
        <v>366</v>
      </c>
      <c r="N2">
        <f t="shared" si="2"/>
        <v>365</v>
      </c>
      <c r="O2">
        <f t="shared" si="2"/>
        <v>365</v>
      </c>
      <c r="P2">
        <f t="shared" si="2"/>
        <v>365</v>
      </c>
      <c r="Q2">
        <f t="shared" si="2"/>
        <v>366</v>
      </c>
      <c r="R2">
        <f t="shared" si="2"/>
        <v>365</v>
      </c>
      <c r="S2">
        <f t="shared" si="2"/>
        <v>365</v>
      </c>
      <c r="T2">
        <f t="shared" si="2"/>
        <v>365</v>
      </c>
      <c r="U2">
        <f t="shared" si="2"/>
        <v>366</v>
      </c>
      <c r="V2">
        <f t="shared" si="2"/>
        <v>365</v>
      </c>
      <c r="W2">
        <f t="shared" si="2"/>
        <v>365</v>
      </c>
      <c r="X2">
        <f t="shared" si="2"/>
        <v>365</v>
      </c>
      <c r="Y2">
        <f t="shared" si="2"/>
        <v>366</v>
      </c>
      <c r="Z2">
        <f t="shared" si="2"/>
        <v>365</v>
      </c>
      <c r="AA2">
        <f t="shared" si="2"/>
        <v>0</v>
      </c>
      <c r="AB2">
        <f t="shared" si="2"/>
        <v>-365</v>
      </c>
      <c r="AC2">
        <f t="shared" si="2"/>
        <v>-730</v>
      </c>
      <c r="AD2">
        <f t="shared" si="2"/>
        <v>-1096</v>
      </c>
      <c r="AE2">
        <f t="shared" si="2"/>
        <v>-1461</v>
      </c>
      <c r="AF2">
        <f t="shared" si="2"/>
        <v>-1826</v>
      </c>
      <c r="AG2">
        <f t="shared" si="2"/>
        <v>-2191</v>
      </c>
      <c r="AH2">
        <f t="shared" si="2"/>
        <v>-2557</v>
      </c>
      <c r="AI2">
        <f t="shared" si="2"/>
        <v>-2922</v>
      </c>
      <c r="AJ2">
        <f t="shared" si="2"/>
        <v>-3287</v>
      </c>
      <c r="AK2">
        <f t="shared" si="2"/>
        <v>-3652</v>
      </c>
      <c r="AL2">
        <f t="shared" si="2"/>
        <v>-4018</v>
      </c>
      <c r="AM2">
        <f t="shared" si="2"/>
        <v>-4383</v>
      </c>
      <c r="AN2">
        <f t="shared" si="2"/>
        <v>-4748</v>
      </c>
      <c r="AO2">
        <f t="shared" si="2"/>
        <v>-5113</v>
      </c>
      <c r="AP2">
        <f t="shared" si="2"/>
        <v>-5479</v>
      </c>
      <c r="AQ2">
        <f t="shared" si="2"/>
        <v>-5844</v>
      </c>
      <c r="AR2">
        <f t="shared" si="2"/>
        <v>-6209</v>
      </c>
      <c r="AS2">
        <f t="shared" si="2"/>
        <v>-6574</v>
      </c>
      <c r="AT2">
        <f t="shared" si="2"/>
        <v>-6940</v>
      </c>
      <c r="AU2">
        <f t="shared" si="2"/>
        <v>-7305</v>
      </c>
      <c r="AV2">
        <f t="shared" si="2"/>
        <v>-7670</v>
      </c>
      <c r="AW2">
        <f t="shared" si="2"/>
        <v>-8035</v>
      </c>
      <c r="AX2">
        <f t="shared" si="2"/>
        <v>-8401</v>
      </c>
      <c r="AY2">
        <f t="shared" ref="AY2:BO2" si="3">IF(AY5&lt;=$B$2,(AY5-AX5),($B$2-AX5))</f>
        <v>-8766</v>
      </c>
      <c r="AZ2">
        <f t="shared" si="3"/>
        <v>-9131</v>
      </c>
      <c r="BA2">
        <f t="shared" si="3"/>
        <v>-9496</v>
      </c>
      <c r="BB2">
        <f t="shared" si="3"/>
        <v>-9862</v>
      </c>
      <c r="BC2">
        <f t="shared" si="3"/>
        <v>-10227</v>
      </c>
      <c r="BD2">
        <f t="shared" si="3"/>
        <v>-10592</v>
      </c>
      <c r="BE2">
        <f t="shared" si="3"/>
        <v>-10957</v>
      </c>
      <c r="BF2">
        <f t="shared" si="3"/>
        <v>-11323</v>
      </c>
      <c r="BG2">
        <f t="shared" si="3"/>
        <v>-11688</v>
      </c>
      <c r="BH2">
        <f t="shared" si="3"/>
        <v>-12053</v>
      </c>
      <c r="BI2">
        <f t="shared" si="3"/>
        <v>-12418</v>
      </c>
      <c r="BJ2">
        <f t="shared" si="3"/>
        <v>-12784</v>
      </c>
      <c r="BK2">
        <f t="shared" si="3"/>
        <v>-13149</v>
      </c>
      <c r="BL2">
        <f t="shared" si="3"/>
        <v>-13514</v>
      </c>
      <c r="BM2">
        <f t="shared" si="3"/>
        <v>-13879</v>
      </c>
      <c r="BN2">
        <f t="shared" si="3"/>
        <v>-14245</v>
      </c>
      <c r="BO2">
        <f t="shared" si="3"/>
        <v>-14610</v>
      </c>
    </row>
    <row r="3" spans="1:68" x14ac:dyDescent="0.25">
      <c r="A3" t="s">
        <v>4</v>
      </c>
      <c r="B3" s="3">
        <f>K5</f>
        <v>47573</v>
      </c>
      <c r="C3" t="s">
        <v>0</v>
      </c>
      <c r="E3">
        <v>9</v>
      </c>
      <c r="F3">
        <f t="shared" ref="F3:AX3" si="4">E3+1</f>
        <v>10</v>
      </c>
      <c r="G3">
        <f t="shared" si="4"/>
        <v>11</v>
      </c>
      <c r="H3">
        <f t="shared" si="4"/>
        <v>12</v>
      </c>
      <c r="I3">
        <f t="shared" si="4"/>
        <v>13</v>
      </c>
      <c r="K3">
        <f>I3+1</f>
        <v>14</v>
      </c>
      <c r="L3">
        <f t="shared" si="4"/>
        <v>15</v>
      </c>
      <c r="M3">
        <f t="shared" si="4"/>
        <v>16</v>
      </c>
      <c r="N3">
        <f t="shared" si="4"/>
        <v>17</v>
      </c>
      <c r="O3">
        <f t="shared" si="4"/>
        <v>18</v>
      </c>
      <c r="P3">
        <f t="shared" si="4"/>
        <v>19</v>
      </c>
      <c r="Q3">
        <f t="shared" si="4"/>
        <v>20</v>
      </c>
      <c r="R3">
        <f t="shared" si="4"/>
        <v>21</v>
      </c>
      <c r="S3">
        <f t="shared" si="4"/>
        <v>22</v>
      </c>
      <c r="T3">
        <f t="shared" si="4"/>
        <v>23</v>
      </c>
      <c r="U3">
        <f t="shared" si="4"/>
        <v>24</v>
      </c>
      <c r="V3">
        <f t="shared" si="4"/>
        <v>25</v>
      </c>
      <c r="W3">
        <f t="shared" si="4"/>
        <v>26</v>
      </c>
      <c r="X3">
        <f t="shared" si="4"/>
        <v>27</v>
      </c>
      <c r="Y3">
        <f t="shared" si="4"/>
        <v>28</v>
      </c>
      <c r="Z3">
        <f t="shared" si="4"/>
        <v>29</v>
      </c>
      <c r="AA3">
        <f t="shared" si="4"/>
        <v>30</v>
      </c>
      <c r="AB3">
        <f t="shared" si="4"/>
        <v>31</v>
      </c>
      <c r="AC3">
        <f t="shared" si="4"/>
        <v>32</v>
      </c>
      <c r="AD3">
        <f t="shared" si="4"/>
        <v>33</v>
      </c>
      <c r="AE3">
        <f t="shared" si="4"/>
        <v>34</v>
      </c>
      <c r="AF3">
        <f t="shared" si="4"/>
        <v>35</v>
      </c>
      <c r="AG3">
        <f t="shared" si="4"/>
        <v>36</v>
      </c>
      <c r="AH3">
        <f t="shared" si="4"/>
        <v>37</v>
      </c>
      <c r="AI3">
        <f t="shared" si="4"/>
        <v>38</v>
      </c>
      <c r="AJ3">
        <f t="shared" si="4"/>
        <v>39</v>
      </c>
      <c r="AK3">
        <f t="shared" si="4"/>
        <v>40</v>
      </c>
      <c r="AL3">
        <f t="shared" si="4"/>
        <v>41</v>
      </c>
      <c r="AM3">
        <f t="shared" si="4"/>
        <v>42</v>
      </c>
      <c r="AN3">
        <f t="shared" si="4"/>
        <v>43</v>
      </c>
      <c r="AO3">
        <f t="shared" si="4"/>
        <v>44</v>
      </c>
      <c r="AP3">
        <f t="shared" si="4"/>
        <v>45</v>
      </c>
      <c r="AQ3">
        <f t="shared" si="4"/>
        <v>46</v>
      </c>
      <c r="AR3">
        <f t="shared" si="4"/>
        <v>47</v>
      </c>
      <c r="AS3">
        <f t="shared" si="4"/>
        <v>48</v>
      </c>
      <c r="AT3">
        <f t="shared" si="4"/>
        <v>49</v>
      </c>
      <c r="AU3">
        <f t="shared" si="4"/>
        <v>50</v>
      </c>
      <c r="AV3">
        <f t="shared" si="4"/>
        <v>51</v>
      </c>
      <c r="AW3">
        <f t="shared" si="4"/>
        <v>52</v>
      </c>
      <c r="AX3">
        <f t="shared" si="4"/>
        <v>53</v>
      </c>
      <c r="AY3">
        <f t="shared" ref="AY3:BO3" si="5">AX3+1</f>
        <v>54</v>
      </c>
      <c r="AZ3">
        <f t="shared" si="5"/>
        <v>55</v>
      </c>
      <c r="BA3">
        <f t="shared" si="5"/>
        <v>56</v>
      </c>
      <c r="BB3">
        <f t="shared" si="5"/>
        <v>57</v>
      </c>
      <c r="BC3">
        <f t="shared" si="5"/>
        <v>58</v>
      </c>
      <c r="BD3">
        <f t="shared" si="5"/>
        <v>59</v>
      </c>
      <c r="BE3">
        <f t="shared" si="5"/>
        <v>60</v>
      </c>
      <c r="BF3">
        <f t="shared" si="5"/>
        <v>61</v>
      </c>
      <c r="BG3">
        <f t="shared" si="5"/>
        <v>62</v>
      </c>
      <c r="BH3">
        <f t="shared" si="5"/>
        <v>63</v>
      </c>
      <c r="BI3">
        <f t="shared" si="5"/>
        <v>64</v>
      </c>
      <c r="BJ3">
        <f t="shared" si="5"/>
        <v>65</v>
      </c>
      <c r="BK3">
        <f t="shared" si="5"/>
        <v>66</v>
      </c>
      <c r="BL3">
        <f t="shared" si="5"/>
        <v>67</v>
      </c>
      <c r="BM3">
        <f t="shared" si="5"/>
        <v>68</v>
      </c>
      <c r="BN3">
        <f t="shared" si="5"/>
        <v>69</v>
      </c>
      <c r="BO3">
        <f t="shared" si="5"/>
        <v>70</v>
      </c>
    </row>
    <row r="4" spans="1:68" x14ac:dyDescent="0.25">
      <c r="A4" t="s">
        <v>6</v>
      </c>
      <c r="B4" s="3">
        <v>45459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68" x14ac:dyDescent="0.25">
      <c r="C5" s="6" t="s">
        <v>2</v>
      </c>
      <c r="D5" s="36" t="s">
        <v>33</v>
      </c>
      <c r="E5" s="7">
        <v>45747</v>
      </c>
      <c r="F5" s="7">
        <f t="shared" ref="F5:AW5" si="6">EDATE(E5,12)</f>
        <v>46112</v>
      </c>
      <c r="G5" s="7">
        <f t="shared" si="6"/>
        <v>46477</v>
      </c>
      <c r="H5" s="7">
        <f t="shared" si="6"/>
        <v>46843</v>
      </c>
      <c r="I5" s="7">
        <v>47118</v>
      </c>
      <c r="J5" s="7">
        <v>47208</v>
      </c>
      <c r="K5" s="7">
        <f>EDATE(J5,12)</f>
        <v>47573</v>
      </c>
      <c r="L5" s="7">
        <f t="shared" si="6"/>
        <v>47938</v>
      </c>
      <c r="M5" s="7">
        <f t="shared" si="6"/>
        <v>48304</v>
      </c>
      <c r="N5" s="7">
        <f t="shared" si="6"/>
        <v>48669</v>
      </c>
      <c r="O5" s="7">
        <f t="shared" si="6"/>
        <v>49034</v>
      </c>
      <c r="P5" s="7">
        <f t="shared" si="6"/>
        <v>49399</v>
      </c>
      <c r="Q5" s="7">
        <f t="shared" si="6"/>
        <v>49765</v>
      </c>
      <c r="R5" s="7">
        <f t="shared" si="6"/>
        <v>50130</v>
      </c>
      <c r="S5" s="7">
        <f t="shared" si="6"/>
        <v>50495</v>
      </c>
      <c r="T5" s="7">
        <f t="shared" si="6"/>
        <v>50860</v>
      </c>
      <c r="U5" s="7">
        <f t="shared" si="6"/>
        <v>51226</v>
      </c>
      <c r="V5" s="7">
        <f t="shared" si="6"/>
        <v>51591</v>
      </c>
      <c r="W5" s="7">
        <f t="shared" si="6"/>
        <v>51956</v>
      </c>
      <c r="X5" s="7">
        <f t="shared" si="6"/>
        <v>52321</v>
      </c>
      <c r="Y5" s="7">
        <f t="shared" si="6"/>
        <v>52687</v>
      </c>
      <c r="Z5" s="7">
        <f t="shared" si="6"/>
        <v>53052</v>
      </c>
      <c r="AA5" s="7">
        <f t="shared" si="6"/>
        <v>53417</v>
      </c>
      <c r="AB5" s="7">
        <f t="shared" si="6"/>
        <v>53782</v>
      </c>
      <c r="AC5" s="7">
        <f t="shared" si="6"/>
        <v>54148</v>
      </c>
      <c r="AD5" s="7">
        <f t="shared" si="6"/>
        <v>54513</v>
      </c>
      <c r="AE5" s="7">
        <f t="shared" si="6"/>
        <v>54878</v>
      </c>
      <c r="AF5" s="7">
        <f t="shared" si="6"/>
        <v>55243</v>
      </c>
      <c r="AG5" s="7">
        <f t="shared" si="6"/>
        <v>55609</v>
      </c>
      <c r="AH5" s="7">
        <f t="shared" si="6"/>
        <v>55974</v>
      </c>
      <c r="AI5" s="7">
        <f t="shared" si="6"/>
        <v>56339</v>
      </c>
      <c r="AJ5" s="7">
        <f t="shared" si="6"/>
        <v>56704</v>
      </c>
      <c r="AK5" s="7">
        <f t="shared" si="6"/>
        <v>57070</v>
      </c>
      <c r="AL5" s="7">
        <f t="shared" si="6"/>
        <v>57435</v>
      </c>
      <c r="AM5" s="7">
        <f t="shared" si="6"/>
        <v>57800</v>
      </c>
      <c r="AN5" s="7">
        <f t="shared" si="6"/>
        <v>58165</v>
      </c>
      <c r="AO5" s="7">
        <f t="shared" si="6"/>
        <v>58531</v>
      </c>
      <c r="AP5" s="7">
        <f t="shared" si="6"/>
        <v>58896</v>
      </c>
      <c r="AQ5" s="7">
        <f t="shared" si="6"/>
        <v>59261</v>
      </c>
      <c r="AR5" s="7">
        <f t="shared" si="6"/>
        <v>59626</v>
      </c>
      <c r="AS5" s="7">
        <f t="shared" si="6"/>
        <v>59992</v>
      </c>
      <c r="AT5" s="7">
        <f t="shared" si="6"/>
        <v>60357</v>
      </c>
      <c r="AU5" s="7">
        <f t="shared" si="6"/>
        <v>60722</v>
      </c>
      <c r="AV5" s="7">
        <f t="shared" si="6"/>
        <v>61087</v>
      </c>
      <c r="AW5" s="7">
        <f t="shared" si="6"/>
        <v>61453</v>
      </c>
      <c r="AX5" s="7">
        <f t="shared" ref="AX5:BN5" si="7">EDATE(AW5,12)</f>
        <v>61818</v>
      </c>
      <c r="AY5" s="7">
        <f t="shared" si="7"/>
        <v>62183</v>
      </c>
      <c r="AZ5" s="7">
        <f t="shared" si="7"/>
        <v>62548</v>
      </c>
      <c r="BA5" s="7">
        <f t="shared" si="7"/>
        <v>62914</v>
      </c>
      <c r="BB5" s="7">
        <f t="shared" si="7"/>
        <v>63279</v>
      </c>
      <c r="BC5" s="7">
        <f t="shared" si="7"/>
        <v>63644</v>
      </c>
      <c r="BD5" s="7">
        <f t="shared" si="7"/>
        <v>64009</v>
      </c>
      <c r="BE5" s="7">
        <f t="shared" si="7"/>
        <v>64375</v>
      </c>
      <c r="BF5" s="7">
        <f t="shared" si="7"/>
        <v>64740</v>
      </c>
      <c r="BG5" s="7">
        <f t="shared" si="7"/>
        <v>65105</v>
      </c>
      <c r="BH5" s="7">
        <f t="shared" si="7"/>
        <v>65470</v>
      </c>
      <c r="BI5" s="7">
        <f t="shared" si="7"/>
        <v>65836</v>
      </c>
      <c r="BJ5" s="7">
        <f t="shared" si="7"/>
        <v>66201</v>
      </c>
      <c r="BK5" s="7">
        <f t="shared" si="7"/>
        <v>66566</v>
      </c>
      <c r="BL5" s="7">
        <f t="shared" si="7"/>
        <v>66931</v>
      </c>
      <c r="BM5" s="7">
        <f t="shared" si="7"/>
        <v>67297</v>
      </c>
      <c r="BN5" s="7">
        <f t="shared" si="7"/>
        <v>67662</v>
      </c>
      <c r="BO5" s="7">
        <f>B2</f>
        <v>53052</v>
      </c>
    </row>
    <row r="6" spans="1:68" x14ac:dyDescent="0.25">
      <c r="C6" s="38" t="s">
        <v>5</v>
      </c>
      <c r="D6" s="14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68" x14ac:dyDescent="0.25">
      <c r="C7" s="39" t="s">
        <v>50</v>
      </c>
      <c r="D7" s="8"/>
      <c r="E7" s="9">
        <f>SUM('[1]Quarterly Cashflow'!$C$10:$F$10)</f>
        <v>0</v>
      </c>
      <c r="F7" s="37">
        <f>SUM('[1]Quarterly Cashflow'!$G$10:$J$10)</f>
        <v>1.5693559613849248</v>
      </c>
      <c r="G7" s="12">
        <f>SUM('[1]Quarterly Cashflow'!$K$10:$N$10)</f>
        <v>9.3956514472816526</v>
      </c>
      <c r="H7" s="12">
        <f>SUM('[1]Quarterly Cashflow'!$O$10:$R$10)</f>
        <v>21.518959769157377</v>
      </c>
      <c r="I7" s="12">
        <f>SUM('[1]Quarterly Cashflow'!$S$10:$U$10)</f>
        <v>24.067366288584253</v>
      </c>
      <c r="J7" s="12">
        <f>'[1]Quarterly Cashflow'!$V$10</f>
        <v>9.2169164053224648</v>
      </c>
      <c r="K7" s="12">
        <f>SUM('[1]Quarterly Cashflow'!$W$10:$Z$10)</f>
        <v>39.932371302381988</v>
      </c>
      <c r="L7" s="12">
        <f>SUM('[1]Quarterly Cashflow'!$AA$10:$AD$10)</f>
        <v>41.928989867501087</v>
      </c>
      <c r="M7" s="12">
        <f>SUM('[1]Quarterly Cashflow'!$AE$10:$AH$10)</f>
        <v>44.025439360876142</v>
      </c>
      <c r="N7" s="12">
        <f>SUM('[1]Quarterly Cashflow'!$AI$10:$AL$10)</f>
        <v>46.226711328919954</v>
      </c>
      <c r="O7" s="9">
        <f>SUM('[1]Quarterly Cashflow'!$AM$10:$AP$10)</f>
        <v>48.538046895365966</v>
      </c>
      <c r="P7" s="9">
        <f>SUM('[1]Quarterly Cashflow'!$AQ$10:$AT$10)</f>
        <v>50.964949240134253</v>
      </c>
      <c r="Q7" s="9">
        <f>SUM('[1]Quarterly Cashflow'!$AU$10:$AX$10)</f>
        <v>53.513196702140959</v>
      </c>
      <c r="R7" s="9">
        <f>SUM('[1]Quarterly Cashflow'!$AY$10:$BB$10)</f>
        <v>56.188856537248022</v>
      </c>
      <c r="S7" s="9">
        <f>SUM('[1]Quarterly Cashflow'!$BC$10:$BF$10)</f>
        <v>58.998299364110437</v>
      </c>
      <c r="T7" s="9">
        <f>SUM('[1]Quarterly Cashflow'!$BG$10:$BJ$10)</f>
        <v>61.948214332315956</v>
      </c>
      <c r="U7" s="9">
        <f>SUM('[1]Quarterly Cashflow'!$BK$10:$BN$10)</f>
        <v>65.045625048931754</v>
      </c>
      <c r="V7" s="9">
        <f>SUM('[1]Quarterly Cashflow'!$BO$10:$BR$10)</f>
        <v>68.297906301378347</v>
      </c>
      <c r="W7" s="9">
        <f>SUM('[1]Quarterly Cashflow'!$BS$10:$BV$10)</f>
        <v>71.71280161644728</v>
      </c>
      <c r="X7" s="9">
        <f>SUM('[1]Quarterly Cashflow'!$BW$10:$BZ$10)</f>
        <v>75.298441697269624</v>
      </c>
      <c r="Y7" s="9">
        <f>SUM('[1]Quarterly Cashflow'!$CA$10:$CD$10)</f>
        <v>79.063363782133123</v>
      </c>
      <c r="Z7" s="9">
        <f>SUM('[1]Quarterly Cashflow'!$CE$10:$CH$10)</f>
        <v>83.016531971239772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8" x14ac:dyDescent="0.25">
      <c r="C8" s="39" t="s">
        <v>71</v>
      </c>
      <c r="D8" s="8"/>
      <c r="E8" s="9">
        <f>'Security Deposit'!I10</f>
        <v>0</v>
      </c>
      <c r="F8" s="9">
        <f>'Security Deposit'!J10</f>
        <v>1.2057247020396376E-2</v>
      </c>
      <c r="G8" s="9">
        <f>'Security Deposit'!K10</f>
        <v>0.2171502681182825</v>
      </c>
      <c r="H8" s="9">
        <f>'Security Deposit'!L10</f>
        <v>0.74535364142109939</v>
      </c>
      <c r="I8" s="9">
        <f>'Security Deposit'!M10</f>
        <v>0.84934793690768073</v>
      </c>
      <c r="J8" s="9">
        <f>'Security Deposit'!N10</f>
        <v>0.273063349543608</v>
      </c>
      <c r="K8" s="9">
        <f>'Security Deposit'!O10</f>
        <v>1.2538050535935092</v>
      </c>
      <c r="L8" s="9">
        <f>'Security Deposit'!P10</f>
        <v>1.3606858418131074</v>
      </c>
      <c r="M8" s="9">
        <f>'Security Deposit'!Q10</f>
        <v>1.4559338507400252</v>
      </c>
      <c r="N8" s="9">
        <f>'Security Deposit'!R10</f>
        <v>1.5578492202918266</v>
      </c>
      <c r="O8" s="9">
        <f>'Security Deposit'!S10</f>
        <v>1.6668986657122544</v>
      </c>
      <c r="P8" s="9">
        <f>'Security Deposit'!T10</f>
        <v>1.7835815723121125</v>
      </c>
      <c r="Q8" s="9">
        <f>'Security Deposit'!U10</f>
        <v>1.9084322823739603</v>
      </c>
      <c r="R8" s="9">
        <f>'Security Deposit'!V10</f>
        <v>2.0420225421401375</v>
      </c>
      <c r="S8" s="9">
        <f>'Security Deposit'!W10</f>
        <v>2.1849641200899472</v>
      </c>
      <c r="T8" s="9">
        <f>'Security Deposit'!X10</f>
        <v>2.3379116084962437</v>
      </c>
      <c r="U8" s="9">
        <f>'Security Deposit'!Y10</f>
        <v>2.5015654210909801</v>
      </c>
      <c r="V8" s="9">
        <f>'Security Deposit'!Z10</f>
        <v>2.6766750005673492</v>
      </c>
      <c r="W8" s="9">
        <f>'Security Deposit'!AA10</f>
        <v>2.8640422506070635</v>
      </c>
      <c r="X8" s="9">
        <f>'Security Deposit'!AB10</f>
        <v>3.0645252081495582</v>
      </c>
      <c r="Y8" s="9">
        <f>'Security Deposit'!AC10</f>
        <v>3.2790419727200271</v>
      </c>
      <c r="Z8" s="9">
        <f>'Security Deposit'!AD10</f>
        <v>3.5085749108104287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32"/>
    </row>
    <row r="9" spans="1:68" x14ac:dyDescent="0.25">
      <c r="C9" s="58" t="s">
        <v>7</v>
      </c>
      <c r="D9" s="13"/>
      <c r="E9" s="11">
        <f t="shared" ref="E9:N9" si="8">SUM(E7:E8)</f>
        <v>0</v>
      </c>
      <c r="F9" s="11">
        <f t="shared" si="8"/>
        <v>1.5814132084053212</v>
      </c>
      <c r="G9" s="11">
        <f t="shared" si="8"/>
        <v>9.6128017153999359</v>
      </c>
      <c r="H9" s="11">
        <f t="shared" si="8"/>
        <v>22.264313410578477</v>
      </c>
      <c r="I9" s="11">
        <f t="shared" si="8"/>
        <v>24.916714225491933</v>
      </c>
      <c r="J9" s="11">
        <f t="shared" si="8"/>
        <v>9.4899797548660736</v>
      </c>
      <c r="K9" s="11">
        <f t="shared" si="8"/>
        <v>41.186176355975498</v>
      </c>
      <c r="L9" s="11">
        <f t="shared" si="8"/>
        <v>43.289675709314196</v>
      </c>
      <c r="M9" s="11">
        <f t="shared" si="8"/>
        <v>45.481373211616166</v>
      </c>
      <c r="N9" s="11">
        <f t="shared" si="8"/>
        <v>47.784560549211783</v>
      </c>
      <c r="O9" s="11">
        <f t="shared" ref="O9:Z9" si="9">SUM(O7:O8)</f>
        <v>50.204945561078219</v>
      </c>
      <c r="P9" s="11">
        <f t="shared" si="9"/>
        <v>52.748530812446369</v>
      </c>
      <c r="Q9" s="11">
        <f t="shared" si="9"/>
        <v>55.421628984514918</v>
      </c>
      <c r="R9" s="11">
        <f t="shared" si="9"/>
        <v>58.23087907938816</v>
      </c>
      <c r="S9" s="11">
        <f t="shared" si="9"/>
        <v>61.183263484200381</v>
      </c>
      <c r="T9" s="11">
        <f t="shared" si="9"/>
        <v>64.286125940812198</v>
      </c>
      <c r="U9" s="11">
        <f t="shared" si="9"/>
        <v>67.547190470022741</v>
      </c>
      <c r="V9" s="11">
        <f t="shared" si="9"/>
        <v>70.97458130194569</v>
      </c>
      <c r="W9" s="11">
        <f t="shared" si="9"/>
        <v>74.57684386705435</v>
      </c>
      <c r="X9" s="11">
        <f t="shared" si="9"/>
        <v>78.362966905419185</v>
      </c>
      <c r="Y9" s="11">
        <f t="shared" si="9"/>
        <v>82.342405754853147</v>
      </c>
      <c r="Z9" s="11">
        <f t="shared" si="9"/>
        <v>86.525106882050196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8" x14ac:dyDescent="0.25">
      <c r="C10" s="38" t="s">
        <v>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68" x14ac:dyDescent="0.25">
      <c r="C11" s="40" t="s">
        <v>48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68" x14ac:dyDescent="0.25">
      <c r="C12" s="39" t="s">
        <v>37</v>
      </c>
      <c r="D12" s="12">
        <f>-1*'[1]Monthly Cashflow'!$B$16</f>
        <v>47.58</v>
      </c>
      <c r="E12" s="9">
        <f>D12</f>
        <v>47.58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68" x14ac:dyDescent="0.25">
      <c r="C13" s="39" t="s">
        <v>38</v>
      </c>
      <c r="D13" s="12">
        <f>-1*'[1]Monthly Cashflow'!$B$17</f>
        <v>254.45065628902654</v>
      </c>
      <c r="E13" s="9">
        <f>-SUM('[1]Monthly Cashflow'!$D$17:$L$17)</f>
        <v>32.692181792566792</v>
      </c>
      <c r="F13" s="37">
        <f>-SUM('[1]Monthly Cashflow'!$M$17:$X$17)</f>
        <v>74.22042742525008</v>
      </c>
      <c r="G13" s="12">
        <f>-SUM('[1]Monthly Cashflow'!$Y$17:$AJ$17)</f>
        <v>75.178634147560146</v>
      </c>
      <c r="H13" s="12">
        <f>-SUM('[1]Monthly Cashflow'!$AK$17:$AV$17)</f>
        <v>62.920626152062269</v>
      </c>
      <c r="I13" s="12">
        <f>-SUM('[1]Monthly Cashflow'!$AW$17:$BH$17)</f>
        <v>9.4387867715870399</v>
      </c>
      <c r="J13" s="12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68" x14ac:dyDescent="0.25">
      <c r="C14" s="39" t="s">
        <v>39</v>
      </c>
      <c r="D14" s="12">
        <f>-1*'[1]Monthly Cashflow'!$B$18</f>
        <v>61.603843101553736</v>
      </c>
      <c r="E14" s="9">
        <f>-SUM('[1]Monthly Cashflow'!$D$18:$L$18)</f>
        <v>8.0204819331097212</v>
      </c>
      <c r="F14" s="37">
        <f>-SUM('[1]Monthly Cashflow'!$M$18:$X$18)</f>
        <v>18.068034652308555</v>
      </c>
      <c r="G14" s="12">
        <f>-SUM('[1]Monthly Cashflow'!$Y$18:$AJ$18)</f>
        <v>18.545130266269407</v>
      </c>
      <c r="H14" s="12">
        <f>-SUM('[1]Monthly Cashflow'!$AK$18:$AV$18)</f>
        <v>14.685016294639739</v>
      </c>
      <c r="I14" s="12">
        <f>-SUM('[1]Monthly Cashflow'!$AW$18:$BH$18)</f>
        <v>2.2851799552263352</v>
      </c>
      <c r="J14" s="12"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68" x14ac:dyDescent="0.25">
      <c r="C15" s="39" t="s">
        <v>40</v>
      </c>
      <c r="D15" s="12">
        <f>-1*'[1]Monthly Cashflow'!$B$19</f>
        <v>5.0220524267570994</v>
      </c>
      <c r="E15" s="9">
        <f>-SUM('[1]Monthly Cashflow'!$D$19:$L$19)</f>
        <v>0.76998691327229685</v>
      </c>
      <c r="F15" s="37">
        <f>-SUM('[1]Monthly Cashflow'!$M$19:$X$19)</f>
        <v>1.5817577385711212</v>
      </c>
      <c r="G15" s="12">
        <f>-SUM('[1]Monthly Cashflow'!$Y$19:$AJ$19)</f>
        <v>1.8904042096413096</v>
      </c>
      <c r="H15" s="12">
        <f>-SUM('[1]Monthly Cashflow'!$AK$19:$AV$19)</f>
        <v>0.71004412370634962</v>
      </c>
      <c r="I15" s="12">
        <f>-SUM('[1]Monthly Cashflow'!$AW$19:$BH$19)</f>
        <v>6.9859441566022487E-2</v>
      </c>
      <c r="J15" s="12"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68" x14ac:dyDescent="0.25">
      <c r="C16" s="39" t="s">
        <v>43</v>
      </c>
      <c r="D16" s="12">
        <f>-1*'[1]Monthly Cashflow'!$B$22</f>
        <v>24.942860386226911</v>
      </c>
      <c r="E16" s="9">
        <f>-SUM('[1]Monthly Cashflow'!$D$22:$L$22)</f>
        <v>3.2474233913949693</v>
      </c>
      <c r="F16" s="37">
        <f>-SUM('[1]Monthly Cashflow'!$M$22:$X$22)</f>
        <v>7.3155901173749323</v>
      </c>
      <c r="G16" s="12">
        <f>-SUM('[1]Monthly Cashflow'!$Y$22:$AJ$22)</f>
        <v>7.5087619828101655</v>
      </c>
      <c r="H16" s="12">
        <f>-SUM('[1]Monthly Cashflow'!$AK$22:$AV$22)</f>
        <v>5.9458354019057635</v>
      </c>
      <c r="I16" s="12">
        <f>-SUM('[1]Monthly Cashflow'!$AW$22:$BH$22)</f>
        <v>0.92524949274109769</v>
      </c>
      <c r="J16" s="12"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2:67" x14ac:dyDescent="0.25">
      <c r="C17" s="40" t="s">
        <v>49</v>
      </c>
      <c r="D17" s="12"/>
      <c r="E17" s="9"/>
      <c r="F17" s="12"/>
      <c r="G17" s="12"/>
      <c r="H17" s="12"/>
      <c r="I17" s="12"/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2:67" x14ac:dyDescent="0.25">
      <c r="C18" s="39" t="s">
        <v>41</v>
      </c>
      <c r="D18" s="12">
        <f>-1*'[1]Monthly Cashflow'!$B$20</f>
        <v>18.414192231442694</v>
      </c>
      <c r="E18" s="9">
        <f>-SUM('[1]Monthly Cashflow'!$D$20:$L$20)</f>
        <v>2.3974266647882314</v>
      </c>
      <c r="F18" s="37">
        <f>-SUM('[1]Monthly Cashflow'!$M$20:$X$20)</f>
        <v>5.4007712275922319</v>
      </c>
      <c r="G18" s="12">
        <f>-SUM('[1]Monthly Cashflow'!$Y$20:$AJ$20)</f>
        <v>5.543381329591397</v>
      </c>
      <c r="H18" s="12">
        <f>-SUM('[1]Monthly Cashflow'!$AK$20:$AV$20)</f>
        <v>4.389542914158616</v>
      </c>
      <c r="I18" s="12">
        <f>-SUM('[1]Monthly Cashflow'!$AW$20:$BH$20)</f>
        <v>0.68307009531221974</v>
      </c>
      <c r="J18" s="12"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2:67" x14ac:dyDescent="0.25">
      <c r="C19" s="39" t="s">
        <v>42</v>
      </c>
      <c r="D19" s="12">
        <f>-1*'[1]Monthly Cashflow'!$B$21</f>
        <v>34.09973597768068</v>
      </c>
      <c r="E19" s="9">
        <f>-SUM('[1]Monthly Cashflow'!$D$21:$L$21)</f>
        <v>4.3960087117071485</v>
      </c>
      <c r="F19" s="37">
        <f>-SUM('[1]Monthly Cashflow'!$M$21:$X$21)</f>
        <v>9.9604052194933601</v>
      </c>
      <c r="G19" s="12">
        <f>-SUM('[1]Monthly Cashflow'!$Y$21:$AJ$21)</f>
        <v>10.123252639663972</v>
      </c>
      <c r="H19" s="12">
        <f>-SUM('[1]Monthly Cashflow'!$AK$21:$AV$21)</f>
        <v>8.3551477848607796</v>
      </c>
      <c r="I19" s="12">
        <f>-SUM('[1]Monthly Cashflow'!$AW$21:$BH$21)</f>
        <v>1.2649216219554473</v>
      </c>
      <c r="J19" s="12"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2:67" x14ac:dyDescent="0.25">
      <c r="C20" s="39" t="s">
        <v>44</v>
      </c>
      <c r="D20" s="12">
        <f>-1*'[1]Monthly Cashflow'!$B$23</f>
        <v>18.221680221750354</v>
      </c>
      <c r="E20" s="9">
        <f>-SUM('[1]Monthly Cashflow'!$D$23:$L$23)</f>
        <v>2.3563750347566006</v>
      </c>
      <c r="F20" s="37">
        <f>-SUM('[1]Monthly Cashflow'!$M$23:$X$23)</f>
        <v>5.3293290580548467</v>
      </c>
      <c r="G20" s="12">
        <f>-SUM('[1]Monthly Cashflow'!$Y$23:$AJ$23)</f>
        <v>5.433315596793622</v>
      </c>
      <c r="H20" s="12">
        <f>-SUM('[1]Monthly Cashflow'!$AK$23:$AV$23)</f>
        <v>4.4325532443236364</v>
      </c>
      <c r="I20" s="12">
        <f>-SUM('[1]Monthly Cashflow'!$AW$23:$BH$23)</f>
        <v>0.67010728782163576</v>
      </c>
      <c r="J20" s="12"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2:67" x14ac:dyDescent="0.25">
      <c r="C21" s="39" t="s">
        <v>45</v>
      </c>
      <c r="D21" s="12">
        <f>-1*'[1]Monthly Cashflow'!$B$25</f>
        <v>0.70932943880749988</v>
      </c>
      <c r="E21" s="9">
        <f>-SUM('[1]Monthly Cashflow'!$D$25:$L$25)</f>
        <v>4.8605682117999996E-2</v>
      </c>
      <c r="F21" s="37">
        <f>-SUM('[1]Monthly Cashflow'!$M$25:$X$25)</f>
        <v>0.16705516827719999</v>
      </c>
      <c r="G21" s="12">
        <f>-SUM('[1]Monthly Cashflow'!$Y$25:$AJ$25)</f>
        <v>0.23933248559429995</v>
      </c>
      <c r="H21" s="12">
        <f>-SUM('[1]Monthly Cashflow'!$AK$25:$AV$25)</f>
        <v>0.21048209053549999</v>
      </c>
      <c r="I21" s="12">
        <f>-SUM('[1]Monthly Cashflow'!$AW$25:$BH$25)</f>
        <v>4.38540122825E-2</v>
      </c>
      <c r="J21" s="12"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2:67" x14ac:dyDescent="0.25">
      <c r="C22" s="39" t="s">
        <v>46</v>
      </c>
      <c r="D22" s="12">
        <f>-1*'[1]Monthly Cashflow'!$B$26</f>
        <v>5.7297434223802499</v>
      </c>
      <c r="E22" s="10" t="s">
        <v>32</v>
      </c>
      <c r="F22" s="37">
        <f>-SUM('[1]Monthly Cashflow'!$M$26:$X$26)</f>
        <v>1.0462373075899498</v>
      </c>
      <c r="G22" s="12">
        <f>-SUM('[1]Monthly Cashflow'!$Y$26:$AJ$26)</f>
        <v>2.0265065357818051</v>
      </c>
      <c r="H22" s="12">
        <f>-SUM('[1]Monthly Cashflow'!$AK$26:$AV$26)</f>
        <v>0.84474877949784011</v>
      </c>
      <c r="I22" s="12">
        <f>-SUM('[1]Monthly Cashflow'!$AW$26:$BH$26)</f>
        <v>1.8122507995106552</v>
      </c>
      <c r="J22" s="12">
        <v>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2:67" x14ac:dyDescent="0.25">
      <c r="C23" s="39" t="s">
        <v>51</v>
      </c>
      <c r="D23" s="12">
        <f ca="1">-1*'[1]Monthly Cashflow'!$B$30</f>
        <v>7.1625106833256815</v>
      </c>
      <c r="E23" s="10">
        <f>-SUM('[1]Monthly Cashflow'!$D$30:$L$30)</f>
        <v>0</v>
      </c>
      <c r="F23" s="37">
        <f>-SUM('[1]Monthly Cashflow'!$M$30:$X$30)</f>
        <v>0</v>
      </c>
      <c r="G23" s="12">
        <f>-SUM('[1]Monthly Cashflow'!$Y$30:$AJ$30)</f>
        <v>0</v>
      </c>
      <c r="H23" s="12">
        <f>-SUM('[1]Monthly Cashflow'!$AK$30:$AV$30)</f>
        <v>0</v>
      </c>
      <c r="I23" s="12">
        <f ca="1">-SUM('[1]Monthly Cashflow'!$AW$30:$BH$30)</f>
        <v>7.1625106833256815</v>
      </c>
      <c r="J23" s="12"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2:67" x14ac:dyDescent="0.25">
      <c r="C24" s="39" t="s">
        <v>47</v>
      </c>
      <c r="D24" s="12">
        <f ca="1">-1*'[1]Monthly Cashflow'!$B$31</f>
        <v>2.1240031680815004</v>
      </c>
      <c r="E24" s="10">
        <f ca="1">-SUM('[1]Monthly Cashflow'!$D$31:$L$31)</f>
        <v>2.1240031680815004</v>
      </c>
      <c r="F24" s="37">
        <f>-SUM('[1]Monthly Cashflow'!$M$31:$X$31)</f>
        <v>0</v>
      </c>
      <c r="G24" s="12">
        <f>-SUM('[1]Monthly Cashflow'!$Y$31:$AJ$31)</f>
        <v>0</v>
      </c>
      <c r="H24" s="12">
        <f>-SUM('[1]Monthly Cashflow'!$AK$31:$AV$31)</f>
        <v>0</v>
      </c>
      <c r="I24" s="12">
        <f>-SUM('[1]Monthly Cashflow'!$AW$31:$BH$31)</f>
        <v>0</v>
      </c>
      <c r="J24" s="12"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2:67" x14ac:dyDescent="0.25">
      <c r="C25" s="63" t="s">
        <v>87</v>
      </c>
      <c r="D25" s="12">
        <v>71.477443382360903</v>
      </c>
      <c r="E25" s="10">
        <f ca="1">-SUM('[1]Quarterly Cashflow'!$D$32:$F$32)</f>
        <v>2.16934590874942</v>
      </c>
      <c r="F25" s="37">
        <f ca="1">-SUM('[1]Quarterly Cashflow'!$G$32:$J$32)</f>
        <v>8.6621414250100948</v>
      </c>
      <c r="G25" s="12">
        <f ca="1">-SUM('[1]Quarterly Cashflow'!$K$32:$N$32)</f>
        <v>16.225432504518174</v>
      </c>
      <c r="H25" s="12">
        <f ca="1">-SUM('[1]Quarterly Cashflow'!$O$32:$R$32)</f>
        <v>23.717046144711365</v>
      </c>
      <c r="I25" s="12">
        <f ca="1">-SUM('[1]Quarterly Cashflow'!$S$32:$U$32)</f>
        <v>20.703477399371863</v>
      </c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2:67" x14ac:dyDescent="0.25">
      <c r="C26" s="58" t="s">
        <v>9</v>
      </c>
      <c r="D26" s="11">
        <f ca="1">SUM(D12:D25)</f>
        <v>551.53805072939394</v>
      </c>
      <c r="E26" s="11">
        <f ca="1">SUM(E12:E25)</f>
        <v>105.80183920054466</v>
      </c>
      <c r="F26" s="11">
        <f t="shared" ref="F26:I26" ca="1" si="10">SUM(F12:F25)</f>
        <v>131.75174933952238</v>
      </c>
      <c r="G26" s="11">
        <f t="shared" ca="1" si="10"/>
        <v>142.7141516982243</v>
      </c>
      <c r="H26" s="11">
        <f t="shared" ca="1" si="10"/>
        <v>126.21104293040186</v>
      </c>
      <c r="I26" s="11">
        <f t="shared" ca="1" si="10"/>
        <v>45.059267560700498</v>
      </c>
      <c r="J26" s="11">
        <f t="shared" ref="D26:Z26" si="11">SUM(J12:J24)</f>
        <v>0</v>
      </c>
      <c r="K26" s="11">
        <f t="shared" si="11"/>
        <v>0</v>
      </c>
      <c r="L26" s="11">
        <f t="shared" si="11"/>
        <v>0</v>
      </c>
      <c r="M26" s="11">
        <f t="shared" si="11"/>
        <v>0</v>
      </c>
      <c r="N26" s="11">
        <f t="shared" si="11"/>
        <v>0</v>
      </c>
      <c r="O26" s="11">
        <f t="shared" si="11"/>
        <v>0</v>
      </c>
      <c r="P26" s="11">
        <f t="shared" si="11"/>
        <v>0</v>
      </c>
      <c r="Q26" s="11">
        <f t="shared" si="11"/>
        <v>0</v>
      </c>
      <c r="R26" s="11">
        <f t="shared" si="11"/>
        <v>0</v>
      </c>
      <c r="S26" s="11">
        <f t="shared" si="11"/>
        <v>0</v>
      </c>
      <c r="T26" s="11">
        <f t="shared" si="11"/>
        <v>0</v>
      </c>
      <c r="U26" s="11">
        <f t="shared" si="11"/>
        <v>0</v>
      </c>
      <c r="V26" s="11">
        <f t="shared" si="11"/>
        <v>0</v>
      </c>
      <c r="W26" s="11">
        <f t="shared" si="11"/>
        <v>0</v>
      </c>
      <c r="X26" s="11">
        <f t="shared" si="11"/>
        <v>0</v>
      </c>
      <c r="Y26" s="11">
        <f t="shared" si="11"/>
        <v>0</v>
      </c>
      <c r="Z26" s="11">
        <f t="shared" si="11"/>
        <v>0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2:67" x14ac:dyDescent="0.25">
      <c r="C27" s="14" t="s">
        <v>10</v>
      </c>
      <c r="D27" s="14"/>
      <c r="E27" s="11">
        <f t="shared" ref="E27:Z27" ca="1" si="12">E9-E26</f>
        <v>-105.80183920054466</v>
      </c>
      <c r="F27" s="11">
        <f t="shared" ca="1" si="12"/>
        <v>-130.17033613111707</v>
      </c>
      <c r="G27" s="11">
        <f t="shared" ca="1" si="12"/>
        <v>-133.10134998282436</v>
      </c>
      <c r="H27" s="11">
        <f t="shared" ca="1" si="12"/>
        <v>-103.94672951982338</v>
      </c>
      <c r="I27" s="11">
        <f t="shared" ca="1" si="12"/>
        <v>-20.142553335208564</v>
      </c>
      <c r="J27" s="11">
        <f t="shared" si="12"/>
        <v>9.4899797548660736</v>
      </c>
      <c r="K27" s="11">
        <f t="shared" si="12"/>
        <v>41.186176355975498</v>
      </c>
      <c r="L27" s="11">
        <f t="shared" si="12"/>
        <v>43.289675709314196</v>
      </c>
      <c r="M27" s="11">
        <f t="shared" si="12"/>
        <v>45.481373211616166</v>
      </c>
      <c r="N27" s="11">
        <f t="shared" si="12"/>
        <v>47.784560549211783</v>
      </c>
      <c r="O27" s="11">
        <f t="shared" si="12"/>
        <v>50.204945561078219</v>
      </c>
      <c r="P27" s="11">
        <f t="shared" si="12"/>
        <v>52.748530812446369</v>
      </c>
      <c r="Q27" s="11">
        <f t="shared" si="12"/>
        <v>55.421628984514918</v>
      </c>
      <c r="R27" s="11">
        <f t="shared" si="12"/>
        <v>58.23087907938816</v>
      </c>
      <c r="S27" s="11">
        <f t="shared" si="12"/>
        <v>61.183263484200381</v>
      </c>
      <c r="T27" s="11">
        <f t="shared" si="12"/>
        <v>64.286125940812198</v>
      </c>
      <c r="U27" s="11">
        <f t="shared" si="12"/>
        <v>67.547190470022741</v>
      </c>
      <c r="V27" s="11">
        <f t="shared" si="12"/>
        <v>70.97458130194569</v>
      </c>
      <c r="W27" s="11">
        <f t="shared" si="12"/>
        <v>74.57684386705435</v>
      </c>
      <c r="X27" s="11">
        <f t="shared" si="12"/>
        <v>78.362966905419185</v>
      </c>
      <c r="Y27" s="11">
        <f t="shared" si="12"/>
        <v>82.342405754853147</v>
      </c>
      <c r="Z27" s="11">
        <f t="shared" si="12"/>
        <v>86.525106882050196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2:67" x14ac:dyDescent="0.25">
      <c r="C28" s="8" t="s">
        <v>11</v>
      </c>
      <c r="D28" s="8"/>
      <c r="E28" s="10">
        <f>'WACC &amp; Dep'!M20</f>
        <v>0</v>
      </c>
      <c r="F28" s="10">
        <f>'WACC &amp; Dep'!N20</f>
        <v>1.7810321357409615</v>
      </c>
      <c r="G28" s="10">
        <f>'WACC &amp; Dep'!O20</f>
        <v>5.824474913942324</v>
      </c>
      <c r="H28" s="10">
        <f>'WACC &amp; Dep'!P20</f>
        <v>9.9201196826974414</v>
      </c>
      <c r="I28" s="10">
        <f>'WACC &amp; Dep'!Q20</f>
        <v>13.219408858975042</v>
      </c>
      <c r="J28" s="10">
        <f>'WACC &amp; Dep'!R20</f>
        <v>13.862176549935082</v>
      </c>
      <c r="K28" s="10">
        <f>'WACC &amp; Dep'!R20</f>
        <v>13.862176549935082</v>
      </c>
      <c r="L28" s="10">
        <f>'WACC &amp; Dep'!S20</f>
        <v>13.862176549935082</v>
      </c>
      <c r="M28" s="10">
        <f>'WACC &amp; Dep'!T20</f>
        <v>13.862176549935082</v>
      </c>
      <c r="N28" s="10">
        <f>'WACC &amp; Dep'!U20</f>
        <v>13.862176549935082</v>
      </c>
      <c r="O28" s="10">
        <f>'WACC &amp; Dep'!V20</f>
        <v>13.862176549935082</v>
      </c>
      <c r="P28" s="10">
        <f>'WACC &amp; Dep'!W20</f>
        <v>13.862176549935082</v>
      </c>
      <c r="Q28" s="10">
        <f>'WACC &amp; Dep'!X20</f>
        <v>13.862176549935082</v>
      </c>
      <c r="R28" s="10">
        <f>'WACC &amp; Dep'!Y20</f>
        <v>13.862176549935082</v>
      </c>
      <c r="S28" s="10">
        <f>'WACC &amp; Dep'!Z20</f>
        <v>13.862176549935082</v>
      </c>
      <c r="T28" s="10">
        <f>'WACC &amp; Dep'!AA20</f>
        <v>13.862176549935082</v>
      </c>
      <c r="U28" s="10">
        <f>'WACC &amp; Dep'!AB20</f>
        <v>13.862176549935082</v>
      </c>
      <c r="V28" s="10">
        <f>'WACC &amp; Dep'!AC20</f>
        <v>13.862176549935082</v>
      </c>
      <c r="W28" s="10">
        <f>'WACC &amp; Dep'!AD20</f>
        <v>13.862176549935082</v>
      </c>
      <c r="X28" s="10">
        <f>'WACC &amp; Dep'!AE20</f>
        <v>13.862176549935082</v>
      </c>
      <c r="Y28" s="10">
        <f>'WACC &amp; Dep'!AF20</f>
        <v>13.862176549935082</v>
      </c>
      <c r="Z28" s="10">
        <f>'WACC &amp; Dep'!AG20</f>
        <v>13.862176549935082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2:67" x14ac:dyDescent="0.25">
      <c r="C29" s="13" t="s">
        <v>13</v>
      </c>
      <c r="D29" s="13"/>
      <c r="E29" s="15">
        <f ca="1">E27-E28</f>
        <v>-105.80183920054466</v>
      </c>
      <c r="F29" s="15">
        <f t="shared" ref="F29:Z29" ca="1" si="13">F27-F28</f>
        <v>-131.95136826685803</v>
      </c>
      <c r="G29" s="15">
        <f t="shared" ca="1" si="13"/>
        <v>-138.92582489676667</v>
      </c>
      <c r="H29" s="15">
        <f t="shared" ca="1" si="13"/>
        <v>-113.86684920252083</v>
      </c>
      <c r="I29" s="15">
        <f t="shared" ca="1" si="13"/>
        <v>-33.361962194183604</v>
      </c>
      <c r="J29" s="15">
        <f t="shared" si="13"/>
        <v>-4.3721967950690086</v>
      </c>
      <c r="K29" s="15">
        <f t="shared" si="13"/>
        <v>27.323999806040415</v>
      </c>
      <c r="L29" s="15">
        <f t="shared" si="13"/>
        <v>29.427499159379114</v>
      </c>
      <c r="M29" s="15">
        <f t="shared" si="13"/>
        <v>31.619196661681084</v>
      </c>
      <c r="N29" s="15">
        <f t="shared" si="13"/>
        <v>33.922383999276704</v>
      </c>
      <c r="O29" s="15">
        <f t="shared" si="13"/>
        <v>36.342769011143133</v>
      </c>
      <c r="P29" s="15">
        <f t="shared" si="13"/>
        <v>38.88635426251129</v>
      </c>
      <c r="Q29" s="15">
        <f t="shared" si="13"/>
        <v>41.559452434579839</v>
      </c>
      <c r="R29" s="15">
        <f t="shared" si="13"/>
        <v>44.368702529453074</v>
      </c>
      <c r="S29" s="15">
        <f t="shared" si="13"/>
        <v>47.321086934265296</v>
      </c>
      <c r="T29" s="15">
        <f t="shared" si="13"/>
        <v>50.423949390877112</v>
      </c>
      <c r="U29" s="15">
        <f t="shared" si="13"/>
        <v>53.685013920087655</v>
      </c>
      <c r="V29" s="15">
        <f t="shared" si="13"/>
        <v>57.112404752010605</v>
      </c>
      <c r="W29" s="15">
        <f t="shared" si="13"/>
        <v>60.714667317119265</v>
      </c>
      <c r="X29" s="15">
        <f t="shared" si="13"/>
        <v>64.500790355484099</v>
      </c>
      <c r="Y29" s="15">
        <f t="shared" si="13"/>
        <v>68.480229204918061</v>
      </c>
      <c r="Z29" s="15">
        <f t="shared" si="13"/>
        <v>72.66293033211511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28"/>
    </row>
    <row r="30" spans="2:67" hidden="1" x14ac:dyDescent="0.25">
      <c r="C30" s="13" t="s">
        <v>12</v>
      </c>
      <c r="D30" s="13"/>
      <c r="E30" s="16"/>
      <c r="F30" s="8"/>
      <c r="G30" s="8"/>
      <c r="H30" s="8"/>
      <c r="I30" s="8"/>
      <c r="J30" s="8"/>
      <c r="K30" s="54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16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2:67" x14ac:dyDescent="0.25">
      <c r="C31" s="14" t="s">
        <v>14</v>
      </c>
      <c r="D31" s="14"/>
      <c r="E31" s="11">
        <f ca="1">E29*(1-$E$30)</f>
        <v>-105.80183920054466</v>
      </c>
      <c r="F31" s="11">
        <f t="shared" ref="F31:J31" ca="1" si="14">F29*(1-$E$30)</f>
        <v>-131.95136826685803</v>
      </c>
      <c r="G31" s="11">
        <f t="shared" ca="1" si="14"/>
        <v>-138.92582489676667</v>
      </c>
      <c r="H31" s="11">
        <f t="shared" ca="1" si="14"/>
        <v>-113.86684920252083</v>
      </c>
      <c r="I31" s="11">
        <f t="shared" ca="1" si="14"/>
        <v>-33.361962194183604</v>
      </c>
      <c r="J31" s="11">
        <f t="shared" si="14"/>
        <v>-4.3721967950690086</v>
      </c>
      <c r="K31" s="11">
        <f>K29*(1-$K$30)</f>
        <v>27.323999806040415</v>
      </c>
      <c r="L31" s="11">
        <f t="shared" ref="L31:X31" si="15">L29*(1-$K$30)</f>
        <v>29.427499159379114</v>
      </c>
      <c r="M31" s="11">
        <f t="shared" si="15"/>
        <v>31.619196661681084</v>
      </c>
      <c r="N31" s="11">
        <f t="shared" si="15"/>
        <v>33.922383999276704</v>
      </c>
      <c r="O31" s="11">
        <f t="shared" si="15"/>
        <v>36.342769011143133</v>
      </c>
      <c r="P31" s="11">
        <f t="shared" si="15"/>
        <v>38.88635426251129</v>
      </c>
      <c r="Q31" s="11">
        <f t="shared" si="15"/>
        <v>41.559452434579839</v>
      </c>
      <c r="R31" s="11">
        <f t="shared" si="15"/>
        <v>44.368702529453074</v>
      </c>
      <c r="S31" s="11">
        <f t="shared" si="15"/>
        <v>47.321086934265296</v>
      </c>
      <c r="T31" s="11">
        <f t="shared" si="15"/>
        <v>50.423949390877112</v>
      </c>
      <c r="U31" s="11">
        <f t="shared" si="15"/>
        <v>53.685013920087655</v>
      </c>
      <c r="V31" s="11">
        <f t="shared" si="15"/>
        <v>57.112404752010605</v>
      </c>
      <c r="W31" s="11">
        <f t="shared" si="15"/>
        <v>60.714667317119265</v>
      </c>
      <c r="X31" s="11">
        <f t="shared" si="15"/>
        <v>64.500790355484099</v>
      </c>
      <c r="Y31" s="11">
        <f t="shared" ref="Y31:Z31" si="16">Y29*(1-$K$30)</f>
        <v>68.480229204918061</v>
      </c>
      <c r="Z31" s="11">
        <f t="shared" si="16"/>
        <v>72.66293033211511</v>
      </c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2:67" x14ac:dyDescent="0.25">
      <c r="B32" s="33"/>
      <c r="C32" s="8" t="s">
        <v>15</v>
      </c>
      <c r="D32" s="8"/>
      <c r="E32" s="12">
        <f>E28</f>
        <v>0</v>
      </c>
      <c r="F32" s="12">
        <f t="shared" ref="F32:X32" si="17">F28</f>
        <v>1.7810321357409615</v>
      </c>
      <c r="G32" s="12">
        <f t="shared" si="17"/>
        <v>5.824474913942324</v>
      </c>
      <c r="H32" s="12">
        <f t="shared" si="17"/>
        <v>9.9201196826974414</v>
      </c>
      <c r="I32" s="12">
        <f t="shared" si="17"/>
        <v>13.219408858975042</v>
      </c>
      <c r="J32" s="12">
        <f t="shared" si="17"/>
        <v>13.862176549935082</v>
      </c>
      <c r="K32" s="12">
        <f t="shared" si="17"/>
        <v>13.862176549935082</v>
      </c>
      <c r="L32" s="12">
        <f t="shared" si="17"/>
        <v>13.862176549935082</v>
      </c>
      <c r="M32" s="12">
        <f t="shared" si="17"/>
        <v>13.862176549935082</v>
      </c>
      <c r="N32" s="12">
        <f t="shared" si="17"/>
        <v>13.862176549935082</v>
      </c>
      <c r="O32" s="12">
        <f t="shared" si="17"/>
        <v>13.862176549935082</v>
      </c>
      <c r="P32" s="12">
        <f t="shared" si="17"/>
        <v>13.862176549935082</v>
      </c>
      <c r="Q32" s="12">
        <f t="shared" si="17"/>
        <v>13.862176549935082</v>
      </c>
      <c r="R32" s="12">
        <f t="shared" si="17"/>
        <v>13.862176549935082</v>
      </c>
      <c r="S32" s="12">
        <f t="shared" si="17"/>
        <v>13.862176549935082</v>
      </c>
      <c r="T32" s="12">
        <f t="shared" si="17"/>
        <v>13.862176549935082</v>
      </c>
      <c r="U32" s="12">
        <f t="shared" si="17"/>
        <v>13.862176549935082</v>
      </c>
      <c r="V32" s="12">
        <f t="shared" si="17"/>
        <v>13.862176549935082</v>
      </c>
      <c r="W32" s="12">
        <f t="shared" si="17"/>
        <v>13.862176549935082</v>
      </c>
      <c r="X32" s="12">
        <f t="shared" si="17"/>
        <v>13.862176549935082</v>
      </c>
      <c r="Y32" s="12">
        <f t="shared" ref="Y32:Z32" si="18">Y28</f>
        <v>13.862176549935082</v>
      </c>
      <c r="Z32" s="12">
        <f t="shared" si="18"/>
        <v>13.862176549935082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</row>
    <row r="33" spans="2:67" hidden="1" x14ac:dyDescent="0.25">
      <c r="C33" s="8" t="s">
        <v>16</v>
      </c>
      <c r="D33" s="8"/>
      <c r="E33" s="12"/>
      <c r="F33" s="12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12"/>
      <c r="AZ33" s="1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9"/>
    </row>
    <row r="34" spans="2:67" hidden="1" x14ac:dyDescent="0.25">
      <c r="C34" s="8" t="s">
        <v>17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</row>
    <row r="35" spans="2:67" x14ac:dyDescent="0.25">
      <c r="C35" s="14" t="s">
        <v>18</v>
      </c>
      <c r="D35" s="14"/>
      <c r="E35" s="11">
        <f t="shared" ref="E35:Z35" ca="1" si="19">E31+E32-E33-E34</f>
        <v>-105.80183920054466</v>
      </c>
      <c r="F35" s="11">
        <f t="shared" ca="1" si="19"/>
        <v>-130.17033613111707</v>
      </c>
      <c r="G35" s="11">
        <f t="shared" ca="1" si="19"/>
        <v>-133.10134998282436</v>
      </c>
      <c r="H35" s="11">
        <f t="shared" ca="1" si="19"/>
        <v>-103.94672951982338</v>
      </c>
      <c r="I35" s="11">
        <f t="shared" ca="1" si="19"/>
        <v>-20.142553335208561</v>
      </c>
      <c r="J35" s="11">
        <f t="shared" si="19"/>
        <v>9.4899797548660736</v>
      </c>
      <c r="K35" s="11">
        <f t="shared" si="19"/>
        <v>41.186176355975498</v>
      </c>
      <c r="L35" s="11">
        <f t="shared" si="19"/>
        <v>43.289675709314196</v>
      </c>
      <c r="M35" s="11">
        <f t="shared" si="19"/>
        <v>45.481373211616166</v>
      </c>
      <c r="N35" s="11">
        <f t="shared" si="19"/>
        <v>47.78456054921179</v>
      </c>
      <c r="O35" s="11">
        <f t="shared" si="19"/>
        <v>50.204945561078219</v>
      </c>
      <c r="P35" s="11">
        <f t="shared" si="19"/>
        <v>52.748530812446376</v>
      </c>
      <c r="Q35" s="11">
        <f t="shared" si="19"/>
        <v>55.421628984514925</v>
      </c>
      <c r="R35" s="11">
        <f t="shared" si="19"/>
        <v>58.23087907938816</v>
      </c>
      <c r="S35" s="11">
        <f t="shared" si="19"/>
        <v>61.183263484200381</v>
      </c>
      <c r="T35" s="11">
        <f t="shared" si="19"/>
        <v>64.286125940812198</v>
      </c>
      <c r="U35" s="11">
        <f t="shared" si="19"/>
        <v>67.547190470022741</v>
      </c>
      <c r="V35" s="11">
        <f t="shared" si="19"/>
        <v>70.97458130194569</v>
      </c>
      <c r="W35" s="11">
        <f t="shared" si="19"/>
        <v>74.57684386705435</v>
      </c>
      <c r="X35" s="11">
        <f t="shared" si="19"/>
        <v>78.362966905419185</v>
      </c>
      <c r="Y35" s="11">
        <f t="shared" si="19"/>
        <v>82.342405754853147</v>
      </c>
      <c r="Z35" s="11">
        <f t="shared" si="19"/>
        <v>86.525106882050196</v>
      </c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2:67" x14ac:dyDescent="0.25">
      <c r="C36" s="14" t="s">
        <v>75</v>
      </c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>'WACC &amp; Dep'!N24</f>
        <v>340.1067110654281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2:67" x14ac:dyDescent="0.25">
      <c r="B37" s="4">
        <f>'WACC &amp; Dep'!F9</f>
        <v>9.4003081594732002E-2</v>
      </c>
      <c r="C37" s="64" t="s">
        <v>89</v>
      </c>
      <c r="D37" s="8"/>
      <c r="E37" s="12">
        <f ca="1">E36+E35</f>
        <v>-105.80183920054466</v>
      </c>
      <c r="F37" s="12">
        <f t="shared" ref="F37:Z37" ca="1" si="20">F36+F35</f>
        <v>-130.17033613111707</v>
      </c>
      <c r="G37" s="12">
        <f t="shared" ca="1" si="20"/>
        <v>-133.10134998282436</v>
      </c>
      <c r="H37" s="12">
        <f t="shared" ca="1" si="20"/>
        <v>-103.94672951982338</v>
      </c>
      <c r="I37" s="12">
        <f t="shared" ca="1" si="20"/>
        <v>-20.142553335208561</v>
      </c>
      <c r="J37" s="12">
        <f t="shared" si="20"/>
        <v>9.4899797548660736</v>
      </c>
      <c r="K37" s="12">
        <f t="shared" si="20"/>
        <v>41.186176355975498</v>
      </c>
      <c r="L37" s="12">
        <f t="shared" si="20"/>
        <v>43.289675709314196</v>
      </c>
      <c r="M37" s="12">
        <f t="shared" si="20"/>
        <v>45.481373211616166</v>
      </c>
      <c r="N37" s="12">
        <f t="shared" si="20"/>
        <v>47.78456054921179</v>
      </c>
      <c r="O37" s="12">
        <f t="shared" si="20"/>
        <v>50.204945561078219</v>
      </c>
      <c r="P37" s="12">
        <f t="shared" si="20"/>
        <v>52.748530812446376</v>
      </c>
      <c r="Q37" s="12">
        <f t="shared" si="20"/>
        <v>55.421628984514925</v>
      </c>
      <c r="R37" s="12">
        <f t="shared" si="20"/>
        <v>58.23087907938816</v>
      </c>
      <c r="S37" s="12">
        <f t="shared" si="20"/>
        <v>61.183263484200381</v>
      </c>
      <c r="T37" s="12">
        <f t="shared" si="20"/>
        <v>64.286125940812198</v>
      </c>
      <c r="U37" s="12">
        <f t="shared" si="20"/>
        <v>67.547190470022741</v>
      </c>
      <c r="V37" s="12">
        <f t="shared" si="20"/>
        <v>70.97458130194569</v>
      </c>
      <c r="W37" s="12">
        <f t="shared" si="20"/>
        <v>74.57684386705435</v>
      </c>
      <c r="X37" s="12">
        <f t="shared" si="20"/>
        <v>78.362966905419185</v>
      </c>
      <c r="Y37" s="12">
        <f t="shared" si="20"/>
        <v>82.342405754853147</v>
      </c>
      <c r="Z37" s="12">
        <f t="shared" si="20"/>
        <v>426.63181794747828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</row>
    <row r="38" spans="2:67" x14ac:dyDescent="0.25">
      <c r="B38" s="4"/>
      <c r="C38" s="8" t="s">
        <v>28</v>
      </c>
      <c r="D38" s="8"/>
      <c r="E38" s="10">
        <f>E2/E1</f>
        <v>0.78904109589041094</v>
      </c>
      <c r="F38" s="12">
        <f>E38+1</f>
        <v>1.7890410958904108</v>
      </c>
      <c r="G38" s="12">
        <f t="shared" ref="G38:N38" si="21">F38+1</f>
        <v>2.7890410958904108</v>
      </c>
      <c r="H38" s="12">
        <f t="shared" si="21"/>
        <v>3.7890410958904108</v>
      </c>
      <c r="I38" s="12">
        <f>3/12</f>
        <v>0.25</v>
      </c>
      <c r="J38" s="12">
        <f>3/12</f>
        <v>0.25</v>
      </c>
      <c r="K38" s="12">
        <f>I38+1</f>
        <v>1.25</v>
      </c>
      <c r="L38" s="12">
        <f t="shared" si="21"/>
        <v>2.25</v>
      </c>
      <c r="M38" s="12">
        <f t="shared" si="21"/>
        <v>3.25</v>
      </c>
      <c r="N38" s="12">
        <f t="shared" si="21"/>
        <v>4.25</v>
      </c>
      <c r="O38" s="12">
        <f t="shared" ref="O38" si="22">N38+1</f>
        <v>5.25</v>
      </c>
      <c r="P38" s="12">
        <f t="shared" ref="P38" si="23">O38+1</f>
        <v>6.25</v>
      </c>
      <c r="Q38" s="12">
        <f t="shared" ref="Q38" si="24">P38+1</f>
        <v>7.25</v>
      </c>
      <c r="R38" s="12">
        <f t="shared" ref="R38" si="25">Q38+1</f>
        <v>8.25</v>
      </c>
      <c r="S38" s="12">
        <f t="shared" ref="S38" si="26">R38+1</f>
        <v>9.25</v>
      </c>
      <c r="T38" s="12">
        <f t="shared" ref="T38" si="27">S38+1</f>
        <v>10.25</v>
      </c>
      <c r="U38" s="12">
        <f t="shared" ref="U38" si="28">T38+1</f>
        <v>11.25</v>
      </c>
      <c r="V38" s="12">
        <f t="shared" ref="V38" si="29">U38+1</f>
        <v>12.25</v>
      </c>
      <c r="W38" s="12">
        <f t="shared" ref="W38" si="30">V38+1</f>
        <v>13.25</v>
      </c>
      <c r="X38" s="12">
        <f t="shared" ref="X38:Z38" si="31">W38+1</f>
        <v>14.25</v>
      </c>
      <c r="Y38" s="12">
        <f t="shared" si="31"/>
        <v>15.25</v>
      </c>
      <c r="Z38" s="12">
        <f t="shared" si="31"/>
        <v>16.25</v>
      </c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2:67" x14ac:dyDescent="0.25">
      <c r="C39" s="8" t="s">
        <v>26</v>
      </c>
      <c r="D39" s="8"/>
      <c r="E39" s="12">
        <f>1/(1+$B$37)^E38</f>
        <v>0.9315641442010244</v>
      </c>
      <c r="F39" s="12">
        <f t="shared" ref="F39:N39" si="32">1/(1+$B$37)^F38</f>
        <v>0.85151875700668078</v>
      </c>
      <c r="G39" s="12">
        <f t="shared" si="32"/>
        <v>0.77835133312917093</v>
      </c>
      <c r="H39" s="12">
        <f t="shared" si="32"/>
        <v>0.71147087812089671</v>
      </c>
      <c r="I39" s="12">
        <f t="shared" si="32"/>
        <v>0.97778948737190075</v>
      </c>
      <c r="J39" s="12">
        <f t="shared" ref="J39" si="33">1/(1+$B$37)^J38</f>
        <v>0.97778948737190075</v>
      </c>
      <c r="K39" s="12">
        <f t="shared" si="32"/>
        <v>0.89377215093998974</v>
      </c>
      <c r="L39" s="12">
        <f t="shared" si="32"/>
        <v>0.8169740707102352</v>
      </c>
      <c r="M39" s="12">
        <f t="shared" si="32"/>
        <v>0.74677492637345178</v>
      </c>
      <c r="N39" s="12">
        <f t="shared" si="32"/>
        <v>0.68260769913451746</v>
      </c>
      <c r="O39" s="12">
        <f t="shared" ref="O39:X39" si="34">1/(1+$B$37)^O38</f>
        <v>0.62395409173754601</v>
      </c>
      <c r="P39" s="12">
        <f t="shared" si="34"/>
        <v>0.57034034202902439</v>
      </c>
      <c r="Q39" s="12">
        <f t="shared" si="34"/>
        <v>0.52133339624385466</v>
      </c>
      <c r="R39" s="12">
        <f t="shared" si="34"/>
        <v>0.47653741110482545</v>
      </c>
      <c r="S39" s="12">
        <f t="shared" si="34"/>
        <v>0.43559055648195727</v>
      </c>
      <c r="T39" s="12">
        <f t="shared" si="34"/>
        <v>0.39816209278587728</v>
      </c>
      <c r="U39" s="12">
        <f t="shared" si="34"/>
        <v>0.36394969948848316</v>
      </c>
      <c r="V39" s="12">
        <f t="shared" si="34"/>
        <v>0.33267703319258712</v>
      </c>
      <c r="W39" s="12">
        <f t="shared" si="34"/>
        <v>0.30409149552635878</v>
      </c>
      <c r="X39" s="12">
        <f t="shared" si="34"/>
        <v>0.27796219283320805</v>
      </c>
      <c r="Y39" s="12">
        <f t="shared" ref="Y39:Z39" si="35">1/(1+$B$37)^Y38</f>
        <v>0.25407807117693093</v>
      </c>
      <c r="Z39" s="12">
        <f t="shared" si="35"/>
        <v>0.23224621159801534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2:67" x14ac:dyDescent="0.25">
      <c r="C40" s="8" t="s">
        <v>25</v>
      </c>
      <c r="D40" s="8"/>
      <c r="E40" s="12">
        <f ca="1">E35*E39</f>
        <v>-98.561199789749779</v>
      </c>
      <c r="F40" s="12">
        <f t="shared" ref="F40:N40" ca="1" si="36">F35*F39</f>
        <v>-110.84248282151063</v>
      </c>
      <c r="G40" s="12">
        <f t="shared" ca="1" si="36"/>
        <v>-103.59961320042369</v>
      </c>
      <c r="H40" s="12">
        <f t="shared" ca="1" si="36"/>
        <v>-73.955070929264082</v>
      </c>
      <c r="I40" s="12">
        <f t="shared" ca="1" si="36"/>
        <v>-19.695176899994749</v>
      </c>
      <c r="J40" s="12">
        <f t="shared" ref="J40" si="37">J35*J39</f>
        <v>9.2792024396802137</v>
      </c>
      <c r="K40" s="12">
        <f t="shared" si="36"/>
        <v>36.811057430673969</v>
      </c>
      <c r="L40" s="12">
        <f t="shared" si="36"/>
        <v>35.36654258396441</v>
      </c>
      <c r="M40" s="12">
        <f t="shared" si="36"/>
        <v>33.964349131468147</v>
      </c>
      <c r="N40" s="12">
        <f t="shared" si="36"/>
        <v>32.618108930651495</v>
      </c>
      <c r="O40" s="12">
        <f t="shared" ref="O40:Y40" si="38">O35*O39</f>
        <v>31.325581208295503</v>
      </c>
      <c r="P40" s="12">
        <f t="shared" si="38"/>
        <v>30.084615105099196</v>
      </c>
      <c r="Q40" s="12">
        <f t="shared" si="38"/>
        <v>28.89314606386402</v>
      </c>
      <c r="R40" s="12">
        <f t="shared" si="38"/>
        <v>27.749192362849776</v>
      </c>
      <c r="S40" s="12">
        <f t="shared" si="38"/>
        <v>26.650851788465062</v>
      </c>
      <c r="T40" s="12">
        <f t="shared" si="38"/>
        <v>25.596298441690259</v>
      </c>
      <c r="U40" s="12">
        <f t="shared" si="38"/>
        <v>24.58377967285611</v>
      </c>
      <c r="V40" s="12">
        <f t="shared" si="38"/>
        <v>23.611613139617361</v>
      </c>
      <c r="W40" s="12">
        <f t="shared" si="38"/>
        <v>22.678183983168314</v>
      </c>
      <c r="X40" s="12">
        <f t="shared" si="38"/>
        <v>21.781942117946429</v>
      </c>
      <c r="Y40" s="12">
        <f t="shared" si="38"/>
        <v>20.921399630261305</v>
      </c>
      <c r="Z40" s="12">
        <f>(Z35+Z36)*Z39</f>
        <v>99.083623465475995</v>
      </c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2:67" x14ac:dyDescent="0.25">
      <c r="C41" s="59" t="s">
        <v>29</v>
      </c>
      <c r="D41" s="26"/>
      <c r="E41" s="15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8"/>
      <c r="W41" s="8"/>
      <c r="X41" s="8"/>
      <c r="Y41" s="8"/>
      <c r="Z41" s="13"/>
      <c r="AA41" s="8"/>
      <c r="AB41" s="8"/>
      <c r="AC41" s="8"/>
      <c r="AD41" s="8"/>
      <c r="AE41" s="8"/>
      <c r="AF41" s="8"/>
      <c r="AG41" s="8"/>
      <c r="AH41" s="8"/>
      <c r="AI41" s="8"/>
      <c r="AJ41" s="13"/>
      <c r="AK41" s="8"/>
      <c r="AL41" s="8"/>
      <c r="AM41" s="8"/>
      <c r="AN41" s="8"/>
      <c r="AO41" s="8"/>
      <c r="AP41" s="8"/>
      <c r="AQ41" s="8"/>
      <c r="AR41" s="29"/>
      <c r="AS41" s="25"/>
      <c r="AT41" s="25"/>
      <c r="AU41" s="25"/>
      <c r="AV41" s="25"/>
      <c r="AW41" s="25"/>
      <c r="AX41" s="25"/>
      <c r="AY41" s="15"/>
      <c r="AZ41" s="8"/>
      <c r="BA41" s="8"/>
      <c r="BB41" s="8"/>
      <c r="BC41" s="8"/>
      <c r="BD41" s="8"/>
      <c r="BE41" s="8"/>
      <c r="BF41" s="8"/>
      <c r="BG41" s="8"/>
      <c r="BH41" s="8"/>
      <c r="BJ41" s="8"/>
      <c r="BK41" s="8"/>
      <c r="BL41" s="8"/>
      <c r="BM41" s="8"/>
      <c r="BN41" s="8"/>
      <c r="BO41" s="8"/>
    </row>
    <row r="42" spans="2:67" x14ac:dyDescent="0.25">
      <c r="E42" s="24"/>
    </row>
    <row r="43" spans="2:67" x14ac:dyDescent="0.25">
      <c r="E43" s="27">
        <f>XNPV($B$37,J37:Z37,J5:Z5)</f>
        <v>542.78339912665626</v>
      </c>
      <c r="F43" s="23"/>
    </row>
    <row r="44" spans="2:67" x14ac:dyDescent="0.25">
      <c r="E44" s="23">
        <f>E43*0.9</f>
        <v>488.50505921399065</v>
      </c>
    </row>
    <row r="45" spans="2:67" x14ac:dyDescent="0.25">
      <c r="E45" s="23"/>
      <c r="S45" s="2"/>
    </row>
    <row r="46" spans="2:67" x14ac:dyDescent="0.25">
      <c r="E46">
        <v>542</v>
      </c>
    </row>
    <row r="47" spans="2:67" x14ac:dyDescent="0.25">
      <c r="C47" t="s">
        <v>34</v>
      </c>
      <c r="E47" s="61">
        <f>E46*0.9</f>
        <v>487.8</v>
      </c>
      <c r="F47" s="32"/>
    </row>
    <row r="48" spans="2:67" x14ac:dyDescent="0.25">
      <c r="C48" t="s">
        <v>35</v>
      </c>
      <c r="T48" s="27"/>
    </row>
    <row r="49" spans="3:17" x14ac:dyDescent="0.25">
      <c r="C49" t="s">
        <v>36</v>
      </c>
      <c r="E49" s="1"/>
      <c r="P49">
        <v>2029</v>
      </c>
    </row>
    <row r="50" spans="3:17" x14ac:dyDescent="0.25">
      <c r="P50">
        <f>P49+30</f>
        <v>2059</v>
      </c>
    </row>
    <row r="51" spans="3:17" x14ac:dyDescent="0.25">
      <c r="P51">
        <v>2045</v>
      </c>
    </row>
    <row r="52" spans="3:17" x14ac:dyDescent="0.25">
      <c r="P52">
        <f>P50-P51</f>
        <v>14</v>
      </c>
      <c r="Q52" s="34"/>
    </row>
    <row r="53" spans="3:17" x14ac:dyDescent="0.25">
      <c r="Q53" s="52"/>
    </row>
    <row r="58" spans="3:17" x14ac:dyDescent="0.25">
      <c r="E58" s="2">
        <f>E57*BO9</f>
        <v>0</v>
      </c>
    </row>
    <row r="59" spans="3:17" x14ac:dyDescent="0.25">
      <c r="E59" t="s">
        <v>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G54"/>
  <sheetViews>
    <sheetView workbookViewId="0">
      <selection activeCell="E5" sqref="E5"/>
    </sheetView>
  </sheetViews>
  <sheetFormatPr defaultRowHeight="15" x14ac:dyDescent="0.25"/>
  <cols>
    <col min="3" max="3" width="13.28515625" bestFit="1" customWidth="1"/>
    <col min="4" max="4" width="15.7109375" bestFit="1" customWidth="1"/>
    <col min="5" max="5" width="7.42578125" bestFit="1" customWidth="1"/>
    <col min="6" max="6" width="9.7109375" bestFit="1" customWidth="1"/>
    <col min="7" max="7" width="9.140625" customWidth="1"/>
    <col min="9" max="9" width="14.28515625" style="23" bestFit="1" customWidth="1"/>
    <col min="10" max="10" width="7.140625" style="23" bestFit="1" customWidth="1"/>
    <col min="11" max="11" width="14.28515625" style="23" bestFit="1" customWidth="1"/>
    <col min="12" max="13" width="10.42578125" bestFit="1" customWidth="1"/>
    <col min="14" max="14" width="28.7109375" bestFit="1" customWidth="1"/>
    <col min="15" max="16" width="11.5703125" bestFit="1" customWidth="1"/>
    <col min="17" max="17" width="11.5703125" style="23" bestFit="1" customWidth="1"/>
    <col min="18" max="29" width="11.5703125" bestFit="1" customWidth="1"/>
    <col min="30" max="30" width="12.5703125" bestFit="1" customWidth="1"/>
    <col min="31" max="33" width="11.5703125" bestFit="1" customWidth="1"/>
  </cols>
  <sheetData>
    <row r="2" spans="1:33" x14ac:dyDescent="0.25">
      <c r="M2">
        <f>25%*1.04*1.12</f>
        <v>0.29120000000000001</v>
      </c>
    </row>
    <row r="3" spans="1:33" x14ac:dyDescent="0.25">
      <c r="C3" s="62" t="s">
        <v>19</v>
      </c>
      <c r="D3" s="62"/>
      <c r="E3" s="62"/>
      <c r="F3" s="62"/>
    </row>
    <row r="4" spans="1:33" ht="30" x14ac:dyDescent="0.25">
      <c r="C4" s="17"/>
      <c r="D4" s="18" t="s">
        <v>22</v>
      </c>
      <c r="E4" s="18" t="s">
        <v>23</v>
      </c>
      <c r="F4" s="18" t="s">
        <v>24</v>
      </c>
      <c r="G4" s="5"/>
    </row>
    <row r="5" spans="1:33" x14ac:dyDescent="0.25">
      <c r="B5" s="52">
        <f>D5/$D$7</f>
        <v>0.4560657291506971</v>
      </c>
      <c r="C5" s="17" t="s">
        <v>20</v>
      </c>
      <c r="D5" s="56">
        <v>251.53760326025505</v>
      </c>
      <c r="E5" s="21">
        <v>0.121</v>
      </c>
      <c r="F5" s="20">
        <f>(D5/D7)*E5</f>
        <v>5.518395322723435E-2</v>
      </c>
      <c r="G5" t="s">
        <v>72</v>
      </c>
    </row>
    <row r="6" spans="1:33" x14ac:dyDescent="0.25">
      <c r="B6" s="52">
        <f>D6/$D$7</f>
        <v>0.5439342708493029</v>
      </c>
      <c r="C6" s="17" t="s">
        <v>21</v>
      </c>
      <c r="D6" s="56">
        <v>300.00044746913852</v>
      </c>
      <c r="E6" s="21">
        <v>9.5500000000000002E-2</v>
      </c>
      <c r="F6" s="20">
        <f>(D6/D7)*(1-M2)*E6</f>
        <v>3.681912836749765E-2</v>
      </c>
      <c r="G6" s="46">
        <f>E6*(1-34.94%)</f>
        <v>6.2132300000000008E-2</v>
      </c>
    </row>
    <row r="7" spans="1:33" x14ac:dyDescent="0.25">
      <c r="B7" s="34">
        <f>SUM(B5:B6)</f>
        <v>1</v>
      </c>
      <c r="C7" s="17"/>
      <c r="D7" s="57">
        <f>SUM(D5:D6)</f>
        <v>551.5380507293936</v>
      </c>
      <c r="E7" s="19"/>
      <c r="F7" s="22">
        <f>SUM(F5:F6)</f>
        <v>9.2003081594732E-2</v>
      </c>
    </row>
    <row r="8" spans="1:33" x14ac:dyDescent="0.25">
      <c r="C8" t="s">
        <v>30</v>
      </c>
      <c r="F8" s="4">
        <v>2E-3</v>
      </c>
    </row>
    <row r="9" spans="1:33" x14ac:dyDescent="0.25">
      <c r="C9" s="30" t="s">
        <v>31</v>
      </c>
      <c r="F9" s="31">
        <f>F7+F8</f>
        <v>9.4003081594732002E-2</v>
      </c>
    </row>
    <row r="12" spans="1:33" x14ac:dyDescent="0.25">
      <c r="N12" s="2">
        <f>O43</f>
        <v>72.52286038622691</v>
      </c>
      <c r="O12" s="2">
        <f>N12*1.03</f>
        <v>74.698546197813712</v>
      </c>
      <c r="P12" s="2">
        <f t="shared" ref="P12:AG12" si="0">O12*1.03</f>
        <v>76.939502583748123</v>
      </c>
      <c r="Q12" s="2">
        <f t="shared" si="0"/>
        <v>79.247687661260571</v>
      </c>
      <c r="R12" s="2">
        <f t="shared" si="0"/>
        <v>81.625118291098389</v>
      </c>
      <c r="S12" s="2">
        <f t="shared" si="0"/>
        <v>84.073871839831341</v>
      </c>
      <c r="T12" s="2">
        <f t="shared" si="0"/>
        <v>86.596087995026281</v>
      </c>
      <c r="U12" s="2">
        <f t="shared" si="0"/>
        <v>89.193970634877076</v>
      </c>
      <c r="V12" s="2">
        <f t="shared" si="0"/>
        <v>91.869789753923385</v>
      </c>
      <c r="W12" s="2">
        <f t="shared" si="0"/>
        <v>94.625883446541096</v>
      </c>
      <c r="X12" s="2">
        <f t="shared" si="0"/>
        <v>97.464659949937328</v>
      </c>
      <c r="Y12" s="2">
        <f t="shared" si="0"/>
        <v>100.38859974843545</v>
      </c>
      <c r="Z12" s="2">
        <f t="shared" si="0"/>
        <v>103.40025774088852</v>
      </c>
      <c r="AA12" s="2">
        <f t="shared" si="0"/>
        <v>106.50226547311517</v>
      </c>
      <c r="AB12" s="2">
        <f t="shared" si="0"/>
        <v>109.69733343730863</v>
      </c>
      <c r="AC12" s="2">
        <f t="shared" si="0"/>
        <v>112.9882534404279</v>
      </c>
      <c r="AD12" s="2">
        <f t="shared" si="0"/>
        <v>116.37790104364073</v>
      </c>
      <c r="AE12" s="2">
        <f t="shared" si="0"/>
        <v>119.86923807494996</v>
      </c>
      <c r="AF12" s="2">
        <f t="shared" si="0"/>
        <v>123.46531521719847</v>
      </c>
      <c r="AG12" s="2">
        <f t="shared" si="0"/>
        <v>127.16927467371443</v>
      </c>
    </row>
    <row r="13" spans="1:33" x14ac:dyDescent="0.25">
      <c r="A13" s="42" t="s">
        <v>59</v>
      </c>
      <c r="B13" s="43" t="s">
        <v>57</v>
      </c>
      <c r="C13" s="44" t="s">
        <v>58</v>
      </c>
      <c r="D13" s="44" t="s">
        <v>6</v>
      </c>
      <c r="E13" s="44" t="s">
        <v>63</v>
      </c>
      <c r="F13" s="44" t="s">
        <v>61</v>
      </c>
      <c r="G13" s="44" t="s">
        <v>60</v>
      </c>
      <c r="H13" s="44" t="s">
        <v>62</v>
      </c>
      <c r="I13" s="44" t="s">
        <v>64</v>
      </c>
      <c r="J13" s="44"/>
      <c r="K13" s="44"/>
      <c r="L13" s="7">
        <v>45382</v>
      </c>
      <c r="M13" s="7">
        <f>EDATE(L13,12)</f>
        <v>45747</v>
      </c>
      <c r="N13" s="7">
        <f t="shared" ref="N13:Y13" si="1">EDATE(M13,12)</f>
        <v>46112</v>
      </c>
      <c r="O13" s="7">
        <f t="shared" si="1"/>
        <v>46477</v>
      </c>
      <c r="P13" s="7">
        <f t="shared" si="1"/>
        <v>46843</v>
      </c>
      <c r="Q13" s="7">
        <f t="shared" si="1"/>
        <v>47208</v>
      </c>
      <c r="R13" s="7">
        <f t="shared" si="1"/>
        <v>47573</v>
      </c>
      <c r="S13" s="7">
        <f t="shared" si="1"/>
        <v>47938</v>
      </c>
      <c r="T13" s="7">
        <f t="shared" si="1"/>
        <v>48304</v>
      </c>
      <c r="U13" s="7">
        <f t="shared" si="1"/>
        <v>48669</v>
      </c>
      <c r="V13" s="7">
        <f t="shared" si="1"/>
        <v>49034</v>
      </c>
      <c r="W13" s="7">
        <f t="shared" si="1"/>
        <v>49399</v>
      </c>
      <c r="X13" s="7">
        <f t="shared" si="1"/>
        <v>49765</v>
      </c>
      <c r="Y13" s="7">
        <f t="shared" si="1"/>
        <v>50130</v>
      </c>
      <c r="Z13" s="7">
        <f t="shared" ref="Z13" si="2">EDATE(Y13,12)</f>
        <v>50495</v>
      </c>
      <c r="AA13" s="7">
        <f t="shared" ref="AA13" si="3">EDATE(Z13,12)</f>
        <v>50860</v>
      </c>
      <c r="AB13" s="7">
        <f t="shared" ref="AB13" si="4">EDATE(AA13,12)</f>
        <v>51226</v>
      </c>
      <c r="AC13" s="7">
        <f t="shared" ref="AC13" si="5">EDATE(AB13,12)</f>
        <v>51591</v>
      </c>
      <c r="AD13" s="7">
        <f t="shared" ref="AD13" si="6">EDATE(AC13,12)</f>
        <v>51956</v>
      </c>
      <c r="AE13" s="7">
        <f t="shared" ref="AE13" si="7">EDATE(AD13,12)</f>
        <v>52321</v>
      </c>
      <c r="AF13" s="7">
        <f t="shared" ref="AF13" si="8">EDATE(AE13,12)</f>
        <v>52687</v>
      </c>
      <c r="AG13" s="7">
        <f t="shared" ref="AG13" si="9">EDATE(AF13,12)</f>
        <v>53052</v>
      </c>
    </row>
    <row r="14" spans="1:33" x14ac:dyDescent="0.25">
      <c r="A14" t="s">
        <v>52</v>
      </c>
      <c r="B14" s="23">
        <v>243028.41058999998</v>
      </c>
      <c r="C14" s="45">
        <v>45838</v>
      </c>
      <c r="D14" s="3">
        <v>45380</v>
      </c>
      <c r="E14" s="27">
        <v>43.589575723422392</v>
      </c>
      <c r="F14">
        <v>30</v>
      </c>
      <c r="G14" s="34">
        <v>0.95</v>
      </c>
      <c r="H14" s="46">
        <f>G14/F14</f>
        <v>3.1666666666666662E-2</v>
      </c>
      <c r="I14" s="23">
        <f>E14*10^7</f>
        <v>435895757.2342239</v>
      </c>
      <c r="J14" s="46">
        <f>I14/$I$19</f>
        <v>0.17130856079973988</v>
      </c>
      <c r="K14" s="23">
        <f>J14*$O$50*10^7</f>
        <v>749908267.68040502</v>
      </c>
      <c r="L14" s="23"/>
      <c r="M14" s="23"/>
      <c r="N14" s="23">
        <f>$K$14*$H$14*(YEARFRAC(C14,N13))</f>
        <v>17810321.357409615</v>
      </c>
      <c r="O14" s="23">
        <f>$K$14*$H$14*(YEARFRAC(N13,O13))</f>
        <v>23747095.143212821</v>
      </c>
      <c r="P14" s="23">
        <f t="shared" ref="P14:AG14" si="10">$K$14*$H$14*(YEARFRAC(O13,P13))</f>
        <v>23747095.143212821</v>
      </c>
      <c r="Q14" s="23">
        <f t="shared" si="10"/>
        <v>23747095.143212821</v>
      </c>
      <c r="R14" s="23">
        <f t="shared" si="10"/>
        <v>23747095.143212821</v>
      </c>
      <c r="S14" s="23">
        <f t="shared" si="10"/>
        <v>23747095.143212821</v>
      </c>
      <c r="T14" s="23">
        <f t="shared" si="10"/>
        <v>23747095.143212821</v>
      </c>
      <c r="U14" s="23">
        <f t="shared" si="10"/>
        <v>23747095.143212821</v>
      </c>
      <c r="V14" s="23">
        <f t="shared" si="10"/>
        <v>23747095.143212821</v>
      </c>
      <c r="W14" s="23">
        <f t="shared" si="10"/>
        <v>23747095.143212821</v>
      </c>
      <c r="X14" s="23">
        <f t="shared" si="10"/>
        <v>23747095.143212821</v>
      </c>
      <c r="Y14" s="23">
        <f t="shared" si="10"/>
        <v>23747095.143212821</v>
      </c>
      <c r="Z14" s="23">
        <f t="shared" si="10"/>
        <v>23747095.143212821</v>
      </c>
      <c r="AA14" s="23">
        <f t="shared" si="10"/>
        <v>23747095.143212821</v>
      </c>
      <c r="AB14" s="23">
        <f t="shared" si="10"/>
        <v>23747095.143212821</v>
      </c>
      <c r="AC14" s="23">
        <f t="shared" si="10"/>
        <v>23747095.143212821</v>
      </c>
      <c r="AD14" s="23">
        <f t="shared" si="10"/>
        <v>23747095.143212821</v>
      </c>
      <c r="AE14" s="23">
        <f t="shared" si="10"/>
        <v>23747095.143212821</v>
      </c>
      <c r="AF14" s="23">
        <f t="shared" si="10"/>
        <v>23747095.143212821</v>
      </c>
      <c r="AG14" s="23">
        <f t="shared" si="10"/>
        <v>23747095.143212821</v>
      </c>
    </row>
    <row r="15" spans="1:33" x14ac:dyDescent="0.25">
      <c r="A15" t="s">
        <v>53</v>
      </c>
      <c r="B15" s="23">
        <v>470733.22550099995</v>
      </c>
      <c r="C15" s="45">
        <v>46203</v>
      </c>
      <c r="D15" s="3">
        <v>45380</v>
      </c>
      <c r="E15" s="27">
        <v>84.43071132585932</v>
      </c>
      <c r="F15">
        <v>30</v>
      </c>
      <c r="G15" s="34">
        <v>0.95</v>
      </c>
      <c r="H15" s="46">
        <f t="shared" ref="H15:H18" si="11">G15/F15</f>
        <v>3.1666666666666662E-2</v>
      </c>
      <c r="I15" s="23">
        <f t="shared" ref="I15:I18" si="12">E15*10^7</f>
        <v>844307113.2585932</v>
      </c>
      <c r="J15" s="46">
        <f t="shared" ref="J15:J18" si="13">I15/$I$19</f>
        <v>0.3318156555664602</v>
      </c>
      <c r="K15" s="23">
        <f t="shared" ref="K15:K18" si="14">J15*$O$50*10^7</f>
        <v>1452532799.8404384</v>
      </c>
      <c r="L15" s="23"/>
      <c r="N15" s="23"/>
      <c r="O15" s="23">
        <f>$K$15*$H$15*(YEARFRAC(C15,O13))</f>
        <v>34497653.996210411</v>
      </c>
      <c r="P15" s="23">
        <f>$K$15*$H$15*(YEARFRAC(O13,P13))</f>
        <v>45996871.99494721</v>
      </c>
      <c r="Q15" s="23">
        <f t="shared" ref="Q15:AG15" si="15">$K$15*$H$15*(YEARFRAC(P13,Q13))</f>
        <v>45996871.99494721</v>
      </c>
      <c r="R15" s="23">
        <f t="shared" si="15"/>
        <v>45996871.99494721</v>
      </c>
      <c r="S15" s="23">
        <f t="shared" si="15"/>
        <v>45996871.99494721</v>
      </c>
      <c r="T15" s="23">
        <f t="shared" si="15"/>
        <v>45996871.99494721</v>
      </c>
      <c r="U15" s="23">
        <f t="shared" si="15"/>
        <v>45996871.99494721</v>
      </c>
      <c r="V15" s="23">
        <f t="shared" si="15"/>
        <v>45996871.99494721</v>
      </c>
      <c r="W15" s="23">
        <f t="shared" si="15"/>
        <v>45996871.99494721</v>
      </c>
      <c r="X15" s="23">
        <f t="shared" si="15"/>
        <v>45996871.99494721</v>
      </c>
      <c r="Y15" s="23">
        <f t="shared" si="15"/>
        <v>45996871.99494721</v>
      </c>
      <c r="Z15" s="23">
        <f t="shared" si="15"/>
        <v>45996871.99494721</v>
      </c>
      <c r="AA15" s="23">
        <f t="shared" si="15"/>
        <v>45996871.99494721</v>
      </c>
      <c r="AB15" s="23">
        <f t="shared" si="15"/>
        <v>45996871.99494721</v>
      </c>
      <c r="AC15" s="23">
        <f t="shared" si="15"/>
        <v>45996871.99494721</v>
      </c>
      <c r="AD15" s="23">
        <f t="shared" si="15"/>
        <v>45996871.99494721</v>
      </c>
      <c r="AE15" s="23">
        <f t="shared" si="15"/>
        <v>45996871.99494721</v>
      </c>
      <c r="AF15" s="23">
        <f t="shared" si="15"/>
        <v>45996871.99494721</v>
      </c>
      <c r="AG15" s="23">
        <f t="shared" si="15"/>
        <v>45996871.99494721</v>
      </c>
    </row>
    <row r="16" spans="1:33" x14ac:dyDescent="0.25">
      <c r="A16" t="s">
        <v>54</v>
      </c>
      <c r="B16" s="23">
        <v>196225.03588799998</v>
      </c>
      <c r="C16" s="45">
        <v>46477</v>
      </c>
      <c r="D16" s="3">
        <v>45380</v>
      </c>
      <c r="E16" s="27">
        <v>35.194922436871664</v>
      </c>
      <c r="F16">
        <v>30</v>
      </c>
      <c r="G16" s="34">
        <v>0.95</v>
      </c>
      <c r="H16" s="46">
        <f t="shared" si="11"/>
        <v>3.1666666666666662E-2</v>
      </c>
      <c r="I16" s="23">
        <f t="shared" si="12"/>
        <v>351949224.36871666</v>
      </c>
      <c r="J16" s="46">
        <f t="shared" si="13"/>
        <v>0.13831727907549324</v>
      </c>
      <c r="K16" s="23">
        <f t="shared" si="14"/>
        <v>605487960.77404082</v>
      </c>
      <c r="L16" s="23"/>
      <c r="N16" s="23"/>
      <c r="O16" s="23">
        <f>K16*$H$16*(YEARFRAC(C16,O13))</f>
        <v>0</v>
      </c>
      <c r="P16" s="23">
        <f>$K$16*$H$16*(YEARFRAC(O13,P13))</f>
        <v>19173785.424511291</v>
      </c>
      <c r="Q16" s="23">
        <f>$K$16*$H$16*(YEARFRAC(P13,Q13))</f>
        <v>19173785.424511291</v>
      </c>
      <c r="R16" s="23">
        <f t="shared" ref="R16:AG16" si="16">$K$16*$H$16*(YEARFRAC(Q13,R13))</f>
        <v>19173785.424511291</v>
      </c>
      <c r="S16" s="23">
        <f t="shared" si="16"/>
        <v>19173785.424511291</v>
      </c>
      <c r="T16" s="23">
        <f t="shared" si="16"/>
        <v>19173785.424511291</v>
      </c>
      <c r="U16" s="23">
        <f t="shared" si="16"/>
        <v>19173785.424511291</v>
      </c>
      <c r="V16" s="23">
        <f t="shared" si="16"/>
        <v>19173785.424511291</v>
      </c>
      <c r="W16" s="23">
        <f t="shared" si="16"/>
        <v>19173785.424511291</v>
      </c>
      <c r="X16" s="23">
        <f t="shared" si="16"/>
        <v>19173785.424511291</v>
      </c>
      <c r="Y16" s="23">
        <f t="shared" si="16"/>
        <v>19173785.424511291</v>
      </c>
      <c r="Z16" s="23">
        <f t="shared" si="16"/>
        <v>19173785.424511291</v>
      </c>
      <c r="AA16" s="23">
        <f t="shared" si="16"/>
        <v>19173785.424511291</v>
      </c>
      <c r="AB16" s="23">
        <f t="shared" si="16"/>
        <v>19173785.424511291</v>
      </c>
      <c r="AC16" s="23">
        <f t="shared" si="16"/>
        <v>19173785.424511291</v>
      </c>
      <c r="AD16" s="23">
        <f t="shared" si="16"/>
        <v>19173785.424511291</v>
      </c>
      <c r="AE16" s="23">
        <f t="shared" si="16"/>
        <v>19173785.424511291</v>
      </c>
      <c r="AF16" s="23">
        <f t="shared" si="16"/>
        <v>19173785.424511291</v>
      </c>
      <c r="AG16" s="23">
        <f t="shared" si="16"/>
        <v>19173785.424511291</v>
      </c>
    </row>
    <row r="17" spans="1:33" x14ac:dyDescent="0.25">
      <c r="A17" t="s">
        <v>55</v>
      </c>
      <c r="B17" s="23">
        <v>420964.181071</v>
      </c>
      <c r="C17" s="45">
        <v>46752</v>
      </c>
      <c r="D17" s="3">
        <v>45380</v>
      </c>
      <c r="E17" s="27">
        <v>75.50413551689455</v>
      </c>
      <c r="F17">
        <v>30</v>
      </c>
      <c r="G17" s="34">
        <v>0.95</v>
      </c>
      <c r="H17" s="46">
        <f t="shared" si="11"/>
        <v>3.1666666666666662E-2</v>
      </c>
      <c r="I17" s="23">
        <f t="shared" si="12"/>
        <v>755041355.16894555</v>
      </c>
      <c r="J17" s="46">
        <f t="shared" si="13"/>
        <v>0.29673389968045766</v>
      </c>
      <c r="K17" s="23">
        <f t="shared" si="14"/>
        <v>1298961380.7540727</v>
      </c>
      <c r="L17" s="23"/>
      <c r="N17" s="23"/>
      <c r="O17" s="23"/>
      <c r="P17" s="23">
        <f>$K$17*$H$17*(YEARFRAC(C17,P13))</f>
        <v>10283444.264303073</v>
      </c>
      <c r="Q17" s="23">
        <f>$K$17*$H$17*(YEARFRAC(P13,Q13))</f>
        <v>41133777.057212293</v>
      </c>
      <c r="R17" s="23">
        <f t="shared" ref="R17:AG17" si="17">$K$17*$H$17*(YEARFRAC(Q13,R13))</f>
        <v>41133777.057212293</v>
      </c>
      <c r="S17" s="23">
        <f t="shared" si="17"/>
        <v>41133777.057212293</v>
      </c>
      <c r="T17" s="23">
        <f t="shared" si="17"/>
        <v>41133777.057212293</v>
      </c>
      <c r="U17" s="23">
        <f t="shared" si="17"/>
        <v>41133777.057212293</v>
      </c>
      <c r="V17" s="23">
        <f t="shared" si="17"/>
        <v>41133777.057212293</v>
      </c>
      <c r="W17" s="23">
        <f t="shared" si="17"/>
        <v>41133777.057212293</v>
      </c>
      <c r="X17" s="23">
        <f t="shared" si="17"/>
        <v>41133777.057212293</v>
      </c>
      <c r="Y17" s="23">
        <f t="shared" si="17"/>
        <v>41133777.057212293</v>
      </c>
      <c r="Z17" s="23">
        <f t="shared" si="17"/>
        <v>41133777.057212293</v>
      </c>
      <c r="AA17" s="23">
        <f t="shared" si="17"/>
        <v>41133777.057212293</v>
      </c>
      <c r="AB17" s="23">
        <f t="shared" si="17"/>
        <v>41133777.057212293</v>
      </c>
      <c r="AC17" s="23">
        <f t="shared" si="17"/>
        <v>41133777.057212293</v>
      </c>
      <c r="AD17" s="23">
        <f t="shared" si="17"/>
        <v>41133777.057212293</v>
      </c>
      <c r="AE17" s="23">
        <f t="shared" si="17"/>
        <v>41133777.057212293</v>
      </c>
      <c r="AF17" s="23">
        <f t="shared" si="17"/>
        <v>41133777.057212293</v>
      </c>
      <c r="AG17" s="23">
        <f t="shared" si="17"/>
        <v>41133777.057212293</v>
      </c>
    </row>
    <row r="18" spans="1:33" x14ac:dyDescent="0.25">
      <c r="A18" t="s">
        <v>56</v>
      </c>
      <c r="B18" s="23">
        <v>87708.024565</v>
      </c>
      <c r="C18" s="45">
        <v>47118</v>
      </c>
      <c r="D18" s="3">
        <v>45380</v>
      </c>
      <c r="E18" s="27">
        <v>15.7313112859784</v>
      </c>
      <c r="F18">
        <v>30</v>
      </c>
      <c r="G18" s="34">
        <v>0.95</v>
      </c>
      <c r="H18" s="46">
        <f t="shared" si="11"/>
        <v>3.1666666666666662E-2</v>
      </c>
      <c r="I18" s="23">
        <f t="shared" si="12"/>
        <v>157313112.85978401</v>
      </c>
      <c r="J18" s="46">
        <f t="shared" si="13"/>
        <v>6.1824604877848931E-2</v>
      </c>
      <c r="K18" s="23">
        <f t="shared" si="14"/>
        <v>270639027.77264833</v>
      </c>
      <c r="L18" s="23"/>
      <c r="N18" s="23"/>
      <c r="O18" s="23"/>
      <c r="P18" s="23"/>
      <c r="Q18" s="23">
        <f>$K$18*$H$18*(YEARFRAC(C18,Q13))</f>
        <v>2142558.9698667992</v>
      </c>
      <c r="R18" s="23">
        <f>$K$18*$H$18*(YEARFRAC(Q13,R13))</f>
        <v>8570235.8794671968</v>
      </c>
      <c r="S18" s="23">
        <f t="shared" ref="S18:AG18" si="18">$K$18*$H$18*(YEARFRAC(R13,S13))</f>
        <v>8570235.8794671968</v>
      </c>
      <c r="T18" s="23">
        <f t="shared" si="18"/>
        <v>8570235.8794671968</v>
      </c>
      <c r="U18" s="23">
        <f t="shared" si="18"/>
        <v>8570235.8794671968</v>
      </c>
      <c r="V18" s="23">
        <f t="shared" si="18"/>
        <v>8570235.8794671968</v>
      </c>
      <c r="W18" s="23">
        <f t="shared" si="18"/>
        <v>8570235.8794671968</v>
      </c>
      <c r="X18" s="23">
        <f t="shared" si="18"/>
        <v>8570235.8794671968</v>
      </c>
      <c r="Y18" s="23">
        <f t="shared" si="18"/>
        <v>8570235.8794671968</v>
      </c>
      <c r="Z18" s="23">
        <f t="shared" si="18"/>
        <v>8570235.8794671968</v>
      </c>
      <c r="AA18" s="23">
        <f t="shared" si="18"/>
        <v>8570235.8794671968</v>
      </c>
      <c r="AB18" s="23">
        <f t="shared" si="18"/>
        <v>8570235.8794671968</v>
      </c>
      <c r="AC18" s="23">
        <f t="shared" si="18"/>
        <v>8570235.8794671968</v>
      </c>
      <c r="AD18" s="23">
        <f t="shared" si="18"/>
        <v>8570235.8794671968</v>
      </c>
      <c r="AE18" s="23">
        <f t="shared" si="18"/>
        <v>8570235.8794671968</v>
      </c>
      <c r="AF18" s="23">
        <f t="shared" si="18"/>
        <v>8570235.8794671968</v>
      </c>
      <c r="AG18" s="23">
        <f t="shared" si="18"/>
        <v>8570235.8794671968</v>
      </c>
    </row>
    <row r="19" spans="1:33" x14ac:dyDescent="0.25">
      <c r="B19" s="23"/>
      <c r="C19" s="41"/>
      <c r="E19" s="2">
        <f>SUM(E14:E18)</f>
        <v>254.45065628902631</v>
      </c>
      <c r="I19" s="24">
        <f>SUM(I14:I18)</f>
        <v>2544506562.8902636</v>
      </c>
      <c r="J19" s="24"/>
      <c r="K19" s="24">
        <f>SUM(K14:K18)</f>
        <v>4377529436.8216057</v>
      </c>
      <c r="L19" s="24">
        <f t="shared" ref="L19:Y19" si="19">SUM(L14:L18)</f>
        <v>0</v>
      </c>
      <c r="M19" s="24">
        <f t="shared" si="19"/>
        <v>0</v>
      </c>
      <c r="N19" s="24">
        <f t="shared" si="19"/>
        <v>17810321.357409615</v>
      </c>
      <c r="O19" s="24">
        <f t="shared" si="19"/>
        <v>58244749.139423236</v>
      </c>
      <c r="P19" s="24">
        <f t="shared" si="19"/>
        <v>99201196.826974407</v>
      </c>
      <c r="Q19" s="24">
        <f t="shared" si="19"/>
        <v>132194088.58975042</v>
      </c>
      <c r="R19" s="24">
        <f t="shared" si="19"/>
        <v>138621765.49935082</v>
      </c>
      <c r="S19" s="24">
        <f t="shared" si="19"/>
        <v>138621765.49935082</v>
      </c>
      <c r="T19" s="24">
        <f t="shared" si="19"/>
        <v>138621765.49935082</v>
      </c>
      <c r="U19" s="24">
        <f t="shared" si="19"/>
        <v>138621765.49935082</v>
      </c>
      <c r="V19" s="24">
        <f t="shared" si="19"/>
        <v>138621765.49935082</v>
      </c>
      <c r="W19" s="24">
        <f t="shared" si="19"/>
        <v>138621765.49935082</v>
      </c>
      <c r="X19" s="24">
        <f t="shared" si="19"/>
        <v>138621765.49935082</v>
      </c>
      <c r="Y19" s="24">
        <f t="shared" si="19"/>
        <v>138621765.49935082</v>
      </c>
      <c r="Z19" s="24">
        <f t="shared" ref="Z19" si="20">SUM(Z14:Z18)</f>
        <v>138621765.49935082</v>
      </c>
      <c r="AA19" s="24">
        <f t="shared" ref="AA19" si="21">SUM(AA14:AA18)</f>
        <v>138621765.49935082</v>
      </c>
      <c r="AB19" s="24">
        <f t="shared" ref="AB19" si="22">SUM(AB14:AB18)</f>
        <v>138621765.49935082</v>
      </c>
      <c r="AC19" s="24">
        <f t="shared" ref="AC19" si="23">SUM(AC14:AC18)</f>
        <v>138621765.49935082</v>
      </c>
      <c r="AD19" s="24">
        <f t="shared" ref="AD19" si="24">SUM(AD14:AD18)</f>
        <v>138621765.49935082</v>
      </c>
      <c r="AE19" s="24">
        <f t="shared" ref="AE19:AF19" si="25">SUM(AE14:AE18)</f>
        <v>138621765.49935082</v>
      </c>
      <c r="AF19" s="24">
        <f t="shared" si="25"/>
        <v>138621765.49935082</v>
      </c>
      <c r="AG19" s="24">
        <f t="shared" ref="AG19" si="26">SUM(AG14:AG18)</f>
        <v>138621765.49935082</v>
      </c>
    </row>
    <row r="20" spans="1:33" x14ac:dyDescent="0.25">
      <c r="B20" s="23"/>
      <c r="C20" s="41"/>
      <c r="I20" s="27">
        <f>I19/10^7</f>
        <v>254.45065628902637</v>
      </c>
      <c r="J20" s="27"/>
      <c r="K20" s="27">
        <f>K19/10^7</f>
        <v>437.75294368216055</v>
      </c>
      <c r="L20" s="27">
        <f>L19/10^7</f>
        <v>0</v>
      </c>
      <c r="M20" s="27">
        <f t="shared" ref="M20:Y20" si="27">M19/10^7</f>
        <v>0</v>
      </c>
      <c r="N20" s="27">
        <f t="shared" si="27"/>
        <v>1.7810321357409615</v>
      </c>
      <c r="O20" s="27">
        <f t="shared" si="27"/>
        <v>5.824474913942324</v>
      </c>
      <c r="P20" s="27">
        <f t="shared" si="27"/>
        <v>9.9201196826974414</v>
      </c>
      <c r="Q20" s="27">
        <f t="shared" si="27"/>
        <v>13.219408858975042</v>
      </c>
      <c r="R20" s="27">
        <f t="shared" si="27"/>
        <v>13.862176549935082</v>
      </c>
      <c r="S20" s="27">
        <f t="shared" si="27"/>
        <v>13.862176549935082</v>
      </c>
      <c r="T20" s="27">
        <f t="shared" si="27"/>
        <v>13.862176549935082</v>
      </c>
      <c r="U20" s="27">
        <f t="shared" si="27"/>
        <v>13.862176549935082</v>
      </c>
      <c r="V20" s="27">
        <f t="shared" si="27"/>
        <v>13.862176549935082</v>
      </c>
      <c r="W20" s="27">
        <f t="shared" si="27"/>
        <v>13.862176549935082</v>
      </c>
      <c r="X20" s="27">
        <f t="shared" si="27"/>
        <v>13.862176549935082</v>
      </c>
      <c r="Y20" s="27">
        <f t="shared" si="27"/>
        <v>13.862176549935082</v>
      </c>
      <c r="Z20" s="27">
        <f t="shared" ref="Z20" si="28">Z19/10^7</f>
        <v>13.862176549935082</v>
      </c>
      <c r="AA20" s="27">
        <f t="shared" ref="AA20" si="29">AA19/10^7</f>
        <v>13.862176549935082</v>
      </c>
      <c r="AB20" s="27">
        <f t="shared" ref="AB20" si="30">AB19/10^7</f>
        <v>13.862176549935082</v>
      </c>
      <c r="AC20" s="27">
        <f t="shared" ref="AC20" si="31">AC19/10^7</f>
        <v>13.862176549935082</v>
      </c>
      <c r="AD20" s="27">
        <f t="shared" ref="AD20" si="32">AD19/10^7</f>
        <v>13.862176549935082</v>
      </c>
      <c r="AE20" s="27">
        <f t="shared" ref="AE20:AF20" si="33">AE19/10^7</f>
        <v>13.862176549935082</v>
      </c>
      <c r="AF20" s="27">
        <f t="shared" si="33"/>
        <v>13.862176549935082</v>
      </c>
      <c r="AG20" s="27">
        <f t="shared" ref="AG20" si="34">AG19/10^7</f>
        <v>13.862176549935082</v>
      </c>
    </row>
    <row r="21" spans="1:33" x14ac:dyDescent="0.25">
      <c r="I21" s="27"/>
      <c r="J21" s="27"/>
      <c r="K21" s="27"/>
      <c r="N21" s="2">
        <f>SUM(N20:AE20)</f>
        <v>224.81550729044687</v>
      </c>
      <c r="O21" s="2">
        <f>SUM(N20:U20)</f>
        <v>86.193741791096102</v>
      </c>
    </row>
    <row r="22" spans="1:33" x14ac:dyDescent="0.25">
      <c r="M22" t="s">
        <v>77</v>
      </c>
      <c r="N22" s="2">
        <f>K20-N21</f>
        <v>212.93743639171367</v>
      </c>
      <c r="O22" s="2">
        <f>K20-O21</f>
        <v>351.55920189106445</v>
      </c>
    </row>
    <row r="23" spans="1:33" x14ac:dyDescent="0.25">
      <c r="M23" t="s">
        <v>78</v>
      </c>
      <c r="N23" s="2">
        <f>AG12</f>
        <v>127.16927467371443</v>
      </c>
      <c r="O23" s="2">
        <f>U12</f>
        <v>89.193970634877076</v>
      </c>
    </row>
    <row r="24" spans="1:33" x14ac:dyDescent="0.25">
      <c r="M24" t="s">
        <v>79</v>
      </c>
      <c r="N24" s="2">
        <f>N23+N22</f>
        <v>340.1067110654281</v>
      </c>
      <c r="O24" s="2">
        <f>O23+O22</f>
        <v>440.75317252594152</v>
      </c>
    </row>
    <row r="26" spans="1:33" x14ac:dyDescent="0.25">
      <c r="N26" s="42" t="s">
        <v>48</v>
      </c>
      <c r="O26" s="42"/>
      <c r="P26" s="42"/>
      <c r="Q26" s="27"/>
    </row>
    <row r="27" spans="1:33" x14ac:dyDescent="0.25">
      <c r="N27" t="s">
        <v>37</v>
      </c>
      <c r="O27" t="s">
        <v>73</v>
      </c>
      <c r="P27" s="27">
        <v>47.58</v>
      </c>
      <c r="Q27" s="23" t="s">
        <v>73</v>
      </c>
      <c r="R27" s="2">
        <f>P27+P31</f>
        <v>72.52286038622691</v>
      </c>
      <c r="U27" s="52"/>
      <c r="V27" s="2"/>
    </row>
    <row r="28" spans="1:33" x14ac:dyDescent="0.25">
      <c r="N28" t="s">
        <v>38</v>
      </c>
      <c r="O28" t="s">
        <v>74</v>
      </c>
      <c r="P28" s="27">
        <v>254.45065628902654</v>
      </c>
      <c r="Q28" s="23" t="str">
        <f>O28</f>
        <v>Building</v>
      </c>
      <c r="R28" s="2">
        <f>P28+P29+P30+P35</f>
        <v>339.29823203908779</v>
      </c>
      <c r="U28" s="52"/>
      <c r="V28" s="2"/>
      <c r="W28" s="2"/>
    </row>
    <row r="29" spans="1:33" x14ac:dyDescent="0.25">
      <c r="N29" t="s">
        <v>39</v>
      </c>
      <c r="O29" t="s">
        <v>74</v>
      </c>
      <c r="P29" s="27">
        <v>61.603843101553736</v>
      </c>
      <c r="R29" s="27">
        <v>71.477443382360889</v>
      </c>
      <c r="U29" s="52"/>
      <c r="V29" s="2"/>
    </row>
    <row r="30" spans="1:33" x14ac:dyDescent="0.25">
      <c r="N30" t="s">
        <v>40</v>
      </c>
      <c r="O30" t="s">
        <v>74</v>
      </c>
      <c r="P30" s="27">
        <v>5.0220524267570994</v>
      </c>
      <c r="R30" s="2">
        <f>R29+R28</f>
        <v>410.77567542144868</v>
      </c>
      <c r="U30" s="52"/>
      <c r="V30" s="2"/>
      <c r="W30" s="2"/>
    </row>
    <row r="31" spans="1:33" x14ac:dyDescent="0.25">
      <c r="N31" t="s">
        <v>43</v>
      </c>
      <c r="O31" t="s">
        <v>73</v>
      </c>
      <c r="P31" s="27">
        <v>24.942860386226911</v>
      </c>
      <c r="U31" s="52"/>
      <c r="V31" s="2"/>
    </row>
    <row r="32" spans="1:33" x14ac:dyDescent="0.25">
      <c r="N32" s="42" t="s">
        <v>49</v>
      </c>
      <c r="O32" s="42"/>
      <c r="P32" s="60">
        <f>SUM(P27:P31)</f>
        <v>393.59941220356427</v>
      </c>
    </row>
    <row r="33" spans="14:23" x14ac:dyDescent="0.25">
      <c r="N33" t="s">
        <v>41</v>
      </c>
      <c r="P33" s="27"/>
      <c r="U33" s="52"/>
      <c r="V33" s="2"/>
    </row>
    <row r="34" spans="14:23" x14ac:dyDescent="0.25">
      <c r="N34" t="s">
        <v>42</v>
      </c>
      <c r="P34" s="27"/>
      <c r="U34" s="52"/>
      <c r="V34" s="2"/>
    </row>
    <row r="35" spans="14:23" x14ac:dyDescent="0.25">
      <c r="N35" t="s">
        <v>44</v>
      </c>
      <c r="P35" s="27">
        <v>18.221680221750354</v>
      </c>
      <c r="U35" s="52"/>
      <c r="V35" s="2"/>
    </row>
    <row r="36" spans="14:23" x14ac:dyDescent="0.25">
      <c r="P36" s="60">
        <f>SUM(P33:P35)</f>
        <v>18.221680221750354</v>
      </c>
      <c r="W36" s="27"/>
    </row>
    <row r="37" spans="14:23" x14ac:dyDescent="0.25">
      <c r="P37" s="23">
        <f>P36+P32</f>
        <v>411.82109242531465</v>
      </c>
    </row>
    <row r="38" spans="14:23" x14ac:dyDescent="0.25">
      <c r="T38" s="27"/>
    </row>
    <row r="39" spans="14:23" x14ac:dyDescent="0.25">
      <c r="T39" s="2"/>
    </row>
    <row r="40" spans="14:23" x14ac:dyDescent="0.25">
      <c r="N40" s="27" t="s">
        <v>80</v>
      </c>
      <c r="O40" s="27" t="s">
        <v>33</v>
      </c>
      <c r="P40" s="2"/>
      <c r="R40" s="2"/>
      <c r="S40" s="2"/>
    </row>
    <row r="41" spans="14:23" x14ac:dyDescent="0.25">
      <c r="N41" s="27" t="s">
        <v>73</v>
      </c>
      <c r="O41" s="27">
        <v>47.58</v>
      </c>
      <c r="P41" s="2" t="s">
        <v>78</v>
      </c>
      <c r="R41" s="2"/>
      <c r="S41" s="2"/>
    </row>
    <row r="42" spans="14:23" x14ac:dyDescent="0.25">
      <c r="N42" s="27" t="s">
        <v>82</v>
      </c>
      <c r="O42" s="2">
        <f>P31</f>
        <v>24.942860386226911</v>
      </c>
      <c r="P42" s="2" t="s">
        <v>78</v>
      </c>
      <c r="Q42" s="27">
        <v>86.546703487780647</v>
      </c>
      <c r="R42" s="2"/>
      <c r="S42" s="2"/>
    </row>
    <row r="43" spans="14:23" x14ac:dyDescent="0.25">
      <c r="N43" s="27"/>
      <c r="O43" s="27">
        <f>SUM(O41:O42)</f>
        <v>72.52286038622691</v>
      </c>
      <c r="P43" s="2"/>
      <c r="R43" s="2"/>
      <c r="S43" s="2"/>
    </row>
    <row r="44" spans="14:23" x14ac:dyDescent="0.25">
      <c r="N44" s="27" t="s">
        <v>81</v>
      </c>
      <c r="O44" s="27">
        <v>5.0220524267570994</v>
      </c>
      <c r="P44" t="s">
        <v>77</v>
      </c>
      <c r="S44" s="2"/>
    </row>
    <row r="45" spans="14:23" x14ac:dyDescent="0.25">
      <c r="N45" s="27" t="s">
        <v>38</v>
      </c>
      <c r="O45" s="27">
        <v>254.45065628902654</v>
      </c>
      <c r="P45" t="s">
        <v>77</v>
      </c>
    </row>
    <row r="46" spans="14:23" x14ac:dyDescent="0.25">
      <c r="N46" s="27" t="s">
        <v>83</v>
      </c>
      <c r="O46" s="27">
        <v>26.977268260711945</v>
      </c>
      <c r="P46" t="s">
        <v>77</v>
      </c>
    </row>
    <row r="47" spans="14:23" x14ac:dyDescent="0.25">
      <c r="N47" s="27" t="s">
        <v>84</v>
      </c>
      <c r="O47" s="27">
        <v>71.477443382360889</v>
      </c>
      <c r="P47" t="s">
        <v>77</v>
      </c>
    </row>
    <row r="48" spans="14:23" x14ac:dyDescent="0.25">
      <c r="N48" s="27" t="s">
        <v>85</v>
      </c>
      <c r="O48" s="27">
        <v>18.221680221750354</v>
      </c>
      <c r="P48" t="s">
        <v>77</v>
      </c>
    </row>
    <row r="49" spans="14:15" x14ac:dyDescent="0.25">
      <c r="N49" s="27"/>
      <c r="O49" s="27">
        <f>P29</f>
        <v>61.603843101553736</v>
      </c>
    </row>
    <row r="50" spans="14:15" x14ac:dyDescent="0.25">
      <c r="O50" s="2">
        <f>SUM(O44:O49)</f>
        <v>437.75294368216055</v>
      </c>
    </row>
    <row r="53" spans="14:15" x14ac:dyDescent="0.25">
      <c r="N53" s="27"/>
      <c r="O53" s="27"/>
    </row>
    <row r="54" spans="14:15" x14ac:dyDescent="0.25">
      <c r="N54" s="27"/>
      <c r="O54" s="27"/>
    </row>
  </sheetData>
  <mergeCells count="1">
    <mergeCell ref="C3:F3"/>
  </mergeCells>
  <pageMargins left="0.7" right="0.7" top="0.75" bottom="0.75" header="0.3" footer="0.3"/>
  <pageSetup orientation="portrait" r:id="rId1"/>
  <ignoredErrors>
    <ignoredError sqref="L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F52A-BE20-42C4-89AD-A2B129588212}">
  <dimension ref="C1:AD23"/>
  <sheetViews>
    <sheetView workbookViewId="0">
      <selection activeCell="I2" sqref="I2:AD2"/>
    </sheetView>
  </sheetViews>
  <sheetFormatPr defaultRowHeight="15" x14ac:dyDescent="0.25"/>
  <cols>
    <col min="3" max="3" width="7.85546875" bestFit="1" customWidth="1"/>
    <col min="4" max="4" width="14" style="23" bestFit="1" customWidth="1"/>
    <col min="5" max="5" width="15.140625" style="45" bestFit="1" customWidth="1"/>
    <col min="6" max="6" width="18.7109375" bestFit="1" customWidth="1"/>
    <col min="7" max="7" width="12.5703125" bestFit="1" customWidth="1"/>
    <col min="8" max="8" width="10.5703125" style="35" bestFit="1" customWidth="1"/>
    <col min="9" max="9" width="12.7109375" style="35" bestFit="1" customWidth="1"/>
    <col min="10" max="11" width="12.85546875" style="35" bestFit="1" customWidth="1"/>
    <col min="12" max="13" width="12.5703125" style="35" bestFit="1" customWidth="1"/>
    <col min="14" max="14" width="12.5703125" style="35" customWidth="1"/>
    <col min="15" max="18" width="14.28515625" style="35" bestFit="1" customWidth="1"/>
    <col min="19" max="30" width="11.5703125" bestFit="1" customWidth="1"/>
  </cols>
  <sheetData>
    <row r="1" spans="3:30" x14ac:dyDescent="0.25">
      <c r="I1" s="53">
        <f>I2/12</f>
        <v>5.8333333333333336E-3</v>
      </c>
      <c r="J1" s="53">
        <f t="shared" ref="J1:R1" si="0">J2/12</f>
        <v>5.8333333333333336E-3</v>
      </c>
      <c r="K1" s="53">
        <f t="shared" si="0"/>
        <v>5.8333333333333336E-3</v>
      </c>
      <c r="L1" s="53">
        <f t="shared" si="0"/>
        <v>5.8333333333333336E-3</v>
      </c>
      <c r="M1" s="53">
        <f t="shared" si="0"/>
        <v>5.8333333333333336E-3</v>
      </c>
      <c r="N1" s="53">
        <f t="shared" si="0"/>
        <v>5.8333333333333336E-3</v>
      </c>
      <c r="O1" s="53">
        <f t="shared" si="0"/>
        <v>5.8333333333333336E-3</v>
      </c>
      <c r="P1" s="53">
        <f t="shared" si="0"/>
        <v>5.8333333333333336E-3</v>
      </c>
      <c r="Q1" s="53">
        <f t="shared" si="0"/>
        <v>5.8333333333333336E-3</v>
      </c>
      <c r="R1" s="53">
        <f t="shared" si="0"/>
        <v>5.8333333333333336E-3</v>
      </c>
      <c r="S1" s="53">
        <f t="shared" ref="S1" si="1">S2/12</f>
        <v>5.8333333333333336E-3</v>
      </c>
      <c r="T1" s="53">
        <f t="shared" ref="T1" si="2">T2/12</f>
        <v>5.8333333333333336E-3</v>
      </c>
      <c r="U1" s="53">
        <f t="shared" ref="U1" si="3">U2/12</f>
        <v>5.8333333333333336E-3</v>
      </c>
      <c r="V1" s="53">
        <f t="shared" ref="V1" si="4">V2/12</f>
        <v>5.8333333333333336E-3</v>
      </c>
      <c r="W1" s="53">
        <f t="shared" ref="W1" si="5">W2/12</f>
        <v>5.8333333333333336E-3</v>
      </c>
      <c r="X1" s="53">
        <f t="shared" ref="X1" si="6">X2/12</f>
        <v>5.8333333333333336E-3</v>
      </c>
      <c r="Y1" s="53">
        <f t="shared" ref="Y1" si="7">Y2/12</f>
        <v>5.8333333333333336E-3</v>
      </c>
      <c r="Z1" s="53">
        <f t="shared" ref="Z1" si="8">Z2/12</f>
        <v>5.8333333333333336E-3</v>
      </c>
      <c r="AA1" s="53">
        <f t="shared" ref="AA1" si="9">AA2/12</f>
        <v>5.8333333333333336E-3</v>
      </c>
      <c r="AB1" s="53">
        <f t="shared" ref="AB1:AD1" si="10">AB2/12</f>
        <v>5.8333333333333336E-3</v>
      </c>
      <c r="AC1" s="53">
        <f t="shared" si="10"/>
        <v>5.8333333333333336E-3</v>
      </c>
      <c r="AD1" s="53">
        <f t="shared" si="10"/>
        <v>5.8333333333333336E-3</v>
      </c>
    </row>
    <row r="2" spans="3:30" x14ac:dyDescent="0.25">
      <c r="D2" s="47" t="s">
        <v>67</v>
      </c>
      <c r="I2" s="50">
        <v>7.0000000000000007E-2</v>
      </c>
      <c r="J2" s="50">
        <v>7.0000000000000007E-2</v>
      </c>
      <c r="K2" s="50">
        <v>7.0000000000000007E-2</v>
      </c>
      <c r="L2" s="50">
        <v>7.0000000000000007E-2</v>
      </c>
      <c r="M2" s="50">
        <v>7.0000000000000007E-2</v>
      </c>
      <c r="N2" s="50">
        <v>7.0000000000000007E-2</v>
      </c>
      <c r="O2" s="50">
        <v>7.0000000000000007E-2</v>
      </c>
      <c r="P2" s="50">
        <v>7.0000000000000007E-2</v>
      </c>
      <c r="Q2" s="50">
        <v>7.0000000000000007E-2</v>
      </c>
      <c r="R2" s="50">
        <v>7.0000000000000007E-2</v>
      </c>
      <c r="S2" s="50">
        <v>7.0000000000000007E-2</v>
      </c>
      <c r="T2" s="50">
        <v>7.0000000000000007E-2</v>
      </c>
      <c r="U2" s="50">
        <v>7.0000000000000007E-2</v>
      </c>
      <c r="V2" s="50">
        <v>7.0000000000000007E-2</v>
      </c>
      <c r="W2" s="50">
        <v>7.0000000000000007E-2</v>
      </c>
      <c r="X2" s="50">
        <v>7.0000000000000007E-2</v>
      </c>
      <c r="Y2" s="50">
        <v>7.0000000000000007E-2</v>
      </c>
      <c r="Z2" s="50">
        <v>7.0000000000000007E-2</v>
      </c>
      <c r="AA2" s="50">
        <v>7.0000000000000007E-2</v>
      </c>
      <c r="AB2" s="50">
        <v>7.0000000000000007E-2</v>
      </c>
      <c r="AC2" s="50">
        <v>7.0000000000000007E-2</v>
      </c>
      <c r="AD2" s="50">
        <v>7.0000000000000007E-2</v>
      </c>
    </row>
    <row r="3" spans="3:30" ht="48" customHeight="1" x14ac:dyDescent="0.25">
      <c r="C3" s="35" t="s">
        <v>65</v>
      </c>
      <c r="D3" s="47" t="s">
        <v>66</v>
      </c>
      <c r="E3" s="48" t="s">
        <v>68</v>
      </c>
      <c r="F3" s="5" t="s">
        <v>69</v>
      </c>
      <c r="G3" s="5" t="s">
        <v>70</v>
      </c>
      <c r="H3" s="49">
        <v>45382</v>
      </c>
      <c r="I3" s="49">
        <f>EDATE(H3,12)</f>
        <v>45747</v>
      </c>
      <c r="J3" s="49">
        <f t="shared" ref="J3:R3" si="11">EDATE(I3,12)</f>
        <v>46112</v>
      </c>
      <c r="K3" s="49">
        <f t="shared" si="11"/>
        <v>46477</v>
      </c>
      <c r="L3" s="49">
        <f t="shared" si="11"/>
        <v>46843</v>
      </c>
      <c r="M3" s="49">
        <v>47483</v>
      </c>
      <c r="N3" s="49">
        <v>47208</v>
      </c>
      <c r="O3" s="49">
        <v>47573</v>
      </c>
      <c r="P3" s="49">
        <f t="shared" si="11"/>
        <v>47938</v>
      </c>
      <c r="Q3" s="49">
        <f t="shared" si="11"/>
        <v>48304</v>
      </c>
      <c r="R3" s="49">
        <f t="shared" si="11"/>
        <v>48669</v>
      </c>
      <c r="S3" s="49">
        <f t="shared" ref="S3" si="12">EDATE(R3,12)</f>
        <v>49034</v>
      </c>
      <c r="T3" s="49">
        <f t="shared" ref="T3" si="13">EDATE(S3,12)</f>
        <v>49399</v>
      </c>
      <c r="U3" s="49">
        <f t="shared" ref="U3" si="14">EDATE(T3,12)</f>
        <v>49765</v>
      </c>
      <c r="V3" s="49">
        <f t="shared" ref="V3" si="15">EDATE(U3,12)</f>
        <v>50130</v>
      </c>
      <c r="W3" s="49">
        <f t="shared" ref="W3" si="16">EDATE(V3,12)</f>
        <v>50495</v>
      </c>
      <c r="X3" s="49">
        <f t="shared" ref="X3" si="17">EDATE(W3,12)</f>
        <v>50860</v>
      </c>
      <c r="Y3" s="49">
        <f t="shared" ref="Y3" si="18">EDATE(X3,12)</f>
        <v>51226</v>
      </c>
      <c r="Z3" s="49">
        <f t="shared" ref="Z3" si="19">EDATE(Y3,12)</f>
        <v>51591</v>
      </c>
      <c r="AA3" s="49">
        <f t="shared" ref="AA3" si="20">EDATE(Z3,12)</f>
        <v>51956</v>
      </c>
      <c r="AB3" s="49">
        <f t="shared" ref="AB3" si="21">EDATE(AA3,12)</f>
        <v>52321</v>
      </c>
      <c r="AC3" s="49">
        <f t="shared" ref="AC3" si="22">EDATE(AB3,12)</f>
        <v>52687</v>
      </c>
      <c r="AD3" s="49">
        <f t="shared" ref="AD3" si="23">EDATE(AC3,12)</f>
        <v>53052</v>
      </c>
    </row>
    <row r="4" spans="3:30" x14ac:dyDescent="0.25">
      <c r="C4" t="s">
        <v>52</v>
      </c>
      <c r="D4" s="23">
        <v>255179.83111949998</v>
      </c>
      <c r="E4" s="45">
        <v>45839</v>
      </c>
      <c r="F4">
        <v>18</v>
      </c>
      <c r="G4" s="23">
        <f>F4*D4*6</f>
        <v>27559421.760906</v>
      </c>
      <c r="H4" s="47">
        <v>0</v>
      </c>
      <c r="I4" s="47">
        <v>0</v>
      </c>
      <c r="J4" s="47">
        <f>(G4*J1*YEARFRAC(E4,J3))</f>
        <v>120572.47020396375</v>
      </c>
      <c r="K4" s="47">
        <f>((G4+SUM(H4:J4))*K2)</f>
        <v>1937599.5961776974</v>
      </c>
      <c r="L4" s="47">
        <f>(($G$4+SUM(H4:K4))*L2)</f>
        <v>2073231.5679101364</v>
      </c>
      <c r="M4" s="47">
        <f>(($G$4+SUM(I4:L4))*M1*9)</f>
        <v>1663768.3332478846</v>
      </c>
      <c r="N4" s="47">
        <f>(($G$4+SUM(J4:M4))*N1*3)</f>
        <v>583705.39024779946</v>
      </c>
      <c r="O4" s="47">
        <f>(($G$4+SUM(J4:M4))*O2)</f>
        <v>2334821.5609911978</v>
      </c>
      <c r="P4" s="47">
        <f>(($G$4+SUM(J4:O4))*P2)</f>
        <v>2539118.4475779282</v>
      </c>
      <c r="Q4" s="47">
        <f>(($G$4+SUM(J4:P4))*Q2)</f>
        <v>2716856.7389083826</v>
      </c>
      <c r="R4" s="47">
        <f>(($G$4+SUM(H4:Q4))*R2)</f>
        <v>2907036.7106319694</v>
      </c>
      <c r="S4" s="47">
        <f>(($G$4+SUM(H4:R4))*S2)</f>
        <v>3110529.2803762071</v>
      </c>
      <c r="T4" s="47">
        <f>(($G$4+SUM(H4:S4))*T2)</f>
        <v>3328266.3300025417</v>
      </c>
      <c r="U4" s="47">
        <f>(($G$4+SUM(H4:T4))*U2)</f>
        <v>3561244.97310272</v>
      </c>
      <c r="V4" s="47">
        <f>(($G$4+SUM(H4:U4))*V2)</f>
        <v>3810532.1212199102</v>
      </c>
      <c r="W4" s="47">
        <f>(($G$4+SUM(H4:V4))*W2)</f>
        <v>4077269.3697053036</v>
      </c>
      <c r="X4" s="47">
        <f>(($G$4+SUM(H4:W4))*X2)</f>
        <v>4362678.2255846746</v>
      </c>
      <c r="Y4" s="47">
        <f>(($G$4+SUM(H4:X4))*Y2)</f>
        <v>4668065.7013756018</v>
      </c>
      <c r="Z4" s="47">
        <f>(($G$4+SUM(H4:Y4))*Z2)</f>
        <v>4994830.3004718944</v>
      </c>
      <c r="AA4" s="47">
        <f>(($G$4+SUM(H4:Z4))*AA2)</f>
        <v>5344468.4215049278</v>
      </c>
      <c r="AB4" s="47">
        <f>(($G$4+SUM(H4:AA4))*AB2)</f>
        <v>5718581.2110102726</v>
      </c>
      <c r="AC4" s="47">
        <f>(($G$4+SUM(I4:AB4))*AC2)</f>
        <v>6118881.8957809908</v>
      </c>
      <c r="AD4" s="47">
        <f>(($G$4+SUM(J4:AC4))*AD2)</f>
        <v>6547203.628485661</v>
      </c>
    </row>
    <row r="5" spans="3:30" x14ac:dyDescent="0.25">
      <c r="C5" t="s">
        <v>53</v>
      </c>
      <c r="D5" s="23">
        <v>494269.88677604997</v>
      </c>
      <c r="E5" s="45">
        <v>46204</v>
      </c>
      <c r="F5">
        <v>18</v>
      </c>
      <c r="G5" s="23">
        <f t="shared" ref="G5:G8" si="24">F5*D5*6</f>
        <v>53381147.771813393</v>
      </c>
      <c r="H5" s="47">
        <v>0</v>
      </c>
      <c r="I5" s="47">
        <v>0</v>
      </c>
      <c r="J5" s="47">
        <v>0</v>
      </c>
      <c r="K5" s="47">
        <f>(G5*K1*YEARFRAC(E5,K3))</f>
        <v>233542.52150168363</v>
      </c>
      <c r="L5" s="47">
        <f>(($G$5+SUM(H5:K5))*L2)</f>
        <v>3753028.3205320556</v>
      </c>
      <c r="M5" s="47">
        <f>(($G$5+SUM(I5:L5))*M1*9)</f>
        <v>3011805.2272269744</v>
      </c>
      <c r="N5" s="47">
        <f>(($G$4+SUM(J5:M5))*N1*3)</f>
        <v>604761.4620279175</v>
      </c>
      <c r="O5" s="47">
        <f>(($G$5+SUM(J5:M5))*O2)</f>
        <v>4226566.6688751876</v>
      </c>
      <c r="P5" s="47">
        <f>(($G$5+SUM(K5:O5))*P2)</f>
        <v>4564759.6380384052</v>
      </c>
      <c r="Q5" s="47">
        <f>(($G$5+SUM(K5:P5))*Q2)</f>
        <v>4884292.812701094</v>
      </c>
      <c r="R5" s="47">
        <f>(($G$5+SUM(H5:Q5))*R2)</f>
        <v>5226193.3095901702</v>
      </c>
      <c r="S5" s="47">
        <f>(($G$5+SUM(H5:R5))*S2)</f>
        <v>5592026.8412614819</v>
      </c>
      <c r="T5" s="47">
        <f>(($G$5+SUM(H5:S5))*T2)</f>
        <v>5983468.7201497871</v>
      </c>
      <c r="U5" s="47">
        <f>(($G$5+SUM(H5:T5))*U2)</f>
        <v>6402311.5305602718</v>
      </c>
      <c r="V5" s="47">
        <f>(($G$5+SUM(H5:U5))*V2)</f>
        <v>6850473.3376994897</v>
      </c>
      <c r="W5" s="47">
        <f>(($G$5+SUM(H5:V5))*W2)</f>
        <v>7330006.4713384546</v>
      </c>
      <c r="X5" s="47">
        <f>(($G$5+SUM(H5:W5))*X2)</f>
        <v>7843106.9243321465</v>
      </c>
      <c r="Y5" s="47">
        <f>(($G$5+SUM(H5:X5))*Y2)</f>
        <v>8392124.4090353958</v>
      </c>
      <c r="Z5" s="47">
        <f>(($G$5+SUM(H5:Y5))*Z2)</f>
        <v>8979573.1176678743</v>
      </c>
      <c r="AA5" s="47">
        <f>(($G$5+SUM(H5:Z5))*AA2)</f>
        <v>9608143.2359046247</v>
      </c>
      <c r="AB5" s="47">
        <f>(($G$5+SUM(H5:AA5))*AB2)</f>
        <v>10280713.26241795</v>
      </c>
      <c r="AC5" s="47">
        <f>(($G$5+SUM(I5:AB5))*AC2)</f>
        <v>11000363.190787205</v>
      </c>
      <c r="AD5" s="47">
        <f>(($G$5+SUM(J5:AC5))*AD2)</f>
        <v>11770388.614142312</v>
      </c>
    </row>
    <row r="6" spans="3:30" x14ac:dyDescent="0.25">
      <c r="C6" t="s">
        <v>54</v>
      </c>
      <c r="D6" s="23">
        <v>206036.2876824</v>
      </c>
      <c r="E6" s="45">
        <v>46478</v>
      </c>
      <c r="F6">
        <v>18</v>
      </c>
      <c r="G6" s="23">
        <f t="shared" si="24"/>
        <v>22251919.069699202</v>
      </c>
      <c r="H6" s="47">
        <v>0</v>
      </c>
      <c r="I6" s="47">
        <v>0</v>
      </c>
      <c r="J6" s="47">
        <v>0</v>
      </c>
      <c r="K6" s="47">
        <f>(G6*K1*YEARFRAC(E6,K3))</f>
        <v>360.56350344420008</v>
      </c>
      <c r="L6" s="47">
        <f>($G$6+K6)*L2</f>
        <v>1557659.5743241853</v>
      </c>
      <c r="M6" s="47">
        <f>(($G$6+SUM(I6:L6))*M1*9)</f>
        <v>1250021.808395159</v>
      </c>
      <c r="N6" s="47">
        <f>(($G$4+SUM(J6:M6))*N1*3)</f>
        <v>531430.61487475387</v>
      </c>
      <c r="O6" s="47">
        <f>(($G$6+SUM(J6:M6))*O2)</f>
        <v>1754197.2711145396</v>
      </c>
      <c r="P6" s="47">
        <f>(($G$6+SUM(K6:O6))*P2)</f>
        <v>1914191.2231337901</v>
      </c>
      <c r="Q6" s="47">
        <f>(($G$6+SUM(K6:P6))*Q2)</f>
        <v>2048184.6087531555</v>
      </c>
      <c r="R6" s="47">
        <f>(($G$6+SUM(K6:Q6))*R2)</f>
        <v>2191557.5313658761</v>
      </c>
      <c r="S6" s="47">
        <f>(($G$6+SUM(H6:R6))*S2)</f>
        <v>2344966.5585614876</v>
      </c>
      <c r="T6" s="47">
        <f>(($G$6+SUM(H6:S6))*T2)</f>
        <v>2509114.2176607922</v>
      </c>
      <c r="U6" s="47">
        <f>(($G$6+SUM(H6:T6))*U2)</f>
        <v>2684752.2128970474</v>
      </c>
      <c r="V6" s="47">
        <f>(($G$6+SUM(H6:U6))*V2)</f>
        <v>2872684.8677998404</v>
      </c>
      <c r="W6" s="47">
        <f>(($G$6+SUM(H6:V6))*W2)</f>
        <v>3073772.8085458297</v>
      </c>
      <c r="X6" s="47">
        <f>(($G$6+SUM(H6:W6))*X2)</f>
        <v>3288936.9051440377</v>
      </c>
      <c r="Y6" s="47">
        <f>(($G$6+SUM(H6:X6))*Y2)</f>
        <v>3519162.4885041201</v>
      </c>
      <c r="Z6" s="47">
        <f>(($G$6+SUM(H6:Y6))*Z2)</f>
        <v>3765503.8626994081</v>
      </c>
      <c r="AA6" s="47">
        <f>(($G$6+SUM(H6:Z6))*AA2)</f>
        <v>4029089.1330883661</v>
      </c>
      <c r="AB6" s="47">
        <f>(($G$6+SUM(H6:AA6))*AB2)</f>
        <v>4311125.3724045521</v>
      </c>
      <c r="AC6" s="47">
        <f>(($G$6+SUM(I6:AB6))*AC2)</f>
        <v>4612904.1484728716</v>
      </c>
      <c r="AD6" s="47">
        <f>(($G$6+SUM(J6:AC6))*AD2)</f>
        <v>4935807.4388659718</v>
      </c>
    </row>
    <row r="7" spans="3:30" x14ac:dyDescent="0.25">
      <c r="C7" t="s">
        <v>55</v>
      </c>
      <c r="D7" s="23">
        <v>442012.39012455003</v>
      </c>
      <c r="E7" s="45">
        <v>46753</v>
      </c>
      <c r="F7">
        <v>18</v>
      </c>
      <c r="G7" s="23">
        <f t="shared" si="24"/>
        <v>47737338.133451402</v>
      </c>
      <c r="H7" s="47">
        <v>0</v>
      </c>
      <c r="I7" s="47">
        <v>0</v>
      </c>
      <c r="J7" s="47">
        <v>0</v>
      </c>
      <c r="K7" s="47">
        <v>0</v>
      </c>
      <c r="L7" s="47">
        <f>(G7*L1*YEARFRAC(E7,L3))</f>
        <v>69616.951444616629</v>
      </c>
      <c r="M7" s="47">
        <f>($G$7+L7)*M1*9</f>
        <v>2509865.1419570409</v>
      </c>
      <c r="N7" s="47">
        <f>(($G$4+SUM(J7:M7))*N1*3)</f>
        <v>527430.81745038414</v>
      </c>
      <c r="O7" s="47">
        <f>(($G$7+SUM(J7:M7))*O2)</f>
        <v>3522177.4158797143</v>
      </c>
      <c r="P7" s="47">
        <f>(($G$7+SUM(K7:O7))*P2)</f>
        <v>3805649.9922128213</v>
      </c>
      <c r="Q7" s="47">
        <f>(($G$7+SUM(L7:P7))*Q2)</f>
        <v>4072045.4916677186</v>
      </c>
      <c r="R7" s="55">
        <f>(($G$7+SUM(L7:Q7))*R2)</f>
        <v>4357088.6760844588</v>
      </c>
      <c r="S7" s="55">
        <f>(($G$7+SUM(H7:R7))*S2)</f>
        <v>4662084.8834103709</v>
      </c>
      <c r="T7" s="55">
        <f>(($G$7+SUM(H7:S7))*T2)</f>
        <v>4988430.8252490973</v>
      </c>
      <c r="U7" s="55">
        <f>(($G$7+SUM(H7:T7))*U2)</f>
        <v>5337620.9830165338</v>
      </c>
      <c r="V7" s="55">
        <f>(($G$7+SUM(H7:U7))*V2)</f>
        <v>5711254.4518276919</v>
      </c>
      <c r="W7" s="55">
        <f>(($G$7+SUM(H7:V7))*W2)</f>
        <v>6111042.2634556303</v>
      </c>
      <c r="X7" s="55">
        <f>(($G$7+SUM(H7:W7))*X2)</f>
        <v>6538815.2218975239</v>
      </c>
      <c r="Y7" s="55">
        <f>(($G$7+SUM(H7:X7))*Y2)</f>
        <v>6996532.2874303507</v>
      </c>
      <c r="Z7" s="55">
        <f>(($G$7+SUM(H7:Y7))*Z2)</f>
        <v>7486289.5475504762</v>
      </c>
      <c r="AA7" s="55">
        <f>(($G$7+SUM(H7:Z7))*AA2)</f>
        <v>8010329.8158790097</v>
      </c>
      <c r="AB7" s="55">
        <f>(($G$7+SUM(H7:AA7))*AB2)</f>
        <v>8571052.9029905405</v>
      </c>
      <c r="AC7" s="55">
        <f>(($G$7+SUM(I7:AB7))*AC2)</f>
        <v>9171026.6061998773</v>
      </c>
      <c r="AD7" s="55">
        <f>(($G$7+SUM(J7:AC7))*AD2)</f>
        <v>9812998.4686338697</v>
      </c>
    </row>
    <row r="8" spans="3:30" x14ac:dyDescent="0.25">
      <c r="C8" t="s">
        <v>56</v>
      </c>
      <c r="D8" s="23">
        <v>92093.425793250004</v>
      </c>
      <c r="E8" s="45">
        <v>47119</v>
      </c>
      <c r="F8">
        <v>18</v>
      </c>
      <c r="G8" s="23">
        <f t="shared" si="24"/>
        <v>9946089.9856710006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f>(G8*M1*YEARFRAC(E8,M3))</f>
        <v>58018.858249747507</v>
      </c>
      <c r="N8" s="47">
        <f>(($G$4+SUM(J8:M8))*N1*3)</f>
        <v>483305.21083522553</v>
      </c>
      <c r="O8" s="47">
        <f>(($G$8+SUM(J8:M8))*O2)</f>
        <v>700287.61907445244</v>
      </c>
      <c r="P8" s="47">
        <f>(($G$8+SUM(H8:O8))*P2)</f>
        <v>783139.11716812989</v>
      </c>
      <c r="Q8" s="47">
        <f>(($G$8+SUM(H8:P8))*Q2)</f>
        <v>837958.85536989896</v>
      </c>
      <c r="R8" s="47">
        <f>(($G$8+SUM(H8:Q8))*R2)</f>
        <v>896615.97524579195</v>
      </c>
      <c r="S8" s="47">
        <f>(($G$8+SUM(H8:R8))*S2)</f>
        <v>959379.09351299738</v>
      </c>
      <c r="T8" s="47">
        <f>(($G$8+SUM(H8:S8))*T2)</f>
        <v>1026535.6300589072</v>
      </c>
      <c r="U8" s="47">
        <f>(($G$8+SUM(H8:T8))*U2)</f>
        <v>1098393.1241630306</v>
      </c>
      <c r="V8" s="47">
        <f>(($G$8+SUM(H8:U8))*V2)</f>
        <v>1175280.6428544428</v>
      </c>
      <c r="W8" s="47">
        <f>(($G$8+SUM(H8:V8))*W2)</f>
        <v>1257550.2878542538</v>
      </c>
      <c r="X8" s="47">
        <f>(($G$8+SUM(H8:W8))*X2)</f>
        <v>1345578.8080040517</v>
      </c>
      <c r="Y8" s="47">
        <f>(($G$8+SUM(H8:X8))*Y2)</f>
        <v>1439769.3245643352</v>
      </c>
      <c r="Z8" s="47">
        <f>(($G$8+SUM(H8:Y8))*Z2)</f>
        <v>1540553.1772838386</v>
      </c>
      <c r="AA8" s="47">
        <f>(($G$8+SUM(H8:Z8))*AA2)</f>
        <v>1648391.8996937072</v>
      </c>
      <c r="AB8" s="47">
        <f>(($G$8+SUM(H8:AA8))*AB2)</f>
        <v>1763779.332672267</v>
      </c>
      <c r="AC8" s="47">
        <f>(($G$8+SUM(I8:AB8))*AC2)</f>
        <v>1887243.8859593254</v>
      </c>
      <c r="AD8" s="47">
        <f>(($G$8+SUM(J8:AC8))*AD2)</f>
        <v>2019350.9579764784</v>
      </c>
    </row>
    <row r="9" spans="3:30" x14ac:dyDescent="0.25">
      <c r="D9" s="23">
        <f>SUM(D4:D8)</f>
        <v>1489591.82149575</v>
      </c>
      <c r="G9" s="24">
        <f>SUM(G4:G8)</f>
        <v>160875916.72154102</v>
      </c>
      <c r="H9" s="23">
        <f t="shared" ref="H9:R9" si="25">SUM(H4:H8)</f>
        <v>0</v>
      </c>
      <c r="I9" s="23">
        <f t="shared" si="25"/>
        <v>0</v>
      </c>
      <c r="J9" s="23">
        <f t="shared" si="25"/>
        <v>120572.47020396375</v>
      </c>
      <c r="K9" s="23">
        <f t="shared" si="25"/>
        <v>2171502.681182825</v>
      </c>
      <c r="L9" s="23">
        <f t="shared" si="25"/>
        <v>7453536.4142109938</v>
      </c>
      <c r="M9" s="23">
        <f t="shared" si="25"/>
        <v>8493479.3690768071</v>
      </c>
      <c r="N9" s="23">
        <f t="shared" si="25"/>
        <v>2730633.4954360803</v>
      </c>
      <c r="O9" s="23">
        <f t="shared" si="25"/>
        <v>12538050.535935093</v>
      </c>
      <c r="P9" s="23">
        <f t="shared" si="25"/>
        <v>13606858.418131074</v>
      </c>
      <c r="Q9" s="23">
        <f t="shared" si="25"/>
        <v>14559338.507400252</v>
      </c>
      <c r="R9" s="23">
        <f t="shared" si="25"/>
        <v>15578492.202918267</v>
      </c>
      <c r="S9" s="23">
        <f t="shared" ref="S9" si="26">SUM(S4:S8)</f>
        <v>16668986.657122545</v>
      </c>
      <c r="T9" s="23">
        <f t="shared" ref="T9" si="27">SUM(T4:T8)</f>
        <v>17835815.723121125</v>
      </c>
      <c r="U9" s="23">
        <f t="shared" ref="U9" si="28">SUM(U4:U8)</f>
        <v>19084322.823739603</v>
      </c>
      <c r="V9" s="23">
        <f t="shared" ref="V9" si="29">SUM(V4:V8)</f>
        <v>20420225.421401374</v>
      </c>
      <c r="W9" s="23">
        <f t="shared" ref="W9" si="30">SUM(W4:W8)</f>
        <v>21849641.200899474</v>
      </c>
      <c r="X9" s="23">
        <f t="shared" ref="X9" si="31">SUM(X4:X8)</f>
        <v>23379116.084962435</v>
      </c>
      <c r="Y9" s="23">
        <f t="shared" ref="Y9" si="32">SUM(Y4:Y8)</f>
        <v>25015654.210909802</v>
      </c>
      <c r="Z9" s="23">
        <f t="shared" ref="Z9" si="33">SUM(Z4:Z8)</f>
        <v>26766750.00567349</v>
      </c>
      <c r="AA9" s="23">
        <f t="shared" ref="AA9" si="34">SUM(AA4:AA8)</f>
        <v>28640422.506070636</v>
      </c>
      <c r="AB9" s="23">
        <f t="shared" ref="AB9:AD9" si="35">SUM(AB4:AB8)</f>
        <v>30645252.081495583</v>
      </c>
      <c r="AC9" s="23">
        <f t="shared" si="35"/>
        <v>32790419.72720027</v>
      </c>
      <c r="AD9" s="23">
        <f t="shared" si="35"/>
        <v>35085749.108104289</v>
      </c>
    </row>
    <row r="10" spans="3:30" x14ac:dyDescent="0.25">
      <c r="G10" s="2">
        <f>G9/10^7</f>
        <v>16.087591672154101</v>
      </c>
      <c r="H10" s="2">
        <f t="shared" ref="H10:R10" si="36">H9/10^7</f>
        <v>0</v>
      </c>
      <c r="I10" s="2">
        <f t="shared" si="36"/>
        <v>0</v>
      </c>
      <c r="J10" s="2">
        <f t="shared" si="36"/>
        <v>1.2057247020396376E-2</v>
      </c>
      <c r="K10" s="2">
        <f t="shared" si="36"/>
        <v>0.2171502681182825</v>
      </c>
      <c r="L10" s="2">
        <f t="shared" si="36"/>
        <v>0.74535364142109939</v>
      </c>
      <c r="M10" s="2">
        <f t="shared" si="36"/>
        <v>0.84934793690768073</v>
      </c>
      <c r="N10" s="2">
        <f t="shared" si="36"/>
        <v>0.273063349543608</v>
      </c>
      <c r="O10" s="2">
        <f t="shared" si="36"/>
        <v>1.2538050535935092</v>
      </c>
      <c r="P10" s="2">
        <f t="shared" si="36"/>
        <v>1.3606858418131074</v>
      </c>
      <c r="Q10" s="2">
        <f t="shared" si="36"/>
        <v>1.4559338507400252</v>
      </c>
      <c r="R10" s="2">
        <f t="shared" si="36"/>
        <v>1.5578492202918266</v>
      </c>
      <c r="S10" s="2">
        <f t="shared" ref="S10" si="37">S9/10^7</f>
        <v>1.6668986657122544</v>
      </c>
      <c r="T10" s="2">
        <f t="shared" ref="T10" si="38">T9/10^7</f>
        <v>1.7835815723121125</v>
      </c>
      <c r="U10" s="2">
        <f t="shared" ref="U10" si="39">U9/10^7</f>
        <v>1.9084322823739603</v>
      </c>
      <c r="V10" s="2">
        <f t="shared" ref="V10" si="40">V9/10^7</f>
        <v>2.0420225421401375</v>
      </c>
      <c r="W10" s="2">
        <f t="shared" ref="W10" si="41">W9/10^7</f>
        <v>2.1849641200899472</v>
      </c>
      <c r="X10" s="2">
        <f t="shared" ref="X10" si="42">X9/10^7</f>
        <v>2.3379116084962437</v>
      </c>
      <c r="Y10" s="2">
        <f t="shared" ref="Y10" si="43">Y9/10^7</f>
        <v>2.5015654210909801</v>
      </c>
      <c r="Z10" s="2">
        <f t="shared" ref="Z10" si="44">Z9/10^7</f>
        <v>2.6766750005673492</v>
      </c>
      <c r="AA10" s="2">
        <f t="shared" ref="AA10" si="45">AA9/10^7</f>
        <v>2.8640422506070635</v>
      </c>
      <c r="AB10" s="2">
        <f t="shared" ref="AB10:AD10" si="46">AB9/10^7</f>
        <v>3.0645252081495582</v>
      </c>
      <c r="AC10" s="2">
        <f t="shared" si="46"/>
        <v>3.2790419727200271</v>
      </c>
      <c r="AD10" s="2">
        <f t="shared" si="46"/>
        <v>3.5085749108104287</v>
      </c>
    </row>
    <row r="11" spans="3:30" x14ac:dyDescent="0.25">
      <c r="M11" s="51">
        <f>M10/4</f>
        <v>0.21233698422692018</v>
      </c>
      <c r="N11" s="51"/>
    </row>
    <row r="12" spans="3:30" x14ac:dyDescent="0.25">
      <c r="M12" s="51"/>
      <c r="N12" s="51"/>
    </row>
    <row r="13" spans="3:30" x14ac:dyDescent="0.25">
      <c r="M13" s="51"/>
      <c r="N13" s="51"/>
    </row>
    <row r="14" spans="3:30" x14ac:dyDescent="0.25">
      <c r="M14" s="51"/>
      <c r="N14" s="51"/>
    </row>
    <row r="15" spans="3:30" x14ac:dyDescent="0.25">
      <c r="E15" s="52"/>
    </row>
    <row r="16" spans="3:30" x14ac:dyDescent="0.25">
      <c r="E16" s="46"/>
      <c r="I16" s="51"/>
      <c r="J16" s="51"/>
    </row>
    <row r="23" spans="16:16" x14ac:dyDescent="0.25">
      <c r="P23" s="47"/>
    </row>
  </sheetData>
  <pageMargins left="0.7" right="0.7" top="0.75" bottom="0.75" header="0.3" footer="0.3"/>
  <ignoredErrors>
    <ignoredError sqref="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D410-598D-4A27-A880-4A175846E5CF}">
  <dimension ref="P2"/>
  <sheetViews>
    <sheetView workbookViewId="0">
      <selection activeCell="P2" sqref="P2"/>
    </sheetView>
  </sheetViews>
  <sheetFormatPr defaultRowHeight="15" x14ac:dyDescent="0.25"/>
  <sheetData>
    <row r="2" spans="16:16" x14ac:dyDescent="0.25">
      <c r="P2" t="s">
        <v>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FB1F-E016-4331-9E45-27BBBDE7957D}">
  <dimension ref="A1:BP59"/>
  <sheetViews>
    <sheetView topLeftCell="D16" zoomScale="85" zoomScaleNormal="85" workbookViewId="0">
      <selection activeCell="E40" sqref="E40:Z40"/>
    </sheetView>
  </sheetViews>
  <sheetFormatPr defaultRowHeight="15" x14ac:dyDescent="0.25"/>
  <cols>
    <col min="1" max="1" width="15.28515625" bestFit="1" customWidth="1"/>
    <col min="2" max="2" width="10.5703125" bestFit="1" customWidth="1"/>
    <col min="3" max="3" width="47.7109375" bestFit="1" customWidth="1"/>
    <col min="4" max="4" width="9.7109375" bestFit="1" customWidth="1"/>
    <col min="5" max="5" width="15.140625" bestFit="1" customWidth="1"/>
    <col min="6" max="50" width="10.42578125" customWidth="1"/>
    <col min="51" max="53" width="9.85546875" customWidth="1"/>
    <col min="54" max="55" width="10.85546875" customWidth="1"/>
    <col min="56" max="62" width="10.85546875" bestFit="1" customWidth="1"/>
    <col min="63" max="67" width="10.5703125" bestFit="1" customWidth="1"/>
  </cols>
  <sheetData>
    <row r="1" spans="1:68" x14ac:dyDescent="0.25">
      <c r="C1" t="s">
        <v>27</v>
      </c>
      <c r="E1">
        <v>365</v>
      </c>
      <c r="F1">
        <f t="shared" ref="F1:BO1" si="0">F5-E5</f>
        <v>365</v>
      </c>
      <c r="G1">
        <f t="shared" si="0"/>
        <v>365</v>
      </c>
      <c r="H1">
        <f t="shared" si="0"/>
        <v>366</v>
      </c>
      <c r="I1">
        <f t="shared" si="0"/>
        <v>275</v>
      </c>
      <c r="J1" t="s">
        <v>76</v>
      </c>
      <c r="K1">
        <f>K5-I5</f>
        <v>455</v>
      </c>
      <c r="L1">
        <f t="shared" si="0"/>
        <v>365</v>
      </c>
      <c r="M1">
        <f t="shared" si="0"/>
        <v>366</v>
      </c>
      <c r="N1">
        <f t="shared" si="0"/>
        <v>365</v>
      </c>
      <c r="O1">
        <f t="shared" si="0"/>
        <v>365</v>
      </c>
      <c r="P1">
        <f t="shared" si="0"/>
        <v>365</v>
      </c>
      <c r="Q1">
        <f t="shared" si="0"/>
        <v>366</v>
      </c>
      <c r="R1">
        <f t="shared" si="0"/>
        <v>365</v>
      </c>
      <c r="S1">
        <f t="shared" si="0"/>
        <v>365</v>
      </c>
      <c r="T1">
        <f t="shared" si="0"/>
        <v>365</v>
      </c>
      <c r="U1">
        <f t="shared" si="0"/>
        <v>366</v>
      </c>
      <c r="V1">
        <f t="shared" si="0"/>
        <v>365</v>
      </c>
      <c r="W1">
        <f t="shared" si="0"/>
        <v>365</v>
      </c>
      <c r="X1">
        <f t="shared" si="0"/>
        <v>365</v>
      </c>
      <c r="Y1">
        <f t="shared" si="0"/>
        <v>366</v>
      </c>
      <c r="Z1">
        <f t="shared" si="0"/>
        <v>365</v>
      </c>
      <c r="AA1">
        <f t="shared" si="0"/>
        <v>365</v>
      </c>
      <c r="AB1">
        <f t="shared" si="0"/>
        <v>365</v>
      </c>
      <c r="AC1">
        <f t="shared" si="0"/>
        <v>366</v>
      </c>
      <c r="AD1">
        <f t="shared" si="0"/>
        <v>365</v>
      </c>
      <c r="AE1">
        <f t="shared" si="0"/>
        <v>365</v>
      </c>
      <c r="AF1">
        <f t="shared" si="0"/>
        <v>365</v>
      </c>
      <c r="AG1">
        <f t="shared" si="0"/>
        <v>366</v>
      </c>
      <c r="AH1">
        <f t="shared" si="0"/>
        <v>365</v>
      </c>
      <c r="AI1">
        <f t="shared" si="0"/>
        <v>365</v>
      </c>
      <c r="AJ1">
        <f t="shared" si="0"/>
        <v>365</v>
      </c>
      <c r="AK1">
        <f t="shared" si="0"/>
        <v>366</v>
      </c>
      <c r="AL1">
        <f t="shared" si="0"/>
        <v>365</v>
      </c>
      <c r="AM1">
        <f t="shared" si="0"/>
        <v>365</v>
      </c>
      <c r="AN1">
        <f t="shared" si="0"/>
        <v>365</v>
      </c>
      <c r="AO1">
        <f t="shared" si="0"/>
        <v>366</v>
      </c>
      <c r="AP1">
        <f t="shared" si="0"/>
        <v>365</v>
      </c>
      <c r="AQ1">
        <f t="shared" si="0"/>
        <v>365</v>
      </c>
      <c r="AR1">
        <f t="shared" si="0"/>
        <v>365</v>
      </c>
      <c r="AS1">
        <f t="shared" si="0"/>
        <v>366</v>
      </c>
      <c r="AT1">
        <f t="shared" si="0"/>
        <v>365</v>
      </c>
      <c r="AU1">
        <f t="shared" si="0"/>
        <v>365</v>
      </c>
      <c r="AV1">
        <f t="shared" si="0"/>
        <v>365</v>
      </c>
      <c r="AW1">
        <f t="shared" si="0"/>
        <v>366</v>
      </c>
      <c r="AX1">
        <f t="shared" si="0"/>
        <v>365</v>
      </c>
      <c r="AY1">
        <f t="shared" si="0"/>
        <v>365</v>
      </c>
      <c r="AZ1">
        <f t="shared" si="0"/>
        <v>365</v>
      </c>
      <c r="BA1">
        <f t="shared" si="0"/>
        <v>366</v>
      </c>
      <c r="BB1">
        <f t="shared" si="0"/>
        <v>365</v>
      </c>
      <c r="BC1">
        <f t="shared" si="0"/>
        <v>365</v>
      </c>
      <c r="BD1">
        <f t="shared" si="0"/>
        <v>365</v>
      </c>
      <c r="BE1">
        <f t="shared" si="0"/>
        <v>366</v>
      </c>
      <c r="BF1">
        <f t="shared" si="0"/>
        <v>365</v>
      </c>
      <c r="BG1">
        <f t="shared" si="0"/>
        <v>365</v>
      </c>
      <c r="BH1">
        <f t="shared" si="0"/>
        <v>365</v>
      </c>
      <c r="BI1">
        <f t="shared" si="0"/>
        <v>366</v>
      </c>
      <c r="BJ1">
        <f t="shared" si="0"/>
        <v>365</v>
      </c>
      <c r="BK1">
        <f t="shared" si="0"/>
        <v>365</v>
      </c>
      <c r="BL1">
        <f t="shared" si="0"/>
        <v>365</v>
      </c>
      <c r="BM1">
        <f t="shared" si="0"/>
        <v>366</v>
      </c>
      <c r="BN1">
        <f t="shared" si="0"/>
        <v>365</v>
      </c>
      <c r="BO1">
        <f t="shared" si="0"/>
        <v>-14610</v>
      </c>
    </row>
    <row r="2" spans="1:68" x14ac:dyDescent="0.25">
      <c r="A2" t="s">
        <v>3</v>
      </c>
      <c r="B2" s="3">
        <f>EDATE(B3,180)</f>
        <v>53052</v>
      </c>
      <c r="C2" t="s">
        <v>1</v>
      </c>
      <c r="E2">
        <v>288</v>
      </c>
      <c r="F2">
        <f t="shared" ref="F2:BO2" si="1">IF(F5&lt;=$B$2,(F5-E5),($B$2-E5))</f>
        <v>365</v>
      </c>
      <c r="G2">
        <f t="shared" si="1"/>
        <v>365</v>
      </c>
      <c r="H2">
        <f t="shared" si="1"/>
        <v>366</v>
      </c>
      <c r="I2">
        <f t="shared" si="1"/>
        <v>275</v>
      </c>
      <c r="K2">
        <f>IF(K5&lt;=$B$2,(K5-I5),($B$2-I5))</f>
        <v>455</v>
      </c>
      <c r="L2">
        <f t="shared" si="1"/>
        <v>365</v>
      </c>
      <c r="M2">
        <f t="shared" si="1"/>
        <v>366</v>
      </c>
      <c r="N2">
        <f t="shared" si="1"/>
        <v>365</v>
      </c>
      <c r="O2">
        <f t="shared" si="1"/>
        <v>365</v>
      </c>
      <c r="P2">
        <f t="shared" si="1"/>
        <v>365</v>
      </c>
      <c r="Q2">
        <f t="shared" si="1"/>
        <v>366</v>
      </c>
      <c r="R2">
        <f t="shared" si="1"/>
        <v>365</v>
      </c>
      <c r="S2">
        <f t="shared" si="1"/>
        <v>365</v>
      </c>
      <c r="T2">
        <f t="shared" si="1"/>
        <v>365</v>
      </c>
      <c r="U2">
        <f t="shared" si="1"/>
        <v>366</v>
      </c>
      <c r="V2">
        <f t="shared" si="1"/>
        <v>365</v>
      </c>
      <c r="W2">
        <f t="shared" si="1"/>
        <v>365</v>
      </c>
      <c r="X2">
        <f t="shared" si="1"/>
        <v>365</v>
      </c>
      <c r="Y2">
        <f t="shared" si="1"/>
        <v>366</v>
      </c>
      <c r="Z2">
        <f t="shared" si="1"/>
        <v>365</v>
      </c>
      <c r="AA2">
        <f t="shared" si="1"/>
        <v>0</v>
      </c>
      <c r="AB2">
        <f t="shared" si="1"/>
        <v>-365</v>
      </c>
      <c r="AC2">
        <f t="shared" si="1"/>
        <v>-730</v>
      </c>
      <c r="AD2">
        <f t="shared" si="1"/>
        <v>-1096</v>
      </c>
      <c r="AE2">
        <f t="shared" si="1"/>
        <v>-1461</v>
      </c>
      <c r="AF2">
        <f t="shared" si="1"/>
        <v>-1826</v>
      </c>
      <c r="AG2">
        <f t="shared" si="1"/>
        <v>-2191</v>
      </c>
      <c r="AH2">
        <f t="shared" si="1"/>
        <v>-2557</v>
      </c>
      <c r="AI2">
        <f t="shared" si="1"/>
        <v>-2922</v>
      </c>
      <c r="AJ2">
        <f t="shared" si="1"/>
        <v>-3287</v>
      </c>
      <c r="AK2">
        <f t="shared" si="1"/>
        <v>-3652</v>
      </c>
      <c r="AL2">
        <f t="shared" si="1"/>
        <v>-4018</v>
      </c>
      <c r="AM2">
        <f t="shared" si="1"/>
        <v>-4383</v>
      </c>
      <c r="AN2">
        <f t="shared" si="1"/>
        <v>-4748</v>
      </c>
      <c r="AO2">
        <f t="shared" si="1"/>
        <v>-5113</v>
      </c>
      <c r="AP2">
        <f t="shared" si="1"/>
        <v>-5479</v>
      </c>
      <c r="AQ2">
        <f t="shared" si="1"/>
        <v>-5844</v>
      </c>
      <c r="AR2">
        <f t="shared" si="1"/>
        <v>-6209</v>
      </c>
      <c r="AS2">
        <f t="shared" si="1"/>
        <v>-6574</v>
      </c>
      <c r="AT2">
        <f t="shared" si="1"/>
        <v>-6940</v>
      </c>
      <c r="AU2">
        <f t="shared" si="1"/>
        <v>-7305</v>
      </c>
      <c r="AV2">
        <f t="shared" si="1"/>
        <v>-7670</v>
      </c>
      <c r="AW2">
        <f t="shared" si="1"/>
        <v>-8035</v>
      </c>
      <c r="AX2">
        <f t="shared" si="1"/>
        <v>-8401</v>
      </c>
      <c r="AY2">
        <f t="shared" si="1"/>
        <v>-8766</v>
      </c>
      <c r="AZ2">
        <f t="shared" si="1"/>
        <v>-9131</v>
      </c>
      <c r="BA2">
        <f t="shared" si="1"/>
        <v>-9496</v>
      </c>
      <c r="BB2">
        <f t="shared" si="1"/>
        <v>-9862</v>
      </c>
      <c r="BC2">
        <f t="shared" si="1"/>
        <v>-10227</v>
      </c>
      <c r="BD2">
        <f t="shared" si="1"/>
        <v>-10592</v>
      </c>
      <c r="BE2">
        <f t="shared" si="1"/>
        <v>-10957</v>
      </c>
      <c r="BF2">
        <f t="shared" si="1"/>
        <v>-11323</v>
      </c>
      <c r="BG2">
        <f t="shared" si="1"/>
        <v>-11688</v>
      </c>
      <c r="BH2">
        <f t="shared" si="1"/>
        <v>-12053</v>
      </c>
      <c r="BI2">
        <f t="shared" si="1"/>
        <v>-12418</v>
      </c>
      <c r="BJ2">
        <f t="shared" si="1"/>
        <v>-12784</v>
      </c>
      <c r="BK2">
        <f t="shared" si="1"/>
        <v>-13149</v>
      </c>
      <c r="BL2">
        <f t="shared" si="1"/>
        <v>-13514</v>
      </c>
      <c r="BM2">
        <f t="shared" si="1"/>
        <v>-13879</v>
      </c>
      <c r="BN2">
        <f t="shared" si="1"/>
        <v>-14245</v>
      </c>
      <c r="BO2">
        <f t="shared" si="1"/>
        <v>-14610</v>
      </c>
    </row>
    <row r="3" spans="1:68" x14ac:dyDescent="0.25">
      <c r="A3" t="s">
        <v>4</v>
      </c>
      <c r="B3" s="3">
        <f>K5</f>
        <v>47573</v>
      </c>
      <c r="C3" t="s">
        <v>0</v>
      </c>
      <c r="E3">
        <v>9</v>
      </c>
      <c r="F3">
        <f t="shared" ref="F3:BO3" si="2">E3+1</f>
        <v>10</v>
      </c>
      <c r="G3">
        <f t="shared" si="2"/>
        <v>11</v>
      </c>
      <c r="H3">
        <f t="shared" si="2"/>
        <v>12</v>
      </c>
      <c r="I3">
        <f t="shared" si="2"/>
        <v>13</v>
      </c>
      <c r="K3">
        <f>I3+1</f>
        <v>14</v>
      </c>
      <c r="L3">
        <f t="shared" si="2"/>
        <v>15</v>
      </c>
      <c r="M3">
        <f t="shared" si="2"/>
        <v>16</v>
      </c>
      <c r="N3">
        <f t="shared" si="2"/>
        <v>17</v>
      </c>
      <c r="O3">
        <f t="shared" si="2"/>
        <v>18</v>
      </c>
      <c r="P3">
        <f t="shared" si="2"/>
        <v>19</v>
      </c>
      <c r="Q3">
        <f t="shared" si="2"/>
        <v>20</v>
      </c>
      <c r="R3">
        <f t="shared" si="2"/>
        <v>21</v>
      </c>
      <c r="S3">
        <f t="shared" si="2"/>
        <v>22</v>
      </c>
      <c r="T3">
        <f t="shared" si="2"/>
        <v>23</v>
      </c>
      <c r="U3">
        <f t="shared" si="2"/>
        <v>24</v>
      </c>
      <c r="V3">
        <f t="shared" si="2"/>
        <v>25</v>
      </c>
      <c r="W3">
        <f t="shared" si="2"/>
        <v>26</v>
      </c>
      <c r="X3">
        <f t="shared" si="2"/>
        <v>27</v>
      </c>
      <c r="Y3">
        <f t="shared" si="2"/>
        <v>28</v>
      </c>
      <c r="Z3">
        <f t="shared" si="2"/>
        <v>29</v>
      </c>
      <c r="AA3">
        <f t="shared" si="2"/>
        <v>30</v>
      </c>
      <c r="AB3">
        <f t="shared" si="2"/>
        <v>31</v>
      </c>
      <c r="AC3">
        <f t="shared" si="2"/>
        <v>32</v>
      </c>
      <c r="AD3">
        <f t="shared" si="2"/>
        <v>33</v>
      </c>
      <c r="AE3">
        <f t="shared" si="2"/>
        <v>34</v>
      </c>
      <c r="AF3">
        <f t="shared" si="2"/>
        <v>35</v>
      </c>
      <c r="AG3">
        <f t="shared" si="2"/>
        <v>36</v>
      </c>
      <c r="AH3">
        <f t="shared" si="2"/>
        <v>37</v>
      </c>
      <c r="AI3">
        <f t="shared" si="2"/>
        <v>38</v>
      </c>
      <c r="AJ3">
        <f t="shared" si="2"/>
        <v>39</v>
      </c>
      <c r="AK3">
        <f t="shared" si="2"/>
        <v>40</v>
      </c>
      <c r="AL3">
        <f t="shared" si="2"/>
        <v>41</v>
      </c>
      <c r="AM3">
        <f t="shared" si="2"/>
        <v>42</v>
      </c>
      <c r="AN3">
        <f t="shared" si="2"/>
        <v>43</v>
      </c>
      <c r="AO3">
        <f t="shared" si="2"/>
        <v>44</v>
      </c>
      <c r="AP3">
        <f t="shared" si="2"/>
        <v>45</v>
      </c>
      <c r="AQ3">
        <f t="shared" si="2"/>
        <v>46</v>
      </c>
      <c r="AR3">
        <f t="shared" si="2"/>
        <v>47</v>
      </c>
      <c r="AS3">
        <f t="shared" si="2"/>
        <v>48</v>
      </c>
      <c r="AT3">
        <f t="shared" si="2"/>
        <v>49</v>
      </c>
      <c r="AU3">
        <f t="shared" si="2"/>
        <v>50</v>
      </c>
      <c r="AV3">
        <f t="shared" si="2"/>
        <v>51</v>
      </c>
      <c r="AW3">
        <f t="shared" si="2"/>
        <v>52</v>
      </c>
      <c r="AX3">
        <f t="shared" si="2"/>
        <v>53</v>
      </c>
      <c r="AY3">
        <f t="shared" si="2"/>
        <v>54</v>
      </c>
      <c r="AZ3">
        <f t="shared" si="2"/>
        <v>55</v>
      </c>
      <c r="BA3">
        <f t="shared" si="2"/>
        <v>56</v>
      </c>
      <c r="BB3">
        <f t="shared" si="2"/>
        <v>57</v>
      </c>
      <c r="BC3">
        <f t="shared" si="2"/>
        <v>58</v>
      </c>
      <c r="BD3">
        <f t="shared" si="2"/>
        <v>59</v>
      </c>
      <c r="BE3">
        <f t="shared" si="2"/>
        <v>60</v>
      </c>
      <c r="BF3">
        <f t="shared" si="2"/>
        <v>61</v>
      </c>
      <c r="BG3">
        <f t="shared" si="2"/>
        <v>62</v>
      </c>
      <c r="BH3">
        <f t="shared" si="2"/>
        <v>63</v>
      </c>
      <c r="BI3">
        <f t="shared" si="2"/>
        <v>64</v>
      </c>
      <c r="BJ3">
        <f t="shared" si="2"/>
        <v>65</v>
      </c>
      <c r="BK3">
        <f t="shared" si="2"/>
        <v>66</v>
      </c>
      <c r="BL3">
        <f t="shared" si="2"/>
        <v>67</v>
      </c>
      <c r="BM3">
        <f t="shared" si="2"/>
        <v>68</v>
      </c>
      <c r="BN3">
        <f t="shared" si="2"/>
        <v>69</v>
      </c>
      <c r="BO3">
        <f t="shared" si="2"/>
        <v>70</v>
      </c>
    </row>
    <row r="4" spans="1:68" x14ac:dyDescent="0.25">
      <c r="A4" t="s">
        <v>6</v>
      </c>
      <c r="B4" s="3">
        <v>45459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68" x14ac:dyDescent="0.25">
      <c r="C5" s="6" t="s">
        <v>2</v>
      </c>
      <c r="D5" s="36" t="s">
        <v>33</v>
      </c>
      <c r="E5" s="7">
        <v>45747</v>
      </c>
      <c r="F5" s="7">
        <f t="shared" ref="F5:BN5" si="3">EDATE(E5,12)</f>
        <v>46112</v>
      </c>
      <c r="G5" s="7">
        <f t="shared" si="3"/>
        <v>46477</v>
      </c>
      <c r="H5" s="7">
        <f t="shared" si="3"/>
        <v>46843</v>
      </c>
      <c r="I5" s="7">
        <v>47118</v>
      </c>
      <c r="J5" s="7">
        <v>47208</v>
      </c>
      <c r="K5" s="7">
        <f>EDATE(J5,12)</f>
        <v>47573</v>
      </c>
      <c r="L5" s="7">
        <f t="shared" si="3"/>
        <v>47938</v>
      </c>
      <c r="M5" s="7">
        <f t="shared" si="3"/>
        <v>48304</v>
      </c>
      <c r="N5" s="7">
        <f t="shared" si="3"/>
        <v>48669</v>
      </c>
      <c r="O5" s="7">
        <f t="shared" si="3"/>
        <v>49034</v>
      </c>
      <c r="P5" s="7">
        <f t="shared" si="3"/>
        <v>49399</v>
      </c>
      <c r="Q5" s="7">
        <f t="shared" si="3"/>
        <v>49765</v>
      </c>
      <c r="R5" s="7">
        <f t="shared" si="3"/>
        <v>50130</v>
      </c>
      <c r="S5" s="7">
        <f t="shared" si="3"/>
        <v>50495</v>
      </c>
      <c r="T5" s="7">
        <f t="shared" si="3"/>
        <v>50860</v>
      </c>
      <c r="U5" s="7">
        <f t="shared" si="3"/>
        <v>51226</v>
      </c>
      <c r="V5" s="7">
        <f t="shared" si="3"/>
        <v>51591</v>
      </c>
      <c r="W5" s="7">
        <f t="shared" si="3"/>
        <v>51956</v>
      </c>
      <c r="X5" s="7">
        <f t="shared" si="3"/>
        <v>52321</v>
      </c>
      <c r="Y5" s="7">
        <f t="shared" si="3"/>
        <v>52687</v>
      </c>
      <c r="Z5" s="7">
        <f t="shared" si="3"/>
        <v>53052</v>
      </c>
      <c r="AA5" s="7">
        <f t="shared" si="3"/>
        <v>53417</v>
      </c>
      <c r="AB5" s="7">
        <f t="shared" si="3"/>
        <v>53782</v>
      </c>
      <c r="AC5" s="7">
        <f t="shared" si="3"/>
        <v>54148</v>
      </c>
      <c r="AD5" s="7">
        <f t="shared" si="3"/>
        <v>54513</v>
      </c>
      <c r="AE5" s="7">
        <f t="shared" si="3"/>
        <v>54878</v>
      </c>
      <c r="AF5" s="7">
        <f t="shared" si="3"/>
        <v>55243</v>
      </c>
      <c r="AG5" s="7">
        <f t="shared" si="3"/>
        <v>55609</v>
      </c>
      <c r="AH5" s="7">
        <f t="shared" si="3"/>
        <v>55974</v>
      </c>
      <c r="AI5" s="7">
        <f t="shared" si="3"/>
        <v>56339</v>
      </c>
      <c r="AJ5" s="7">
        <f t="shared" si="3"/>
        <v>56704</v>
      </c>
      <c r="AK5" s="7">
        <f t="shared" si="3"/>
        <v>57070</v>
      </c>
      <c r="AL5" s="7">
        <f t="shared" si="3"/>
        <v>57435</v>
      </c>
      <c r="AM5" s="7">
        <f t="shared" si="3"/>
        <v>57800</v>
      </c>
      <c r="AN5" s="7">
        <f t="shared" si="3"/>
        <v>58165</v>
      </c>
      <c r="AO5" s="7">
        <f t="shared" si="3"/>
        <v>58531</v>
      </c>
      <c r="AP5" s="7">
        <f t="shared" si="3"/>
        <v>58896</v>
      </c>
      <c r="AQ5" s="7">
        <f t="shared" si="3"/>
        <v>59261</v>
      </c>
      <c r="AR5" s="7">
        <f t="shared" si="3"/>
        <v>59626</v>
      </c>
      <c r="AS5" s="7">
        <f t="shared" si="3"/>
        <v>59992</v>
      </c>
      <c r="AT5" s="7">
        <f t="shared" si="3"/>
        <v>60357</v>
      </c>
      <c r="AU5" s="7">
        <f t="shared" si="3"/>
        <v>60722</v>
      </c>
      <c r="AV5" s="7">
        <f t="shared" si="3"/>
        <v>61087</v>
      </c>
      <c r="AW5" s="7">
        <f t="shared" si="3"/>
        <v>61453</v>
      </c>
      <c r="AX5" s="7">
        <f t="shared" si="3"/>
        <v>61818</v>
      </c>
      <c r="AY5" s="7">
        <f t="shared" si="3"/>
        <v>62183</v>
      </c>
      <c r="AZ5" s="7">
        <f t="shared" si="3"/>
        <v>62548</v>
      </c>
      <c r="BA5" s="7">
        <f t="shared" si="3"/>
        <v>62914</v>
      </c>
      <c r="BB5" s="7">
        <f t="shared" si="3"/>
        <v>63279</v>
      </c>
      <c r="BC5" s="7">
        <f t="shared" si="3"/>
        <v>63644</v>
      </c>
      <c r="BD5" s="7">
        <f t="shared" si="3"/>
        <v>64009</v>
      </c>
      <c r="BE5" s="7">
        <f t="shared" si="3"/>
        <v>64375</v>
      </c>
      <c r="BF5" s="7">
        <f t="shared" si="3"/>
        <v>64740</v>
      </c>
      <c r="BG5" s="7">
        <f t="shared" si="3"/>
        <v>65105</v>
      </c>
      <c r="BH5" s="7">
        <f t="shared" si="3"/>
        <v>65470</v>
      </c>
      <c r="BI5" s="7">
        <f t="shared" si="3"/>
        <v>65836</v>
      </c>
      <c r="BJ5" s="7">
        <f t="shared" si="3"/>
        <v>66201</v>
      </c>
      <c r="BK5" s="7">
        <f t="shared" si="3"/>
        <v>66566</v>
      </c>
      <c r="BL5" s="7">
        <f t="shared" si="3"/>
        <v>66931</v>
      </c>
      <c r="BM5" s="7">
        <f t="shared" si="3"/>
        <v>67297</v>
      </c>
      <c r="BN5" s="7">
        <f t="shared" si="3"/>
        <v>67662</v>
      </c>
      <c r="BO5" s="7">
        <f>B2</f>
        <v>53052</v>
      </c>
    </row>
    <row r="6" spans="1:68" x14ac:dyDescent="0.25">
      <c r="C6" s="38" t="s">
        <v>5</v>
      </c>
      <c r="D6" s="14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68" x14ac:dyDescent="0.25">
      <c r="C7" s="39" t="s">
        <v>50</v>
      </c>
      <c r="D7" s="8"/>
      <c r="E7" s="9">
        <f>SUM('[1]Quarterly Cashflow'!$C$10:$F$10)</f>
        <v>0</v>
      </c>
      <c r="F7" s="37">
        <f>SUM('[1]Quarterly Cashflow'!$G$10:$J$10)</f>
        <v>1.5693559613849248</v>
      </c>
      <c r="G7" s="12">
        <f>SUM('[1]Quarterly Cashflow'!$K$10:$N$10)</f>
        <v>9.3956514472816526</v>
      </c>
      <c r="H7" s="12">
        <f>SUM('[1]Quarterly Cashflow'!$O$10:$R$10)</f>
        <v>21.518959769157377</v>
      </c>
      <c r="I7" s="12">
        <f>SUM('[1]Quarterly Cashflow'!$S$10:$U$10)</f>
        <v>24.067366288584253</v>
      </c>
      <c r="J7" s="12">
        <f>'[1]Quarterly Cashflow'!$V$10</f>
        <v>9.2169164053224648</v>
      </c>
      <c r="K7" s="12">
        <f>SUM('[1]Quarterly Cashflow'!$W$10:$Z$10)</f>
        <v>39.932371302381988</v>
      </c>
      <c r="L7" s="12">
        <f>SUM('[1]Quarterly Cashflow'!$AA$10:$AD$10)</f>
        <v>41.928989867501087</v>
      </c>
      <c r="M7" s="12">
        <f>SUM('[1]Quarterly Cashflow'!$AE$10:$AH$10)</f>
        <v>44.025439360876142</v>
      </c>
      <c r="N7" s="12">
        <f>SUM('[1]Quarterly Cashflow'!$AI$10:$AL$10)</f>
        <v>46.226711328919954</v>
      </c>
      <c r="O7" s="9">
        <f>SUM('[1]Quarterly Cashflow'!$AM$10:$AP$10)</f>
        <v>48.538046895365966</v>
      </c>
      <c r="P7" s="9">
        <f>SUM('[1]Quarterly Cashflow'!$AQ$10:$AT$10)</f>
        <v>50.964949240134253</v>
      </c>
      <c r="Q7" s="9">
        <f>SUM('[1]Quarterly Cashflow'!$AU$10:$AX$10)</f>
        <v>53.513196702140959</v>
      </c>
      <c r="R7" s="9">
        <f>SUM('[1]Quarterly Cashflow'!$AY$10:$BB$10)</f>
        <v>56.188856537248022</v>
      </c>
      <c r="S7" s="9">
        <f>SUM('[1]Quarterly Cashflow'!$BC$10:$BF$10)</f>
        <v>58.998299364110437</v>
      </c>
      <c r="T7" s="9">
        <f>SUM('[1]Quarterly Cashflow'!$BG$10:$BJ$10)</f>
        <v>61.948214332315956</v>
      </c>
      <c r="U7" s="9">
        <f>SUM('[1]Quarterly Cashflow'!$BK$10:$BN$10)</f>
        <v>65.045625048931754</v>
      </c>
      <c r="V7" s="9">
        <f>SUM('[1]Quarterly Cashflow'!$BO$10:$BR$10)</f>
        <v>68.297906301378347</v>
      </c>
      <c r="W7" s="9">
        <f>SUM('[1]Quarterly Cashflow'!$BS$10:$BV$10)</f>
        <v>71.71280161644728</v>
      </c>
      <c r="X7" s="9">
        <f>SUM('[1]Quarterly Cashflow'!$BW$10:$BZ$10)</f>
        <v>75.298441697269624</v>
      </c>
      <c r="Y7" s="9">
        <f>SUM('[1]Quarterly Cashflow'!$CA$10:$CD$10)</f>
        <v>79.063363782133123</v>
      </c>
      <c r="Z7" s="9">
        <f>SUM('[1]Quarterly Cashflow'!$CE$10:$CH$10)</f>
        <v>83.016531971239772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</row>
    <row r="8" spans="1:68" x14ac:dyDescent="0.25">
      <c r="C8" s="39" t="s">
        <v>71</v>
      </c>
      <c r="D8" s="8"/>
      <c r="E8" s="9">
        <f>'Security Deposit'!I10</f>
        <v>0</v>
      </c>
      <c r="F8" s="9">
        <f>'Security Deposit'!J10</f>
        <v>1.2057247020396376E-2</v>
      </c>
      <c r="G8" s="9">
        <f>'Security Deposit'!K10</f>
        <v>0.2171502681182825</v>
      </c>
      <c r="H8" s="9">
        <f>'Security Deposit'!L10</f>
        <v>0.74535364142109939</v>
      </c>
      <c r="I8" s="9">
        <f>'Security Deposit'!M10</f>
        <v>0.84934793690768073</v>
      </c>
      <c r="J8" s="9">
        <f>'Security Deposit'!N10</f>
        <v>0.273063349543608</v>
      </c>
      <c r="K8" s="9">
        <f>'Security Deposit'!O10</f>
        <v>1.2538050535935092</v>
      </c>
      <c r="L8" s="9">
        <f>'Security Deposit'!P10</f>
        <v>1.3606858418131074</v>
      </c>
      <c r="M8" s="9">
        <f>'Security Deposit'!Q10</f>
        <v>1.4559338507400252</v>
      </c>
      <c r="N8" s="9">
        <f>'Security Deposit'!R10</f>
        <v>1.5578492202918266</v>
      </c>
      <c r="O8" s="9">
        <f>'Security Deposit'!S10</f>
        <v>1.6668986657122544</v>
      </c>
      <c r="P8" s="9">
        <f>'Security Deposit'!T10</f>
        <v>1.7835815723121125</v>
      </c>
      <c r="Q8" s="9">
        <f>'Security Deposit'!U10</f>
        <v>1.9084322823739603</v>
      </c>
      <c r="R8" s="9">
        <f>'Security Deposit'!V10</f>
        <v>2.0420225421401375</v>
      </c>
      <c r="S8" s="9">
        <f>'Security Deposit'!W10</f>
        <v>2.1849641200899472</v>
      </c>
      <c r="T8" s="9">
        <f>'Security Deposit'!X10</f>
        <v>2.3379116084962437</v>
      </c>
      <c r="U8" s="9">
        <f>'Security Deposit'!Y10</f>
        <v>2.5015654210909801</v>
      </c>
      <c r="V8" s="9">
        <f>'Security Deposit'!Z10</f>
        <v>2.6766750005673492</v>
      </c>
      <c r="W8" s="9">
        <f>'Security Deposit'!AA10</f>
        <v>2.8640422506070635</v>
      </c>
      <c r="X8" s="9">
        <f>'Security Deposit'!AB10</f>
        <v>3.0645252081495582</v>
      </c>
      <c r="Y8" s="9">
        <f>'Security Deposit'!AC10</f>
        <v>3.2790419727200271</v>
      </c>
      <c r="Z8" s="9">
        <f>'Security Deposit'!AD10</f>
        <v>3.5085749108104287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32"/>
    </row>
    <row r="9" spans="1:68" x14ac:dyDescent="0.25">
      <c r="C9" s="58" t="s">
        <v>7</v>
      </c>
      <c r="D9" s="13"/>
      <c r="E9" s="11">
        <f t="shared" ref="E9:N9" si="4">SUM(E7:E8)</f>
        <v>0</v>
      </c>
      <c r="F9" s="11">
        <f t="shared" si="4"/>
        <v>1.5814132084053212</v>
      </c>
      <c r="G9" s="11">
        <f t="shared" si="4"/>
        <v>9.6128017153999359</v>
      </c>
      <c r="H9" s="11">
        <f t="shared" si="4"/>
        <v>22.264313410578477</v>
      </c>
      <c r="I9" s="11">
        <f t="shared" si="4"/>
        <v>24.916714225491933</v>
      </c>
      <c r="J9" s="11">
        <f t="shared" si="4"/>
        <v>9.4899797548660736</v>
      </c>
      <c r="K9" s="11">
        <f t="shared" si="4"/>
        <v>41.186176355975498</v>
      </c>
      <c r="L9" s="11">
        <f t="shared" si="4"/>
        <v>43.289675709314196</v>
      </c>
      <c r="M9" s="11">
        <f t="shared" si="4"/>
        <v>45.481373211616166</v>
      </c>
      <c r="N9" s="11">
        <f t="shared" si="4"/>
        <v>47.784560549211783</v>
      </c>
      <c r="O9" s="11">
        <f t="shared" ref="O9:Z9" si="5">SUM(O7:O8)</f>
        <v>50.204945561078219</v>
      </c>
      <c r="P9" s="11">
        <f t="shared" si="5"/>
        <v>52.748530812446369</v>
      </c>
      <c r="Q9" s="11">
        <f t="shared" si="5"/>
        <v>55.421628984514918</v>
      </c>
      <c r="R9" s="11">
        <f t="shared" si="5"/>
        <v>58.23087907938816</v>
      </c>
      <c r="S9" s="11">
        <f t="shared" si="5"/>
        <v>61.183263484200381</v>
      </c>
      <c r="T9" s="11">
        <f t="shared" si="5"/>
        <v>64.286125940812198</v>
      </c>
      <c r="U9" s="11">
        <f t="shared" si="5"/>
        <v>67.547190470022741</v>
      </c>
      <c r="V9" s="11">
        <f t="shared" si="5"/>
        <v>70.97458130194569</v>
      </c>
      <c r="W9" s="11">
        <f t="shared" si="5"/>
        <v>74.57684386705435</v>
      </c>
      <c r="X9" s="11">
        <f t="shared" si="5"/>
        <v>78.362966905419185</v>
      </c>
      <c r="Y9" s="11">
        <f t="shared" si="5"/>
        <v>82.342405754853147</v>
      </c>
      <c r="Z9" s="11">
        <f t="shared" si="5"/>
        <v>86.525106882050196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8" x14ac:dyDescent="0.25">
      <c r="C10" s="38" t="s">
        <v>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68" x14ac:dyDescent="0.25">
      <c r="C11" s="40" t="s">
        <v>48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68" x14ac:dyDescent="0.25">
      <c r="C12" s="39" t="s">
        <v>37</v>
      </c>
      <c r="D12" s="12">
        <f>-1*'[1]Monthly Cashflow'!$B$16</f>
        <v>47.58</v>
      </c>
      <c r="E12" s="9">
        <f>D12</f>
        <v>47.58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</row>
    <row r="13" spans="1:68" x14ac:dyDescent="0.25">
      <c r="C13" s="39" t="s">
        <v>38</v>
      </c>
      <c r="D13" s="12">
        <f>-1*'[1]Monthly Cashflow'!$B$17</f>
        <v>254.45065628902654</v>
      </c>
      <c r="E13" s="9">
        <f>-SUM('[1]Monthly Cashflow'!$D$17:$L$17)</f>
        <v>32.692181792566792</v>
      </c>
      <c r="F13" s="37">
        <f>-SUM('[1]Monthly Cashflow'!$M$17:$X$17)</f>
        <v>74.22042742525008</v>
      </c>
      <c r="G13" s="12">
        <f>-SUM('[1]Monthly Cashflow'!$Y$17:$AJ$17)</f>
        <v>75.178634147560146</v>
      </c>
      <c r="H13" s="12">
        <f>-SUM('[1]Monthly Cashflow'!$AK$17:$AV$17)</f>
        <v>62.920626152062269</v>
      </c>
      <c r="I13" s="12">
        <f>-SUM('[1]Monthly Cashflow'!$AW$17:$BH$17)</f>
        <v>9.4387867715870399</v>
      </c>
      <c r="J13" s="12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spans="1:68" x14ac:dyDescent="0.25">
      <c r="C14" s="39" t="s">
        <v>39</v>
      </c>
      <c r="D14" s="12">
        <f>-1*'[1]Monthly Cashflow'!$B$18</f>
        <v>61.603843101553736</v>
      </c>
      <c r="E14" s="9">
        <f>-SUM('[1]Monthly Cashflow'!$D$18:$L$18)</f>
        <v>8.0204819331097212</v>
      </c>
      <c r="F14" s="37">
        <f>-SUM('[1]Monthly Cashflow'!$M$18:$X$18)</f>
        <v>18.068034652308555</v>
      </c>
      <c r="G14" s="12">
        <f>-SUM('[1]Monthly Cashflow'!$Y$18:$AJ$18)</f>
        <v>18.545130266269407</v>
      </c>
      <c r="H14" s="12">
        <f>-SUM('[1]Monthly Cashflow'!$AK$18:$AV$18)</f>
        <v>14.685016294639739</v>
      </c>
      <c r="I14" s="12">
        <f>-SUM('[1]Monthly Cashflow'!$AW$18:$BH$18)</f>
        <v>2.2851799552263352</v>
      </c>
      <c r="J14" s="12">
        <v>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spans="1:68" x14ac:dyDescent="0.25">
      <c r="C15" s="39" t="s">
        <v>40</v>
      </c>
      <c r="D15" s="12">
        <f>-1*'[1]Monthly Cashflow'!$B$19</f>
        <v>5.0220524267570994</v>
      </c>
      <c r="E15" s="9">
        <f>-SUM('[1]Monthly Cashflow'!$D$19:$L$19)</f>
        <v>0.76998691327229685</v>
      </c>
      <c r="F15" s="37">
        <f>-SUM('[1]Monthly Cashflow'!$M$19:$X$19)</f>
        <v>1.5817577385711212</v>
      </c>
      <c r="G15" s="12">
        <f>-SUM('[1]Monthly Cashflow'!$Y$19:$AJ$19)</f>
        <v>1.8904042096413096</v>
      </c>
      <c r="H15" s="12">
        <f>-SUM('[1]Monthly Cashflow'!$AK$19:$AV$19)</f>
        <v>0.71004412370634962</v>
      </c>
      <c r="I15" s="12">
        <f>-SUM('[1]Monthly Cashflow'!$AW$19:$BH$19)</f>
        <v>6.9859441566022487E-2</v>
      </c>
      <c r="J15" s="12"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68" x14ac:dyDescent="0.25">
      <c r="C16" s="39" t="s">
        <v>43</v>
      </c>
      <c r="D16" s="12">
        <f>-1*'[1]Monthly Cashflow'!$B$22</f>
        <v>24.942860386226911</v>
      </c>
      <c r="E16" s="9">
        <f>-SUM('[1]Monthly Cashflow'!$D$22:$L$22)</f>
        <v>3.2474233913949693</v>
      </c>
      <c r="F16" s="37">
        <f>-SUM('[1]Monthly Cashflow'!$M$22:$X$22)</f>
        <v>7.3155901173749323</v>
      </c>
      <c r="G16" s="12">
        <f>-SUM('[1]Monthly Cashflow'!$Y$22:$AJ$22)</f>
        <v>7.5087619828101655</v>
      </c>
      <c r="H16" s="12">
        <f>-SUM('[1]Monthly Cashflow'!$AK$22:$AV$22)</f>
        <v>5.9458354019057635</v>
      </c>
      <c r="I16" s="12">
        <f>-SUM('[1]Monthly Cashflow'!$AW$22:$BH$22)</f>
        <v>0.92524949274109769</v>
      </c>
      <c r="J16" s="12">
        <v>0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2:67" x14ac:dyDescent="0.25">
      <c r="C17" s="40" t="s">
        <v>49</v>
      </c>
      <c r="D17" s="12"/>
      <c r="E17" s="9"/>
      <c r="F17" s="12"/>
      <c r="G17" s="12"/>
      <c r="H17" s="12"/>
      <c r="I17" s="12"/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2:67" x14ac:dyDescent="0.25">
      <c r="C18" s="39" t="s">
        <v>41</v>
      </c>
      <c r="D18" s="12">
        <f>-1*'[1]Monthly Cashflow'!$B$20</f>
        <v>18.414192231442694</v>
      </c>
      <c r="E18" s="9">
        <f>-SUM('[1]Monthly Cashflow'!$D$20:$L$20)</f>
        <v>2.3974266647882314</v>
      </c>
      <c r="F18" s="37">
        <f>-SUM('[1]Monthly Cashflow'!$M$20:$X$20)</f>
        <v>5.4007712275922319</v>
      </c>
      <c r="G18" s="12">
        <f>-SUM('[1]Monthly Cashflow'!$Y$20:$AJ$20)</f>
        <v>5.543381329591397</v>
      </c>
      <c r="H18" s="12">
        <f>-SUM('[1]Monthly Cashflow'!$AK$20:$AV$20)</f>
        <v>4.389542914158616</v>
      </c>
      <c r="I18" s="12">
        <f>-SUM('[1]Monthly Cashflow'!$AW$20:$BH$20)</f>
        <v>0.68307009531221974</v>
      </c>
      <c r="J18" s="12">
        <v>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2:67" x14ac:dyDescent="0.25">
      <c r="C19" s="39" t="s">
        <v>42</v>
      </c>
      <c r="D19" s="12">
        <f>-1*'[1]Monthly Cashflow'!$B$21</f>
        <v>34.09973597768068</v>
      </c>
      <c r="E19" s="9">
        <f>-SUM('[1]Monthly Cashflow'!$D$21:$L$21)</f>
        <v>4.3960087117071485</v>
      </c>
      <c r="F19" s="37">
        <f>-SUM('[1]Monthly Cashflow'!$M$21:$X$21)</f>
        <v>9.9604052194933601</v>
      </c>
      <c r="G19" s="12">
        <f>-SUM('[1]Monthly Cashflow'!$Y$21:$AJ$21)</f>
        <v>10.123252639663972</v>
      </c>
      <c r="H19" s="12">
        <f>-SUM('[1]Monthly Cashflow'!$AK$21:$AV$21)</f>
        <v>8.3551477848607796</v>
      </c>
      <c r="I19" s="12">
        <f>-SUM('[1]Monthly Cashflow'!$AW$21:$BH$21)</f>
        <v>1.2649216219554473</v>
      </c>
      <c r="J19" s="12">
        <v>0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2:67" x14ac:dyDescent="0.25">
      <c r="C20" s="39" t="s">
        <v>44</v>
      </c>
      <c r="D20" s="12">
        <f>-1*'[1]Monthly Cashflow'!$B$23</f>
        <v>18.221680221750354</v>
      </c>
      <c r="E20" s="9">
        <f>-SUM('[1]Monthly Cashflow'!$D$23:$L$23)</f>
        <v>2.3563750347566006</v>
      </c>
      <c r="F20" s="37">
        <f>-SUM('[1]Monthly Cashflow'!$M$23:$X$23)</f>
        <v>5.3293290580548467</v>
      </c>
      <c r="G20" s="12">
        <f>-SUM('[1]Monthly Cashflow'!$Y$23:$AJ$23)</f>
        <v>5.433315596793622</v>
      </c>
      <c r="H20" s="12">
        <f>-SUM('[1]Monthly Cashflow'!$AK$23:$AV$23)</f>
        <v>4.4325532443236364</v>
      </c>
      <c r="I20" s="12">
        <f>-SUM('[1]Monthly Cashflow'!$AW$23:$BH$23)</f>
        <v>0.67010728782163576</v>
      </c>
      <c r="J20" s="12">
        <v>0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2:67" x14ac:dyDescent="0.25">
      <c r="C21" s="39" t="s">
        <v>45</v>
      </c>
      <c r="D21" s="12">
        <f>-1*'[1]Monthly Cashflow'!$B$25</f>
        <v>0.70932943880749988</v>
      </c>
      <c r="E21" s="9">
        <f>-SUM('[1]Monthly Cashflow'!$D$25:$L$25)</f>
        <v>4.8605682117999996E-2</v>
      </c>
      <c r="F21" s="37">
        <f>-SUM('[1]Monthly Cashflow'!$M$25:$X$25)</f>
        <v>0.16705516827719999</v>
      </c>
      <c r="G21" s="12">
        <f>-SUM('[1]Monthly Cashflow'!$Y$25:$AJ$25)</f>
        <v>0.23933248559429995</v>
      </c>
      <c r="H21" s="12">
        <f>-SUM('[1]Monthly Cashflow'!$AK$25:$AV$25)</f>
        <v>0.21048209053549999</v>
      </c>
      <c r="I21" s="12">
        <f>-SUM('[1]Monthly Cashflow'!$AW$25:$BH$25)</f>
        <v>4.38540122825E-2</v>
      </c>
      <c r="J21" s="12">
        <v>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2:67" x14ac:dyDescent="0.25">
      <c r="C22" s="39" t="s">
        <v>46</v>
      </c>
      <c r="D22" s="12">
        <f>-1*'[1]Monthly Cashflow'!$B$26</f>
        <v>5.7297434223802499</v>
      </c>
      <c r="E22" s="10" t="s">
        <v>32</v>
      </c>
      <c r="F22" s="37">
        <f>-SUM('[1]Monthly Cashflow'!$M$26:$X$26)</f>
        <v>1.0462373075899498</v>
      </c>
      <c r="G22" s="12">
        <f>-SUM('[1]Monthly Cashflow'!$Y$26:$AJ$26)</f>
        <v>2.0265065357818051</v>
      </c>
      <c r="H22" s="12">
        <f>-SUM('[1]Monthly Cashflow'!$AK$26:$AV$26)</f>
        <v>0.84474877949784011</v>
      </c>
      <c r="I22" s="12">
        <f>-SUM('[1]Monthly Cashflow'!$AW$26:$BH$26)</f>
        <v>1.8122507995106552</v>
      </c>
      <c r="J22" s="12">
        <v>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2:67" x14ac:dyDescent="0.25">
      <c r="C23" s="39" t="s">
        <v>51</v>
      </c>
      <c r="D23" s="12">
        <f ca="1">-1*'[1]Monthly Cashflow'!$B$30</f>
        <v>7.1625106833256815</v>
      </c>
      <c r="E23" s="10">
        <f>-SUM('[1]Monthly Cashflow'!$D$30:$L$30)</f>
        <v>0</v>
      </c>
      <c r="F23" s="37">
        <f>-SUM('[1]Monthly Cashflow'!$M$30:$X$30)</f>
        <v>0</v>
      </c>
      <c r="G23" s="12">
        <f>-SUM('[1]Monthly Cashflow'!$Y$30:$AJ$30)</f>
        <v>0</v>
      </c>
      <c r="H23" s="12">
        <f>-SUM('[1]Monthly Cashflow'!$AK$30:$AV$30)</f>
        <v>0</v>
      </c>
      <c r="I23" s="12">
        <f ca="1">-SUM('[1]Monthly Cashflow'!$AW$30:$BH$30)</f>
        <v>7.1625106833256815</v>
      </c>
      <c r="J23" s="12">
        <v>0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2:67" x14ac:dyDescent="0.25">
      <c r="C24" s="39" t="s">
        <v>47</v>
      </c>
      <c r="D24" s="12">
        <f ca="1">-1*'[1]Monthly Cashflow'!$B$31</f>
        <v>2.1240031680815004</v>
      </c>
      <c r="E24" s="10">
        <f ca="1">-SUM('[1]Monthly Cashflow'!$D$31:$L$31)</f>
        <v>2.1240031680815004</v>
      </c>
      <c r="F24" s="37">
        <f>-SUM('[1]Monthly Cashflow'!$M$31:$X$31)</f>
        <v>0</v>
      </c>
      <c r="G24" s="12">
        <f>-SUM('[1]Monthly Cashflow'!$Y$31:$AJ$31)</f>
        <v>0</v>
      </c>
      <c r="H24" s="12">
        <f>-SUM('[1]Monthly Cashflow'!$AK$31:$AV$31)</f>
        <v>0</v>
      </c>
      <c r="I24" s="12">
        <f>-SUM('[1]Monthly Cashflow'!$AW$31:$BH$31)</f>
        <v>0</v>
      </c>
      <c r="J24" s="12">
        <v>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2:67" x14ac:dyDescent="0.25">
      <c r="C25" s="39" t="s">
        <v>87</v>
      </c>
      <c r="D25" s="12">
        <v>71.477443382360903</v>
      </c>
      <c r="E25" s="10">
        <v>2.16934590874942</v>
      </c>
      <c r="F25" s="37">
        <v>8.6621414250100948</v>
      </c>
      <c r="G25" s="12">
        <v>16.225432504518174</v>
      </c>
      <c r="H25" s="12">
        <v>23.717046144711365</v>
      </c>
      <c r="I25" s="12">
        <v>20.703477399371863</v>
      </c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2:67" x14ac:dyDescent="0.25">
      <c r="C26" s="58" t="s">
        <v>9</v>
      </c>
      <c r="D26" s="11">
        <f t="shared" ref="D26:Z26" ca="1" si="6">SUM(D12:D24)</f>
        <v>480.060607347033</v>
      </c>
      <c r="E26" s="11">
        <f ca="1">SUM(E12:E25)</f>
        <v>105.80183920054466</v>
      </c>
      <c r="F26" s="11">
        <f t="shared" ref="F26:I26" si="7">SUM(F12:F25)</f>
        <v>131.75174933952238</v>
      </c>
      <c r="G26" s="11">
        <f t="shared" si="7"/>
        <v>142.7141516982243</v>
      </c>
      <c r="H26" s="11">
        <f t="shared" si="7"/>
        <v>126.21104293040186</v>
      </c>
      <c r="I26" s="11">
        <f t="shared" ca="1" si="7"/>
        <v>45.059267560700498</v>
      </c>
      <c r="J26" s="11">
        <f t="shared" si="6"/>
        <v>0</v>
      </c>
      <c r="K26" s="11">
        <f t="shared" si="6"/>
        <v>0</v>
      </c>
      <c r="L26" s="11">
        <f t="shared" si="6"/>
        <v>0</v>
      </c>
      <c r="M26" s="11">
        <f t="shared" si="6"/>
        <v>0</v>
      </c>
      <c r="N26" s="11">
        <f t="shared" si="6"/>
        <v>0</v>
      </c>
      <c r="O26" s="11">
        <f t="shared" si="6"/>
        <v>0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0</v>
      </c>
      <c r="Y26" s="11">
        <f t="shared" si="6"/>
        <v>0</v>
      </c>
      <c r="Z26" s="11">
        <f t="shared" si="6"/>
        <v>0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2:67" x14ac:dyDescent="0.25">
      <c r="C27" s="14" t="s">
        <v>10</v>
      </c>
      <c r="D27" s="14"/>
      <c r="E27" s="11">
        <f t="shared" ref="E27:Z27" ca="1" si="8">E9-E26</f>
        <v>-105.80183920054466</v>
      </c>
      <c r="F27" s="11">
        <f t="shared" si="8"/>
        <v>-130.17033613111707</v>
      </c>
      <c r="G27" s="11">
        <f t="shared" si="8"/>
        <v>-133.10134998282436</v>
      </c>
      <c r="H27" s="11">
        <f t="shared" si="8"/>
        <v>-103.94672951982338</v>
      </c>
      <c r="I27" s="11">
        <f t="shared" ca="1" si="8"/>
        <v>-20.142553335208564</v>
      </c>
      <c r="J27" s="11">
        <f t="shared" si="8"/>
        <v>9.4899797548660736</v>
      </c>
      <c r="K27" s="11">
        <f t="shared" si="8"/>
        <v>41.186176355975498</v>
      </c>
      <c r="L27" s="11">
        <f t="shared" si="8"/>
        <v>43.289675709314196</v>
      </c>
      <c r="M27" s="11">
        <f t="shared" si="8"/>
        <v>45.481373211616166</v>
      </c>
      <c r="N27" s="11">
        <f t="shared" si="8"/>
        <v>47.784560549211783</v>
      </c>
      <c r="O27" s="11">
        <f t="shared" si="8"/>
        <v>50.204945561078219</v>
      </c>
      <c r="P27" s="11">
        <f t="shared" si="8"/>
        <v>52.748530812446369</v>
      </c>
      <c r="Q27" s="11">
        <f t="shared" si="8"/>
        <v>55.421628984514918</v>
      </c>
      <c r="R27" s="11">
        <f t="shared" si="8"/>
        <v>58.23087907938816</v>
      </c>
      <c r="S27" s="11">
        <f t="shared" si="8"/>
        <v>61.183263484200381</v>
      </c>
      <c r="T27" s="11">
        <f t="shared" si="8"/>
        <v>64.286125940812198</v>
      </c>
      <c r="U27" s="11">
        <f t="shared" si="8"/>
        <v>67.547190470022741</v>
      </c>
      <c r="V27" s="11">
        <f t="shared" si="8"/>
        <v>70.97458130194569</v>
      </c>
      <c r="W27" s="11">
        <f t="shared" si="8"/>
        <v>74.57684386705435</v>
      </c>
      <c r="X27" s="11">
        <f t="shared" si="8"/>
        <v>78.362966905419185</v>
      </c>
      <c r="Y27" s="11">
        <f t="shared" si="8"/>
        <v>82.342405754853147</v>
      </c>
      <c r="Z27" s="11">
        <f t="shared" si="8"/>
        <v>86.525106882050196</v>
      </c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</row>
    <row r="28" spans="2:67" x14ac:dyDescent="0.25">
      <c r="C28" s="8" t="s">
        <v>11</v>
      </c>
      <c r="D28" s="8"/>
      <c r="E28" s="10">
        <f>'WACC &amp; Dep'!M20</f>
        <v>0</v>
      </c>
      <c r="F28" s="10">
        <f>'WACC &amp; Dep'!N20</f>
        <v>1.7810321357409615</v>
      </c>
      <c r="G28" s="10">
        <f>'WACC &amp; Dep'!O20</f>
        <v>5.824474913942324</v>
      </c>
      <c r="H28" s="10">
        <f>'WACC &amp; Dep'!P20</f>
        <v>9.9201196826974414</v>
      </c>
      <c r="I28" s="10">
        <f>'WACC &amp; Dep'!Q20</f>
        <v>13.219408858975042</v>
      </c>
      <c r="J28" s="10">
        <f>'WACC &amp; Dep'!R20</f>
        <v>13.862176549935082</v>
      </c>
      <c r="K28" s="10">
        <f>'WACC &amp; Dep'!R20</f>
        <v>13.862176549935082</v>
      </c>
      <c r="L28" s="10">
        <f>'WACC &amp; Dep'!S20</f>
        <v>13.862176549935082</v>
      </c>
      <c r="M28" s="10">
        <f>'WACC &amp; Dep'!T20</f>
        <v>13.862176549935082</v>
      </c>
      <c r="N28" s="10">
        <f>'WACC &amp; Dep'!U20</f>
        <v>13.862176549935082</v>
      </c>
      <c r="O28" s="10">
        <f>'WACC &amp; Dep'!V20</f>
        <v>13.862176549935082</v>
      </c>
      <c r="P28" s="10">
        <f>'WACC &amp; Dep'!W20</f>
        <v>13.862176549935082</v>
      </c>
      <c r="Q28" s="10">
        <f>'WACC &amp; Dep'!X20</f>
        <v>13.862176549935082</v>
      </c>
      <c r="R28" s="10">
        <f>'WACC &amp; Dep'!Y20</f>
        <v>13.862176549935082</v>
      </c>
      <c r="S28" s="10">
        <f>'WACC &amp; Dep'!Z20</f>
        <v>13.862176549935082</v>
      </c>
      <c r="T28" s="10">
        <f>'WACC &amp; Dep'!AA20</f>
        <v>13.862176549935082</v>
      </c>
      <c r="U28" s="10">
        <f>'WACC &amp; Dep'!AB20</f>
        <v>13.862176549935082</v>
      </c>
      <c r="V28" s="10">
        <f>'WACC &amp; Dep'!AC20</f>
        <v>13.862176549935082</v>
      </c>
      <c r="W28" s="10">
        <f>'WACC &amp; Dep'!AD20</f>
        <v>13.862176549935082</v>
      </c>
      <c r="X28" s="10">
        <f>'WACC &amp; Dep'!AE20</f>
        <v>13.862176549935082</v>
      </c>
      <c r="Y28" s="10">
        <f>'WACC &amp; Dep'!AF20</f>
        <v>13.862176549935082</v>
      </c>
      <c r="Z28" s="10">
        <f>'WACC &amp; Dep'!AG20</f>
        <v>13.862176549935082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2:67" x14ac:dyDescent="0.25">
      <c r="C29" s="13" t="s">
        <v>13</v>
      </c>
      <c r="D29" s="13"/>
      <c r="E29" s="15">
        <f ca="1">E27-E28</f>
        <v>-105.80183920054466</v>
      </c>
      <c r="F29" s="15">
        <f t="shared" ref="F29:Z29" si="9">F27-F28</f>
        <v>-131.95136826685803</v>
      </c>
      <c r="G29" s="15">
        <f t="shared" si="9"/>
        <v>-138.92582489676667</v>
      </c>
      <c r="H29" s="15">
        <f t="shared" si="9"/>
        <v>-113.86684920252083</v>
      </c>
      <c r="I29" s="15">
        <f t="shared" ca="1" si="9"/>
        <v>-33.361962194183604</v>
      </c>
      <c r="J29" s="15">
        <f t="shared" si="9"/>
        <v>-4.3721967950690086</v>
      </c>
      <c r="K29" s="15">
        <f t="shared" si="9"/>
        <v>27.323999806040415</v>
      </c>
      <c r="L29" s="15">
        <f t="shared" si="9"/>
        <v>29.427499159379114</v>
      </c>
      <c r="M29" s="15">
        <f t="shared" si="9"/>
        <v>31.619196661681084</v>
      </c>
      <c r="N29" s="15">
        <f t="shared" si="9"/>
        <v>33.922383999276704</v>
      </c>
      <c r="O29" s="15">
        <f t="shared" si="9"/>
        <v>36.342769011143133</v>
      </c>
      <c r="P29" s="15">
        <f t="shared" si="9"/>
        <v>38.88635426251129</v>
      </c>
      <c r="Q29" s="15">
        <f t="shared" si="9"/>
        <v>41.559452434579839</v>
      </c>
      <c r="R29" s="15">
        <f t="shared" si="9"/>
        <v>44.368702529453074</v>
      </c>
      <c r="S29" s="15">
        <f t="shared" si="9"/>
        <v>47.321086934265296</v>
      </c>
      <c r="T29" s="15">
        <f t="shared" si="9"/>
        <v>50.423949390877112</v>
      </c>
      <c r="U29" s="15">
        <f t="shared" si="9"/>
        <v>53.685013920087655</v>
      </c>
      <c r="V29" s="15">
        <f t="shared" si="9"/>
        <v>57.112404752010605</v>
      </c>
      <c r="W29" s="15">
        <f t="shared" si="9"/>
        <v>60.714667317119265</v>
      </c>
      <c r="X29" s="15">
        <f t="shared" si="9"/>
        <v>64.500790355484099</v>
      </c>
      <c r="Y29" s="15">
        <f t="shared" si="9"/>
        <v>68.480229204918061</v>
      </c>
      <c r="Z29" s="15">
        <f t="shared" si="9"/>
        <v>72.66293033211511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28"/>
    </row>
    <row r="30" spans="2:67" x14ac:dyDescent="0.25">
      <c r="C30" s="13" t="s">
        <v>12</v>
      </c>
      <c r="D30" s="13"/>
      <c r="E30" s="16"/>
      <c r="F30" s="8"/>
      <c r="G30" s="8"/>
      <c r="H30" s="8"/>
      <c r="I30" s="8"/>
      <c r="J30" s="8"/>
      <c r="K30" s="54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16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2:67" x14ac:dyDescent="0.25">
      <c r="C31" s="14" t="s">
        <v>14</v>
      </c>
      <c r="D31" s="14"/>
      <c r="E31" s="11">
        <f ca="1">E29*(1-$E$30)</f>
        <v>-105.80183920054466</v>
      </c>
      <c r="F31" s="11">
        <f t="shared" ref="F31:J31" si="10">F29*(1-$E$30)</f>
        <v>-131.95136826685803</v>
      </c>
      <c r="G31" s="11">
        <f t="shared" si="10"/>
        <v>-138.92582489676667</v>
      </c>
      <c r="H31" s="11">
        <f t="shared" si="10"/>
        <v>-113.86684920252083</v>
      </c>
      <c r="I31" s="11">
        <f t="shared" ca="1" si="10"/>
        <v>-33.361962194183604</v>
      </c>
      <c r="J31" s="11">
        <f t="shared" si="10"/>
        <v>-4.3721967950690086</v>
      </c>
      <c r="K31" s="11">
        <f>K29*(1-$K$30)</f>
        <v>27.323999806040415</v>
      </c>
      <c r="L31" s="11">
        <f t="shared" ref="L31:Z31" si="11">L29*(1-$K$30)</f>
        <v>29.427499159379114</v>
      </c>
      <c r="M31" s="11">
        <f t="shared" si="11"/>
        <v>31.619196661681084</v>
      </c>
      <c r="N31" s="11">
        <f t="shared" si="11"/>
        <v>33.922383999276704</v>
      </c>
      <c r="O31" s="11">
        <f t="shared" si="11"/>
        <v>36.342769011143133</v>
      </c>
      <c r="P31" s="11">
        <f t="shared" si="11"/>
        <v>38.88635426251129</v>
      </c>
      <c r="Q31" s="11">
        <f t="shared" si="11"/>
        <v>41.559452434579839</v>
      </c>
      <c r="R31" s="11">
        <f t="shared" si="11"/>
        <v>44.368702529453074</v>
      </c>
      <c r="S31" s="11">
        <f t="shared" si="11"/>
        <v>47.321086934265296</v>
      </c>
      <c r="T31" s="11">
        <f t="shared" si="11"/>
        <v>50.423949390877112</v>
      </c>
      <c r="U31" s="11">
        <f t="shared" si="11"/>
        <v>53.685013920087655</v>
      </c>
      <c r="V31" s="11">
        <f t="shared" si="11"/>
        <v>57.112404752010605</v>
      </c>
      <c r="W31" s="11">
        <f t="shared" si="11"/>
        <v>60.714667317119265</v>
      </c>
      <c r="X31" s="11">
        <f t="shared" si="11"/>
        <v>64.500790355484099</v>
      </c>
      <c r="Y31" s="11">
        <f t="shared" si="11"/>
        <v>68.480229204918061</v>
      </c>
      <c r="Z31" s="11">
        <f t="shared" si="11"/>
        <v>72.66293033211511</v>
      </c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</row>
    <row r="32" spans="2:67" x14ac:dyDescent="0.25">
      <c r="B32" s="33"/>
      <c r="C32" s="8" t="s">
        <v>15</v>
      </c>
      <c r="D32" s="8"/>
      <c r="E32" s="12">
        <f>E28</f>
        <v>0</v>
      </c>
      <c r="F32" s="12">
        <f t="shared" ref="F32:Z32" si="12">F28</f>
        <v>1.7810321357409615</v>
      </c>
      <c r="G32" s="12">
        <f t="shared" si="12"/>
        <v>5.824474913942324</v>
      </c>
      <c r="H32" s="12">
        <f t="shared" si="12"/>
        <v>9.9201196826974414</v>
      </c>
      <c r="I32" s="12">
        <f t="shared" si="12"/>
        <v>13.219408858975042</v>
      </c>
      <c r="J32" s="12">
        <f t="shared" si="12"/>
        <v>13.862176549935082</v>
      </c>
      <c r="K32" s="12">
        <f t="shared" si="12"/>
        <v>13.862176549935082</v>
      </c>
      <c r="L32" s="12">
        <f t="shared" si="12"/>
        <v>13.862176549935082</v>
      </c>
      <c r="M32" s="12">
        <f t="shared" si="12"/>
        <v>13.862176549935082</v>
      </c>
      <c r="N32" s="12">
        <f t="shared" si="12"/>
        <v>13.862176549935082</v>
      </c>
      <c r="O32" s="12">
        <f t="shared" si="12"/>
        <v>13.862176549935082</v>
      </c>
      <c r="P32" s="12">
        <f t="shared" si="12"/>
        <v>13.862176549935082</v>
      </c>
      <c r="Q32" s="12">
        <f t="shared" si="12"/>
        <v>13.862176549935082</v>
      </c>
      <c r="R32" s="12">
        <f t="shared" si="12"/>
        <v>13.862176549935082</v>
      </c>
      <c r="S32" s="12">
        <f t="shared" si="12"/>
        <v>13.862176549935082</v>
      </c>
      <c r="T32" s="12">
        <f t="shared" si="12"/>
        <v>13.862176549935082</v>
      </c>
      <c r="U32" s="12">
        <f t="shared" si="12"/>
        <v>13.862176549935082</v>
      </c>
      <c r="V32" s="12">
        <f t="shared" si="12"/>
        <v>13.862176549935082</v>
      </c>
      <c r="W32" s="12">
        <f t="shared" si="12"/>
        <v>13.862176549935082</v>
      </c>
      <c r="X32" s="12">
        <f t="shared" si="12"/>
        <v>13.862176549935082</v>
      </c>
      <c r="Y32" s="12">
        <f t="shared" si="12"/>
        <v>13.862176549935082</v>
      </c>
      <c r="Z32" s="12">
        <f t="shared" si="12"/>
        <v>13.862176549935082</v>
      </c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</row>
    <row r="33" spans="2:67" x14ac:dyDescent="0.25">
      <c r="C33" s="8" t="s">
        <v>16</v>
      </c>
      <c r="D33" s="8"/>
      <c r="E33" s="12"/>
      <c r="F33" s="12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12"/>
      <c r="AZ33" s="1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9"/>
    </row>
    <row r="34" spans="2:67" x14ac:dyDescent="0.25">
      <c r="C34" s="8" t="s">
        <v>17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</row>
    <row r="35" spans="2:67" x14ac:dyDescent="0.25">
      <c r="C35" s="14" t="s">
        <v>18</v>
      </c>
      <c r="D35" s="14"/>
      <c r="E35" s="11">
        <f ca="1">E31+E32-E33-E34</f>
        <v>-105.80183920054466</v>
      </c>
      <c r="F35" s="11">
        <f t="shared" ref="F35:Z35" si="13">F31+F32-F33-F34</f>
        <v>-130.17033613111707</v>
      </c>
      <c r="G35" s="11">
        <f t="shared" si="13"/>
        <v>-133.10134998282436</v>
      </c>
      <c r="H35" s="11">
        <f t="shared" si="13"/>
        <v>-103.94672951982338</v>
      </c>
      <c r="I35" s="11">
        <f t="shared" ca="1" si="13"/>
        <v>-20.142553335208561</v>
      </c>
      <c r="J35" s="11">
        <f t="shared" si="13"/>
        <v>9.4899797548660736</v>
      </c>
      <c r="K35" s="11">
        <f t="shared" si="13"/>
        <v>41.186176355975498</v>
      </c>
      <c r="L35" s="11">
        <f t="shared" si="13"/>
        <v>43.289675709314196</v>
      </c>
      <c r="M35" s="11">
        <f t="shared" si="13"/>
        <v>45.481373211616166</v>
      </c>
      <c r="N35" s="11">
        <f t="shared" si="13"/>
        <v>47.78456054921179</v>
      </c>
      <c r="O35" s="11">
        <f t="shared" si="13"/>
        <v>50.204945561078219</v>
      </c>
      <c r="P35" s="11">
        <f t="shared" si="13"/>
        <v>52.748530812446376</v>
      </c>
      <c r="Q35" s="11">
        <f t="shared" si="13"/>
        <v>55.421628984514925</v>
      </c>
      <c r="R35" s="11">
        <f t="shared" si="13"/>
        <v>58.23087907938816</v>
      </c>
      <c r="S35" s="11">
        <f t="shared" si="13"/>
        <v>61.183263484200381</v>
      </c>
      <c r="T35" s="11">
        <f t="shared" si="13"/>
        <v>64.286125940812198</v>
      </c>
      <c r="U35" s="11">
        <f t="shared" si="13"/>
        <v>67.547190470022741</v>
      </c>
      <c r="V35" s="11">
        <f t="shared" si="13"/>
        <v>70.97458130194569</v>
      </c>
      <c r="W35" s="11">
        <f t="shared" si="13"/>
        <v>74.57684386705435</v>
      </c>
      <c r="X35" s="11">
        <f t="shared" si="13"/>
        <v>78.362966905419185</v>
      </c>
      <c r="Y35" s="11">
        <f t="shared" si="13"/>
        <v>82.342405754853147</v>
      </c>
      <c r="Z35" s="11">
        <f t="shared" si="13"/>
        <v>86.525106882050196</v>
      </c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</row>
    <row r="36" spans="2:67" x14ac:dyDescent="0.25">
      <c r="C36" s="14" t="s">
        <v>75</v>
      </c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f>'WACC &amp; Dep'!N24</f>
        <v>340.1067110654281</v>
      </c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</row>
    <row r="37" spans="2:67" x14ac:dyDescent="0.25">
      <c r="B37" s="4">
        <f>'WACC &amp; Dep'!F9</f>
        <v>9.4003081594732002E-2</v>
      </c>
      <c r="C37" s="8" t="s">
        <v>88</v>
      </c>
      <c r="D37" s="8"/>
      <c r="E37" s="12">
        <f ca="1">E36+E35</f>
        <v>-105.80183920054466</v>
      </c>
      <c r="F37" s="12">
        <f t="shared" ref="F37:Z37" si="14">F36+F35</f>
        <v>-130.17033613111707</v>
      </c>
      <c r="G37" s="12">
        <f t="shared" si="14"/>
        <v>-133.10134998282436</v>
      </c>
      <c r="H37" s="12">
        <f t="shared" si="14"/>
        <v>-103.94672951982338</v>
      </c>
      <c r="I37" s="12">
        <f t="shared" ca="1" si="14"/>
        <v>-20.142553335208561</v>
      </c>
      <c r="J37" s="12">
        <f t="shared" si="14"/>
        <v>9.4899797548660736</v>
      </c>
      <c r="K37" s="12">
        <f t="shared" si="14"/>
        <v>41.186176355975498</v>
      </c>
      <c r="L37" s="12">
        <f t="shared" si="14"/>
        <v>43.289675709314196</v>
      </c>
      <c r="M37" s="12">
        <f t="shared" si="14"/>
        <v>45.481373211616166</v>
      </c>
      <c r="N37" s="12">
        <f t="shared" si="14"/>
        <v>47.78456054921179</v>
      </c>
      <c r="O37" s="12">
        <f t="shared" si="14"/>
        <v>50.204945561078219</v>
      </c>
      <c r="P37" s="12">
        <f t="shared" si="14"/>
        <v>52.748530812446376</v>
      </c>
      <c r="Q37" s="12">
        <f t="shared" si="14"/>
        <v>55.421628984514925</v>
      </c>
      <c r="R37" s="12">
        <f t="shared" si="14"/>
        <v>58.23087907938816</v>
      </c>
      <c r="S37" s="12">
        <f t="shared" si="14"/>
        <v>61.183263484200381</v>
      </c>
      <c r="T37" s="12">
        <f t="shared" si="14"/>
        <v>64.286125940812198</v>
      </c>
      <c r="U37" s="12">
        <f t="shared" si="14"/>
        <v>67.547190470022741</v>
      </c>
      <c r="V37" s="12">
        <f t="shared" si="14"/>
        <v>70.97458130194569</v>
      </c>
      <c r="W37" s="12">
        <f t="shared" si="14"/>
        <v>74.57684386705435</v>
      </c>
      <c r="X37" s="12">
        <f t="shared" si="14"/>
        <v>78.362966905419185</v>
      </c>
      <c r="Y37" s="12">
        <f t="shared" si="14"/>
        <v>82.342405754853147</v>
      </c>
      <c r="Z37" s="12">
        <f t="shared" si="14"/>
        <v>426.63181794747828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</row>
    <row r="38" spans="2:67" x14ac:dyDescent="0.25">
      <c r="B38" s="4"/>
      <c r="C38" s="8" t="s">
        <v>28</v>
      </c>
      <c r="D38" s="8"/>
      <c r="E38" s="10">
        <f>E2/E1</f>
        <v>0.78904109589041094</v>
      </c>
      <c r="F38" s="12">
        <f>E38+1</f>
        <v>1.7890410958904108</v>
      </c>
      <c r="G38" s="12">
        <f t="shared" ref="G38:Z38" si="15">F38+1</f>
        <v>2.7890410958904108</v>
      </c>
      <c r="H38" s="12">
        <f t="shared" si="15"/>
        <v>3.7890410958904108</v>
      </c>
      <c r="I38" s="12">
        <f>+H38+(0.75)</f>
        <v>4.5390410958904113</v>
      </c>
      <c r="J38" s="12">
        <f>+I38+(0.25)</f>
        <v>4.7890410958904113</v>
      </c>
      <c r="K38" s="12">
        <f>+J38+1</f>
        <v>5.7890410958904113</v>
      </c>
      <c r="L38" s="12">
        <f t="shared" ref="L38:Z38" si="16">+K38+1</f>
        <v>6.7890410958904113</v>
      </c>
      <c r="M38" s="12">
        <f t="shared" si="16"/>
        <v>7.7890410958904113</v>
      </c>
      <c r="N38" s="12">
        <f t="shared" si="16"/>
        <v>8.7890410958904113</v>
      </c>
      <c r="O38" s="12">
        <f t="shared" si="16"/>
        <v>9.7890410958904113</v>
      </c>
      <c r="P38" s="12">
        <f t="shared" si="16"/>
        <v>10.789041095890411</v>
      </c>
      <c r="Q38" s="12">
        <f t="shared" si="16"/>
        <v>11.789041095890411</v>
      </c>
      <c r="R38" s="12">
        <f t="shared" si="16"/>
        <v>12.789041095890411</v>
      </c>
      <c r="S38" s="12">
        <f t="shared" si="16"/>
        <v>13.789041095890411</v>
      </c>
      <c r="T38" s="12">
        <f t="shared" si="16"/>
        <v>14.789041095890411</v>
      </c>
      <c r="U38" s="12">
        <f t="shared" si="16"/>
        <v>15.789041095890411</v>
      </c>
      <c r="V38" s="12">
        <f t="shared" si="16"/>
        <v>16.789041095890411</v>
      </c>
      <c r="W38" s="12">
        <f t="shared" si="16"/>
        <v>17.789041095890411</v>
      </c>
      <c r="X38" s="12">
        <f t="shared" si="16"/>
        <v>18.789041095890411</v>
      </c>
      <c r="Y38" s="12">
        <f t="shared" si="16"/>
        <v>19.789041095890411</v>
      </c>
      <c r="Z38" s="12">
        <f t="shared" si="16"/>
        <v>20.789041095890411</v>
      </c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</row>
    <row r="39" spans="2:67" x14ac:dyDescent="0.25">
      <c r="C39" s="8" t="s">
        <v>26</v>
      </c>
      <c r="D39" s="8"/>
      <c r="E39" s="12">
        <f>1/(1+$B$37)^E38</f>
        <v>0.9315641442010244</v>
      </c>
      <c r="F39" s="12">
        <f t="shared" ref="F39:Z39" si="17">1/(1+$B$37)^F38</f>
        <v>0.85151875700668078</v>
      </c>
      <c r="G39" s="12">
        <f t="shared" si="17"/>
        <v>0.77835133312917093</v>
      </c>
      <c r="H39" s="12">
        <f t="shared" si="17"/>
        <v>0.71147087812089671</v>
      </c>
      <c r="I39" s="12">
        <f t="shared" si="17"/>
        <v>0.66510960446957235</v>
      </c>
      <c r="J39" s="12">
        <f t="shared" si="17"/>
        <v>0.65033717920043077</v>
      </c>
      <c r="K39" s="12">
        <f t="shared" si="17"/>
        <v>0.59445644179761548</v>
      </c>
      <c r="L39" s="12">
        <f t="shared" si="17"/>
        <v>0.54337730103198101</v>
      </c>
      <c r="M39" s="12">
        <f t="shared" si="17"/>
        <v>0.49668717590804057</v>
      </c>
      <c r="N39" s="12">
        <f t="shared" si="17"/>
        <v>0.4540089367792437</v>
      </c>
      <c r="O39" s="12">
        <f t="shared" si="17"/>
        <v>0.41499785916273052</v>
      </c>
      <c r="P39" s="12">
        <f t="shared" si="17"/>
        <v>0.37933883929996498</v>
      </c>
      <c r="Q39" s="12">
        <f t="shared" si="17"/>
        <v>0.34674384897252897</v>
      </c>
      <c r="R39" s="12">
        <f t="shared" si="17"/>
        <v>0.31694960901488445</v>
      </c>
      <c r="S39" s="12">
        <f t="shared" si="17"/>
        <v>0.28971546273239551</v>
      </c>
      <c r="T39" s="12">
        <f t="shared" si="17"/>
        <v>0.26482143204759195</v>
      </c>
      <c r="U39" s="12">
        <f t="shared" si="17"/>
        <v>0.24206644067360475</v>
      </c>
      <c r="V39" s="12">
        <f t="shared" si="17"/>
        <v>0.22126668996283241</v>
      </c>
      <c r="W39" s="12">
        <f t="shared" si="17"/>
        <v>0.20225417431209722</v>
      </c>
      <c r="X39" s="12">
        <f t="shared" si="17"/>
        <v>0.18487532413279001</v>
      </c>
      <c r="Y39" s="12">
        <f t="shared" si="17"/>
        <v>0.16898976542488037</v>
      </c>
      <c r="Z39" s="12">
        <f t="shared" si="17"/>
        <v>0.15446918593551259</v>
      </c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</row>
    <row r="40" spans="2:67" x14ac:dyDescent="0.25">
      <c r="C40" s="8" t="s">
        <v>25</v>
      </c>
      <c r="D40" s="8"/>
      <c r="E40" s="12">
        <f ca="1">E35*E39</f>
        <v>-98.561199789749779</v>
      </c>
      <c r="F40" s="12">
        <f t="shared" ref="F40:Y40" si="18">F35*F39</f>
        <v>-110.84248282151063</v>
      </c>
      <c r="G40" s="12">
        <f t="shared" si="18"/>
        <v>-103.59961320042369</v>
      </c>
      <c r="H40" s="12">
        <f t="shared" si="18"/>
        <v>-73.955070929264082</v>
      </c>
      <c r="I40" s="12">
        <f t="shared" ca="1" si="18"/>
        <v>-13.397005681787832</v>
      </c>
      <c r="J40" s="12">
        <f t="shared" si="18"/>
        <v>6.1716866644487975</v>
      </c>
      <c r="K40" s="12">
        <f t="shared" si="18"/>
        <v>24.483387847822275</v>
      </c>
      <c r="L40" s="12">
        <f t="shared" si="18"/>
        <v>23.522627149476854</v>
      </c>
      <c r="M40" s="12">
        <f t="shared" si="18"/>
        <v>22.590014816897241</v>
      </c>
      <c r="N40" s="12">
        <f t="shared" si="18"/>
        <v>21.694617529411037</v>
      </c>
      <c r="O40" s="12">
        <f t="shared" si="18"/>
        <v>20.834944927228893</v>
      </c>
      <c r="P40" s="12">
        <f t="shared" si="18"/>
        <v>20.009566453171846</v>
      </c>
      <c r="Q40" s="12">
        <f t="shared" si="18"/>
        <v>19.217108950418176</v>
      </c>
      <c r="R40" s="12">
        <f t="shared" si="18"/>
        <v>18.456254356805093</v>
      </c>
      <c r="S40" s="12">
        <f t="shared" si="18"/>
        <v>17.725737491803191</v>
      </c>
      <c r="T40" s="12">
        <f t="shared" si="18"/>
        <v>17.024343932437734</v>
      </c>
      <c r="U40" s="12">
        <f t="shared" si="18"/>
        <v>16.350907974580441</v>
      </c>
      <c r="V40" s="12">
        <f t="shared" si="18"/>
        <v>15.70431067617946</v>
      </c>
      <c r="W40" s="12">
        <f t="shared" si="18"/>
        <v>15.083477979133269</v>
      </c>
      <c r="X40" s="12">
        <f t="shared" si="18"/>
        <v>14.487378906646468</v>
      </c>
      <c r="Y40" s="12">
        <f t="shared" si="18"/>
        <v>13.915023833032953</v>
      </c>
      <c r="Z40" s="12">
        <f>(Z35+Z36)*Z39</f>
        <v>65.901469612534783</v>
      </c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</row>
    <row r="41" spans="2:67" x14ac:dyDescent="0.25">
      <c r="C41" s="59" t="s">
        <v>29</v>
      </c>
      <c r="D41" s="26"/>
      <c r="E41" s="15"/>
      <c r="F41" s="8"/>
      <c r="G41" s="8"/>
      <c r="H41" s="8"/>
      <c r="I41" s="8"/>
      <c r="J41" s="8"/>
      <c r="K41" s="8"/>
      <c r="L41" s="8"/>
      <c r="M41" s="8"/>
      <c r="N41" s="8"/>
      <c r="O41" s="8"/>
      <c r="Q41" s="8"/>
      <c r="R41" s="8"/>
      <c r="S41" s="8"/>
      <c r="T41" s="8"/>
      <c r="U41" s="8"/>
      <c r="V41" s="8"/>
      <c r="W41" s="8"/>
      <c r="X41" s="8"/>
      <c r="Y41" s="8"/>
      <c r="Z41" s="13"/>
      <c r="AA41" s="8"/>
      <c r="AB41" s="8"/>
      <c r="AC41" s="8"/>
      <c r="AD41" s="8"/>
      <c r="AE41" s="8"/>
      <c r="AF41" s="8"/>
      <c r="AG41" s="8"/>
      <c r="AH41" s="8"/>
      <c r="AI41" s="8"/>
      <c r="AJ41" s="13"/>
      <c r="AK41" s="8"/>
      <c r="AL41" s="8"/>
      <c r="AM41" s="8"/>
      <c r="AN41" s="8"/>
      <c r="AO41" s="8"/>
      <c r="AP41" s="8"/>
      <c r="AQ41" s="8"/>
      <c r="AR41" s="29"/>
      <c r="AS41" s="25"/>
      <c r="AT41" s="25"/>
      <c r="AU41" s="25"/>
      <c r="AV41" s="25"/>
      <c r="AW41" s="25"/>
      <c r="AX41" s="25"/>
      <c r="AY41" s="15"/>
      <c r="AZ41" s="8"/>
      <c r="BA41" s="8"/>
      <c r="BB41" s="8"/>
      <c r="BC41" s="8"/>
      <c r="BD41" s="8"/>
      <c r="BE41" s="8"/>
      <c r="BF41" s="8"/>
      <c r="BG41" s="8"/>
      <c r="BH41" s="8"/>
      <c r="BJ41" s="8"/>
      <c r="BK41" s="8"/>
      <c r="BL41" s="8"/>
      <c r="BM41" s="8"/>
      <c r="BN41" s="8"/>
      <c r="BO41" s="8"/>
    </row>
    <row r="42" spans="2:67" x14ac:dyDescent="0.25">
      <c r="E42" s="24"/>
    </row>
    <row r="43" spans="2:67" x14ac:dyDescent="0.25">
      <c r="E43" s="27">
        <f ca="1">XNPV($B$37,E37:Z37,E5:Z5)</f>
        <v>-50.908363109441297</v>
      </c>
      <c r="F43" s="23"/>
    </row>
    <row r="44" spans="2:67" x14ac:dyDescent="0.25">
      <c r="E44" s="23"/>
    </row>
    <row r="45" spans="2:67" x14ac:dyDescent="0.25">
      <c r="E45" s="23"/>
      <c r="S45" s="2"/>
    </row>
    <row r="46" spans="2:67" x14ac:dyDescent="0.25">
      <c r="E46">
        <v>542</v>
      </c>
    </row>
    <row r="47" spans="2:67" x14ac:dyDescent="0.25">
      <c r="C47" t="s">
        <v>34</v>
      </c>
      <c r="E47" s="61">
        <f>E46*0.9</f>
        <v>487.8</v>
      </c>
      <c r="F47" s="32"/>
    </row>
    <row r="48" spans="2:67" x14ac:dyDescent="0.25">
      <c r="C48" t="s">
        <v>35</v>
      </c>
      <c r="T48" s="27"/>
    </row>
    <row r="49" spans="3:17" x14ac:dyDescent="0.25">
      <c r="C49" t="s">
        <v>36</v>
      </c>
      <c r="E49" s="1"/>
      <c r="P49">
        <v>2029</v>
      </c>
    </row>
    <row r="50" spans="3:17" x14ac:dyDescent="0.25">
      <c r="P50">
        <f>P49+30</f>
        <v>2059</v>
      </c>
    </row>
    <row r="51" spans="3:17" x14ac:dyDescent="0.25">
      <c r="P51">
        <v>2045</v>
      </c>
    </row>
    <row r="52" spans="3:17" x14ac:dyDescent="0.25">
      <c r="P52">
        <f>P50-P51</f>
        <v>14</v>
      </c>
      <c r="Q52" s="34"/>
    </row>
    <row r="53" spans="3:17" x14ac:dyDescent="0.25">
      <c r="Q53" s="52"/>
    </row>
    <row r="58" spans="3:17" x14ac:dyDescent="0.25">
      <c r="E58" s="2">
        <f>E57*BO9</f>
        <v>0</v>
      </c>
    </row>
    <row r="59" spans="3:17" x14ac:dyDescent="0.25">
      <c r="E59" t="s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NPV</vt:lpstr>
      <vt:lpstr>WACC &amp; Dep</vt:lpstr>
      <vt:lpstr>Security Deposit</vt:lpstr>
      <vt:lpstr>Sheet3</vt:lpstr>
      <vt:lpstr>NAV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Eldeco</dc:creator>
  <cp:lastModifiedBy>Abhinav Chaturvedi</cp:lastModifiedBy>
  <dcterms:created xsi:type="dcterms:W3CDTF">2023-06-19T10:56:31Z</dcterms:created>
  <dcterms:modified xsi:type="dcterms:W3CDTF">2024-06-21T13:07:28Z</dcterms:modified>
</cp:coreProperties>
</file>