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5.xml" ContentType="application/vnd.openxmlformats-officedocument.spreadsheetml.comments+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9705" windowHeight="3270" tabRatio="958" activeTab="3"/>
  </bookViews>
  <sheets>
    <sheet name="Revised Cost Sheet" sheetId="21" r:id="rId1"/>
    <sheet name="6 TPD CBG Cost sheet" sheetId="5" r:id="rId2"/>
    <sheet name="Input &amp; Output Calc." sheetId="3" r:id="rId3"/>
    <sheet name="TPC and MoF" sheetId="4" r:id="rId4"/>
    <sheet name="Sheet1" sheetId="20" state="hidden" r:id="rId5"/>
    <sheet name="Common Assumption" sheetId="1" r:id="rId6"/>
    <sheet name="Revenue &amp; Expense Modelling" sheetId="2" r:id="rId7"/>
    <sheet name="IS" sheetId="8" r:id="rId8"/>
    <sheet name="BS" sheetId="12" r:id="rId9"/>
    <sheet name="CFS" sheetId="13" r:id="rId10"/>
    <sheet name="sal &amp; wages" sheetId="7" r:id="rId11"/>
    <sheet name="Loan Schedule" sheetId="9" r:id="rId12"/>
    <sheet name="Depreciation Schedule" sheetId="10" r:id="rId13"/>
    <sheet name="Working Capital Assessment" sheetId="11" r:id="rId14"/>
    <sheet name="DSCR" sheetId="15" r:id="rId15"/>
    <sheet name="NPV &amp; IRR, Payback Period" sheetId="16" r:id="rId16"/>
    <sheet name="Ratio and Break Even Analysis" sheetId="17" r:id="rId17"/>
    <sheet name="Sensitivity Analysis" sheetId="19" r:id="rId18"/>
  </sheets>
  <externalReferences>
    <externalReference r:id="rId19"/>
    <externalReference r:id="rId20"/>
    <externalReference r:id="rId21"/>
  </externalReferences>
  <definedNames>
    <definedName name="A" localSheetId="10">'[1]P &amp; L'!$B$1</definedName>
    <definedName name="A">'[2]P &amp; L'!$B$1</definedName>
    <definedName name="Completion_date">'[3]Common Assumption'!$E$11</definedName>
    <definedName name="construction_period">'[3]Common Assumption'!$E$10</definedName>
    <definedName name="OLE_LINK1" localSheetId="1">'6 TPD CBG Cost sheet'!#REF!</definedName>
    <definedName name="_xlnm.Print_Area" localSheetId="1">'6 TPD CBG Cost sheet'!#REF!</definedName>
    <definedName name="start_date">'[3]Common Assumption'!$E$9</definedName>
  </definedNames>
  <calcPr calcId="152511" iterate="1"/>
</workbook>
</file>

<file path=xl/calcChain.xml><?xml version="1.0" encoding="utf-8"?>
<calcChain xmlns="http://schemas.openxmlformats.org/spreadsheetml/2006/main">
  <c r="G54" i="21" l="1"/>
  <c r="N28" i="21" l="1"/>
  <c r="N44" i="21"/>
  <c r="K44" i="21"/>
  <c r="R22" i="5"/>
  <c r="S22" i="5"/>
  <c r="Q22" i="5"/>
  <c r="P22" i="5"/>
  <c r="O22" i="5"/>
  <c r="N22" i="5"/>
  <c r="B13" i="10" l="1"/>
  <c r="F67" i="2"/>
  <c r="G61" i="2"/>
  <c r="F61" i="2"/>
  <c r="G52" i="2"/>
  <c r="F52" i="2"/>
  <c r="G46" i="2"/>
  <c r="F46" i="2"/>
  <c r="G40" i="2"/>
  <c r="F40" i="2"/>
  <c r="G30" i="2"/>
  <c r="F30" i="2"/>
  <c r="G23" i="2"/>
  <c r="F18" i="2"/>
  <c r="I20" i="2"/>
  <c r="J20" i="2" s="1"/>
  <c r="K20" i="2" s="1"/>
  <c r="L20" i="2" s="1"/>
  <c r="M20" i="2" s="1"/>
  <c r="H20" i="2"/>
  <c r="G20" i="2"/>
  <c r="F20" i="2"/>
  <c r="C22" i="9" l="1"/>
  <c r="D16" i="4" l="1"/>
  <c r="C6" i="5"/>
  <c r="C5" i="5"/>
  <c r="E14" i="9"/>
  <c r="I129" i="9"/>
  <c r="I116" i="9"/>
  <c r="G44" i="1" l="1"/>
  <c r="G43" i="1"/>
  <c r="C40" i="8" l="1"/>
  <c r="F265" i="20" l="1"/>
  <c r="F264" i="20"/>
  <c r="E33" i="7"/>
  <c r="E31" i="7"/>
  <c r="D205" i="20" l="1"/>
  <c r="D196" i="20"/>
  <c r="D197" i="20"/>
  <c r="D198" i="20"/>
  <c r="D199" i="20"/>
  <c r="D200" i="20" s="1"/>
  <c r="D201" i="20" s="1"/>
  <c r="D202" i="20" s="1"/>
  <c r="D203" i="20" s="1"/>
  <c r="D204" i="20" s="1"/>
  <c r="D194" i="20"/>
  <c r="D195" i="20" s="1"/>
  <c r="D177" i="20"/>
  <c r="D178" i="20"/>
  <c r="D166" i="20"/>
  <c r="D167" i="20" s="1"/>
  <c r="D168" i="20" s="1"/>
  <c r="D169" i="20" s="1"/>
  <c r="D170" i="20" s="1"/>
  <c r="D171" i="20" s="1"/>
  <c r="D172" i="20" s="1"/>
  <c r="D173" i="20" s="1"/>
  <c r="D174" i="20" s="1"/>
  <c r="D175" i="20" s="1"/>
  <c r="D176" i="20" s="1"/>
  <c r="D149" i="20"/>
  <c r="D150" i="20" s="1"/>
  <c r="D141" i="20"/>
  <c r="D142" i="20" s="1"/>
  <c r="D143" i="20" s="1"/>
  <c r="D144" i="20" s="1"/>
  <c r="D145" i="20" s="1"/>
  <c r="D146" i="20" s="1"/>
  <c r="D147" i="20" s="1"/>
  <c r="D148" i="20" s="1"/>
  <c r="D140" i="20"/>
  <c r="I12" i="3"/>
  <c r="E116" i="20"/>
  <c r="D116" i="20"/>
  <c r="G115" i="20"/>
  <c r="E115" i="20"/>
  <c r="G79" i="20" l="1"/>
  <c r="H79" i="20"/>
  <c r="P8" i="9" l="1"/>
  <c r="C11" i="19" l="1"/>
  <c r="E11" i="19" s="1"/>
  <c r="G10" i="19"/>
  <c r="H10" i="19" s="1"/>
  <c r="I10" i="19" s="1"/>
  <c r="J10" i="19" s="1"/>
  <c r="K10" i="19" s="1"/>
  <c r="L10" i="19" s="1"/>
  <c r="M10" i="19" s="1"/>
  <c r="B4" i="19"/>
  <c r="B2" i="19" s="1"/>
  <c r="D18" i="11" l="1"/>
  <c r="D19" i="11"/>
  <c r="D20" i="11"/>
  <c r="D21" i="11"/>
  <c r="D22" i="11"/>
  <c r="D23" i="11"/>
  <c r="D17" i="11"/>
  <c r="G18" i="16" l="1"/>
  <c r="E29" i="13"/>
  <c r="E13" i="13" l="1"/>
  <c r="F38" i="12"/>
  <c r="G38" i="12"/>
  <c r="H38" i="12"/>
  <c r="I38" i="12" s="1"/>
  <c r="J38" i="12" s="1"/>
  <c r="K38" i="12" s="1"/>
  <c r="L38" i="12" s="1"/>
  <c r="M38" i="12" s="1"/>
  <c r="E36" i="12"/>
  <c r="F32" i="12"/>
  <c r="G32" i="12" s="1"/>
  <c r="H32" i="12" s="1"/>
  <c r="I32" i="12" s="1"/>
  <c r="J32" i="12" s="1"/>
  <c r="K32" i="12" s="1"/>
  <c r="L32" i="12" s="1"/>
  <c r="M32" i="12" s="1"/>
  <c r="M18" i="12"/>
  <c r="F15" i="13"/>
  <c r="G15" i="13"/>
  <c r="H15" i="13"/>
  <c r="I15" i="13"/>
  <c r="J15" i="13"/>
  <c r="K15" i="13"/>
  <c r="L15" i="13"/>
  <c r="M15" i="13"/>
  <c r="C11" i="17"/>
  <c r="E11" i="17" s="1"/>
  <c r="H10" i="17"/>
  <c r="I10" i="17" s="1"/>
  <c r="J10" i="17" s="1"/>
  <c r="K10" i="17" s="1"/>
  <c r="L10" i="17" s="1"/>
  <c r="M10" i="17" s="1"/>
  <c r="G10" i="17"/>
  <c r="C11" i="16"/>
  <c r="E11" i="16" s="1"/>
  <c r="G10" i="16"/>
  <c r="H10" i="16" s="1"/>
  <c r="I10" i="16" s="1"/>
  <c r="J10" i="16" s="1"/>
  <c r="K10" i="16" s="1"/>
  <c r="L10" i="16" s="1"/>
  <c r="M10" i="16" s="1"/>
  <c r="C11" i="15"/>
  <c r="E11" i="15" s="1"/>
  <c r="H10" i="15"/>
  <c r="I10" i="15" s="1"/>
  <c r="J10" i="15" s="1"/>
  <c r="K10" i="15" s="1"/>
  <c r="L10" i="15" s="1"/>
  <c r="M10" i="15" s="1"/>
  <c r="G10" i="15"/>
  <c r="C11" i="13"/>
  <c r="E11" i="13" s="1"/>
  <c r="H10" i="13"/>
  <c r="I10" i="13" s="1"/>
  <c r="J10" i="13" s="1"/>
  <c r="K10" i="13" s="1"/>
  <c r="L10" i="13" s="1"/>
  <c r="M10" i="13" s="1"/>
  <c r="G10" i="13"/>
  <c r="K47" i="8"/>
  <c r="L47" i="8"/>
  <c r="M47" i="8"/>
  <c r="D28" i="4"/>
  <c r="C11" i="11"/>
  <c r="E11" i="11" s="1"/>
  <c r="G10" i="11"/>
  <c r="H10" i="11" s="1"/>
  <c r="I10" i="11" s="1"/>
  <c r="J10" i="11" s="1"/>
  <c r="K10" i="11" s="1"/>
  <c r="L10" i="11" s="1"/>
  <c r="M10" i="11" s="1"/>
  <c r="E30" i="12"/>
  <c r="E32" i="12"/>
  <c r="C11" i="8"/>
  <c r="E11" i="8" s="1"/>
  <c r="G10" i="8"/>
  <c r="H10" i="8" s="1"/>
  <c r="I10" i="8" s="1"/>
  <c r="J10" i="8" s="1"/>
  <c r="K10" i="8" s="1"/>
  <c r="L10" i="8" s="1"/>
  <c r="M10" i="8" s="1"/>
  <c r="C11" i="12"/>
  <c r="E11" i="12" s="1"/>
  <c r="G10" i="12"/>
  <c r="H10" i="12" s="1"/>
  <c r="I10" i="12" s="1"/>
  <c r="J10" i="12" s="1"/>
  <c r="K10" i="12" s="1"/>
  <c r="L10" i="12" s="1"/>
  <c r="M10" i="12" s="1"/>
  <c r="C96" i="2"/>
  <c r="C97" i="2"/>
  <c r="C98" i="2"/>
  <c r="C99" i="2"/>
  <c r="C95" i="2"/>
  <c r="B82" i="1"/>
  <c r="B83" i="1"/>
  <c r="B79" i="1"/>
  <c r="M38" i="10"/>
  <c r="L38" i="10"/>
  <c r="B36" i="10"/>
  <c r="B30" i="10"/>
  <c r="B21" i="10"/>
  <c r="B20" i="10"/>
  <c r="C11" i="10"/>
  <c r="E11" i="10" s="1"/>
  <c r="G10" i="10"/>
  <c r="H10" i="10" s="1"/>
  <c r="I10" i="10" s="1"/>
  <c r="J10" i="10" s="1"/>
  <c r="K10" i="10" s="1"/>
  <c r="L10" i="10" s="1"/>
  <c r="M10" i="10" s="1"/>
  <c r="G70" i="2"/>
  <c r="H70" i="2" s="1"/>
  <c r="I70" i="2" s="1"/>
  <c r="J70" i="2" s="1"/>
  <c r="K70" i="2" s="1"/>
  <c r="L70" i="2" s="1"/>
  <c r="M70" i="2" s="1"/>
  <c r="F69" i="2"/>
  <c r="F63" i="2"/>
  <c r="G55" i="2"/>
  <c r="H55" i="2" s="1"/>
  <c r="I55" i="2" s="1"/>
  <c r="J55" i="2" s="1"/>
  <c r="K55" i="2" s="1"/>
  <c r="L55" i="2" s="1"/>
  <c r="M55" i="2" s="1"/>
  <c r="F54" i="2"/>
  <c r="F48" i="2"/>
  <c r="F42" i="2"/>
  <c r="B52" i="2"/>
  <c r="B40" i="2"/>
  <c r="F25" i="2"/>
  <c r="C11" i="2"/>
  <c r="E11" i="2" s="1"/>
  <c r="G10" i="2"/>
  <c r="H10" i="2" s="1"/>
  <c r="I10" i="2" s="1"/>
  <c r="J10" i="2" s="1"/>
  <c r="K10" i="2" s="1"/>
  <c r="L10" i="2" s="1"/>
  <c r="M10" i="2" s="1"/>
  <c r="G69" i="2" l="1"/>
  <c r="H69" i="2"/>
  <c r="I69" i="2" s="1"/>
  <c r="J69" i="2" s="1"/>
  <c r="K69" i="2" s="1"/>
  <c r="L69" i="2" s="1"/>
  <c r="M69" i="2" s="1"/>
  <c r="G54" i="2"/>
  <c r="H54" i="2" s="1"/>
  <c r="I54" i="2" s="1"/>
  <c r="J54" i="2" s="1"/>
  <c r="K54" i="2" s="1"/>
  <c r="L54" i="2" s="1"/>
  <c r="M54" i="2" s="1"/>
  <c r="D12" i="4"/>
  <c r="D20" i="10" s="1"/>
  <c r="A12" i="4"/>
  <c r="A13" i="4" s="1"/>
  <c r="A14" i="4" s="1"/>
  <c r="A15" i="4" s="1"/>
  <c r="A16" i="4" s="1"/>
  <c r="A17" i="4" s="1"/>
  <c r="A18" i="4" s="1"/>
  <c r="A19" i="4" s="1"/>
  <c r="A20" i="4" s="1"/>
  <c r="A10" i="4"/>
  <c r="A11" i="4" s="1"/>
  <c r="A9" i="4"/>
  <c r="D9" i="4"/>
  <c r="B9" i="4"/>
  <c r="B11" i="4"/>
  <c r="D13" i="4"/>
  <c r="D21" i="10" s="1"/>
  <c r="D11" i="4"/>
  <c r="D19" i="10" s="1"/>
  <c r="D10" i="4"/>
  <c r="D18" i="10" s="1"/>
  <c r="D8" i="4"/>
  <c r="D16" i="10" s="1"/>
  <c r="D17" i="10" l="1"/>
  <c r="D17" i="4"/>
  <c r="H52" i="2"/>
  <c r="I52" i="2" l="1"/>
  <c r="J52" i="2" l="1"/>
  <c r="K52" i="2" l="1"/>
  <c r="L52" i="2" l="1"/>
  <c r="M52" i="2" l="1"/>
  <c r="F14" i="7" l="1"/>
  <c r="F15" i="7"/>
  <c r="F16" i="7"/>
  <c r="F17" i="7"/>
  <c r="F18" i="7"/>
  <c r="D57" i="1"/>
  <c r="D58" i="1" s="1"/>
  <c r="G67" i="2" s="1"/>
  <c r="H67" i="2" s="1"/>
  <c r="I67" i="2" s="1"/>
  <c r="J67" i="2" s="1"/>
  <c r="K67" i="2" s="1"/>
  <c r="L67" i="2" s="1"/>
  <c r="M67" i="2" s="1"/>
  <c r="D27" i="1" l="1"/>
  <c r="D25" i="1"/>
  <c r="E19" i="3"/>
  <c r="E17" i="3"/>
  <c r="C17" i="3"/>
  <c r="E12" i="3"/>
  <c r="D12" i="3"/>
  <c r="C12" i="3"/>
  <c r="E10" i="3"/>
  <c r="D10" i="3"/>
  <c r="C10" i="3"/>
  <c r="E9" i="3"/>
  <c r="B4" i="3"/>
  <c r="B2" i="3" s="1"/>
  <c r="F14" i="9" l="1"/>
  <c r="C11" i="9" l="1"/>
  <c r="E11" i="9" s="1"/>
  <c r="E11" i="1" l="1"/>
  <c r="E13" i="1" s="1"/>
  <c r="E9" i="19" s="1"/>
  <c r="F9" i="19" s="1"/>
  <c r="F11" i="19" l="1"/>
  <c r="G9" i="19"/>
  <c r="E16" i="1"/>
  <c r="E9" i="16"/>
  <c r="F9" i="16" s="1"/>
  <c r="E9" i="15"/>
  <c r="F9" i="15" s="1"/>
  <c r="E9" i="13"/>
  <c r="F9" i="13" s="1"/>
  <c r="E9" i="8"/>
  <c r="F9" i="8" s="1"/>
  <c r="E9" i="12"/>
  <c r="F9" i="12" s="1"/>
  <c r="E9" i="2"/>
  <c r="F9" i="2" s="1"/>
  <c r="E9" i="17"/>
  <c r="F9" i="17" s="1"/>
  <c r="E9" i="11"/>
  <c r="F9" i="11" s="1"/>
  <c r="E9" i="10"/>
  <c r="F9" i="10" s="1"/>
  <c r="D24" i="16"/>
  <c r="E28" i="16" s="1"/>
  <c r="G11" i="19" l="1"/>
  <c r="H9" i="19"/>
  <c r="F11" i="13"/>
  <c r="G9" i="13"/>
  <c r="F11" i="15"/>
  <c r="G9" i="15"/>
  <c r="F26" i="10"/>
  <c r="G9" i="10"/>
  <c r="F11" i="10"/>
  <c r="G9" i="12"/>
  <c r="F11" i="12"/>
  <c r="G9" i="16"/>
  <c r="F11" i="16"/>
  <c r="F11" i="17"/>
  <c r="G9" i="17"/>
  <c r="F19" i="2"/>
  <c r="G9" i="2"/>
  <c r="F11" i="2"/>
  <c r="F11" i="11"/>
  <c r="G9" i="11"/>
  <c r="G9" i="8"/>
  <c r="F11" i="8"/>
  <c r="D23" i="9"/>
  <c r="H11" i="19" l="1"/>
  <c r="I9" i="19"/>
  <c r="G11" i="12"/>
  <c r="H9" i="12"/>
  <c r="G11" i="8"/>
  <c r="H9" i="8"/>
  <c r="G11" i="11"/>
  <c r="H9" i="11"/>
  <c r="F12" i="10"/>
  <c r="F13" i="11"/>
  <c r="G11" i="16"/>
  <c r="H9" i="16"/>
  <c r="G26" i="10"/>
  <c r="G11" i="10"/>
  <c r="H9" i="10"/>
  <c r="G11" i="13"/>
  <c r="H9" i="13"/>
  <c r="G11" i="15"/>
  <c r="H9" i="15"/>
  <c r="G19" i="2"/>
  <c r="H9" i="2"/>
  <c r="G11" i="2"/>
  <c r="G11" i="17"/>
  <c r="H9" i="17"/>
  <c r="G26" i="2"/>
  <c r="I11" i="19" l="1"/>
  <c r="J9" i="19"/>
  <c r="I9" i="13"/>
  <c r="H11" i="13"/>
  <c r="H11" i="17"/>
  <c r="I9" i="17"/>
  <c r="G12" i="10"/>
  <c r="G13" i="11"/>
  <c r="H11" i="16"/>
  <c r="I9" i="16"/>
  <c r="H11" i="11"/>
  <c r="I9" i="11"/>
  <c r="H11" i="12"/>
  <c r="I9" i="12"/>
  <c r="H11" i="8"/>
  <c r="I9" i="8"/>
  <c r="H19" i="2"/>
  <c r="H11" i="2"/>
  <c r="I9" i="2"/>
  <c r="H11" i="15"/>
  <c r="I9" i="15"/>
  <c r="H26" i="10"/>
  <c r="H11" i="10"/>
  <c r="I9" i="10"/>
  <c r="H26" i="2"/>
  <c r="G25" i="2"/>
  <c r="J11" i="19" l="1"/>
  <c r="K9" i="19"/>
  <c r="I11" i="16"/>
  <c r="J9" i="16"/>
  <c r="I11" i="15"/>
  <c r="J9" i="15"/>
  <c r="I26" i="10"/>
  <c r="J9" i="10"/>
  <c r="I11" i="10"/>
  <c r="I11" i="8"/>
  <c r="J9" i="8"/>
  <c r="I11" i="11"/>
  <c r="J9" i="11"/>
  <c r="J9" i="12"/>
  <c r="I11" i="12"/>
  <c r="I11" i="17"/>
  <c r="J9" i="17"/>
  <c r="H12" i="10"/>
  <c r="H13" i="11"/>
  <c r="I19" i="2"/>
  <c r="I11" i="2"/>
  <c r="J9" i="2"/>
  <c r="J9" i="13"/>
  <c r="I11" i="13"/>
  <c r="H25" i="2"/>
  <c r="I26" i="2"/>
  <c r="F30" i="17"/>
  <c r="B4" i="17"/>
  <c r="B2" i="17" s="1"/>
  <c r="F41" i="16"/>
  <c r="E17" i="16"/>
  <c r="E13" i="16"/>
  <c r="E14" i="16"/>
  <c r="E15" i="16"/>
  <c r="B4" i="16"/>
  <c r="B2" i="16" s="1"/>
  <c r="B4" i="15"/>
  <c r="B2" i="15" s="1"/>
  <c r="K11" i="19" l="1"/>
  <c r="L9" i="19"/>
  <c r="J11" i="12"/>
  <c r="K9" i="12"/>
  <c r="J11" i="11"/>
  <c r="K9" i="11"/>
  <c r="I12" i="10"/>
  <c r="I13" i="11"/>
  <c r="J26" i="10"/>
  <c r="K9" i="10"/>
  <c r="J11" i="10"/>
  <c r="J11" i="16"/>
  <c r="K9" i="16"/>
  <c r="J19" i="2"/>
  <c r="J11" i="2"/>
  <c r="K9" i="2"/>
  <c r="J11" i="15"/>
  <c r="K9" i="15"/>
  <c r="K9" i="17"/>
  <c r="J11" i="17"/>
  <c r="J11" i="13"/>
  <c r="K9" i="13"/>
  <c r="K9" i="8"/>
  <c r="J11" i="8"/>
  <c r="I25" i="2"/>
  <c r="J26" i="2"/>
  <c r="J25" i="2" s="1"/>
  <c r="K41" i="16"/>
  <c r="G41" i="16"/>
  <c r="J41" i="16"/>
  <c r="M41" i="16"/>
  <c r="I41" i="16"/>
  <c r="L41" i="16"/>
  <c r="H41" i="16"/>
  <c r="E16" i="16"/>
  <c r="L11" i="19" l="1"/>
  <c r="M9" i="19"/>
  <c r="M11" i="19" s="1"/>
  <c r="K11" i="13"/>
  <c r="L9" i="13"/>
  <c r="J12" i="10"/>
  <c r="J13" i="11"/>
  <c r="K26" i="10"/>
  <c r="L9" i="10"/>
  <c r="K11" i="10"/>
  <c r="K19" i="2"/>
  <c r="K11" i="2"/>
  <c r="L9" i="2"/>
  <c r="K11" i="12"/>
  <c r="L9" i="12"/>
  <c r="L9" i="15"/>
  <c r="K11" i="15"/>
  <c r="K11" i="11"/>
  <c r="L9" i="11"/>
  <c r="K11" i="16"/>
  <c r="L9" i="16"/>
  <c r="K11" i="8"/>
  <c r="L9" i="8"/>
  <c r="K11" i="17"/>
  <c r="L9" i="17"/>
  <c r="K26" i="2"/>
  <c r="K25" i="2" s="1"/>
  <c r="L11" i="11" l="1"/>
  <c r="M9" i="11"/>
  <c r="M11" i="11" s="1"/>
  <c r="L11" i="17"/>
  <c r="M9" i="17"/>
  <c r="M11" i="17" s="1"/>
  <c r="L19" i="2"/>
  <c r="L11" i="2"/>
  <c r="M9" i="2"/>
  <c r="L26" i="10"/>
  <c r="L11" i="10"/>
  <c r="M9" i="10"/>
  <c r="L11" i="13"/>
  <c r="M9" i="13"/>
  <c r="M11" i="13" s="1"/>
  <c r="L11" i="8"/>
  <c r="M9" i="8"/>
  <c r="M11" i="8" s="1"/>
  <c r="L11" i="12"/>
  <c r="M9" i="12"/>
  <c r="M11" i="12" s="1"/>
  <c r="K12" i="10"/>
  <c r="K13" i="11"/>
  <c r="L11" i="16"/>
  <c r="M9" i="16"/>
  <c r="M11" i="16" s="1"/>
  <c r="L11" i="15"/>
  <c r="M9" i="15"/>
  <c r="M11" i="15" s="1"/>
  <c r="L26" i="2"/>
  <c r="L25" i="2" s="1"/>
  <c r="M11" i="2" l="1"/>
  <c r="M19" i="2"/>
  <c r="M11" i="10"/>
  <c r="M26" i="10"/>
  <c r="L12" i="10"/>
  <c r="L13" i="11"/>
  <c r="M26" i="2"/>
  <c r="M25" i="2"/>
  <c r="M12" i="10" l="1"/>
  <c r="M13" i="11"/>
  <c r="E26" i="13"/>
  <c r="E18" i="13"/>
  <c r="K18" i="13"/>
  <c r="L18" i="13"/>
  <c r="M18" i="13"/>
  <c r="E17" i="13"/>
  <c r="E28" i="13"/>
  <c r="E35" i="12"/>
  <c r="E25" i="13" l="1"/>
  <c r="F28" i="13" l="1"/>
  <c r="G28" i="13" l="1"/>
  <c r="H28" i="13" l="1"/>
  <c r="I28" i="13" l="1"/>
  <c r="J28" i="13" l="1"/>
  <c r="K28" i="13" l="1"/>
  <c r="L28" i="13" l="1"/>
  <c r="M28" i="13" l="1"/>
  <c r="F16" i="13" l="1"/>
  <c r="F19" i="12" s="1"/>
  <c r="G19" i="12" s="1"/>
  <c r="H19" i="12" s="1"/>
  <c r="I19" i="12" s="1"/>
  <c r="J19" i="12" s="1"/>
  <c r="K19" i="12" s="1"/>
  <c r="L19" i="12" s="1"/>
  <c r="M19" i="12" s="1"/>
  <c r="B4" i="13"/>
  <c r="B2" i="13" s="1"/>
  <c r="B4" i="12"/>
  <c r="B2" i="12" s="1"/>
  <c r="F27" i="8" l="1"/>
  <c r="F23" i="8"/>
  <c r="D113" i="1"/>
  <c r="F73" i="11"/>
  <c r="G73" i="11" s="1"/>
  <c r="H73" i="11" s="1"/>
  <c r="I73" i="11" s="1"/>
  <c r="J73" i="11" s="1"/>
  <c r="K73" i="11" s="1"/>
  <c r="L73" i="11" s="1"/>
  <c r="M73" i="11" s="1"/>
  <c r="G72" i="11"/>
  <c r="H72" i="11" s="1"/>
  <c r="I72" i="11" s="1"/>
  <c r="J72" i="11" s="1"/>
  <c r="K72" i="11" s="1"/>
  <c r="L72" i="11" s="1"/>
  <c r="M72" i="11" s="1"/>
  <c r="B60" i="11" l="1"/>
  <c r="F40" i="11"/>
  <c r="F45" i="11"/>
  <c r="G45" i="11" s="1"/>
  <c r="H45" i="11" s="1"/>
  <c r="I45" i="11" s="1"/>
  <c r="J45" i="11" s="1"/>
  <c r="K45" i="11" s="1"/>
  <c r="L45" i="11" s="1"/>
  <c r="M45" i="11" s="1"/>
  <c r="F54" i="11"/>
  <c r="G54" i="11" s="1"/>
  <c r="H54" i="11" s="1"/>
  <c r="I54" i="11" s="1"/>
  <c r="J54" i="11" s="1"/>
  <c r="K54" i="11" s="1"/>
  <c r="L54" i="11" s="1"/>
  <c r="M54" i="11" s="1"/>
  <c r="F56" i="11"/>
  <c r="G56" i="11" s="1"/>
  <c r="H56" i="11" s="1"/>
  <c r="I56" i="11" s="1"/>
  <c r="J56" i="11" s="1"/>
  <c r="K56" i="11" s="1"/>
  <c r="L56" i="11" s="1"/>
  <c r="M56" i="11" s="1"/>
  <c r="F52" i="11"/>
  <c r="G52" i="11" s="1"/>
  <c r="H52" i="11" s="1"/>
  <c r="I52" i="11" s="1"/>
  <c r="J52" i="11" s="1"/>
  <c r="K52" i="11" s="1"/>
  <c r="L52" i="11" s="1"/>
  <c r="M52" i="11" s="1"/>
  <c r="F61" i="11"/>
  <c r="G61" i="11" s="1"/>
  <c r="E17" i="11"/>
  <c r="E18" i="11"/>
  <c r="E19" i="11"/>
  <c r="E20" i="11"/>
  <c r="E21" i="11"/>
  <c r="E22" i="11"/>
  <c r="E23" i="11"/>
  <c r="F35" i="11"/>
  <c r="G35" i="11" s="1"/>
  <c r="G40" i="11" l="1"/>
  <c r="H35" i="11"/>
  <c r="H61" i="11"/>
  <c r="B4" i="11"/>
  <c r="B2" i="11" s="1"/>
  <c r="G28" i="10"/>
  <c r="H28" i="10" s="1"/>
  <c r="I28" i="10" s="1"/>
  <c r="J28" i="10" s="1"/>
  <c r="K28" i="10" s="1"/>
  <c r="L28" i="10" s="1"/>
  <c r="M28" i="10" s="1"/>
  <c r="H40" i="11" l="1"/>
  <c r="I35" i="11"/>
  <c r="I61" i="11"/>
  <c r="I40" i="11" l="1"/>
  <c r="J35" i="11"/>
  <c r="J61" i="11"/>
  <c r="J40" i="11" l="1"/>
  <c r="K35" i="11"/>
  <c r="K61" i="11"/>
  <c r="K40" i="11" l="1"/>
  <c r="L35" i="11"/>
  <c r="L61" i="11"/>
  <c r="L40" i="11" l="1"/>
  <c r="M35" i="11"/>
  <c r="M61" i="11"/>
  <c r="M40" i="11" l="1"/>
  <c r="B38" i="10"/>
  <c r="B34" i="10"/>
  <c r="B32" i="10"/>
  <c r="B18" i="10" l="1"/>
  <c r="B80" i="1" s="1"/>
  <c r="B19" i="10"/>
  <c r="B81" i="1" s="1"/>
  <c r="B4" i="10" l="1"/>
  <c r="B2" i="10" s="1"/>
  <c r="C23" i="9" l="1"/>
  <c r="G10" i="9"/>
  <c r="H10" i="9" s="1"/>
  <c r="I10" i="9" s="1"/>
  <c r="J10" i="9" s="1"/>
  <c r="K10" i="9" s="1"/>
  <c r="L10" i="9" s="1"/>
  <c r="M10" i="9" s="1"/>
  <c r="B4" i="9"/>
  <c r="B2" i="9" s="1"/>
  <c r="B4" i="8"/>
  <c r="B2" i="8" s="1"/>
  <c r="C113" i="2"/>
  <c r="C109" i="2"/>
  <c r="C105" i="2"/>
  <c r="G101" i="2"/>
  <c r="H101" i="2" s="1"/>
  <c r="I101" i="2" s="1"/>
  <c r="J101" i="2" s="1"/>
  <c r="K101" i="2" s="1"/>
  <c r="L101" i="2" s="1"/>
  <c r="M101" i="2" s="1"/>
  <c r="C88" i="2"/>
  <c r="G83" i="2"/>
  <c r="H83" i="2" s="1"/>
  <c r="I83" i="2" s="1"/>
  <c r="J83" i="2" s="1"/>
  <c r="K83" i="2" s="1"/>
  <c r="L83" i="2" s="1"/>
  <c r="M83" i="2" s="1"/>
  <c r="C82" i="2"/>
  <c r="F82" i="2" s="1"/>
  <c r="C27" i="7"/>
  <c r="F26" i="7"/>
  <c r="F25" i="7"/>
  <c r="F24" i="7"/>
  <c r="F23" i="7"/>
  <c r="F22" i="7"/>
  <c r="C19" i="7"/>
  <c r="F13" i="7"/>
  <c r="C10" i="7"/>
  <c r="F9" i="7"/>
  <c r="F8" i="7"/>
  <c r="F7" i="7"/>
  <c r="F27" i="7" l="1"/>
  <c r="F19" i="7"/>
  <c r="F10" i="7"/>
  <c r="C20" i="7"/>
  <c r="F19" i="15"/>
  <c r="E18" i="12"/>
  <c r="F24" i="13"/>
  <c r="F49" i="8" s="1"/>
  <c r="E24" i="13"/>
  <c r="G82" i="2"/>
  <c r="H82" i="2" l="1"/>
  <c r="F20" i="7"/>
  <c r="F29" i="7" s="1"/>
  <c r="D65" i="1" s="1"/>
  <c r="F76" i="2" s="1"/>
  <c r="F78" i="2" s="1"/>
  <c r="F17" i="8" s="1"/>
  <c r="I82" i="2" l="1"/>
  <c r="J82" i="2" l="1"/>
  <c r="K82" i="2" l="1"/>
  <c r="L82" i="2" l="1"/>
  <c r="M82" i="2" l="1"/>
  <c r="D15" i="9" l="1"/>
  <c r="E12" i="9" l="1"/>
  <c r="G64" i="2" l="1"/>
  <c r="H64" i="2" s="1"/>
  <c r="I64" i="2" s="1"/>
  <c r="J64" i="2" s="1"/>
  <c r="K64" i="2" s="1"/>
  <c r="L64" i="2" s="1"/>
  <c r="M64" i="2" s="1"/>
  <c r="H61" i="2" l="1"/>
  <c r="G63" i="2"/>
  <c r="H63" i="2" s="1"/>
  <c r="I63" i="2" s="1"/>
  <c r="J63" i="2" s="1"/>
  <c r="K63" i="2" s="1"/>
  <c r="L63" i="2" s="1"/>
  <c r="M63" i="2" s="1"/>
  <c r="I61" i="2" l="1"/>
  <c r="J32" i="8"/>
  <c r="J47" i="8" s="1"/>
  <c r="G32" i="8"/>
  <c r="F32" i="8"/>
  <c r="H32" i="8"/>
  <c r="H47" i="8" s="1"/>
  <c r="I32" i="8"/>
  <c r="I47" i="8" s="1"/>
  <c r="J61" i="2" l="1"/>
  <c r="E40" i="12"/>
  <c r="F40" i="12" s="1"/>
  <c r="G40" i="12" s="1"/>
  <c r="H40" i="12" s="1"/>
  <c r="I40" i="12" s="1"/>
  <c r="J40" i="12" s="1"/>
  <c r="K40" i="12" s="1"/>
  <c r="L40" i="12" s="1"/>
  <c r="M40" i="12" s="1"/>
  <c r="G18" i="13"/>
  <c r="G47" i="8"/>
  <c r="I18" i="13"/>
  <c r="J18" i="13"/>
  <c r="H18" i="13"/>
  <c r="F18" i="13"/>
  <c r="F47" i="8"/>
  <c r="K61" i="2" l="1"/>
  <c r="B4" i="4"/>
  <c r="B2" i="4" s="1"/>
  <c r="L61" i="2" l="1"/>
  <c r="G49" i="2"/>
  <c r="H49" i="2" s="1"/>
  <c r="I49" i="2" s="1"/>
  <c r="J49" i="2" s="1"/>
  <c r="K49" i="2" s="1"/>
  <c r="L49" i="2" s="1"/>
  <c r="M49" i="2" s="1"/>
  <c r="G43" i="2"/>
  <c r="H43" i="2" s="1"/>
  <c r="I43" i="2" s="1"/>
  <c r="J43" i="2" s="1"/>
  <c r="K43" i="2" s="1"/>
  <c r="L43" i="2" s="1"/>
  <c r="M43" i="2" s="1"/>
  <c r="G33" i="2"/>
  <c r="F32" i="2"/>
  <c r="H46" i="2" l="1"/>
  <c r="H40" i="2"/>
  <c r="M61" i="2"/>
  <c r="G48" i="2"/>
  <c r="H48" i="2" s="1"/>
  <c r="I48" i="2" s="1"/>
  <c r="J48" i="2" s="1"/>
  <c r="K48" i="2" s="1"/>
  <c r="L48" i="2" s="1"/>
  <c r="M48" i="2" s="1"/>
  <c r="G42" i="2"/>
  <c r="H42" i="2" s="1"/>
  <c r="I42" i="2" s="1"/>
  <c r="J42" i="2" s="1"/>
  <c r="K42" i="2" s="1"/>
  <c r="L42" i="2" s="1"/>
  <c r="M42" i="2" s="1"/>
  <c r="H33" i="2"/>
  <c r="I33" i="2" s="1"/>
  <c r="J33" i="2" s="1"/>
  <c r="K33" i="2" s="1"/>
  <c r="L33" i="2" s="1"/>
  <c r="M33" i="2" s="1"/>
  <c r="G32" i="2"/>
  <c r="C17" i="2"/>
  <c r="C16" i="2"/>
  <c r="F15" i="2"/>
  <c r="G15" i="2" s="1"/>
  <c r="H15" i="2" s="1"/>
  <c r="I15" i="2" s="1"/>
  <c r="J15" i="2" s="1"/>
  <c r="K15" i="2" s="1"/>
  <c r="L15" i="2" s="1"/>
  <c r="M15" i="2" s="1"/>
  <c r="D26" i="1"/>
  <c r="D28" i="1" s="1"/>
  <c r="I40" i="2" l="1"/>
  <c r="I46" i="2"/>
  <c r="H32" i="2"/>
  <c r="I32" i="2" s="1"/>
  <c r="J32" i="2" s="1"/>
  <c r="K32" i="2" s="1"/>
  <c r="L32" i="2" s="1"/>
  <c r="M32" i="2" s="1"/>
  <c r="F16" i="2"/>
  <c r="F17" i="2" s="1"/>
  <c r="H30" i="2" l="1"/>
  <c r="J46" i="2"/>
  <c r="J40" i="2"/>
  <c r="G16" i="2"/>
  <c r="F23" i="2"/>
  <c r="H23" i="2" l="1"/>
  <c r="K46" i="2"/>
  <c r="K40" i="2"/>
  <c r="I30" i="2"/>
  <c r="H16" i="2"/>
  <c r="G17" i="2"/>
  <c r="G18" i="2" s="1"/>
  <c r="J30" i="2" l="1"/>
  <c r="L46" i="2"/>
  <c r="L40" i="2"/>
  <c r="I23" i="2"/>
  <c r="I16" i="2"/>
  <c r="H17" i="2"/>
  <c r="H18" i="2" s="1"/>
  <c r="J23" i="2" l="1"/>
  <c r="M46" i="2"/>
  <c r="M40" i="2"/>
  <c r="K30" i="2"/>
  <c r="J16" i="2"/>
  <c r="I17" i="2"/>
  <c r="I18" i="2" s="1"/>
  <c r="L30" i="2" l="1"/>
  <c r="K23" i="2"/>
  <c r="K16" i="2"/>
  <c r="J17" i="2"/>
  <c r="J18" i="2" s="1"/>
  <c r="L23" i="2" l="1"/>
  <c r="M30" i="2"/>
  <c r="L16" i="2"/>
  <c r="K17" i="2"/>
  <c r="K18" i="2" s="1"/>
  <c r="M23" i="2" l="1"/>
  <c r="M16" i="2"/>
  <c r="L17" i="2"/>
  <c r="L18" i="2" s="1"/>
  <c r="M17" i="2" l="1"/>
  <c r="M18" i="2" s="1"/>
  <c r="B4" i="2" l="1"/>
  <c r="B2" i="2" s="1"/>
  <c r="G77" i="2"/>
  <c r="F12" i="11"/>
  <c r="G12" i="11" s="1"/>
  <c r="H12" i="11" s="1"/>
  <c r="I12" i="11" s="1"/>
  <c r="J12" i="11" s="1"/>
  <c r="K12" i="11" s="1"/>
  <c r="L12" i="11" s="1"/>
  <c r="M12" i="11" s="1"/>
  <c r="B2" i="1"/>
  <c r="H77" i="2" l="1"/>
  <c r="I77" i="2" s="1"/>
  <c r="J77" i="2" s="1"/>
  <c r="K77" i="2" s="1"/>
  <c r="L77" i="2" s="1"/>
  <c r="M77" i="2" s="1"/>
  <c r="G76" i="2"/>
  <c r="G78" i="2" l="1"/>
  <c r="G17" i="8" s="1"/>
  <c r="H76" i="2"/>
  <c r="D59" i="1"/>
  <c r="I76" i="2" l="1"/>
  <c r="H78" i="2"/>
  <c r="H17" i="8" s="1"/>
  <c r="E9" i="9"/>
  <c r="F9" i="9" s="1"/>
  <c r="E14" i="1"/>
  <c r="J76" i="2" l="1"/>
  <c r="I78" i="2"/>
  <c r="I17" i="8" s="1"/>
  <c r="F27" i="16"/>
  <c r="F28" i="16" s="1"/>
  <c r="E26" i="10"/>
  <c r="F11" i="9"/>
  <c r="G9" i="9"/>
  <c r="K76" i="2" l="1"/>
  <c r="J78" i="2"/>
  <c r="J17" i="8" s="1"/>
  <c r="G11" i="9"/>
  <c r="H9" i="9"/>
  <c r="L76" i="2" l="1"/>
  <c r="K78" i="2"/>
  <c r="K17" i="8" s="1"/>
  <c r="H11" i="9"/>
  <c r="I9" i="9"/>
  <c r="F53" i="2" l="1"/>
  <c r="F56" i="2" s="1"/>
  <c r="F13" i="10"/>
  <c r="F68" i="2"/>
  <c r="F71" i="2" s="1"/>
  <c r="M76" i="2"/>
  <c r="M78" i="2" s="1"/>
  <c r="M17" i="8" s="1"/>
  <c r="L78" i="2"/>
  <c r="L17" i="8" s="1"/>
  <c r="F14" i="11"/>
  <c r="F74" i="11" s="1"/>
  <c r="F24" i="2"/>
  <c r="F27" i="2" s="1"/>
  <c r="F62" i="2"/>
  <c r="F65" i="2" s="1"/>
  <c r="I11" i="9"/>
  <c r="J9" i="9"/>
  <c r="F47" i="2"/>
  <c r="F50" i="2" s="1"/>
  <c r="F31" i="2"/>
  <c r="F41" i="2"/>
  <c r="F44" i="2" s="1"/>
  <c r="F73" i="2" l="1"/>
  <c r="F16" i="8" s="1"/>
  <c r="F28" i="11" s="1"/>
  <c r="G13" i="10"/>
  <c r="G68" i="2"/>
  <c r="G71" i="2" s="1"/>
  <c r="G53" i="2"/>
  <c r="G56" i="2" s="1"/>
  <c r="G62" i="2"/>
  <c r="G65" i="2" s="1"/>
  <c r="G47" i="2"/>
  <c r="G50" i="2" s="1"/>
  <c r="G41" i="2"/>
  <c r="G44" i="2" s="1"/>
  <c r="G31" i="2"/>
  <c r="G81" i="2" s="1"/>
  <c r="G84" i="2" s="1"/>
  <c r="G24" i="2"/>
  <c r="G27" i="2" s="1"/>
  <c r="F58" i="2"/>
  <c r="F15" i="8" s="1"/>
  <c r="F27" i="11" s="1"/>
  <c r="F37" i="8"/>
  <c r="G14" i="11"/>
  <c r="K9" i="9"/>
  <c r="J11" i="9"/>
  <c r="F34" i="2"/>
  <c r="F36" i="2" s="1"/>
  <c r="F13" i="8" s="1"/>
  <c r="F26" i="11" s="1"/>
  <c r="F81" i="2"/>
  <c r="F84" i="2" s="1"/>
  <c r="G73" i="2" l="1"/>
  <c r="G16" i="8" s="1"/>
  <c r="G28" i="11" s="1"/>
  <c r="H13" i="10"/>
  <c r="H68" i="2"/>
  <c r="H71" i="2" s="1"/>
  <c r="G58" i="2"/>
  <c r="G15" i="8" s="1"/>
  <c r="H53" i="2"/>
  <c r="H56" i="2" s="1"/>
  <c r="H62" i="2"/>
  <c r="H65" i="2" s="1"/>
  <c r="H41" i="2"/>
  <c r="H44" i="2" s="1"/>
  <c r="H47" i="2"/>
  <c r="H50" i="2" s="1"/>
  <c r="H31" i="2"/>
  <c r="H81" i="2" s="1"/>
  <c r="H84" i="2" s="1"/>
  <c r="H24" i="2"/>
  <c r="H27" i="2" s="1"/>
  <c r="F15" i="15"/>
  <c r="F18" i="15"/>
  <c r="G74" i="11"/>
  <c r="F53" i="11"/>
  <c r="H14" i="11"/>
  <c r="K11" i="9"/>
  <c r="L9" i="9"/>
  <c r="F14" i="17"/>
  <c r="G34" i="2"/>
  <c r="G36" i="2" s="1"/>
  <c r="G13" i="8" s="1"/>
  <c r="G54" i="8" s="1"/>
  <c r="H73" i="2" l="1"/>
  <c r="H16" i="8" s="1"/>
  <c r="H28" i="11" s="1"/>
  <c r="G87" i="2"/>
  <c r="G88" i="2" s="1"/>
  <c r="G89" i="2" s="1"/>
  <c r="G105" i="2"/>
  <c r="I13" i="10"/>
  <c r="I68" i="2"/>
  <c r="I71" i="2" s="1"/>
  <c r="H58" i="2"/>
  <c r="H15" i="8" s="1"/>
  <c r="I53" i="2"/>
  <c r="I56" i="2" s="1"/>
  <c r="I62" i="2"/>
  <c r="I65" i="2" s="1"/>
  <c r="I41" i="2"/>
  <c r="I44" i="2" s="1"/>
  <c r="I47" i="2"/>
  <c r="I50" i="2" s="1"/>
  <c r="I31" i="2"/>
  <c r="I81" i="2" s="1"/>
  <c r="I84" i="2" s="1"/>
  <c r="I24" i="2"/>
  <c r="I27" i="2" s="1"/>
  <c r="G37" i="8"/>
  <c r="H74" i="11"/>
  <c r="G53" i="11"/>
  <c r="I14" i="11"/>
  <c r="L11" i="9"/>
  <c r="M9" i="9"/>
  <c r="G14" i="17"/>
  <c r="H34" i="2"/>
  <c r="H36" i="2" s="1"/>
  <c r="H13" i="8" s="1"/>
  <c r="H54" i="8" s="1"/>
  <c r="I73" i="2" l="1"/>
  <c r="I16" i="8" s="1"/>
  <c r="I28" i="11" s="1"/>
  <c r="I53" i="11" s="1"/>
  <c r="H87" i="2"/>
  <c r="H88" i="2" s="1"/>
  <c r="H89" i="2" s="1"/>
  <c r="H105" i="2"/>
  <c r="J13" i="10"/>
  <c r="J68" i="2"/>
  <c r="J71" i="2" s="1"/>
  <c r="I58" i="2"/>
  <c r="I15" i="8" s="1"/>
  <c r="J53" i="2"/>
  <c r="J56" i="2" s="1"/>
  <c r="J62" i="2"/>
  <c r="J65" i="2" s="1"/>
  <c r="J41" i="2"/>
  <c r="J44" i="2" s="1"/>
  <c r="J47" i="2"/>
  <c r="J50" i="2" s="1"/>
  <c r="J31" i="2"/>
  <c r="J81" i="2" s="1"/>
  <c r="J84" i="2" s="1"/>
  <c r="J24" i="2"/>
  <c r="J27" i="2" s="1"/>
  <c r="F105" i="2"/>
  <c r="F106" i="2" s="1"/>
  <c r="F87" i="2"/>
  <c r="F88" i="2" s="1"/>
  <c r="F89" i="2" s="1"/>
  <c r="F113" i="2"/>
  <c r="F114" i="2" s="1"/>
  <c r="F92" i="2"/>
  <c r="G18" i="15"/>
  <c r="G15" i="15"/>
  <c r="F54" i="8"/>
  <c r="F13" i="17"/>
  <c r="H37" i="8"/>
  <c r="F60" i="11"/>
  <c r="F62" i="11" s="1"/>
  <c r="I74" i="11"/>
  <c r="H53" i="11"/>
  <c r="F34" i="11"/>
  <c r="F36" i="11" s="1"/>
  <c r="F39" i="11"/>
  <c r="F41" i="11" s="1"/>
  <c r="F25" i="8" s="1"/>
  <c r="G23" i="8" s="1"/>
  <c r="F51" i="11"/>
  <c r="G27" i="11"/>
  <c r="J14" i="11"/>
  <c r="M11" i="9"/>
  <c r="H14" i="17"/>
  <c r="I34" i="2"/>
  <c r="I36" i="2" s="1"/>
  <c r="I13" i="8" s="1"/>
  <c r="I54" i="8" s="1"/>
  <c r="J73" i="2" l="1"/>
  <c r="J16" i="8" s="1"/>
  <c r="F35" i="12"/>
  <c r="F25" i="13" s="1"/>
  <c r="F31" i="8"/>
  <c r="G51" i="11"/>
  <c r="G34" i="11"/>
  <c r="G36" i="11" s="1"/>
  <c r="G39" i="11"/>
  <c r="G41" i="11" s="1"/>
  <c r="G25" i="8" s="1"/>
  <c r="H23" i="8" s="1"/>
  <c r="I87" i="2"/>
  <c r="I88" i="2" s="1"/>
  <c r="I89" i="2" s="1"/>
  <c r="I105" i="2"/>
  <c r="K13" i="10"/>
  <c r="K68" i="2"/>
  <c r="K71" i="2" s="1"/>
  <c r="K53" i="2"/>
  <c r="K56" i="2" s="1"/>
  <c r="K62" i="2"/>
  <c r="K65" i="2" s="1"/>
  <c r="K41" i="2"/>
  <c r="K44" i="2" s="1"/>
  <c r="K47" i="2"/>
  <c r="K50" i="2" s="1"/>
  <c r="K31" i="2"/>
  <c r="K81" i="2" s="1"/>
  <c r="K84" i="2" s="1"/>
  <c r="K24" i="2"/>
  <c r="K27" i="2" s="1"/>
  <c r="J58" i="2"/>
  <c r="J15" i="8" s="1"/>
  <c r="G92" i="2"/>
  <c r="G106" i="2"/>
  <c r="G113" i="2"/>
  <c r="G114" i="2" s="1"/>
  <c r="G65" i="8"/>
  <c r="G13" i="17"/>
  <c r="G15" i="17" s="1"/>
  <c r="G18" i="17" s="1"/>
  <c r="H18" i="15"/>
  <c r="H15" i="15"/>
  <c r="I37" i="8"/>
  <c r="G26" i="11"/>
  <c r="G60" i="11" s="1"/>
  <c r="J74" i="11"/>
  <c r="H27" i="11"/>
  <c r="K14" i="11"/>
  <c r="I14" i="17"/>
  <c r="J28" i="11"/>
  <c r="J53" i="11" s="1"/>
  <c r="H106" i="2"/>
  <c r="J34" i="2"/>
  <c r="J36" i="2" s="1"/>
  <c r="J13" i="8" s="1"/>
  <c r="J54" i="8" s="1"/>
  <c r="K73" i="2" l="1"/>
  <c r="K16" i="8" s="1"/>
  <c r="G31" i="8"/>
  <c r="H51" i="11"/>
  <c r="H34" i="11"/>
  <c r="H36" i="11" s="1"/>
  <c r="H39" i="11"/>
  <c r="H41" i="11" s="1"/>
  <c r="H25" i="8" s="1"/>
  <c r="G62" i="11"/>
  <c r="J87" i="2"/>
  <c r="J88" i="2" s="1"/>
  <c r="J89" i="2" s="1"/>
  <c r="J105" i="2"/>
  <c r="L13" i="10"/>
  <c r="L68" i="2"/>
  <c r="L71" i="2" s="1"/>
  <c r="L53" i="2"/>
  <c r="L56" i="2" s="1"/>
  <c r="L62" i="2"/>
  <c r="L65" i="2" s="1"/>
  <c r="L73" i="2" s="1"/>
  <c r="L16" i="8" s="1"/>
  <c r="L41" i="2"/>
  <c r="L44" i="2" s="1"/>
  <c r="L47" i="2"/>
  <c r="L50" i="2" s="1"/>
  <c r="L31" i="2"/>
  <c r="L81" i="2" s="1"/>
  <c r="L84" i="2" s="1"/>
  <c r="L24" i="2"/>
  <c r="L27" i="2" s="1"/>
  <c r="K58" i="2"/>
  <c r="K15" i="8" s="1"/>
  <c r="H92" i="2"/>
  <c r="H113" i="2"/>
  <c r="H114" i="2" s="1"/>
  <c r="B50" i="16" a="1"/>
  <c r="G30" i="17"/>
  <c r="I18" i="15"/>
  <c r="I15" i="15"/>
  <c r="E38" i="12"/>
  <c r="H65" i="8"/>
  <c r="H30" i="17" s="1"/>
  <c r="H13" i="17"/>
  <c r="H15" i="17" s="1"/>
  <c r="H18" i="17" s="1"/>
  <c r="J37" i="8"/>
  <c r="H26" i="11"/>
  <c r="H60" i="11" s="1"/>
  <c r="K74" i="11"/>
  <c r="I27" i="11"/>
  <c r="L14" i="11"/>
  <c r="K28" i="11"/>
  <c r="K53" i="11" s="1"/>
  <c r="J14" i="17"/>
  <c r="K34" i="2"/>
  <c r="K36" i="2" s="1"/>
  <c r="K13" i="8" s="1"/>
  <c r="K54" i="8" s="1"/>
  <c r="H31" i="8" l="1"/>
  <c r="G35" i="12"/>
  <c r="G25" i="13" s="1"/>
  <c r="I39" i="11"/>
  <c r="I41" i="11" s="1"/>
  <c r="I25" i="8" s="1"/>
  <c r="I51" i="11"/>
  <c r="I34" i="11"/>
  <c r="I36" i="11" s="1"/>
  <c r="H62" i="11"/>
  <c r="K87" i="2"/>
  <c r="K88" i="2" s="1"/>
  <c r="K89" i="2" s="1"/>
  <c r="K105" i="2"/>
  <c r="M13" i="10"/>
  <c r="M68" i="2"/>
  <c r="M71" i="2" s="1"/>
  <c r="L58" i="2"/>
  <c r="L15" i="8" s="1"/>
  <c r="M53" i="2"/>
  <c r="M56" i="2" s="1"/>
  <c r="M62" i="2"/>
  <c r="M65" i="2" s="1"/>
  <c r="M47" i="2"/>
  <c r="M50" i="2" s="1"/>
  <c r="M41" i="2"/>
  <c r="M44" i="2" s="1"/>
  <c r="M31" i="2"/>
  <c r="M81" i="2" s="1"/>
  <c r="M84" i="2" s="1"/>
  <c r="M24" i="2"/>
  <c r="M27" i="2" s="1"/>
  <c r="B50" i="16"/>
  <c r="B57" i="16"/>
  <c r="B59" i="16"/>
  <c r="B54" i="16"/>
  <c r="B55" i="16"/>
  <c r="B56" i="16"/>
  <c r="B51" i="16"/>
  <c r="B52" i="16"/>
  <c r="B58" i="16"/>
  <c r="B53" i="16"/>
  <c r="J18" i="15"/>
  <c r="J15" i="15"/>
  <c r="F27" i="13"/>
  <c r="K37" i="8"/>
  <c r="I23" i="8"/>
  <c r="L74" i="11"/>
  <c r="J27" i="11"/>
  <c r="M14" i="11"/>
  <c r="L28" i="11"/>
  <c r="L53" i="11" s="1"/>
  <c r="K14" i="17"/>
  <c r="J106" i="2"/>
  <c r="J113" i="2"/>
  <c r="J114" i="2" s="1"/>
  <c r="I106" i="2"/>
  <c r="I113" i="2"/>
  <c r="I114" i="2" s="1"/>
  <c r="I92" i="2"/>
  <c r="J92" i="2"/>
  <c r="L34" i="2"/>
  <c r="L36" i="2" s="1"/>
  <c r="L13" i="8" s="1"/>
  <c r="L54" i="8" s="1"/>
  <c r="J31" i="8" l="1"/>
  <c r="M73" i="2"/>
  <c r="M16" i="8" s="1"/>
  <c r="I31" i="8"/>
  <c r="H35" i="12"/>
  <c r="H25" i="13" s="1"/>
  <c r="J34" i="11"/>
  <c r="J36" i="11" s="1"/>
  <c r="J39" i="11"/>
  <c r="J41" i="11" s="1"/>
  <c r="J25" i="8" s="1"/>
  <c r="J51" i="11"/>
  <c r="L87" i="2"/>
  <c r="L88" i="2" s="1"/>
  <c r="L89" i="2" s="1"/>
  <c r="L105" i="2"/>
  <c r="M58" i="2"/>
  <c r="M15" i="8" s="1"/>
  <c r="I65" i="8"/>
  <c r="I13" i="17"/>
  <c r="I15" i="17" s="1"/>
  <c r="I18" i="17" s="1"/>
  <c r="K18" i="15"/>
  <c r="K15" i="15"/>
  <c r="J13" i="17"/>
  <c r="J15" i="17" s="1"/>
  <c r="J18" i="17" s="1"/>
  <c r="G27" i="13"/>
  <c r="L37" i="8"/>
  <c r="J23" i="8"/>
  <c r="J26" i="11"/>
  <c r="J60" i="11" s="1"/>
  <c r="I26" i="11"/>
  <c r="I60" i="11" s="1"/>
  <c r="M74" i="11"/>
  <c r="K27" i="11"/>
  <c r="L14" i="17"/>
  <c r="M28" i="11"/>
  <c r="M53" i="11" s="1"/>
  <c r="K106" i="2"/>
  <c r="K113" i="2"/>
  <c r="K114" i="2" s="1"/>
  <c r="K92" i="2"/>
  <c r="M34" i="2"/>
  <c r="M36" i="2" s="1"/>
  <c r="M13" i="8" s="1"/>
  <c r="M54" i="8" s="1"/>
  <c r="K31" i="8" l="1"/>
  <c r="K34" i="11"/>
  <c r="K36" i="11" s="1"/>
  <c r="K39" i="11"/>
  <c r="K41" i="11" s="1"/>
  <c r="K25" i="8" s="1"/>
  <c r="K51" i="11"/>
  <c r="I62" i="11"/>
  <c r="J62" i="11"/>
  <c r="J35" i="12" s="1"/>
  <c r="M87" i="2"/>
  <c r="M88" i="2" s="1"/>
  <c r="M89" i="2" s="1"/>
  <c r="M105" i="2"/>
  <c r="I30" i="17"/>
  <c r="J65" i="8"/>
  <c r="J30" i="17" s="1"/>
  <c r="L18" i="15"/>
  <c r="L15" i="15"/>
  <c r="H27" i="13"/>
  <c r="K65" i="8"/>
  <c r="K30" i="17" s="1"/>
  <c r="K13" i="17"/>
  <c r="K15" i="17" s="1"/>
  <c r="K18" i="17" s="1"/>
  <c r="K23" i="8"/>
  <c r="M37" i="8"/>
  <c r="K26" i="11"/>
  <c r="K60" i="11" s="1"/>
  <c r="L27" i="11"/>
  <c r="M14" i="17"/>
  <c r="L106" i="2"/>
  <c r="L113" i="2"/>
  <c r="L114" i="2" s="1"/>
  <c r="L92" i="2"/>
  <c r="L31" i="8" l="1"/>
  <c r="I35" i="12"/>
  <c r="I25" i="13" s="1"/>
  <c r="L51" i="11"/>
  <c r="L39" i="11"/>
  <c r="L41" i="11" s="1"/>
  <c r="L25" i="8" s="1"/>
  <c r="L34" i="11"/>
  <c r="L36" i="11" s="1"/>
  <c r="K62" i="11"/>
  <c r="M18" i="15"/>
  <c r="M15" i="15"/>
  <c r="I27" i="13"/>
  <c r="L65" i="8"/>
  <c r="L30" i="17" s="1"/>
  <c r="L13" i="17"/>
  <c r="L15" i="17" s="1"/>
  <c r="L18" i="17" s="1"/>
  <c r="L23" i="8"/>
  <c r="L26" i="11"/>
  <c r="L60" i="11" s="1"/>
  <c r="M27" i="11"/>
  <c r="M106" i="2"/>
  <c r="M113" i="2"/>
  <c r="M114" i="2" s="1"/>
  <c r="M92" i="2"/>
  <c r="D22" i="10"/>
  <c r="J25" i="13" l="1"/>
  <c r="M31" i="8"/>
  <c r="K35" i="12"/>
  <c r="K25" i="13" s="1"/>
  <c r="M39" i="11"/>
  <c r="M41" i="11" s="1"/>
  <c r="M25" i="8" s="1"/>
  <c r="M51" i="11"/>
  <c r="M34" i="11"/>
  <c r="M36" i="11" s="1"/>
  <c r="L62" i="11"/>
  <c r="M65" i="8"/>
  <c r="M13" i="17"/>
  <c r="M15" i="17" s="1"/>
  <c r="M18" i="17" s="1"/>
  <c r="J27" i="13"/>
  <c r="M23" i="8"/>
  <c r="M26" i="11"/>
  <c r="M60" i="11" s="1"/>
  <c r="L35" i="12" l="1"/>
  <c r="L25" i="13" s="1"/>
  <c r="M62" i="11"/>
  <c r="M35" i="12" s="1"/>
  <c r="M30" i="17"/>
  <c r="K27" i="13"/>
  <c r="G27" i="16"/>
  <c r="F15" i="17"/>
  <c r="M25" i="13" l="1"/>
  <c r="F31" i="17"/>
  <c r="F66" i="8"/>
  <c r="L27" i="13"/>
  <c r="H27" i="16"/>
  <c r="G28" i="16"/>
  <c r="F18" i="17"/>
  <c r="I27" i="16" l="1"/>
  <c r="H28" i="16"/>
  <c r="M27" i="13"/>
  <c r="J27" i="16" l="1"/>
  <c r="I28" i="16"/>
  <c r="K27" i="16" l="1"/>
  <c r="J28" i="16"/>
  <c r="L27" i="16" l="1"/>
  <c r="K28" i="16"/>
  <c r="M27" i="16" l="1"/>
  <c r="L28" i="16"/>
  <c r="M28" i="16" l="1"/>
  <c r="F16" i="10" l="1"/>
  <c r="F27" i="10" s="1"/>
  <c r="E27" i="10" l="1"/>
  <c r="E23" i="12" s="1"/>
  <c r="F23" i="12"/>
  <c r="G27" i="10"/>
  <c r="H27" i="10" l="1"/>
  <c r="G23" i="12"/>
  <c r="E31" i="13"/>
  <c r="I27" i="10" l="1"/>
  <c r="H23" i="12"/>
  <c r="J27" i="10" l="1"/>
  <c r="I23" i="12"/>
  <c r="K27" i="10" l="1"/>
  <c r="J23" i="12"/>
  <c r="L27" i="10" l="1"/>
  <c r="K23" i="12"/>
  <c r="M27" i="10" l="1"/>
  <c r="M23" i="12" s="1"/>
  <c r="L23" i="12"/>
  <c r="C29" i="9"/>
  <c r="E29" i="9" s="1"/>
  <c r="C30" i="9" s="1"/>
  <c r="D52" i="9"/>
  <c r="D53" i="9"/>
  <c r="D54" i="9"/>
  <c r="D55" i="9"/>
  <c r="D56" i="9"/>
  <c r="D57" i="9"/>
  <c r="D58" i="9"/>
  <c r="D59" i="9"/>
  <c r="D60" i="9"/>
  <c r="D61" i="9"/>
  <c r="D62" i="9"/>
  <c r="D63" i="9"/>
  <c r="D65" i="9"/>
  <c r="D66" i="9"/>
  <c r="D67" i="9"/>
  <c r="D68" i="9"/>
  <c r="D69" i="9"/>
  <c r="D70" i="9"/>
  <c r="D71" i="9"/>
  <c r="D72" i="9"/>
  <c r="D73" i="9"/>
  <c r="D74" i="9"/>
  <c r="D75" i="9"/>
  <c r="D76" i="9"/>
  <c r="D78" i="9"/>
  <c r="D79" i="9"/>
  <c r="D80" i="9"/>
  <c r="I14" i="9" s="1"/>
  <c r="D81" i="9"/>
  <c r="D82" i="9"/>
  <c r="D83" i="9"/>
  <c r="D84" i="9"/>
  <c r="D85" i="9"/>
  <c r="D86" i="9"/>
  <c r="D87" i="9"/>
  <c r="D88" i="9"/>
  <c r="D89" i="9"/>
  <c r="D91" i="9"/>
  <c r="D92" i="9"/>
  <c r="D93" i="9"/>
  <c r="D94" i="9"/>
  <c r="D95" i="9"/>
  <c r="D96" i="9"/>
  <c r="D97" i="9"/>
  <c r="D98" i="9"/>
  <c r="D99" i="9"/>
  <c r="D100" i="9"/>
  <c r="D101" i="9"/>
  <c r="D102" i="9"/>
  <c r="D104" i="9"/>
  <c r="D105" i="9"/>
  <c r="D106" i="9"/>
  <c r="D107" i="9"/>
  <c r="D108" i="9"/>
  <c r="D109" i="9"/>
  <c r="D110" i="9"/>
  <c r="D111" i="9"/>
  <c r="D112" i="9"/>
  <c r="D113" i="9"/>
  <c r="D114" i="9"/>
  <c r="D115" i="9"/>
  <c r="D117" i="9"/>
  <c r="D118" i="9"/>
  <c r="D119" i="9"/>
  <c r="D120" i="9"/>
  <c r="D121" i="9"/>
  <c r="D122" i="9"/>
  <c r="D123" i="9"/>
  <c r="D124" i="9"/>
  <c r="D125" i="9"/>
  <c r="D126" i="9"/>
  <c r="D127" i="9"/>
  <c r="D128" i="9"/>
  <c r="D130" i="9"/>
  <c r="D131" i="9"/>
  <c r="D132" i="9"/>
  <c r="D133" i="9"/>
  <c r="D134" i="9"/>
  <c r="D135" i="9"/>
  <c r="D136" i="9"/>
  <c r="D137" i="9"/>
  <c r="D138" i="9"/>
  <c r="D139" i="9"/>
  <c r="D140" i="9"/>
  <c r="D141" i="9"/>
  <c r="D142" i="9" l="1"/>
  <c r="M14" i="9"/>
  <c r="L14" i="9"/>
  <c r="L24" i="13" s="1"/>
  <c r="L49" i="8" s="1"/>
  <c r="K14" i="9"/>
  <c r="K19" i="15" s="1"/>
  <c r="J14" i="9"/>
  <c r="H14" i="9"/>
  <c r="G14" i="9"/>
  <c r="F18" i="12" s="1"/>
  <c r="E30" i="9"/>
  <c r="C31" i="9" s="1"/>
  <c r="M24" i="13"/>
  <c r="M49" i="8" s="1"/>
  <c r="L18" i="12"/>
  <c r="M19" i="15"/>
  <c r="I24" i="13"/>
  <c r="I49" i="8" s="1"/>
  <c r="H18" i="12"/>
  <c r="I19" i="15"/>
  <c r="K18" i="12"/>
  <c r="L19" i="15"/>
  <c r="J18" i="12"/>
  <c r="J24" i="13"/>
  <c r="J49" i="8" s="1"/>
  <c r="I18" i="12"/>
  <c r="J19" i="15"/>
  <c r="G18" i="12"/>
  <c r="H24" i="13"/>
  <c r="H49" i="8" s="1"/>
  <c r="H19" i="15"/>
  <c r="G24" i="13"/>
  <c r="G19" i="15"/>
  <c r="F29" i="9"/>
  <c r="K24" i="13" l="1"/>
  <c r="K49" i="8" s="1"/>
  <c r="F30" i="9"/>
  <c r="G49" i="8"/>
  <c r="F31" i="9"/>
  <c r="E31" i="9"/>
  <c r="C32" i="9" s="1"/>
  <c r="E32" i="9" l="1"/>
  <c r="C33" i="9" s="1"/>
  <c r="F32" i="9"/>
  <c r="E33" i="9" l="1"/>
  <c r="C34" i="9" s="1"/>
  <c r="F33" i="9"/>
  <c r="E34" i="9" l="1"/>
  <c r="C35" i="9" s="1"/>
  <c r="F34" i="9"/>
  <c r="E35" i="9" l="1"/>
  <c r="C36" i="9" s="1"/>
  <c r="F35" i="9" l="1"/>
  <c r="E36" i="9"/>
  <c r="C37" i="9" s="1"/>
  <c r="F36" i="9"/>
  <c r="E13" i="9" l="1"/>
  <c r="E37" i="9"/>
  <c r="C39" i="9" s="1"/>
  <c r="F37" i="9"/>
  <c r="E16" i="9" s="1"/>
  <c r="E39" i="9" l="1"/>
  <c r="C40" i="9" s="1"/>
  <c r="F39" i="9"/>
  <c r="E17" i="9"/>
  <c r="D14" i="4" s="1"/>
  <c r="E15" i="13"/>
  <c r="E15" i="12" s="1"/>
  <c r="F15" i="12" s="1"/>
  <c r="E15" i="9"/>
  <c r="F12" i="9" s="1"/>
  <c r="F15" i="9" s="1"/>
  <c r="G12" i="9" s="1"/>
  <c r="G15" i="9" s="1"/>
  <c r="H12" i="9" s="1"/>
  <c r="H15" i="9" s="1"/>
  <c r="I12" i="9" s="1"/>
  <c r="I15" i="9" s="1"/>
  <c r="J12" i="9" s="1"/>
  <c r="J15" i="9" s="1"/>
  <c r="K12" i="9" s="1"/>
  <c r="K15" i="9" s="1"/>
  <c r="L12" i="9" s="1"/>
  <c r="L15" i="9" s="1"/>
  <c r="M12" i="9" s="1"/>
  <c r="M15" i="9" s="1"/>
  <c r="E18" i="9" l="1"/>
  <c r="E17" i="10"/>
  <c r="E19" i="10"/>
  <c r="F19" i="10" s="1"/>
  <c r="E21" i="10"/>
  <c r="F21" i="10" s="1"/>
  <c r="E18" i="10"/>
  <c r="F18" i="10" s="1"/>
  <c r="E20" i="10"/>
  <c r="F20" i="10" s="1"/>
  <c r="D15" i="4"/>
  <c r="G15" i="12"/>
  <c r="E40" i="9"/>
  <c r="C41" i="9" s="1"/>
  <c r="E41" i="9" l="1"/>
  <c r="C42" i="9" s="1"/>
  <c r="H15" i="12"/>
  <c r="E37" i="10"/>
  <c r="E28" i="12" s="1"/>
  <c r="F37" i="10"/>
  <c r="F38" i="10" s="1"/>
  <c r="F99" i="2"/>
  <c r="G99" i="2" s="1"/>
  <c r="H99" i="2" s="1"/>
  <c r="I99" i="2" s="1"/>
  <c r="J99" i="2" s="1"/>
  <c r="K99" i="2" s="1"/>
  <c r="L99" i="2" s="1"/>
  <c r="M99" i="2" s="1"/>
  <c r="F40" i="9"/>
  <c r="D18" i="4"/>
  <c r="F11" i="4"/>
  <c r="E33" i="10"/>
  <c r="E26" i="12" s="1"/>
  <c r="F33" i="10"/>
  <c r="F34" i="10" s="1"/>
  <c r="F97" i="2"/>
  <c r="G97" i="2" s="1"/>
  <c r="H97" i="2" s="1"/>
  <c r="I97" i="2" s="1"/>
  <c r="J97" i="2" s="1"/>
  <c r="K97" i="2" s="1"/>
  <c r="L97" i="2" s="1"/>
  <c r="M97" i="2" s="1"/>
  <c r="E31" i="10"/>
  <c r="E25" i="12" s="1"/>
  <c r="F31" i="10"/>
  <c r="F32" i="10" s="1"/>
  <c r="F96" i="2"/>
  <c r="G96" i="2" s="1"/>
  <c r="H96" i="2" s="1"/>
  <c r="I96" i="2" s="1"/>
  <c r="J96" i="2" s="1"/>
  <c r="K96" i="2" s="1"/>
  <c r="L96" i="2" s="1"/>
  <c r="M96" i="2" s="1"/>
  <c r="E35" i="10"/>
  <c r="E27" i="12" s="1"/>
  <c r="F35" i="10"/>
  <c r="F36" i="10" s="1"/>
  <c r="F98" i="2"/>
  <c r="G98" i="2" s="1"/>
  <c r="H98" i="2" s="1"/>
  <c r="I98" i="2" s="1"/>
  <c r="J98" i="2" s="1"/>
  <c r="K98" i="2" s="1"/>
  <c r="L98" i="2" s="1"/>
  <c r="M98" i="2" s="1"/>
  <c r="F17" i="10"/>
  <c r="E22" i="10"/>
  <c r="E29" i="10" l="1"/>
  <c r="E24" i="12" s="1"/>
  <c r="E29" i="12" s="1"/>
  <c r="F29" i="10"/>
  <c r="F30" i="10" s="1"/>
  <c r="F22" i="10"/>
  <c r="F95" i="2"/>
  <c r="F27" i="12"/>
  <c r="G35" i="10"/>
  <c r="G36" i="10" s="1"/>
  <c r="F28" i="12"/>
  <c r="G37" i="10"/>
  <c r="G38" i="10" s="1"/>
  <c r="I15" i="12"/>
  <c r="F25" i="12"/>
  <c r="G31" i="10"/>
  <c r="G32" i="10" s="1"/>
  <c r="F41" i="9"/>
  <c r="G33" i="10"/>
  <c r="G34" i="10" s="1"/>
  <c r="F26" i="12"/>
  <c r="E42" i="9"/>
  <c r="C43" i="9" s="1"/>
  <c r="F42" i="9"/>
  <c r="E43" i="9" l="1"/>
  <c r="C44" i="9" s="1"/>
  <c r="F43" i="9"/>
  <c r="J15" i="12"/>
  <c r="G27" i="12"/>
  <c r="H35" i="10"/>
  <c r="H36" i="10" s="1"/>
  <c r="G95" i="2"/>
  <c r="F100" i="2"/>
  <c r="F102" i="2" s="1"/>
  <c r="F24" i="12"/>
  <c r="F29" i="12" s="1"/>
  <c r="F39" i="10"/>
  <c r="F20" i="8" s="1"/>
  <c r="G29" i="10"/>
  <c r="G30" i="10" s="1"/>
  <c r="H31" i="10"/>
  <c r="H32" i="10" s="1"/>
  <c r="G25" i="12"/>
  <c r="H33" i="10"/>
  <c r="H34" i="10" s="1"/>
  <c r="G26" i="12"/>
  <c r="G28" i="12"/>
  <c r="H37" i="10"/>
  <c r="H38" i="10" s="1"/>
  <c r="E31" i="12"/>
  <c r="E33" i="12" s="1"/>
  <c r="E23" i="13"/>
  <c r="K15" i="12" l="1"/>
  <c r="H28" i="12"/>
  <c r="I37" i="10"/>
  <c r="I38" i="10" s="1"/>
  <c r="H26" i="12"/>
  <c r="I33" i="10"/>
  <c r="I34" i="10" s="1"/>
  <c r="I31" i="10"/>
  <c r="I32" i="10" s="1"/>
  <c r="H25" i="12"/>
  <c r="F18" i="8"/>
  <c r="H27" i="12"/>
  <c r="I35" i="10"/>
  <c r="I36" i="10" s="1"/>
  <c r="G24" i="12"/>
  <c r="G29" i="12" s="1"/>
  <c r="G39" i="10"/>
  <c r="G20" i="8" s="1"/>
  <c r="H29" i="10"/>
  <c r="H30" i="10" s="1"/>
  <c r="G100" i="2"/>
  <c r="G102" i="2" s="1"/>
  <c r="H95" i="2"/>
  <c r="F44" i="9"/>
  <c r="E44" i="9"/>
  <c r="C45" i="9" s="1"/>
  <c r="F23" i="13"/>
  <c r="E30" i="13"/>
  <c r="E18" i="16"/>
  <c r="E19" i="16" s="1"/>
  <c r="F30" i="12"/>
  <c r="F17" i="13"/>
  <c r="F46" i="8"/>
  <c r="F15" i="16"/>
  <c r="I28" i="12" l="1"/>
  <c r="J37" i="10"/>
  <c r="J38" i="10" s="1"/>
  <c r="F18" i="16"/>
  <c r="G30" i="12"/>
  <c r="F31" i="12"/>
  <c r="G18" i="8"/>
  <c r="I27" i="12"/>
  <c r="J35" i="10"/>
  <c r="J36" i="10" s="1"/>
  <c r="I26" i="12"/>
  <c r="J33" i="10"/>
  <c r="J34" i="10" s="1"/>
  <c r="L15" i="12"/>
  <c r="G17" i="13"/>
  <c r="G46" i="8"/>
  <c r="G15" i="16"/>
  <c r="I25" i="12"/>
  <c r="J31" i="10"/>
  <c r="J32" i="10" s="1"/>
  <c r="H100" i="2"/>
  <c r="H102" i="2" s="1"/>
  <c r="I95" i="2"/>
  <c r="E32" i="16"/>
  <c r="E29" i="16"/>
  <c r="E33" i="16" s="1"/>
  <c r="E45" i="9"/>
  <c r="C46" i="9" s="1"/>
  <c r="F45" i="9"/>
  <c r="I29" i="10"/>
  <c r="I30" i="10" s="1"/>
  <c r="H24" i="12"/>
  <c r="H29" i="12" s="1"/>
  <c r="H39" i="10"/>
  <c r="H20" i="8" s="1"/>
  <c r="H18" i="8" l="1"/>
  <c r="F33" i="12"/>
  <c r="F42" i="17"/>
  <c r="F109" i="2"/>
  <c r="F110" i="2" s="1"/>
  <c r="J28" i="12"/>
  <c r="K37" i="10"/>
  <c r="J25" i="12"/>
  <c r="K31" i="10"/>
  <c r="K32" i="10" s="1"/>
  <c r="M15" i="12"/>
  <c r="H30" i="12"/>
  <c r="H31" i="12" s="1"/>
  <c r="K33" i="10"/>
  <c r="K34" i="10" s="1"/>
  <c r="J26" i="12"/>
  <c r="I39" i="10"/>
  <c r="I20" i="8" s="1"/>
  <c r="J29" i="10"/>
  <c r="J30" i="10" s="1"/>
  <c r="I24" i="12"/>
  <c r="I29" i="12" s="1"/>
  <c r="H17" i="13"/>
  <c r="H46" i="8"/>
  <c r="H15" i="16"/>
  <c r="E46" i="9"/>
  <c r="C47" i="9" s="1"/>
  <c r="F46" i="9"/>
  <c r="H23" i="13"/>
  <c r="I100" i="2"/>
  <c r="I102" i="2" s="1"/>
  <c r="J95" i="2"/>
  <c r="J27" i="12"/>
  <c r="K35" i="10"/>
  <c r="K36" i="10" s="1"/>
  <c r="G31" i="12"/>
  <c r="J24" i="12" l="1"/>
  <c r="J29" i="12" s="1"/>
  <c r="J39" i="10"/>
  <c r="J20" i="8" s="1"/>
  <c r="K29" i="10"/>
  <c r="K30" i="10" s="1"/>
  <c r="L33" i="10"/>
  <c r="L34" i="10" s="1"/>
  <c r="K26" i="12"/>
  <c r="H33" i="12"/>
  <c r="H109" i="2"/>
  <c r="H110" i="2" s="1"/>
  <c r="H42" i="17"/>
  <c r="I17" i="13"/>
  <c r="I46" i="8"/>
  <c r="I15" i="16"/>
  <c r="I30" i="12"/>
  <c r="I31" i="12" s="1"/>
  <c r="L31" i="10"/>
  <c r="L32" i="10" s="1"/>
  <c r="K25" i="12"/>
  <c r="K28" i="12"/>
  <c r="L37" i="10"/>
  <c r="H18" i="16"/>
  <c r="G33" i="12"/>
  <c r="G109" i="2"/>
  <c r="G110" i="2" s="1"/>
  <c r="G42" i="17"/>
  <c r="K95" i="2"/>
  <c r="J100" i="2"/>
  <c r="J102" i="2" s="1"/>
  <c r="K27" i="12"/>
  <c r="L35" i="10"/>
  <c r="L36" i="10" s="1"/>
  <c r="I18" i="8"/>
  <c r="E47" i="9"/>
  <c r="C48" i="9" s="1"/>
  <c r="I23" i="13"/>
  <c r="F19" i="8"/>
  <c r="F29" i="11"/>
  <c r="F55" i="11" s="1"/>
  <c r="F57" i="11" s="1"/>
  <c r="J30" i="12" l="1"/>
  <c r="J31" i="12" s="1"/>
  <c r="F47" i="9"/>
  <c r="K100" i="2"/>
  <c r="K102" i="2" s="1"/>
  <c r="L95" i="2"/>
  <c r="F21" i="8"/>
  <c r="F24" i="8" s="1"/>
  <c r="F26" i="8" s="1"/>
  <c r="F28" i="8" s="1"/>
  <c r="F16" i="17"/>
  <c r="L27" i="12"/>
  <c r="M35" i="10"/>
  <c r="M36" i="10" s="1"/>
  <c r="K24" i="12"/>
  <c r="K29" i="12" s="1"/>
  <c r="K39" i="10"/>
  <c r="K20" i="8" s="1"/>
  <c r="L29" i="10"/>
  <c r="L30" i="10" s="1"/>
  <c r="H19" i="8"/>
  <c r="H29" i="11"/>
  <c r="H55" i="11" s="1"/>
  <c r="H57" i="11" s="1"/>
  <c r="E48" i="9"/>
  <c r="C49" i="9" s="1"/>
  <c r="I18" i="16"/>
  <c r="L28" i="12"/>
  <c r="M37" i="10"/>
  <c r="M28" i="12" s="1"/>
  <c r="M31" i="10"/>
  <c r="M32" i="10" s="1"/>
  <c r="L25" i="12"/>
  <c r="J17" i="13"/>
  <c r="J46" i="8"/>
  <c r="J15" i="16"/>
  <c r="F17" i="12"/>
  <c r="F67" i="11"/>
  <c r="I33" i="12"/>
  <c r="I42" i="17"/>
  <c r="I109" i="2"/>
  <c r="I110" i="2" s="1"/>
  <c r="J18" i="8"/>
  <c r="G19" i="8"/>
  <c r="G29" i="11"/>
  <c r="G55" i="11" s="1"/>
  <c r="G57" i="11" s="1"/>
  <c r="L26" i="12"/>
  <c r="M33" i="10"/>
  <c r="M34" i="10" s="1"/>
  <c r="J23" i="13"/>
  <c r="K30" i="12" l="1"/>
  <c r="K31" i="12" s="1"/>
  <c r="G21" i="8"/>
  <c r="G24" i="8" s="1"/>
  <c r="G26" i="8" s="1"/>
  <c r="G16" i="17"/>
  <c r="H21" i="8"/>
  <c r="H24" i="8" s="1"/>
  <c r="H26" i="8" s="1"/>
  <c r="H16" i="17"/>
  <c r="F17" i="17"/>
  <c r="F19" i="17"/>
  <c r="F20" i="17" s="1"/>
  <c r="E49" i="9"/>
  <c r="C50" i="9" s="1"/>
  <c r="F49" i="9"/>
  <c r="M29" i="10"/>
  <c r="M30" i="10" s="1"/>
  <c r="L24" i="12"/>
  <c r="L29" i="12" s="1"/>
  <c r="L39" i="10"/>
  <c r="L20" i="8" s="1"/>
  <c r="M27" i="12"/>
  <c r="F19" i="13"/>
  <c r="F48" i="9"/>
  <c r="K17" i="13"/>
  <c r="K46" i="8"/>
  <c r="K15" i="16"/>
  <c r="L100" i="2"/>
  <c r="L102" i="2" s="1"/>
  <c r="M95" i="2"/>
  <c r="M100" i="2" s="1"/>
  <c r="M102" i="2" s="1"/>
  <c r="J18" i="16"/>
  <c r="I19" i="8"/>
  <c r="I29" i="11"/>
  <c r="I55" i="11" s="1"/>
  <c r="I57" i="11" s="1"/>
  <c r="J33" i="12"/>
  <c r="J42" i="17"/>
  <c r="J109" i="2"/>
  <c r="J110" i="2" s="1"/>
  <c r="M26" i="12"/>
  <c r="G17" i="12"/>
  <c r="G67" i="11"/>
  <c r="M25" i="12"/>
  <c r="H17" i="12"/>
  <c r="H67" i="11"/>
  <c r="K23" i="13"/>
  <c r="K18" i="8"/>
  <c r="L30" i="12" l="1"/>
  <c r="L31" i="12" s="1"/>
  <c r="K33" i="12"/>
  <c r="K109" i="2"/>
  <c r="K110" i="2" s="1"/>
  <c r="K42" i="17"/>
  <c r="F43" i="17" s="1"/>
  <c r="G19" i="13"/>
  <c r="H17" i="17"/>
  <c r="H19" i="17"/>
  <c r="H20" i="17" s="1"/>
  <c r="I17" i="12"/>
  <c r="I67" i="11"/>
  <c r="E50" i="9"/>
  <c r="C52" i="9" s="1"/>
  <c r="F50" i="9"/>
  <c r="F16" i="9" s="1"/>
  <c r="F18" i="9" s="1"/>
  <c r="F36" i="8" s="1"/>
  <c r="I16" i="17"/>
  <c r="I21" i="8"/>
  <c r="I24" i="8" s="1"/>
  <c r="I26" i="8" s="1"/>
  <c r="L23" i="13"/>
  <c r="G17" i="17"/>
  <c r="G19" i="17"/>
  <c r="G20" i="17" s="1"/>
  <c r="K18" i="16"/>
  <c r="J19" i="8"/>
  <c r="J29" i="11"/>
  <c r="J55" i="11" s="1"/>
  <c r="J57" i="11" s="1"/>
  <c r="M18" i="8"/>
  <c r="L17" i="13"/>
  <c r="L46" i="8"/>
  <c r="L15" i="16"/>
  <c r="L18" i="8"/>
  <c r="H19" i="13"/>
  <c r="M39" i="10"/>
  <c r="M20" i="8" s="1"/>
  <c r="M24" i="12"/>
  <c r="M29" i="12" s="1"/>
  <c r="M17" i="13" l="1"/>
  <c r="M46" i="8"/>
  <c r="M15" i="16"/>
  <c r="F14" i="15"/>
  <c r="F17" i="15"/>
  <c r="F20" i="15" s="1"/>
  <c r="F38" i="8"/>
  <c r="L33" i="12"/>
  <c r="L109" i="2"/>
  <c r="L110" i="2" s="1"/>
  <c r="K19" i="8"/>
  <c r="K29" i="11"/>
  <c r="K55" i="11" s="1"/>
  <c r="K57" i="11" s="1"/>
  <c r="J17" i="12"/>
  <c r="J67" i="11"/>
  <c r="L18" i="16"/>
  <c r="E52" i="9"/>
  <c r="C53" i="9" s="1"/>
  <c r="F52" i="9"/>
  <c r="M23" i="13"/>
  <c r="J16" i="17"/>
  <c r="J21" i="8"/>
  <c r="J24" i="8" s="1"/>
  <c r="J26" i="8" s="1"/>
  <c r="I17" i="17"/>
  <c r="I19" i="17"/>
  <c r="I20" i="17" s="1"/>
  <c r="I19" i="13"/>
  <c r="M30" i="12"/>
  <c r="M31" i="12" s="1"/>
  <c r="M33" i="12" l="1"/>
  <c r="M109" i="2"/>
  <c r="M110" i="2" s="1"/>
  <c r="L19" i="8"/>
  <c r="L29" i="11"/>
  <c r="L55" i="11" s="1"/>
  <c r="L57" i="11" s="1"/>
  <c r="E53" i="9"/>
  <c r="C54" i="9" s="1"/>
  <c r="F53" i="9"/>
  <c r="M18" i="16"/>
  <c r="K17" i="12"/>
  <c r="K67" i="11"/>
  <c r="J19" i="13"/>
  <c r="J17" i="17"/>
  <c r="J19" i="17"/>
  <c r="J20" i="17" s="1"/>
  <c r="K21" i="8"/>
  <c r="K24" i="8" s="1"/>
  <c r="K26" i="8" s="1"/>
  <c r="K16" i="17"/>
  <c r="E54" i="9" l="1"/>
  <c r="C55" i="9" s="1"/>
  <c r="M19" i="8"/>
  <c r="M29" i="11"/>
  <c r="M55" i="11" s="1"/>
  <c r="M57" i="11" s="1"/>
  <c r="L21" i="8"/>
  <c r="L24" i="8" s="1"/>
  <c r="L26" i="8" s="1"/>
  <c r="L16" i="17"/>
  <c r="K17" i="17"/>
  <c r="K19" i="17"/>
  <c r="K20" i="17" s="1"/>
  <c r="K19" i="13"/>
  <c r="L17" i="12"/>
  <c r="L67" i="11"/>
  <c r="F54" i="9" l="1"/>
  <c r="M17" i="12"/>
  <c r="M67" i="11"/>
  <c r="L19" i="17"/>
  <c r="L20" i="17" s="1"/>
  <c r="L17" i="17"/>
  <c r="E55" i="9"/>
  <c r="C56" i="9" s="1"/>
  <c r="F55" i="9"/>
  <c r="L19" i="13"/>
  <c r="M21" i="8"/>
  <c r="M24" i="8" s="1"/>
  <c r="M26" i="8" s="1"/>
  <c r="M16" i="17"/>
  <c r="M17" i="17" l="1"/>
  <c r="M19" i="17"/>
  <c r="M20" i="17" s="1"/>
  <c r="E56" i="9"/>
  <c r="C57" i="9" s="1"/>
  <c r="F56" i="9"/>
  <c r="M19" i="13"/>
  <c r="E57" i="9" l="1"/>
  <c r="C58" i="9" s="1"/>
  <c r="F57" i="9" l="1"/>
  <c r="E58" i="9"/>
  <c r="C59" i="9" s="1"/>
  <c r="F58" i="9"/>
  <c r="E59" i="9" l="1"/>
  <c r="C60" i="9" s="1"/>
  <c r="F59" i="9"/>
  <c r="E60" i="9" l="1"/>
  <c r="C61" i="9" s="1"/>
  <c r="F60" i="9" l="1"/>
  <c r="E61" i="9"/>
  <c r="C62" i="9" s="1"/>
  <c r="F61" i="9"/>
  <c r="E62" i="9" l="1"/>
  <c r="C63" i="9" s="1"/>
  <c r="F62" i="9"/>
  <c r="E63" i="9" l="1"/>
  <c r="C65" i="9" s="1"/>
  <c r="F63" i="9"/>
  <c r="G16" i="9" s="1"/>
  <c r="G18" i="9" s="1"/>
  <c r="G36" i="8" s="1"/>
  <c r="G14" i="15" l="1"/>
  <c r="G17" i="15"/>
  <c r="G20" i="15" s="1"/>
  <c r="G38" i="8"/>
  <c r="E65" i="9"/>
  <c r="C66" i="9" s="1"/>
  <c r="E66" i="9" l="1"/>
  <c r="C67" i="9" s="1"/>
  <c r="F66" i="9"/>
  <c r="F65" i="9"/>
  <c r="E67" i="9" l="1"/>
  <c r="C68" i="9" s="1"/>
  <c r="F67" i="9" l="1"/>
  <c r="E68" i="9"/>
  <c r="C69" i="9" s="1"/>
  <c r="F68" i="9"/>
  <c r="E69" i="9" l="1"/>
  <c r="C70" i="9" s="1"/>
  <c r="F69" i="9"/>
  <c r="E70" i="9" l="1"/>
  <c r="C71" i="9" s="1"/>
  <c r="F70" i="9"/>
  <c r="E71" i="9" l="1"/>
  <c r="C72" i="9" s="1"/>
  <c r="F71" i="9"/>
  <c r="E72" i="9" l="1"/>
  <c r="C73" i="9" s="1"/>
  <c r="F72" i="9"/>
  <c r="E73" i="9" l="1"/>
  <c r="C74" i="9" s="1"/>
  <c r="F73" i="9" l="1"/>
  <c r="E74" i="9"/>
  <c r="C75" i="9" s="1"/>
  <c r="F74" i="9"/>
  <c r="E75" i="9" l="1"/>
  <c r="C76" i="9" s="1"/>
  <c r="F75" i="9" l="1"/>
  <c r="E76" i="9"/>
  <c r="C78" i="9" s="1"/>
  <c r="F76" i="9"/>
  <c r="H16" i="9" s="1"/>
  <c r="H18" i="9" s="1"/>
  <c r="H36" i="8" s="1"/>
  <c r="E78" i="9" l="1"/>
  <c r="C79" i="9" s="1"/>
  <c r="F78" i="9"/>
  <c r="H14" i="15"/>
  <c r="H17" i="15"/>
  <c r="H20" i="15" s="1"/>
  <c r="H38" i="8"/>
  <c r="E79" i="9" l="1"/>
  <c r="C80" i="9" s="1"/>
  <c r="F79" i="9" l="1"/>
  <c r="E80" i="9"/>
  <c r="C81" i="9" s="1"/>
  <c r="F80" i="9" l="1"/>
  <c r="E81" i="9"/>
  <c r="C82" i="9" s="1"/>
  <c r="F81" i="9"/>
  <c r="E82" i="9" l="1"/>
  <c r="C83" i="9" s="1"/>
  <c r="F82" i="9"/>
  <c r="E83" i="9" l="1"/>
  <c r="C84" i="9" s="1"/>
  <c r="F83" i="9"/>
  <c r="E84" i="9" l="1"/>
  <c r="C85" i="9" s="1"/>
  <c r="F84" i="9"/>
  <c r="E85" i="9" l="1"/>
  <c r="C86" i="9" s="1"/>
  <c r="F85" i="9"/>
  <c r="E86" i="9" l="1"/>
  <c r="C87" i="9" s="1"/>
  <c r="F86" i="9"/>
  <c r="E87" i="9" l="1"/>
  <c r="C88" i="9" s="1"/>
  <c r="F87" i="9"/>
  <c r="E88" i="9" l="1"/>
  <c r="C89" i="9" s="1"/>
  <c r="F88" i="9"/>
  <c r="E89" i="9" l="1"/>
  <c r="C91" i="9" s="1"/>
  <c r="F89" i="9"/>
  <c r="I16" i="9" s="1"/>
  <c r="I18" i="9" s="1"/>
  <c r="I36" i="8" s="1"/>
  <c r="I38" i="8" l="1"/>
  <c r="I14" i="15"/>
  <c r="I17" i="15"/>
  <c r="I20" i="15" s="1"/>
  <c r="E91" i="9"/>
  <c r="C92" i="9" s="1"/>
  <c r="E92" i="9" l="1"/>
  <c r="C93" i="9" s="1"/>
  <c r="F92" i="9"/>
  <c r="F91" i="9"/>
  <c r="E93" i="9" l="1"/>
  <c r="C94" i="9" s="1"/>
  <c r="F93" i="9"/>
  <c r="E94" i="9" l="1"/>
  <c r="C95" i="9" s="1"/>
  <c r="F94" i="9" l="1"/>
  <c r="E95" i="9"/>
  <c r="C96" i="9" s="1"/>
  <c r="F95" i="9"/>
  <c r="E96" i="9" l="1"/>
  <c r="C97" i="9" s="1"/>
  <c r="F96" i="9"/>
  <c r="E97" i="9" l="1"/>
  <c r="C98" i="9" s="1"/>
  <c r="F97" i="9" l="1"/>
  <c r="E98" i="9"/>
  <c r="C99" i="9" s="1"/>
  <c r="F98" i="9"/>
  <c r="E99" i="9" l="1"/>
  <c r="C100" i="9" s="1"/>
  <c r="F99" i="9" l="1"/>
  <c r="E100" i="9"/>
  <c r="C101" i="9" s="1"/>
  <c r="F100" i="9"/>
  <c r="E101" i="9" l="1"/>
  <c r="C102" i="9" s="1"/>
  <c r="F101" i="9" l="1"/>
  <c r="E102" i="9"/>
  <c r="C104" i="9" s="1"/>
  <c r="F102" i="9"/>
  <c r="J16" i="9" l="1"/>
  <c r="J18" i="9" s="1"/>
  <c r="J36" i="8" s="1"/>
  <c r="J14" i="15" s="1"/>
  <c r="E104" i="9"/>
  <c r="C105" i="9" s="1"/>
  <c r="J17" i="15" l="1"/>
  <c r="J20" i="15" s="1"/>
  <c r="J38" i="8"/>
  <c r="E105" i="9"/>
  <c r="C106" i="9" s="1"/>
  <c r="F105" i="9"/>
  <c r="F104" i="9"/>
  <c r="E106" i="9" l="1"/>
  <c r="C107" i="9" s="1"/>
  <c r="F106" i="9" l="1"/>
  <c r="E107" i="9"/>
  <c r="C108" i="9" s="1"/>
  <c r="F107" i="9"/>
  <c r="E108" i="9" l="1"/>
  <c r="C109" i="9" s="1"/>
  <c r="F108" i="9"/>
  <c r="E109" i="9" l="1"/>
  <c r="C110" i="9" s="1"/>
  <c r="F109" i="9"/>
  <c r="E110" i="9" l="1"/>
  <c r="C111" i="9" s="1"/>
  <c r="F110" i="9" l="1"/>
  <c r="E111" i="9"/>
  <c r="C112" i="9" s="1"/>
  <c r="F111" i="9" l="1"/>
  <c r="E112" i="9"/>
  <c r="C113" i="9" s="1"/>
  <c r="F112" i="9"/>
  <c r="E113" i="9" l="1"/>
  <c r="C114" i="9" s="1"/>
  <c r="F113" i="9"/>
  <c r="E114" i="9" l="1"/>
  <c r="C115" i="9" s="1"/>
  <c r="F114" i="9" l="1"/>
  <c r="E115" i="9"/>
  <c r="C117" i="9" s="1"/>
  <c r="F115" i="9"/>
  <c r="K16" i="9" l="1"/>
  <c r="K18" i="9" s="1"/>
  <c r="K36" i="8" s="1"/>
  <c r="K14" i="15" s="1"/>
  <c r="E117" i="9"/>
  <c r="C118" i="9" s="1"/>
  <c r="K38" i="8" l="1"/>
  <c r="K17" i="15"/>
  <c r="K20" i="15" s="1"/>
  <c r="E118" i="9"/>
  <c r="C119" i="9" s="1"/>
  <c r="F118" i="9"/>
  <c r="F117" i="9"/>
  <c r="E119" i="9" l="1"/>
  <c r="C120" i="9" s="1"/>
  <c r="F119" i="9"/>
  <c r="E120" i="9" l="1"/>
  <c r="C121" i="9" s="1"/>
  <c r="F120" i="9"/>
  <c r="E121" i="9" l="1"/>
  <c r="C122" i="9" s="1"/>
  <c r="F121" i="9"/>
  <c r="E122" i="9" l="1"/>
  <c r="C123" i="9" s="1"/>
  <c r="F122" i="9"/>
  <c r="E123" i="9" l="1"/>
  <c r="C124" i="9" s="1"/>
  <c r="F123" i="9"/>
  <c r="E124" i="9" l="1"/>
  <c r="C125" i="9" s="1"/>
  <c r="F124" i="9"/>
  <c r="E125" i="9" l="1"/>
  <c r="C126" i="9" s="1"/>
  <c r="F125" i="9" l="1"/>
  <c r="E126" i="9"/>
  <c r="C127" i="9" s="1"/>
  <c r="F126" i="9"/>
  <c r="E127" i="9" l="1"/>
  <c r="C128" i="9" s="1"/>
  <c r="F127" i="9"/>
  <c r="E128" i="9" l="1"/>
  <c r="C130" i="9" s="1"/>
  <c r="F128" i="9"/>
  <c r="L16" i="9" s="1"/>
  <c r="L18" i="9" s="1"/>
  <c r="L36" i="8" s="1"/>
  <c r="L14" i="15" l="1"/>
  <c r="L17" i="15"/>
  <c r="L20" i="15" s="1"/>
  <c r="L38" i="8"/>
  <c r="E130" i="9"/>
  <c r="C131" i="9" s="1"/>
  <c r="E131" i="9" l="1"/>
  <c r="C132" i="9" s="1"/>
  <c r="F130" i="9"/>
  <c r="F131" i="9" l="1"/>
  <c r="E132" i="9"/>
  <c r="C133" i="9" s="1"/>
  <c r="F132" i="9"/>
  <c r="E133" i="9" l="1"/>
  <c r="C134" i="9" s="1"/>
  <c r="F133" i="9"/>
  <c r="E134" i="9" l="1"/>
  <c r="C135" i="9" s="1"/>
  <c r="F134" i="9" l="1"/>
  <c r="E135" i="9"/>
  <c r="C136" i="9" s="1"/>
  <c r="F135" i="9"/>
  <c r="E136" i="9" l="1"/>
  <c r="C137" i="9" s="1"/>
  <c r="F136" i="9" l="1"/>
  <c r="E137" i="9"/>
  <c r="C138" i="9" s="1"/>
  <c r="F137" i="9"/>
  <c r="E138" i="9" l="1"/>
  <c r="C139" i="9" s="1"/>
  <c r="F138" i="9"/>
  <c r="E139" i="9" l="1"/>
  <c r="C140" i="9" s="1"/>
  <c r="F139" i="9"/>
  <c r="E140" i="9" l="1"/>
  <c r="C141" i="9" s="1"/>
  <c r="F140" i="9"/>
  <c r="E141" i="9" l="1"/>
  <c r="F141" i="9" s="1"/>
  <c r="F142" i="9" l="1"/>
  <c r="M16" i="9"/>
  <c r="M18" i="9" s="1"/>
  <c r="M36" i="8" s="1"/>
  <c r="M38" i="8" l="1"/>
  <c r="M14" i="15"/>
  <c r="M17" i="15"/>
  <c r="M20" i="15" s="1"/>
  <c r="D29" i="4"/>
  <c r="D50" i="16" a="1"/>
  <c r="D58" i="16"/>
  <c r="D59" i="16"/>
  <c r="E13" i="12"/>
  <c r="F13" i="12"/>
  <c r="G13" i="12"/>
  <c r="H13" i="12"/>
  <c r="I13" i="12"/>
  <c r="J13" i="12"/>
  <c r="K13" i="12"/>
  <c r="L13" i="12"/>
  <c r="M13" i="12"/>
  <c r="F14" i="12"/>
  <c r="G14" i="12"/>
  <c r="H14" i="12"/>
  <c r="I14" i="12"/>
  <c r="J14" i="12"/>
  <c r="K14" i="12"/>
  <c r="L14" i="12"/>
  <c r="M14" i="12"/>
  <c r="E21" i="12"/>
  <c r="F21" i="12"/>
  <c r="G21" i="12"/>
  <c r="H21" i="12"/>
  <c r="I21" i="12"/>
  <c r="J21" i="12"/>
  <c r="K21" i="12"/>
  <c r="L21" i="12"/>
  <c r="M21" i="12"/>
  <c r="F36" i="12"/>
  <c r="G36" i="12"/>
  <c r="H36" i="12"/>
  <c r="I36" i="12"/>
  <c r="J36" i="12"/>
  <c r="K36" i="12"/>
  <c r="L36" i="12"/>
  <c r="M36" i="12"/>
  <c r="E37" i="12"/>
  <c r="F37" i="12"/>
  <c r="G37" i="12"/>
  <c r="H37" i="12"/>
  <c r="I37" i="12"/>
  <c r="J37" i="12"/>
  <c r="K37" i="12"/>
  <c r="L37" i="12"/>
  <c r="M37" i="12"/>
  <c r="E39" i="12"/>
  <c r="F39" i="12"/>
  <c r="G39" i="12"/>
  <c r="H39" i="12"/>
  <c r="I39" i="12"/>
  <c r="J39" i="12"/>
  <c r="K39" i="12"/>
  <c r="L39" i="12"/>
  <c r="M39" i="12"/>
  <c r="E41" i="12"/>
  <c r="F41" i="12"/>
  <c r="G41" i="12"/>
  <c r="H41" i="12"/>
  <c r="I41" i="12"/>
  <c r="J41" i="12"/>
  <c r="K41" i="12"/>
  <c r="L41" i="12"/>
  <c r="M41" i="12"/>
  <c r="E43" i="12"/>
  <c r="F43" i="12"/>
  <c r="G43" i="12"/>
  <c r="H43" i="12"/>
  <c r="I43" i="12"/>
  <c r="J43" i="12"/>
  <c r="K43" i="12"/>
  <c r="L43" i="12"/>
  <c r="M43" i="12"/>
  <c r="F13" i="13"/>
  <c r="G13" i="13"/>
  <c r="H13" i="13"/>
  <c r="I13" i="13"/>
  <c r="J13" i="13"/>
  <c r="K13" i="13"/>
  <c r="L13" i="13"/>
  <c r="M13" i="13"/>
  <c r="E14" i="13"/>
  <c r="F14" i="13"/>
  <c r="G14" i="13"/>
  <c r="H14" i="13"/>
  <c r="I14" i="13"/>
  <c r="J14" i="13"/>
  <c r="K14" i="13"/>
  <c r="L14" i="13"/>
  <c r="M14" i="13"/>
  <c r="E20" i="13"/>
  <c r="F20" i="13"/>
  <c r="G20" i="13"/>
  <c r="H20" i="13"/>
  <c r="I20" i="13"/>
  <c r="J20" i="13"/>
  <c r="K20" i="13"/>
  <c r="L20" i="13"/>
  <c r="M20" i="13"/>
  <c r="F26" i="13"/>
  <c r="G26" i="13"/>
  <c r="H26" i="13"/>
  <c r="I26" i="13"/>
  <c r="J26" i="13"/>
  <c r="K26" i="13"/>
  <c r="L26" i="13"/>
  <c r="M26" i="13"/>
  <c r="F30" i="13"/>
  <c r="G30" i="13"/>
  <c r="H30" i="13"/>
  <c r="I30" i="13"/>
  <c r="J30" i="13"/>
  <c r="K30" i="13"/>
  <c r="L30" i="13"/>
  <c r="M30" i="13"/>
  <c r="F31" i="13"/>
  <c r="G31" i="13"/>
  <c r="H31" i="13"/>
  <c r="I31" i="13"/>
  <c r="J31" i="13"/>
  <c r="K31" i="13"/>
  <c r="L31" i="13"/>
  <c r="M31" i="13"/>
  <c r="E32" i="13"/>
  <c r="F32" i="13"/>
  <c r="G32" i="13"/>
  <c r="H32" i="13"/>
  <c r="I32" i="13"/>
  <c r="J32" i="13"/>
  <c r="K32" i="13"/>
  <c r="L32" i="13"/>
  <c r="M32" i="13"/>
  <c r="E33" i="13"/>
  <c r="F33" i="13"/>
  <c r="G33" i="13"/>
  <c r="H33" i="13"/>
  <c r="I33" i="13"/>
  <c r="J33" i="13"/>
  <c r="K33" i="13"/>
  <c r="L33" i="13"/>
  <c r="M33" i="13"/>
  <c r="F13" i="15"/>
  <c r="G13" i="15"/>
  <c r="H13" i="15"/>
  <c r="I13" i="15"/>
  <c r="J13" i="15"/>
  <c r="K13" i="15"/>
  <c r="L13" i="15"/>
  <c r="M13" i="15"/>
  <c r="F16" i="15"/>
  <c r="G16" i="15"/>
  <c r="H16" i="15"/>
  <c r="I16" i="15"/>
  <c r="J16" i="15"/>
  <c r="K16" i="15"/>
  <c r="L16" i="15"/>
  <c r="M16" i="15"/>
  <c r="F21" i="15"/>
  <c r="G21" i="15"/>
  <c r="H21" i="15"/>
  <c r="I21" i="15"/>
  <c r="J21" i="15"/>
  <c r="K21" i="15"/>
  <c r="L21" i="15"/>
  <c r="M21" i="15"/>
  <c r="F22" i="15"/>
  <c r="F23" i="15"/>
  <c r="G27" i="8"/>
  <c r="H27" i="8"/>
  <c r="I27" i="8"/>
  <c r="J27" i="8"/>
  <c r="K27" i="8"/>
  <c r="L27" i="8"/>
  <c r="M27" i="8"/>
  <c r="G28" i="8"/>
  <c r="H28" i="8"/>
  <c r="I28" i="8"/>
  <c r="J28" i="8"/>
  <c r="K28" i="8"/>
  <c r="L28" i="8"/>
  <c r="M28" i="8"/>
  <c r="F29" i="8"/>
  <c r="G29" i="8"/>
  <c r="H29" i="8"/>
  <c r="I29" i="8"/>
  <c r="J29" i="8"/>
  <c r="K29" i="8"/>
  <c r="L29" i="8"/>
  <c r="M29" i="8"/>
  <c r="F30" i="8"/>
  <c r="G30" i="8"/>
  <c r="H30" i="8"/>
  <c r="I30" i="8"/>
  <c r="J30" i="8"/>
  <c r="K30" i="8"/>
  <c r="L30" i="8"/>
  <c r="M30" i="8"/>
  <c r="F33" i="8"/>
  <c r="G33" i="8"/>
  <c r="H33" i="8"/>
  <c r="I33" i="8"/>
  <c r="J33" i="8"/>
  <c r="K33" i="8"/>
  <c r="L33" i="8"/>
  <c r="M33" i="8"/>
  <c r="F34" i="8"/>
  <c r="G34" i="8"/>
  <c r="H34" i="8"/>
  <c r="I34" i="8"/>
  <c r="J34" i="8"/>
  <c r="K34" i="8"/>
  <c r="L34" i="8"/>
  <c r="M34" i="8"/>
  <c r="F39" i="8"/>
  <c r="G39" i="8"/>
  <c r="H39" i="8"/>
  <c r="I39" i="8"/>
  <c r="J39" i="8"/>
  <c r="K39" i="8"/>
  <c r="L39" i="8"/>
  <c r="M39" i="8"/>
  <c r="F40" i="8"/>
  <c r="G40" i="8"/>
  <c r="H40" i="8"/>
  <c r="I40" i="8"/>
  <c r="J40" i="8"/>
  <c r="K40" i="8"/>
  <c r="L40" i="8"/>
  <c r="M40" i="8"/>
  <c r="F41" i="8"/>
  <c r="G41" i="8"/>
  <c r="H41" i="8"/>
  <c r="I41" i="8"/>
  <c r="J41" i="8"/>
  <c r="K41" i="8"/>
  <c r="L41" i="8"/>
  <c r="M41" i="8"/>
  <c r="F45" i="8"/>
  <c r="G45" i="8"/>
  <c r="H45" i="8"/>
  <c r="I45" i="8"/>
  <c r="J45" i="8"/>
  <c r="K45" i="8"/>
  <c r="L45" i="8"/>
  <c r="M45" i="8"/>
  <c r="F48" i="8"/>
  <c r="G48" i="8"/>
  <c r="H48" i="8"/>
  <c r="I48" i="8"/>
  <c r="J48" i="8"/>
  <c r="K48" i="8"/>
  <c r="L48" i="8"/>
  <c r="M48" i="8"/>
  <c r="F50" i="8"/>
  <c r="G50" i="8"/>
  <c r="H50" i="8"/>
  <c r="I50" i="8"/>
  <c r="J50" i="8"/>
  <c r="K50" i="8"/>
  <c r="L50" i="8"/>
  <c r="M50" i="8"/>
  <c r="F51" i="8"/>
  <c r="G51" i="8"/>
  <c r="H51" i="8"/>
  <c r="I51" i="8"/>
  <c r="J51" i="8"/>
  <c r="K51" i="8"/>
  <c r="L51" i="8"/>
  <c r="M51" i="8"/>
  <c r="F55" i="8"/>
  <c r="G55" i="8"/>
  <c r="H55" i="8"/>
  <c r="I55" i="8"/>
  <c r="J55" i="8"/>
  <c r="K55" i="8"/>
  <c r="L55" i="8"/>
  <c r="M55" i="8"/>
  <c r="F56" i="8"/>
  <c r="G56" i="8"/>
  <c r="H56" i="8"/>
  <c r="I56" i="8"/>
  <c r="J56" i="8"/>
  <c r="K56" i="8"/>
  <c r="L56" i="8"/>
  <c r="M56" i="8"/>
  <c r="F57" i="8"/>
  <c r="G57" i="8"/>
  <c r="H57" i="8"/>
  <c r="I57" i="8"/>
  <c r="J57" i="8"/>
  <c r="K57" i="8"/>
  <c r="L57" i="8"/>
  <c r="M57" i="8"/>
  <c r="F59" i="8"/>
  <c r="G59" i="8"/>
  <c r="H59" i="8"/>
  <c r="I59" i="8"/>
  <c r="J59" i="8"/>
  <c r="K59" i="8"/>
  <c r="L59" i="8"/>
  <c r="M59" i="8"/>
  <c r="F60" i="8"/>
  <c r="F61" i="8"/>
  <c r="G61" i="8"/>
  <c r="H61" i="8"/>
  <c r="I61" i="8"/>
  <c r="J61" i="8"/>
  <c r="K61" i="8"/>
  <c r="L61" i="8"/>
  <c r="M61" i="8"/>
  <c r="F62" i="8"/>
  <c r="F63" i="8"/>
  <c r="G63" i="8"/>
  <c r="H63" i="8"/>
  <c r="I63" i="8"/>
  <c r="J63" i="8"/>
  <c r="K63" i="8"/>
  <c r="L63" i="8"/>
  <c r="M63" i="8"/>
  <c r="F64" i="8"/>
  <c r="F13" i="16"/>
  <c r="G13" i="16"/>
  <c r="H13" i="16"/>
  <c r="I13" i="16"/>
  <c r="J13" i="16"/>
  <c r="K13" i="16"/>
  <c r="L13" i="16"/>
  <c r="M13" i="16"/>
  <c r="F14" i="16"/>
  <c r="G14" i="16"/>
  <c r="H14" i="16"/>
  <c r="I14" i="16"/>
  <c r="J14" i="16"/>
  <c r="K14" i="16"/>
  <c r="L14" i="16"/>
  <c r="M14" i="16"/>
  <c r="F16" i="16"/>
  <c r="G16" i="16"/>
  <c r="H16" i="16"/>
  <c r="I16" i="16"/>
  <c r="J16" i="16"/>
  <c r="K16" i="16"/>
  <c r="L16" i="16"/>
  <c r="M16" i="16"/>
  <c r="F17" i="16"/>
  <c r="G17" i="16"/>
  <c r="H17" i="16"/>
  <c r="I17" i="16"/>
  <c r="J17" i="16"/>
  <c r="K17" i="16"/>
  <c r="L17" i="16"/>
  <c r="M17" i="16"/>
  <c r="F19" i="16"/>
  <c r="G19" i="16"/>
  <c r="H19" i="16"/>
  <c r="I19" i="16"/>
  <c r="J19" i="16"/>
  <c r="K19" i="16"/>
  <c r="L19" i="16"/>
  <c r="M19" i="16"/>
  <c r="F29" i="16"/>
  <c r="G29" i="16"/>
  <c r="H29" i="16"/>
  <c r="I29" i="16"/>
  <c r="J29" i="16"/>
  <c r="K29" i="16"/>
  <c r="L29" i="16"/>
  <c r="M29" i="16"/>
  <c r="F32" i="16"/>
  <c r="G32" i="16"/>
  <c r="H32" i="16"/>
  <c r="I32" i="16"/>
  <c r="J32" i="16"/>
  <c r="K32" i="16"/>
  <c r="L32" i="16"/>
  <c r="M32" i="16"/>
  <c r="F33" i="16"/>
  <c r="G33" i="16"/>
  <c r="H33" i="16"/>
  <c r="I33" i="16"/>
  <c r="J33" i="16"/>
  <c r="K33" i="16"/>
  <c r="L33" i="16"/>
  <c r="M33" i="16"/>
  <c r="D35" i="16"/>
  <c r="D37" i="16"/>
  <c r="F42" i="16"/>
  <c r="G42" i="16"/>
  <c r="H42" i="16"/>
  <c r="I42" i="16"/>
  <c r="J42" i="16"/>
  <c r="K42" i="16"/>
  <c r="L42" i="16"/>
  <c r="M42" i="16"/>
  <c r="F43" i="16"/>
  <c r="G43" i="16"/>
  <c r="H43" i="16"/>
  <c r="I43" i="16"/>
  <c r="J43" i="16"/>
  <c r="K43" i="16"/>
  <c r="L43" i="16"/>
  <c r="M43" i="16"/>
  <c r="F44" i="16"/>
  <c r="F45" i="16"/>
  <c r="D50" i="16"/>
  <c r="E50" i="16"/>
  <c r="D51" i="16"/>
  <c r="E51" i="16"/>
  <c r="D52" i="16"/>
  <c r="E52" i="16"/>
  <c r="D53" i="16"/>
  <c r="E53" i="16"/>
  <c r="D54" i="16"/>
  <c r="E54" i="16"/>
  <c r="D55" i="16"/>
  <c r="E55" i="16"/>
  <c r="D56" i="16"/>
  <c r="E56" i="16"/>
  <c r="D57" i="16"/>
  <c r="E57" i="16"/>
  <c r="E58" i="16"/>
  <c r="E59" i="16"/>
  <c r="D60" i="16"/>
  <c r="D61" i="16"/>
  <c r="D62" i="16"/>
  <c r="F24" i="17"/>
  <c r="G24" i="17"/>
  <c r="H24" i="17"/>
  <c r="I24" i="17"/>
  <c r="J24" i="17"/>
  <c r="K24" i="17"/>
  <c r="L24" i="17"/>
  <c r="M24" i="17"/>
  <c r="F25" i="17"/>
  <c r="F26" i="17"/>
  <c r="G26" i="17"/>
  <c r="H26" i="17"/>
  <c r="I26" i="17"/>
  <c r="J26" i="17"/>
  <c r="K26" i="17"/>
  <c r="L26" i="17"/>
  <c r="M26" i="17"/>
  <c r="F27" i="17"/>
  <c r="F28" i="17"/>
  <c r="G28" i="17"/>
  <c r="H28" i="17"/>
  <c r="I28" i="17"/>
  <c r="J28" i="17"/>
  <c r="K28" i="17"/>
  <c r="L28" i="17"/>
  <c r="M28" i="17"/>
  <c r="F29" i="17"/>
  <c r="F32" i="17"/>
  <c r="G32" i="17"/>
  <c r="H32" i="17"/>
  <c r="I32" i="17"/>
  <c r="J32" i="17"/>
  <c r="K32" i="17"/>
  <c r="L32" i="17"/>
  <c r="M32" i="17"/>
  <c r="F33" i="17"/>
  <c r="F34" i="17"/>
  <c r="G34" i="17"/>
  <c r="H34" i="17"/>
  <c r="I34" i="17"/>
  <c r="J34" i="17"/>
  <c r="K34" i="17"/>
  <c r="L34" i="17"/>
  <c r="M34" i="17"/>
  <c r="F35" i="17"/>
  <c r="F36" i="17"/>
  <c r="G36" i="17"/>
  <c r="H36" i="17"/>
  <c r="I36" i="17"/>
  <c r="J36" i="17"/>
  <c r="K36" i="17"/>
  <c r="L36" i="17"/>
  <c r="M36" i="17"/>
  <c r="F37" i="17"/>
  <c r="F38" i="17"/>
  <c r="G38" i="17"/>
  <c r="H38" i="17"/>
  <c r="I38" i="17"/>
  <c r="J38" i="17"/>
  <c r="K38" i="17"/>
  <c r="L38" i="17"/>
  <c r="M38" i="17"/>
  <c r="F39" i="17"/>
  <c r="F40" i="17"/>
  <c r="G40" i="17"/>
  <c r="H40" i="17"/>
  <c r="I40" i="17"/>
  <c r="J40" i="17"/>
  <c r="K40" i="17"/>
  <c r="L40" i="17"/>
  <c r="M40" i="17"/>
  <c r="F41" i="17"/>
  <c r="F44" i="17"/>
  <c r="G44" i="17"/>
  <c r="H44" i="17"/>
  <c r="I44" i="17"/>
  <c r="J44" i="17"/>
  <c r="K44" i="17"/>
  <c r="L44" i="17"/>
  <c r="M44" i="17"/>
  <c r="F45" i="17"/>
  <c r="F46" i="17"/>
  <c r="G46" i="17"/>
  <c r="H46" i="17"/>
  <c r="I46" i="17"/>
  <c r="J46" i="17"/>
  <c r="K46" i="17"/>
  <c r="L46" i="17"/>
  <c r="M46" i="17"/>
  <c r="F47" i="17"/>
  <c r="F48" i="17"/>
  <c r="G48" i="17"/>
  <c r="H48" i="17"/>
  <c r="I48" i="17"/>
  <c r="J48" i="17"/>
  <c r="K48" i="17"/>
  <c r="L48" i="17"/>
  <c r="M48" i="17"/>
  <c r="F49" i="17"/>
  <c r="D19" i="4"/>
  <c r="D20" i="4"/>
  <c r="H20" i="4"/>
  <c r="D24" i="4"/>
  <c r="F24" i="4"/>
  <c r="H25" i="4"/>
  <c r="D26" i="4"/>
  <c r="E26" i="4"/>
  <c r="F44" i="11"/>
  <c r="G44" i="11"/>
  <c r="H44" i="11"/>
  <c r="I44" i="11"/>
  <c r="J44" i="11"/>
  <c r="K44" i="11"/>
  <c r="L44" i="11"/>
  <c r="M44" i="11"/>
  <c r="F46" i="11"/>
  <c r="G46" i="11"/>
  <c r="H46" i="11"/>
  <c r="I46" i="11"/>
  <c r="J46" i="11"/>
  <c r="K46" i="11"/>
  <c r="L46" i="11"/>
  <c r="M46" i="11"/>
  <c r="F48" i="11"/>
  <c r="G48" i="11"/>
  <c r="H48" i="11"/>
  <c r="I48" i="11"/>
  <c r="J48" i="11"/>
  <c r="K48" i="11"/>
  <c r="L48" i="11"/>
  <c r="M48" i="11"/>
  <c r="F66" i="11"/>
  <c r="G66" i="11"/>
  <c r="H66" i="11"/>
  <c r="I66" i="11"/>
  <c r="J66" i="11"/>
  <c r="K66" i="11"/>
  <c r="L66" i="11"/>
  <c r="M66" i="11"/>
  <c r="F68" i="11"/>
  <c r="G68" i="11"/>
  <c r="H68" i="11"/>
  <c r="I68" i="11"/>
  <c r="J68" i="11"/>
  <c r="K68" i="11"/>
  <c r="L68" i="11"/>
  <c r="M68" i="11"/>
  <c r="F70" i="11"/>
  <c r="G70" i="11"/>
  <c r="H70" i="11"/>
  <c r="I70" i="11"/>
  <c r="J70" i="11"/>
  <c r="K70" i="11"/>
  <c r="L70" i="11"/>
  <c r="M70" i="11"/>
  <c r="F71" i="11"/>
  <c r="G71" i="11"/>
  <c r="H71" i="11"/>
  <c r="I71" i="11"/>
  <c r="J71" i="11"/>
  <c r="K71" i="11"/>
  <c r="L71" i="11"/>
  <c r="M71" i="11"/>
  <c r="F76" i="11"/>
  <c r="G76" i="11"/>
  <c r="H76" i="11"/>
  <c r="I76" i="11"/>
  <c r="J76" i="11"/>
  <c r="K76" i="11"/>
  <c r="L76" i="11"/>
  <c r="M76" i="11"/>
</calcChain>
</file>

<file path=xl/comments1.xml><?xml version="1.0" encoding="utf-8"?>
<comments xmlns="http://schemas.openxmlformats.org/spreadsheetml/2006/main">
  <authors>
    <author>Author</author>
  </authors>
  <commentList>
    <comment ref="C3" authorId="0" shapeId="0">
      <text>
        <r>
          <rPr>
            <b/>
            <sz val="9"/>
            <color indexed="81"/>
            <rFont val="Tahoma"/>
            <family val="2"/>
          </rPr>
          <t>Author:</t>
        </r>
        <r>
          <rPr>
            <sz val="9"/>
            <color indexed="81"/>
            <rFont val="Tahoma"/>
            <family val="2"/>
          </rPr>
          <t xml:space="preserve">
As per land deed shared by the client</t>
        </r>
      </text>
    </comment>
    <comment ref="C4" authorId="0" shapeId="0">
      <text>
        <r>
          <rPr>
            <b/>
            <sz val="9"/>
            <color indexed="81"/>
            <rFont val="Tahoma"/>
            <charset val="1"/>
          </rPr>
          <t>Author:</t>
        </r>
        <r>
          <rPr>
            <sz val="9"/>
            <color indexed="81"/>
            <rFont val="Tahoma"/>
            <charset val="1"/>
          </rPr>
          <t xml:space="preserve">
Including bank gaurantee+Elactricity connection Infrastructure+ Transformer</t>
        </r>
      </text>
    </comment>
  </commentList>
</comments>
</file>

<file path=xl/comments2.xml><?xml version="1.0" encoding="utf-8"?>
<comments xmlns="http://schemas.openxmlformats.org/spreadsheetml/2006/main">
  <authors>
    <author>Author</author>
  </authors>
  <commentList>
    <comment ref="D16" authorId="0" shapeId="0">
      <text>
        <r>
          <rPr>
            <b/>
            <sz val="9"/>
            <color indexed="81"/>
            <rFont val="Tahoma"/>
            <charset val="1"/>
          </rPr>
          <t>Author:</t>
        </r>
        <r>
          <rPr>
            <sz val="9"/>
            <color indexed="81"/>
            <rFont val="Tahoma"/>
            <charset val="1"/>
          </rPr>
          <t xml:space="preserve">
including BANK GUARANTEE FOR IOCL </t>
        </r>
      </text>
    </comment>
    <comment ref="D19" authorId="0" shapeId="0">
      <text>
        <r>
          <rPr>
            <b/>
            <sz val="9"/>
            <color indexed="81"/>
            <rFont val="Tahoma"/>
            <family val="2"/>
          </rPr>
          <t>Author:</t>
        </r>
        <r>
          <rPr>
            <sz val="9"/>
            <color indexed="81"/>
            <rFont val="Tahoma"/>
            <family val="2"/>
          </rPr>
          <t xml:space="preserve">
As per the working capital assessment
</t>
        </r>
      </text>
    </comment>
  </commentList>
</comments>
</file>

<file path=xl/comments3.xml><?xml version="1.0" encoding="utf-8"?>
<comments xmlns="http://schemas.openxmlformats.org/spreadsheetml/2006/main">
  <authors>
    <author>Author</author>
  </authors>
  <commentList>
    <comment ref="B34" authorId="0" shapeId="0">
      <text>
        <r>
          <rPr>
            <b/>
            <sz val="9"/>
            <color indexed="81"/>
            <rFont val="Tahoma"/>
            <family val="2"/>
          </rPr>
          <t>Author:</t>
        </r>
        <r>
          <rPr>
            <sz val="9"/>
            <color indexed="81"/>
            <rFont val="Tahoma"/>
            <family val="2"/>
          </rPr>
          <t xml:space="preserve">
https://www.goodreturns.in/cng-price.html
CNG Price in meerut as on 19 july 2024 80.50</t>
        </r>
      </text>
    </comment>
    <comment ref="D34" authorId="0" shapeId="0">
      <text>
        <r>
          <rPr>
            <b/>
            <sz val="9"/>
            <color indexed="81"/>
            <rFont val="Tahoma"/>
            <family val="2"/>
          </rPr>
          <t>Author:</t>
        </r>
        <r>
          <rPr>
            <sz val="9"/>
            <color indexed="81"/>
            <rFont val="Tahoma"/>
            <family val="2"/>
          </rPr>
          <t xml:space="preserve">
As per the slab of pricing circular under satat</t>
        </r>
      </text>
    </comment>
    <comment ref="D35" authorId="0" shapeId="0">
      <text>
        <r>
          <rPr>
            <b/>
            <sz val="9"/>
            <color indexed="81"/>
            <rFont val="Tahoma"/>
            <family val="2"/>
          </rPr>
          <t>Author:</t>
        </r>
        <r>
          <rPr>
            <sz val="9"/>
            <color indexed="81"/>
            <rFont val="Tahoma"/>
            <family val="2"/>
          </rPr>
          <t xml:space="preserve">
https://economictimes.indiatimes.com/industry/indl-goods/svs/chem-/-fertilisers/fix-fair-remunerative-price-of-rs-5-5/kg-for-fermented-organic-manure-indian-biogas-association/articleshow/103100564.cms?from=mdr</t>
        </r>
      </text>
    </comment>
    <comment ref="D36"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39" authorId="0" shapeId="0">
      <text>
        <r>
          <rPr>
            <b/>
            <sz val="9"/>
            <color indexed="81"/>
            <rFont val="Tahoma"/>
            <family val="2"/>
          </rPr>
          <t>Author:</t>
        </r>
        <r>
          <rPr>
            <sz val="9"/>
            <color indexed="81"/>
            <rFont val="Tahoma"/>
            <family val="2"/>
          </rPr>
          <t xml:space="preserve">
biomass residue (stubble, paddy straw)</t>
        </r>
      </text>
    </comment>
    <comment ref="D42" authorId="0" shapeId="0">
      <text>
        <r>
          <rPr>
            <b/>
            <sz val="9"/>
            <color indexed="81"/>
            <rFont val="Tahoma"/>
            <family val="2"/>
          </rPr>
          <t>Author:</t>
        </r>
        <r>
          <rPr>
            <sz val="9"/>
            <color indexed="81"/>
            <rFont val="Tahoma"/>
            <family val="2"/>
          </rPr>
          <t xml:space="preserve">
https://mkp.gem.gov.in/cattle-dung-manure/cow-dung/p-5116877-29597686223-cat.html
</t>
        </r>
      </text>
    </comment>
    <comment ref="D43" authorId="0" shapeId="0">
      <text>
        <r>
          <rPr>
            <b/>
            <sz val="9"/>
            <color indexed="81"/>
            <rFont val="Tahoma"/>
            <family val="2"/>
          </rPr>
          <t>Author:</t>
        </r>
        <r>
          <rPr>
            <sz val="9"/>
            <color indexed="81"/>
            <rFont val="Tahoma"/>
            <family val="2"/>
          </rPr>
          <t xml:space="preserve">
https://www.downtoearth.org.in/news/renewable-energy/sugarcane-byproduct-pressmud-can-be-a-sweet-spot-for-india-s-compressed-biogas-sector-93022</t>
        </r>
      </text>
    </comment>
    <comment ref="D44" authorId="0" shapeId="0">
      <text>
        <r>
          <rPr>
            <b/>
            <sz val="9"/>
            <color indexed="81"/>
            <rFont val="Tahoma"/>
            <family val="2"/>
          </rPr>
          <t>Author:</t>
        </r>
        <r>
          <rPr>
            <sz val="9"/>
            <color indexed="81"/>
            <rFont val="Tahoma"/>
            <family val="2"/>
          </rPr>
          <t xml:space="preserve">
On conservative side</t>
        </r>
      </text>
    </comment>
    <comment ref="D45"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B47" authorId="0" shapeId="0">
      <text>
        <r>
          <rPr>
            <b/>
            <sz val="9"/>
            <color indexed="81"/>
            <rFont val="Tahoma"/>
            <family val="2"/>
          </rPr>
          <t>Author:</t>
        </r>
        <r>
          <rPr>
            <sz val="9"/>
            <color indexed="81"/>
            <rFont val="Tahoma"/>
            <family val="2"/>
          </rPr>
          <t xml:space="preserve">
It is a tentative calculation
Actual power load connection will be provide to bank by client
</t>
        </r>
      </text>
    </comment>
    <comment ref="D48" authorId="0" shapeId="0">
      <text>
        <r>
          <rPr>
            <b/>
            <sz val="9"/>
            <color indexed="81"/>
            <rFont val="Tahoma"/>
            <family val="2"/>
          </rPr>
          <t>Author:</t>
        </r>
        <r>
          <rPr>
            <sz val="9"/>
            <color indexed="81"/>
            <rFont val="Tahoma"/>
            <family val="2"/>
          </rPr>
          <t xml:space="preserve">
As per estimation provided by the client</t>
        </r>
      </text>
    </comment>
    <comment ref="D50" authorId="0" shapeId="0">
      <text>
        <r>
          <rPr>
            <b/>
            <sz val="9"/>
            <color indexed="81"/>
            <rFont val="Tahoma"/>
            <family val="2"/>
          </rPr>
          <t>Author:</t>
        </r>
        <r>
          <rPr>
            <sz val="9"/>
            <color indexed="81"/>
            <rFont val="Tahoma"/>
            <family val="2"/>
          </rPr>
          <t xml:space="preserve">
AS per tarrif of up govt.</t>
        </r>
      </text>
    </comment>
    <comment ref="D51"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B53" authorId="0" shapeId="0">
      <text>
        <r>
          <rPr>
            <b/>
            <sz val="9"/>
            <color indexed="81"/>
            <rFont val="Tahoma"/>
            <family val="2"/>
          </rPr>
          <t>Author:</t>
        </r>
        <r>
          <rPr>
            <sz val="9"/>
            <color indexed="81"/>
            <rFont val="Tahoma"/>
            <family val="2"/>
          </rPr>
          <t xml:space="preserve">
It is a tentative calculation
Actual power load connection will be provide to bank by client
</t>
        </r>
      </text>
    </comment>
    <comment ref="D61"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69" authorId="0" shapeId="0">
      <text>
        <r>
          <rPr>
            <b/>
            <sz val="9"/>
            <color indexed="81"/>
            <rFont val="Tahoma"/>
            <family val="2"/>
          </rPr>
          <t>Author:</t>
        </r>
        <r>
          <rPr>
            <sz val="9"/>
            <color indexed="81"/>
            <rFont val="Tahoma"/>
            <family val="2"/>
          </rPr>
          <t xml:space="preserve">
20 rs per bag of 50 kg</t>
        </r>
      </text>
    </comment>
    <comment ref="D70"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103" authorId="0" shapeId="0">
      <text>
        <r>
          <rPr>
            <b/>
            <sz val="9"/>
            <color indexed="81"/>
            <rFont val="Tahoma"/>
            <family val="2"/>
          </rPr>
          <t>Author:</t>
        </r>
        <r>
          <rPr>
            <sz val="9"/>
            <color indexed="81"/>
            <rFont val="Tahoma"/>
            <family val="2"/>
          </rPr>
          <t xml:space="preserve">
Sensitivity at 2% higher finance cost</t>
        </r>
      </text>
    </comment>
    <comment ref="D113" authorId="0" shapeId="0">
      <text>
        <r>
          <rPr>
            <b/>
            <sz val="9"/>
            <color indexed="81"/>
            <rFont val="Tahoma"/>
            <family val="2"/>
          </rPr>
          <t>Author:</t>
        </r>
        <r>
          <rPr>
            <sz val="9"/>
            <color indexed="81"/>
            <rFont val="Tahoma"/>
            <family val="2"/>
          </rPr>
          <t xml:space="preserve">
The new effective tax rate, which will apply to domestic companies availing the benefit of section 115BAA is 25.168%
https://cleartax.in/s/section-115-baa-tax-rate-domestic-companies</t>
        </r>
      </text>
    </comment>
  </commentList>
</comments>
</file>

<file path=xl/comments4.xml><?xml version="1.0" encoding="utf-8"?>
<comments xmlns="http://schemas.openxmlformats.org/spreadsheetml/2006/main">
  <authors>
    <author>Author</author>
  </authors>
  <commentList>
    <comment ref="F23" authorId="0" shapeId="0">
      <text>
        <r>
          <rPr>
            <b/>
            <sz val="9"/>
            <color indexed="81"/>
            <rFont val="Tahoma"/>
            <family val="2"/>
          </rPr>
          <t>Author:</t>
        </r>
        <r>
          <rPr>
            <sz val="9"/>
            <color indexed="81"/>
            <rFont val="Tahoma"/>
            <family val="2"/>
          </rPr>
          <t xml:space="preserve">
80% Capacity first year</t>
        </r>
      </text>
    </comment>
    <comment ref="F30" authorId="0" shapeId="0">
      <text>
        <r>
          <rPr>
            <b/>
            <sz val="9"/>
            <color indexed="81"/>
            <rFont val="Tahoma"/>
            <family val="2"/>
          </rPr>
          <t>Author:</t>
        </r>
        <r>
          <rPr>
            <sz val="9"/>
            <color indexed="81"/>
            <rFont val="Tahoma"/>
            <charset val="1"/>
          </rPr>
          <t xml:space="preserve">
80% Capacity in first year</t>
        </r>
      </text>
    </comment>
    <comment ref="F40" authorId="0" shapeId="0">
      <text>
        <r>
          <rPr>
            <b/>
            <sz val="9"/>
            <color indexed="81"/>
            <rFont val="Tahoma"/>
            <family val="2"/>
          </rPr>
          <t>Author:</t>
        </r>
        <r>
          <rPr>
            <sz val="9"/>
            <color indexed="81"/>
            <rFont val="Tahoma"/>
            <family val="2"/>
          </rPr>
          <t xml:space="preserve">
80% capacity</t>
        </r>
      </text>
    </comment>
    <comment ref="F46" authorId="0" shapeId="0">
      <text>
        <r>
          <rPr>
            <b/>
            <sz val="9"/>
            <color indexed="81"/>
            <rFont val="Tahoma"/>
            <family val="2"/>
          </rPr>
          <t>Author:</t>
        </r>
        <r>
          <rPr>
            <sz val="9"/>
            <color indexed="81"/>
            <rFont val="Tahoma"/>
            <family val="2"/>
          </rPr>
          <t xml:space="preserve">
80% capacity</t>
        </r>
      </text>
    </comment>
    <comment ref="F52" authorId="0" shapeId="0">
      <text>
        <r>
          <rPr>
            <b/>
            <sz val="9"/>
            <color indexed="81"/>
            <rFont val="Tahoma"/>
            <family val="2"/>
          </rPr>
          <t>Author:</t>
        </r>
        <r>
          <rPr>
            <sz val="9"/>
            <color indexed="81"/>
            <rFont val="Tahoma"/>
            <family val="2"/>
          </rPr>
          <t xml:space="preserve">
80% capacity</t>
        </r>
      </text>
    </comment>
    <comment ref="F61" authorId="0" shapeId="0">
      <text>
        <r>
          <rPr>
            <b/>
            <sz val="9"/>
            <color indexed="81"/>
            <rFont val="Tahoma"/>
            <family val="2"/>
          </rPr>
          <t>Author:</t>
        </r>
        <r>
          <rPr>
            <sz val="9"/>
            <color indexed="81"/>
            <rFont val="Tahoma"/>
            <family val="2"/>
          </rPr>
          <t xml:space="preserve">
80% capacity</t>
        </r>
      </text>
    </comment>
    <comment ref="F67" authorId="0" shapeId="0">
      <text>
        <r>
          <rPr>
            <b/>
            <sz val="9"/>
            <color indexed="81"/>
            <rFont val="Tahoma"/>
            <family val="2"/>
          </rPr>
          <t>Author:</t>
        </r>
        <r>
          <rPr>
            <sz val="9"/>
            <color indexed="81"/>
            <rFont val="Tahoma"/>
            <family val="2"/>
          </rPr>
          <t xml:space="preserve">
80% capacity</t>
        </r>
      </text>
    </comment>
  </commentList>
</comments>
</file>

<file path=xl/comments5.xml><?xml version="1.0" encoding="utf-8"?>
<comments xmlns="http://schemas.openxmlformats.org/spreadsheetml/2006/main">
  <authors>
    <author>Author</author>
  </authors>
  <commentList>
    <comment ref="G15" authorId="0" shapeId="0">
      <text>
        <r>
          <rPr>
            <b/>
            <sz val="9"/>
            <color indexed="81"/>
            <rFont val="Tahoma"/>
            <family val="2"/>
          </rPr>
          <t>Author:</t>
        </r>
        <r>
          <rPr>
            <sz val="9"/>
            <color indexed="81"/>
            <rFont val="Tahoma"/>
            <family val="2"/>
          </rPr>
          <t xml:space="preserve">
https://taxadda.com/depreciation-rates-as-per-companies-act-2013/</t>
        </r>
      </text>
    </comment>
  </commentList>
</comments>
</file>

<file path=xl/comments6.xml><?xml version="1.0" encoding="utf-8"?>
<comments xmlns="http://schemas.openxmlformats.org/spreadsheetml/2006/main">
  <authors>
    <author>Author</author>
  </authors>
  <commentList>
    <comment ref="D22" authorId="0" shapeId="0">
      <text>
        <r>
          <rPr>
            <b/>
            <i/>
            <sz val="9"/>
            <color indexed="81"/>
            <rFont val="Tahoma"/>
            <family val="2"/>
          </rPr>
          <t>Author:</t>
        </r>
        <r>
          <rPr>
            <i/>
            <sz val="9"/>
            <color indexed="81"/>
            <rFont val="Tahoma"/>
            <family val="2"/>
          </rPr>
          <t xml:space="preserve">
https://kunaldesai.blog/nifty-50-cagr-last-20-years/
Nifty fifty 20-year CAGR is cosidered as Required rate of return from the project</t>
        </r>
      </text>
    </comment>
  </commentList>
</comments>
</file>

<file path=xl/sharedStrings.xml><?xml version="1.0" encoding="utf-8"?>
<sst xmlns="http://schemas.openxmlformats.org/spreadsheetml/2006/main" count="1327" uniqueCount="892">
  <si>
    <t>(Common Assumption)</t>
  </si>
  <si>
    <t>General Assumptions</t>
  </si>
  <si>
    <t>Particular</t>
  </si>
  <si>
    <t>Input</t>
  </si>
  <si>
    <t>Date of Assessment</t>
  </si>
  <si>
    <t>Assessment_Date</t>
  </si>
  <si>
    <t>Start of Construction</t>
  </si>
  <si>
    <t>start_date</t>
  </si>
  <si>
    <t>Construction Period</t>
  </si>
  <si>
    <t>construction_period</t>
  </si>
  <si>
    <t>Completion Date</t>
  </si>
  <si>
    <t>Completion_date</t>
  </si>
  <si>
    <t>SCOD</t>
  </si>
  <si>
    <t>commerical</t>
  </si>
  <si>
    <t>Total Analysis Period</t>
  </si>
  <si>
    <t>Projection</t>
  </si>
  <si>
    <t>Model End Date</t>
  </si>
  <si>
    <t>end_date</t>
  </si>
  <si>
    <t>Operating  Assumptions</t>
  </si>
  <si>
    <t>Value</t>
  </si>
  <si>
    <t>Unit</t>
  </si>
  <si>
    <t>No. of daily Operation Hours</t>
  </si>
  <si>
    <t>hours</t>
  </si>
  <si>
    <t>No. of days per Annum</t>
  </si>
  <si>
    <t xml:space="preserve">No. of Working days Per Annum </t>
  </si>
  <si>
    <t>Key Products</t>
  </si>
  <si>
    <t>By Products</t>
  </si>
  <si>
    <t>Selling Price</t>
  </si>
  <si>
    <t>Escalation on Selling Price</t>
  </si>
  <si>
    <t>Escalation on RM Cost</t>
  </si>
  <si>
    <t>Process cost, material and consumables</t>
  </si>
  <si>
    <t>Salary &amp; Wages</t>
  </si>
  <si>
    <t>Packaging Cost for DDGS</t>
  </si>
  <si>
    <t>Marketing, Selling and distribution Expenses</t>
  </si>
  <si>
    <t>Maintenance on Plant (% of Gross Block)</t>
  </si>
  <si>
    <t>Plant and Administrative Overhead Expenses</t>
  </si>
  <si>
    <t>Insurance Expenses</t>
  </si>
  <si>
    <t>Other Manufacturing Expenses</t>
  </si>
  <si>
    <t>Escalation on Salaries &amp; Wages</t>
  </si>
  <si>
    <t>WC Holding Periods Distillery</t>
  </si>
  <si>
    <t>Raw Materials</t>
  </si>
  <si>
    <t>WIP</t>
  </si>
  <si>
    <t>Finished Goods</t>
  </si>
  <si>
    <t>Loan Schedule</t>
  </si>
  <si>
    <t xml:space="preserve">Interest on WC </t>
  </si>
  <si>
    <t xml:space="preserve">Interest on TL </t>
  </si>
  <si>
    <t>Door to Door Tenure</t>
  </si>
  <si>
    <t>Moratorium before after SCOD</t>
  </si>
  <si>
    <t>Moratorium period after SCOD</t>
  </si>
  <si>
    <t>(Revenue &amp; Expense Modelling)</t>
  </si>
  <si>
    <t>Operational Years</t>
  </si>
  <si>
    <t>Year Ending (INR Crore)</t>
  </si>
  <si>
    <t>FY</t>
  </si>
  <si>
    <t>Year Counter</t>
  </si>
  <si>
    <t>Months Counter</t>
  </si>
  <si>
    <t>Technical Calculations for design of Digestros of 6 TPD CBG Plant</t>
  </si>
  <si>
    <t>Nos</t>
  </si>
  <si>
    <t>CuM</t>
  </si>
  <si>
    <t>Leakages</t>
  </si>
  <si>
    <t>Revenue Modelling</t>
  </si>
  <si>
    <t>No. of working days (projected)</t>
  </si>
  <si>
    <t>Escalation in Selling price</t>
  </si>
  <si>
    <t>KGPD</t>
  </si>
  <si>
    <t>Installed Capacity(KLD)</t>
  </si>
  <si>
    <t>Running Capacity</t>
  </si>
  <si>
    <t>%</t>
  </si>
  <si>
    <t>Intalled Capacity (KGPD)</t>
  </si>
  <si>
    <t>Running Capacity (KGPD)</t>
  </si>
  <si>
    <t>Total Production Per day</t>
  </si>
  <si>
    <t>Yearly Production Of CBG (KG)</t>
  </si>
  <si>
    <t>INR/KG</t>
  </si>
  <si>
    <t>Selling Price of CBG (INR/KG)</t>
  </si>
  <si>
    <t>Revenue from By-products</t>
  </si>
  <si>
    <t>Fermented organic solid manure/fertilizer</t>
  </si>
  <si>
    <t>Fermented organic solid manure/fertilizer (KGPD)</t>
  </si>
  <si>
    <t>Selling Price of Fermented organic solid manure/fertilizer (INR/KG)</t>
  </si>
  <si>
    <t>Revenue from Fermented organic solid manure</t>
  </si>
  <si>
    <t>Expense Modelling</t>
  </si>
  <si>
    <t>Raw Material Cost</t>
  </si>
  <si>
    <t>Escalation in Cost of grain</t>
  </si>
  <si>
    <t>kg/day</t>
  </si>
  <si>
    <t>Sugarcane press mud</t>
  </si>
  <si>
    <t>Raw Material Requirement</t>
  </si>
  <si>
    <t>Yearly Consumption (KG)</t>
  </si>
  <si>
    <t>Cost (INR/KG)</t>
  </si>
  <si>
    <t>Sugarcane press mud requirement KGPD</t>
  </si>
  <si>
    <t>Total Raw Material Cost</t>
  </si>
  <si>
    <t>Total Project Cost</t>
  </si>
  <si>
    <t>Amount INR Crore</t>
  </si>
  <si>
    <t>Sub Total</t>
  </si>
  <si>
    <t>Means of Finance</t>
  </si>
  <si>
    <t>Building &amp; Civil Works</t>
  </si>
  <si>
    <t>Plant &amp; Machinery</t>
  </si>
  <si>
    <t>Electricity Connection &amp; Infrastructure</t>
  </si>
  <si>
    <t>Office equipment</t>
  </si>
  <si>
    <t>Interest During Construction (IDC)</t>
  </si>
  <si>
    <t>Grand Total (TPC)</t>
  </si>
  <si>
    <t>Working Capital Margin @ 25% of WC Gap</t>
  </si>
  <si>
    <t>Net Revenue</t>
  </si>
  <si>
    <t>Working Capital</t>
  </si>
  <si>
    <t>Land</t>
  </si>
  <si>
    <t>IDC</t>
  </si>
  <si>
    <t>Interest During Construction</t>
  </si>
  <si>
    <t>Total</t>
  </si>
  <si>
    <t>Loan from Banks</t>
  </si>
  <si>
    <t>CC Loan</t>
  </si>
  <si>
    <t>Total Loan Amount</t>
  </si>
  <si>
    <r>
      <t>Parasitic Consumption of Power (Tentative)</t>
    </r>
    <r>
      <rPr>
        <b/>
        <sz val="11"/>
        <color rgb="FFC00000"/>
        <rFont val="Calibri"/>
        <family val="2"/>
      </rPr>
      <t>*</t>
    </r>
  </si>
  <si>
    <t>INR/KWh</t>
  </si>
  <si>
    <t>Electricity tarrif</t>
  </si>
  <si>
    <t>Power &amp; Utilities</t>
  </si>
  <si>
    <t>Escalation in Cost</t>
  </si>
  <si>
    <t>Annual Consumption of Power (Kwh)</t>
  </si>
  <si>
    <t>Tarrif (INR/Kwh)</t>
  </si>
  <si>
    <t>Electricity expenses</t>
  </si>
  <si>
    <t>Salary &amp; Wages Per Annum</t>
  </si>
  <si>
    <t xml:space="preserve">Salary &amp; Wages </t>
  </si>
  <si>
    <t>SCHEDULE OF SALARIES AND WAGES</t>
  </si>
  <si>
    <t>I. FACTORY WAGES &amp; SUPERVISION</t>
  </si>
  <si>
    <t xml:space="preserve">a) Workers Wages </t>
  </si>
  <si>
    <t>COST (INR)</t>
  </si>
  <si>
    <t xml:space="preserve">Category </t>
  </si>
  <si>
    <t xml:space="preserve">Number </t>
  </si>
  <si>
    <t xml:space="preserve">Average Monthly Salary </t>
  </si>
  <si>
    <t>No. of months/ year</t>
  </si>
  <si>
    <t xml:space="preserve">Total Annual Salary </t>
  </si>
  <si>
    <t xml:space="preserve">Skilled Workers </t>
  </si>
  <si>
    <t xml:space="preserve">Semi-Skilled Workers </t>
  </si>
  <si>
    <t>Un-Skilled Worker</t>
  </si>
  <si>
    <t xml:space="preserve">Sub Total </t>
  </si>
  <si>
    <t xml:space="preserve">b) Factory Supervision </t>
  </si>
  <si>
    <t>Store In-Charge</t>
  </si>
  <si>
    <t>Store Assistant</t>
  </si>
  <si>
    <t xml:space="preserve">Total Wages &amp; Salaries </t>
  </si>
  <si>
    <t>II. OFFICE STAFF</t>
  </si>
  <si>
    <t xml:space="preserve">General Manager </t>
  </si>
  <si>
    <t>Accounts Manager</t>
  </si>
  <si>
    <t xml:space="preserve">Accounts Assistant </t>
  </si>
  <si>
    <t>Office Assistant -Marketing</t>
  </si>
  <si>
    <t>Office boy</t>
  </si>
  <si>
    <t>Total for Office Staff</t>
  </si>
  <si>
    <t>Total Salary expenses</t>
  </si>
  <si>
    <t>Escalation on Power Cost</t>
  </si>
  <si>
    <t>Power Consumption per day</t>
  </si>
  <si>
    <t>INR/annum</t>
  </si>
  <si>
    <t>Days</t>
  </si>
  <si>
    <t>Yearly</t>
  </si>
  <si>
    <t>Packaging Cost for Fermented organic solid manure</t>
  </si>
  <si>
    <t>Yearly Fermented organic solid manure/fertilizer (KG)</t>
  </si>
  <si>
    <t>Yearly Fermented organic solid manure (kg)</t>
  </si>
  <si>
    <t>Cost @ 0.5/kg of manure</t>
  </si>
  <si>
    <t>Packaging cost per kg</t>
  </si>
  <si>
    <t>INR/kg</t>
  </si>
  <si>
    <t>Escalation on Packaging Cost</t>
  </si>
  <si>
    <t>Transportation Cost</t>
  </si>
  <si>
    <t>Total revenue</t>
  </si>
  <si>
    <t xml:space="preserve">Transportation cost </t>
  </si>
  <si>
    <t>of Revenue</t>
  </si>
  <si>
    <t>Marketing, Selling and distribution Expenses @ 0.50% of revenue</t>
  </si>
  <si>
    <t>Marketing, Selling and distribution Expense</t>
  </si>
  <si>
    <t>% of Gross Block</t>
  </si>
  <si>
    <t>Total Maintenance expense</t>
  </si>
  <si>
    <t>Escalation rate</t>
  </si>
  <si>
    <t xml:space="preserve">Overhead expenses </t>
  </si>
  <si>
    <t>Insurance Expenses @ 0.25% of net block</t>
  </si>
  <si>
    <t>Insurance expenses</t>
  </si>
  <si>
    <t>of Net Block</t>
  </si>
  <si>
    <t>Other Manufacturing Expenses @ 1.25% of revemue</t>
  </si>
  <si>
    <t>Other manufacturing Expenses</t>
  </si>
  <si>
    <t>Other Manufacturing expenses</t>
  </si>
  <si>
    <t>Overhead expenses @ 1.5% of revenue</t>
  </si>
  <si>
    <t>(Profit &amp; Loss Account)</t>
  </si>
  <si>
    <t>Revenue</t>
  </si>
  <si>
    <t>Cost of Sales</t>
  </si>
  <si>
    <t>Raw Material</t>
  </si>
  <si>
    <t>Repair &amp; Maintenance</t>
  </si>
  <si>
    <t>Depreciation</t>
  </si>
  <si>
    <t>Cost of production</t>
  </si>
  <si>
    <t>Sugarcane press mud Cost</t>
  </si>
  <si>
    <t>Add: Opening Stock in Process</t>
  </si>
  <si>
    <t>Sub-Total</t>
  </si>
  <si>
    <t>Less: Closing Stock in Process</t>
  </si>
  <si>
    <t>Add: Opening Stocks of Finished Goods</t>
  </si>
  <si>
    <t>Less: Closing stocks of Finished Goods</t>
  </si>
  <si>
    <t>Total Cost of Sales</t>
  </si>
  <si>
    <t>Selling, General &amp; administration Expenses</t>
  </si>
  <si>
    <t>Preliminary Expenses written off</t>
  </si>
  <si>
    <t>EBIT</t>
  </si>
  <si>
    <t>Interest expenses</t>
  </si>
  <si>
    <t>Interest on term loan</t>
  </si>
  <si>
    <t>Interest on working capital</t>
  </si>
  <si>
    <t>Total Interest Expenses</t>
  </si>
  <si>
    <t>Profit before Taxes (PBT)</t>
  </si>
  <si>
    <t>Profit after Taxes (PAT)</t>
  </si>
  <si>
    <t>(Loan Schedule)</t>
  </si>
  <si>
    <t>Opening Bal</t>
  </si>
  <si>
    <t>Disbursement</t>
  </si>
  <si>
    <t>Repayment</t>
  </si>
  <si>
    <t>Closing Principal o/s</t>
  </si>
  <si>
    <t>Interest</t>
  </si>
  <si>
    <t>TL Interest</t>
  </si>
  <si>
    <t>Loan Amount</t>
  </si>
  <si>
    <t>INR Crore</t>
  </si>
  <si>
    <t>Rep Year</t>
  </si>
  <si>
    <t>Interest Rate</t>
  </si>
  <si>
    <t>Qrtrly Pay</t>
  </si>
  <si>
    <t>Bulleted</t>
  </si>
  <si>
    <t>Op. Bal</t>
  </si>
  <si>
    <t>Repay</t>
  </si>
  <si>
    <t>Cl. Bal</t>
  </si>
  <si>
    <t>Assumption</t>
  </si>
  <si>
    <t xml:space="preserve">Disbursement % </t>
  </si>
  <si>
    <t xml:space="preserve">Repayment % </t>
  </si>
  <si>
    <t>XXXXXX</t>
  </si>
  <si>
    <t>2024-25</t>
  </si>
  <si>
    <t>Apr</t>
  </si>
  <si>
    <t>May</t>
  </si>
  <si>
    <t>June</t>
  </si>
  <si>
    <t>July</t>
  </si>
  <si>
    <t>Aug</t>
  </si>
  <si>
    <t>Construction Starts</t>
  </si>
  <si>
    <t>Sept</t>
  </si>
  <si>
    <t>Oct</t>
  </si>
  <si>
    <t>Nov</t>
  </si>
  <si>
    <t>Dec</t>
  </si>
  <si>
    <t>Jan</t>
  </si>
  <si>
    <t>Feb</t>
  </si>
  <si>
    <t>Mar</t>
  </si>
  <si>
    <t>2025-26</t>
  </si>
  <si>
    <t>C.O.D</t>
  </si>
  <si>
    <t>2026-27</t>
  </si>
  <si>
    <t>Moratorium Ends</t>
  </si>
  <si>
    <t>2027-28</t>
  </si>
  <si>
    <t>2028-29</t>
  </si>
  <si>
    <t>2029-30</t>
  </si>
  <si>
    <t>2030-31</t>
  </si>
  <si>
    <t>2031-32</t>
  </si>
  <si>
    <t>2032-33</t>
  </si>
  <si>
    <t>Repayment Starts</t>
  </si>
  <si>
    <t>(Depreciation Schedule)</t>
  </si>
  <si>
    <t>No. of days per annum</t>
  </si>
  <si>
    <t>Particulars (INR Crore)</t>
  </si>
  <si>
    <t xml:space="preserve">Amt </t>
  </si>
  <si>
    <t>Total CoP</t>
  </si>
  <si>
    <t>SLM Rate</t>
  </si>
  <si>
    <t>SLM Depreciation - Land</t>
  </si>
  <si>
    <t xml:space="preserve">Total SLM Depreciation </t>
  </si>
  <si>
    <t>Life
Years</t>
  </si>
  <si>
    <t>(Working Capital Assessment)</t>
  </si>
  <si>
    <t>No. of operating days per annum</t>
  </si>
  <si>
    <t>No. of  days per annum</t>
  </si>
  <si>
    <t>WC Holding Periods Assumption</t>
  </si>
  <si>
    <t xml:space="preserve">Sales </t>
  </si>
  <si>
    <t xml:space="preserve">Overheads </t>
  </si>
  <si>
    <t>Inventory</t>
  </si>
  <si>
    <t>Power</t>
  </si>
  <si>
    <t>Overheads</t>
  </si>
  <si>
    <t>Percentage</t>
  </si>
  <si>
    <t>Years</t>
  </si>
  <si>
    <t>months</t>
  </si>
  <si>
    <t>Trade Paybles</t>
  </si>
  <si>
    <t>(days)</t>
  </si>
  <si>
    <t>Trade Payable</t>
  </si>
  <si>
    <t>Trade Recievable</t>
  </si>
  <si>
    <t>Total Trade Payables</t>
  </si>
  <si>
    <t>Trade Recievables</t>
  </si>
  <si>
    <t>Raw Material + Consumables</t>
  </si>
  <si>
    <t>Finished Good</t>
  </si>
  <si>
    <t>Finsished Goods</t>
  </si>
  <si>
    <t>Total Expenses</t>
  </si>
  <si>
    <t>Total Trade Recievables</t>
  </si>
  <si>
    <t>Current Assets</t>
  </si>
  <si>
    <t>Current Liabilities</t>
  </si>
  <si>
    <t>Working Capital Margin @25%</t>
  </si>
  <si>
    <t>Working Capital gap</t>
  </si>
  <si>
    <t>Intrest on CC loan</t>
  </si>
  <si>
    <t>Taxation</t>
  </si>
  <si>
    <t>Cess</t>
  </si>
  <si>
    <t>Total Repair and Maintenance expensed</t>
  </si>
  <si>
    <t>CC Limit</t>
  </si>
  <si>
    <t>Cash Accrual</t>
  </si>
  <si>
    <t>PAT</t>
  </si>
  <si>
    <t>Add: Dep &amp; Am</t>
  </si>
  <si>
    <t xml:space="preserve">Repayment Obligations </t>
  </si>
  <si>
    <t>Net cash accrual</t>
  </si>
  <si>
    <t xml:space="preserve">Cumulative Internal Accruals  </t>
  </si>
  <si>
    <t>Margins of the Company</t>
  </si>
  <si>
    <t>EBITDA</t>
  </si>
  <si>
    <t>EBITDA Margin %</t>
  </si>
  <si>
    <t>EBIT Margin %</t>
  </si>
  <si>
    <t>PAT Margin %</t>
  </si>
  <si>
    <t>Revenue growth rate Y-o-Y (%)</t>
  </si>
  <si>
    <t>(Proforma Balance Sheet)</t>
  </si>
  <si>
    <t>(Cash Flow Statement)</t>
  </si>
  <si>
    <t>Preliminary &amp; Preoperative</t>
  </si>
  <si>
    <t xml:space="preserve">LIABILITIES </t>
  </si>
  <si>
    <t>Reserve &amp; Surplus</t>
  </si>
  <si>
    <t>Secured Loan</t>
  </si>
  <si>
    <t xml:space="preserve">Term liabilities payable within one year </t>
  </si>
  <si>
    <t>Other Current Liabilities</t>
  </si>
  <si>
    <t xml:space="preserve">TOTAL </t>
  </si>
  <si>
    <t>Total Gross Block</t>
  </si>
  <si>
    <t>CURRENT ASSETS</t>
  </si>
  <si>
    <t>Trade Receivables</t>
  </si>
  <si>
    <t>Inventories</t>
  </si>
  <si>
    <t>Other Current Assets</t>
  </si>
  <si>
    <t>Other Non Current Assets</t>
  </si>
  <si>
    <t>Net Block</t>
  </si>
  <si>
    <t>Cash &amp; Cash Equivalent</t>
  </si>
  <si>
    <t xml:space="preserve">A. SOURCE OF FUND </t>
  </si>
  <si>
    <t xml:space="preserve">Net Profit </t>
  </si>
  <si>
    <t>Increase in Equity / Share Capital/USL</t>
  </si>
  <si>
    <t>Increase in TL</t>
  </si>
  <si>
    <t>Increase in CC Limit</t>
  </si>
  <si>
    <t xml:space="preserve">Depreciation </t>
  </si>
  <si>
    <t>Prelm Exps w/off</t>
  </si>
  <si>
    <t>Trade paybles</t>
  </si>
  <si>
    <t xml:space="preserve">B. APPLICATION OF FUNDS </t>
  </si>
  <si>
    <t xml:space="preserve">Capital Expenses </t>
  </si>
  <si>
    <t xml:space="preserve">Decrease in Term Loan </t>
  </si>
  <si>
    <t>Trade Receivable</t>
  </si>
  <si>
    <t xml:space="preserve">Inventory </t>
  </si>
  <si>
    <t>Opening Balance</t>
  </si>
  <si>
    <t>Net Surplus/ Deficit</t>
  </si>
  <si>
    <t xml:space="preserve">Cumulative Balance </t>
  </si>
  <si>
    <t>Total Current Assets</t>
  </si>
  <si>
    <t>Assets</t>
  </si>
  <si>
    <t>Total Non-Current Assets</t>
  </si>
  <si>
    <t>Difference</t>
  </si>
  <si>
    <t>Prelm Expenses</t>
  </si>
  <si>
    <t>PRELIMINARY EXPENSES W/off</t>
  </si>
  <si>
    <t>(DSCR)</t>
  </si>
  <si>
    <t>Cash accrual</t>
  </si>
  <si>
    <t>Interest on WC</t>
  </si>
  <si>
    <t>Subtotal</t>
  </si>
  <si>
    <t>Loan Repayent</t>
  </si>
  <si>
    <t>DSCR</t>
  </si>
  <si>
    <t>Average DSCR</t>
  </si>
  <si>
    <t>Maximum DSCR</t>
  </si>
  <si>
    <t>Less: Taxes</t>
  </si>
  <si>
    <t>Add: Depreciation &amp; Amortisation</t>
  </si>
  <si>
    <t>NOPAT</t>
  </si>
  <si>
    <t>Increase/(Decrease) in working capital</t>
  </si>
  <si>
    <t>Capex</t>
  </si>
  <si>
    <t>Free Cash Flow to Firm (FCFF)</t>
  </si>
  <si>
    <t>WCC</t>
  </si>
  <si>
    <t>Required rate of return</t>
  </si>
  <si>
    <t>Project Risk premium</t>
  </si>
  <si>
    <t>Discount rate</t>
  </si>
  <si>
    <t>Expected growth rate(Terminal)</t>
  </si>
  <si>
    <t>Discount Period</t>
  </si>
  <si>
    <t>Discount Factor</t>
  </si>
  <si>
    <t>PV of FCFF</t>
  </si>
  <si>
    <t>Terminal Value of the project</t>
  </si>
  <si>
    <t>PV of Terminal Value</t>
  </si>
  <si>
    <t>PV of FCF+ PV of Terminal Value</t>
  </si>
  <si>
    <t>NPV</t>
  </si>
  <si>
    <t>IRR</t>
  </si>
  <si>
    <t>Payback Perid</t>
  </si>
  <si>
    <t>No. Of Years</t>
  </si>
  <si>
    <t>Accumulated Cash Accrual</t>
  </si>
  <si>
    <t>TPC</t>
  </si>
  <si>
    <t>Payback Period</t>
  </si>
  <si>
    <t>(Ratio and Break Even Analysis)</t>
  </si>
  <si>
    <t>Sales</t>
  </si>
  <si>
    <t>Variable Expenses</t>
  </si>
  <si>
    <t>Contribution</t>
  </si>
  <si>
    <t>Fixed Expenses</t>
  </si>
  <si>
    <t>Profit / PBT</t>
  </si>
  <si>
    <t>PV RATIO (Contr / Sales)</t>
  </si>
  <si>
    <t>BEP  Sales (Fix Exps / Contr * Sales)</t>
  </si>
  <si>
    <t>BEP% (BEP Sales / sales)</t>
  </si>
  <si>
    <t>Ratio Analysis:</t>
  </si>
  <si>
    <t>Average</t>
  </si>
  <si>
    <t>Return on Capital employed (%)</t>
  </si>
  <si>
    <t>Return on Investment (%)</t>
  </si>
  <si>
    <t>Return on Net Worth</t>
  </si>
  <si>
    <t>ISCR</t>
  </si>
  <si>
    <t>Fixed Asset Coverage Ratio</t>
  </si>
  <si>
    <t>Current Ratio</t>
  </si>
  <si>
    <t>TOL/TNW</t>
  </si>
  <si>
    <t>Debt to Equity Ratio</t>
  </si>
  <si>
    <t>Revenue from Bio CBG</t>
  </si>
  <si>
    <t>Cost @ 3% of Revenue</t>
  </si>
  <si>
    <t>Financial Year</t>
  </si>
  <si>
    <t>FCFF+TV</t>
  </si>
  <si>
    <t>Proposed 6000 KGPD CBG plant set up M/s. SRSBIOX RENEWABLE LLP.</t>
  </si>
  <si>
    <t>Civil &amp; M.S. Work</t>
  </si>
  <si>
    <t>Promoters’ Contribution Margin (30% on Project Cost)</t>
  </si>
  <si>
    <t>Total Output of BIO CNG</t>
  </si>
  <si>
    <t>Size in CuM (Capacity)</t>
  </si>
  <si>
    <t>Partricular</t>
  </si>
  <si>
    <t xml:space="preserve">Proposed Digester </t>
  </si>
  <si>
    <t>After Purification Content of CH4</t>
  </si>
  <si>
    <t>Density of CH4</t>
  </si>
  <si>
    <t>/KG per CU.M</t>
  </si>
  <si>
    <t>CBG</t>
  </si>
  <si>
    <t>Leakage ~3.12%</t>
  </si>
  <si>
    <t>Net Production of Bio CBG KGPD</t>
  </si>
  <si>
    <t>Cattle Dung</t>
  </si>
  <si>
    <t>Cattle Dung Cost</t>
  </si>
  <si>
    <t xml:space="preserve">Total Load </t>
  </si>
  <si>
    <t>Kwe</t>
  </si>
  <si>
    <r>
      <t>Parasitic Consumption of Water (Tentative)</t>
    </r>
    <r>
      <rPr>
        <b/>
        <sz val="11"/>
        <color rgb="FFC00000"/>
        <rFont val="Calibri"/>
        <family val="2"/>
      </rPr>
      <t>*</t>
    </r>
  </si>
  <si>
    <t>Initial water for dilution of first charge</t>
  </si>
  <si>
    <t>L/day</t>
  </si>
  <si>
    <t>Daily Recycled Water</t>
  </si>
  <si>
    <t>Total fresh water requirement</t>
  </si>
  <si>
    <t>Daily Water Requirement</t>
  </si>
  <si>
    <t>CuM/day</t>
  </si>
  <si>
    <t>Annual Water Requirement</t>
  </si>
  <si>
    <t>CuM/Year</t>
  </si>
  <si>
    <t>INR/M3</t>
  </si>
  <si>
    <t>Escalation Rate</t>
  </si>
  <si>
    <t>Water Cost per Unit</t>
  </si>
  <si>
    <t>Plant Incharge</t>
  </si>
  <si>
    <t>Plant Assistant</t>
  </si>
  <si>
    <t>Chemist</t>
  </si>
  <si>
    <t>Driver for Transportation of Bio-CNG</t>
  </si>
  <si>
    <t>Electricity Infrastructure</t>
  </si>
  <si>
    <t>Office Equipment</t>
  </si>
  <si>
    <t>P&amp; M including other equipment</t>
  </si>
  <si>
    <t>Electricity Connection</t>
  </si>
  <si>
    <t>Furniture &amp; Fixtures</t>
  </si>
  <si>
    <t>Kwh per day</t>
  </si>
  <si>
    <t xml:space="preserve">Total Production Per day </t>
  </si>
  <si>
    <t xml:space="preserve">Revenue from Bio CBG </t>
  </si>
  <si>
    <t>Jaggery waste &amp; Non edible oil cake Cost Cost</t>
  </si>
  <si>
    <t>Water Consumption per day</t>
  </si>
  <si>
    <t>Annual Consumption of Water(Cubic Metre)</t>
  </si>
  <si>
    <t>Cost(INR/Cum)</t>
  </si>
  <si>
    <t>Water expenses</t>
  </si>
  <si>
    <t>Depreciation Schedule based on useful life of asset as per Company's Act, 2013 (INR Crore)</t>
  </si>
  <si>
    <t>Power Consumption (Unit per Day)</t>
  </si>
  <si>
    <t>Total Power &amp; Utilities</t>
  </si>
  <si>
    <t>Tax @</t>
  </si>
  <si>
    <t>Equity (Promoters Margin)</t>
  </si>
  <si>
    <t>Jaggery waste &amp; Non edible oil cake Cost as an additive</t>
  </si>
  <si>
    <t>Jaggery waste &amp; Non edible oil cake as an additive</t>
  </si>
  <si>
    <t>Sugarcane press mud cost including transportation cost</t>
  </si>
  <si>
    <t>IDC &amp; Contingencies</t>
  </si>
  <si>
    <t>Sensitivity Analysis</t>
  </si>
  <si>
    <t>Sensitivity Analysis of NPV, IRR &amp; Payback Period</t>
  </si>
  <si>
    <t>S. No.</t>
  </si>
  <si>
    <r>
      <t>1.</t>
    </r>
    <r>
      <rPr>
        <b/>
        <sz val="7"/>
        <color rgb="FF000000"/>
        <rFont val="Times New Roman"/>
        <family val="1"/>
      </rPr>
      <t xml:space="preserve">       </t>
    </r>
    <r>
      <rPr>
        <b/>
        <sz val="11"/>
        <color rgb="FF000000"/>
        <rFont val="Calibri"/>
        <family val="2"/>
      </rPr>
      <t> </t>
    </r>
  </si>
  <si>
    <t>If the projected revenue decreased by 5%</t>
  </si>
  <si>
    <t>7.92 Cr.</t>
  </si>
  <si>
    <t xml:space="preserve">3.71 Years </t>
  </si>
  <si>
    <r>
      <t>2.</t>
    </r>
    <r>
      <rPr>
        <b/>
        <sz val="7"/>
        <color rgb="FF000000"/>
        <rFont val="Times New Roman"/>
        <family val="1"/>
      </rPr>
      <t xml:space="preserve">       </t>
    </r>
    <r>
      <rPr>
        <b/>
        <sz val="11"/>
        <color rgb="FF000000"/>
        <rFont val="Calibri"/>
        <family val="2"/>
      </rPr>
      <t> </t>
    </r>
  </si>
  <si>
    <t>If the projected revenue decreased by 10%</t>
  </si>
  <si>
    <t>4.74 Cr.</t>
  </si>
  <si>
    <t xml:space="preserve">4.31 Years </t>
  </si>
  <si>
    <r>
      <t>3.</t>
    </r>
    <r>
      <rPr>
        <b/>
        <sz val="7"/>
        <color rgb="FF000000"/>
        <rFont val="Times New Roman"/>
        <family val="1"/>
      </rPr>
      <t xml:space="preserve">       </t>
    </r>
    <r>
      <rPr>
        <b/>
        <sz val="11"/>
        <color rgb="FF000000"/>
        <rFont val="Calibri"/>
        <family val="2"/>
      </rPr>
      <t> </t>
    </r>
  </si>
  <si>
    <t>If the projected Cost of raw material decreased by 5%</t>
  </si>
  <si>
    <t>9.96 Cr.</t>
  </si>
  <si>
    <t>3.40 Years</t>
  </si>
  <si>
    <r>
      <t>4.</t>
    </r>
    <r>
      <rPr>
        <b/>
        <sz val="7"/>
        <color rgb="FF000000"/>
        <rFont val="Times New Roman"/>
        <family val="1"/>
      </rPr>
      <t xml:space="preserve">       </t>
    </r>
    <r>
      <rPr>
        <b/>
        <sz val="11"/>
        <color rgb="FF000000"/>
        <rFont val="Calibri"/>
        <family val="2"/>
      </rPr>
      <t> </t>
    </r>
  </si>
  <si>
    <t>If the projected Cost of raw material decreased by 10%</t>
  </si>
  <si>
    <t>8.82 Cr.</t>
  </si>
  <si>
    <t>3.55 Years</t>
  </si>
  <si>
    <r>
      <t>5.</t>
    </r>
    <r>
      <rPr>
        <b/>
        <sz val="7"/>
        <color rgb="FF000000"/>
        <rFont val="Times New Roman"/>
        <family val="1"/>
      </rPr>
      <t xml:space="preserve">       </t>
    </r>
    <r>
      <rPr>
        <b/>
        <sz val="11"/>
        <color rgb="FF000000"/>
        <rFont val="Calibri"/>
        <family val="2"/>
      </rPr>
      <t> </t>
    </r>
  </si>
  <si>
    <t>If interest rate is increased by 2%</t>
  </si>
  <si>
    <t>11.25 Cr.</t>
  </si>
  <si>
    <t>3.34 Years</t>
  </si>
  <si>
    <t>Sensitivity Analysis of D.S.C.R</t>
  </si>
  <si>
    <t>Average D.S.C.R</t>
  </si>
  <si>
    <t>Max. D.S.C.R</t>
  </si>
  <si>
    <t>SRS-CBG/R1</t>
  </si>
  <si>
    <t>SRSBIOX Renewable LLP</t>
  </si>
  <si>
    <t>55, Vista Villa, Ansal Town, Dabka, Meerut, Meerut, Uttar Pradesh, India, 250001</t>
  </si>
  <si>
    <t>Total Obligation of Contribution</t>
  </si>
  <si>
    <t>LLP Status</t>
  </si>
  <si>
    <t>CORPORATE BANKING BRANCH, PNB MEERUT</t>
  </si>
  <si>
    <t>Corporate Banking Branch E.K. Road, Meerut</t>
  </si>
  <si>
    <t>SRSBIOX RENEWABLE LLP.</t>
  </si>
  <si>
    <t>Khata No.: 01281 Khasra No. 749s &amp; Khasra No.749, Khiwai, Tehsil: Sardhana, District: Meerut, Uttar Pradesh -250334 India</t>
  </si>
  <si>
    <t>Khata No. 01281 Khasra No. 749s &amp; Khasra No.749, Khiwai, Tehsil - Sardhana, District - Meerut, Uttar Pradesh -250334 India</t>
  </si>
  <si>
    <t>pursuant to section 12(1) of the Limited Liability Partnership Act 2008.</t>
  </si>
  <si>
    <t>bearing LLP Identification No. ACB-9890,</t>
  </si>
  <si>
    <t>Raw Bio Gas per day per digester</t>
  </si>
  <si>
    <t>(Oil Manufacturing Company)</t>
  </si>
  <si>
    <t>Mesophilic continuous stirred tank reactor CSTR –Anaerobic Digester</t>
  </si>
  <si>
    <t>SRI NITROKC PRIVATE LIMITED</t>
  </si>
  <si>
    <t xml:space="preserve">M/s SRS BIOX for the registration of the land is Rs 22,72,400 Total land as per provided sale deed is 18771 sqm out of which CLU is provided  for 14871 sqm land, as per owner the CLU is applied for other 3900 sqm
</t>
  </si>
  <si>
    <t>TOTAL CONSUMTION OF ELECTIC UNITS IS 5825 IN ONE DAY WE USED VFD IN MOTORS THAT TIME ELECTRIC LOAD REDUCE 25% SO THAT ACTUAL CONSUMTION OF ELETRIC UNITS IS 4369 UNITS</t>
  </si>
  <si>
    <t>variable frequency drive (VFD)</t>
  </si>
  <si>
    <t>Sardhana</t>
  </si>
  <si>
    <t>UDYAM-UP-56-0071772</t>
  </si>
  <si>
    <t>Mr. Sunil Kumar Verma, Mr. Ranpal Singh Tomar, Mrs. Rakesh Panwar, Mrs. Santosh Kumari</t>
  </si>
  <si>
    <t>are interested in forming a Limited Liability Partnership under the Limited Liability Partnership (LLP) Act, 2008</t>
  </si>
  <si>
    <t>To carrv on the business of manufacturing and dealing in Bio CNG, Bio fertilizers, insecticides, pesticides, chemical manure, agro chemicals, mixtures including nitrogenous, phosphoric, potassium, organic and inorganic fertilizers.</t>
  </si>
  <si>
    <t>Designated Partners on Incorporation of the LLP</t>
  </si>
  <si>
    <t>The total contribution of the Partners in the LLP shall be Rs. 100000 (One Lakh) which shal be contributed by the Partners in the above proportions.</t>
  </si>
  <si>
    <t>The further Contribution, if any, required by the LLP shall be brought by the Partners in their existing capital contribution rtio or at any ratio as agreed and decided by the majority of the Partners.</t>
  </si>
  <si>
    <t>Name of the rathes</t>
  </si>
  <si>
    <t>Capital Contribution (In Rupees)</t>
  </si>
  <si>
    <t>Profit/Loss Percentage</t>
  </si>
  <si>
    <t>The net profits of the LLP arrived at after providing for payment of remuneration to the working Partners or designated Partners and interest to the partners on the loan given by them shall be divided by the Partners in the ratio mentioned in the above table.</t>
  </si>
  <si>
    <t>The losses of the LLP including loss of Capital, if any, shall be borne and paid by the Partners in their Profit sharing ratio.</t>
  </si>
  <si>
    <t>SRSBIOX Renewable LLP 55, Vista Villa, Ansal Town, Meerut – 250110</t>
  </si>
  <si>
    <t>skumarverma59@gmail.com</t>
  </si>
  <si>
    <t xml:space="preserve">Agrox Renewable LLP 55, Vista Villa, Ansal Town, SRSBIOX RENEWABLE LLP. Meerut – 250110
</t>
  </si>
  <si>
    <t xml:space="preserve">D-101, European Estate Colony, Near Best Price, NH 58, Kankerkhera, Meerut – 250001 </t>
  </si>
  <si>
    <t>rpstomar501@gmail.com</t>
  </si>
  <si>
    <t xml:space="preserve">Q-47, IIIrd Phase, BHEL ,Shivalik Nagar,Haridwar-249403,Uttrakhand </t>
  </si>
  <si>
    <t>dr.sunilpanwar66@gmail.com</t>
  </si>
  <si>
    <t xml:space="preserve">B-23, Natesh Puram, Kankerkhera, Meerut Cantt. – 250001 </t>
  </si>
  <si>
    <t>91 9719092764</t>
  </si>
  <si>
    <t>tomarsantosh737@gmail.com</t>
  </si>
  <si>
    <t>Authorized Signatory of M/s SRSBIOX RENEWABLE LLP</t>
  </si>
  <si>
    <t xml:space="preserve">Academic Profile BSc, ANSI (S.T)
</t>
  </si>
  <si>
    <t>Experience Profile</t>
  </si>
  <si>
    <t xml:space="preserve">Chief chemist (sugar mill), General Manager (sugar mill), Advisor Sugar technology UP Cooperative sugar mills federation Lucknow.
</t>
  </si>
  <si>
    <t>Background</t>
  </si>
  <si>
    <t xml:space="preserve">Sugar Industry professional with an enriched experience of over 36 years.  Having a sound technical, Sale/purchase, financial and administrative experience, and liasoning capability to deal with different government and private departments. He has under taken rigorous field survey of almost all major CBG installation sites in India &amp; abroad &amp; has evolved as an expert , collaborating with best in the arena &amp; bringing in innovations in process &amp; technology , thereby optimizing the entire operational parameters to ensure consistent CBG Production at most economical Project Cost, including EPC &amp; O&amp;M. He has thorough technical knowhow to establish &amp; operate new CBG Plants &amp; cater to its O&amp;M.
</t>
  </si>
  <si>
    <t xml:space="preserve">M.Com, M.A. Economics, M. A. Sociology </t>
  </si>
  <si>
    <t xml:space="preserve">Purchase/ Sale &amp; Store Management, Liasoning Management
</t>
  </si>
  <si>
    <t xml:space="preserve">Professional with an experience of 38 years with Co-operative Sugar Mill in the department of Purchase, Sales &amp; Store. Also have an experience of Liasoning Management. </t>
  </si>
  <si>
    <t xml:space="preserve">B.Sc in Industrial Chemistry (Delhi University), B.Ed &amp;amp; M.Ed (MD University), M.A (CCS University), PG Diploma in Computer Programming
</t>
  </si>
  <si>
    <t xml:space="preserve">Two years of experience in Evergreen Public School, Delhi, One year of experience in Lovely Public School, Delhi, Currently working in Dayawati Modi Academy, Modipuram, Meerut (for the last 27 years)
</t>
  </si>
  <si>
    <t>Having three decades of experience in the educational sector and management. He has a family with a spouse who is a doctor, and two sons. The elder son holds a degree in hospitality and tourism management and possesses two years of professional experience. He aspires to join the business. The younger son is currently in 12 th grade, focusing on his academic pursuits. Each family member exhibits dedication and a commitment to their chosen paths, fostering an environment of mutual support and achievement.</t>
  </si>
  <si>
    <t>Bajaj Hindusthan Sugar Ltd.</t>
  </si>
  <si>
    <t>Bus Stop, near Jataula, Jitaula, Kaithwari, Uttar Pradesh 250502</t>
  </si>
  <si>
    <t>Daurala Sugar Mill (DCM Shriram Industries Ltd.)</t>
  </si>
  <si>
    <t>Daurala, Daurala Rural, Uttar Pradesh 250221</t>
  </si>
  <si>
    <t>SBEC Sugar Mill Limited</t>
  </si>
  <si>
    <t>46QJ+4FM, Loyan Malakpur, Uttar Pradesh 250611</t>
  </si>
  <si>
    <t>Garg Sugar cane Crusher, 3G39+5C4, MDR 34W, Banwaripur, Mirpur, Uttar Pradesh 250502</t>
  </si>
  <si>
    <t>Indira Gandhi International Airport</t>
  </si>
  <si>
    <t>29°06'55.7"N 77°26'53.9"E</t>
  </si>
  <si>
    <t>There are seven sale deeds are provided as details are as followings</t>
  </si>
  <si>
    <t xml:space="preserve">Total stamp duty provided by M/s SRS BIOX for the registration of the land is Rs 22,72,400. Total land as per provided sale deed is 18771 sqm out of which CLU is provided  for 14871 sqm land, as per owner the CLU is applied for other 3900 sqm, as shown is layout below
</t>
  </si>
  <si>
    <t>SE-ntN~AYAN1BAS COLLEGI: OF EDU.CATION</t>
  </si>
  <si>
    <t>IN-UP0834813t ~ J 53V</t>
  </si>
  <si>
    <t>IN-UP08346136474053V</t>
  </si>
  <si>
    <t>DAYAL COLLEGE OF EDUOATION</t>
  </si>
  <si>
    <t>Sno</t>
  </si>
  <si>
    <t>Date</t>
  </si>
  <si>
    <t>In favor of</t>
  </si>
  <si>
    <t>Regd no</t>
  </si>
  <si>
    <t>Stamp Duty</t>
  </si>
  <si>
    <t>(Rs)</t>
  </si>
  <si>
    <t>Area</t>
  </si>
  <si>
    <t>(in sqm)</t>
  </si>
  <si>
    <t>CLU</t>
  </si>
  <si>
    <t>Sale deed</t>
  </si>
  <si>
    <t>18.10.2023</t>
  </si>
  <si>
    <t>SRS BIOX Renewal</t>
  </si>
  <si>
    <t>Done</t>
  </si>
  <si>
    <t>16.10.2023</t>
  </si>
  <si>
    <t>13.10.2023</t>
  </si>
  <si>
    <t>18.09.2023</t>
  </si>
  <si>
    <t>Applied</t>
  </si>
  <si>
    <t>The rates are adopted as per Market Standard Rates</t>
  </si>
  <si>
    <t xml:space="preserve">1. The Cost verification of Civil Structure of Compressed Bio-gas plant is done based on the quantity provided by the client.
2. The rates are adopted as per Market Standard Rates
3. Cost verification of some structure is not done due to unavailability of quantity of same
4. As per our assessment, the cost of the following civil work will be in range of 4-4.5 Cr depending upon the specification of the material and construction. 
</t>
  </si>
  <si>
    <t>SRI NITROKC PRIVATE LTD</t>
  </si>
  <si>
    <t>Consulting, , Engineering, Project Execution and Project Management</t>
  </si>
  <si>
    <t>S.NO</t>
  </si>
  <si>
    <t>DESCRIPITION</t>
  </si>
  <si>
    <t>RATE</t>
  </si>
  <si>
    <t>QTY</t>
  </si>
  <si>
    <t>AMOUNT</t>
  </si>
  <si>
    <t>PRICE IN</t>
  </si>
  <si>
    <t>LACS</t>
  </si>
  <si>
    <t>1)</t>
  </si>
  <si>
    <t>RCC Digesters &amp; Fertilizer Effluent Pits</t>
  </si>
  <si>
    <t>i)</t>
  </si>
  <si>
    <t>Soil Cutting for Digesters</t>
  </si>
  <si>
    <t>ii)</t>
  </si>
  <si>
    <t>RCC Digester with Center Post 7200 Cubic Meter Volume with Epoxy Coating Inside (02 Nos)</t>
  </si>
  <si>
    <t>iii)</t>
  </si>
  <si>
    <t>Fertilizer Effluent Pit 600m3, RCC with Segment Cross Brace for pumping and mixing arrangement</t>
  </si>
  <si>
    <t xml:space="preserve">The reference is taken from the report published by Ministry of New and Renewable Energy. The cost of installing a 5 TPD CBG plant is around Rs. 20 to 25 crores and 75 to 80% cost will be for purchasing Plant &amp; Machinery. So, the cost of Plant &amp; Machinery will be around Rs. 15 to 20 crores. The subject plant is 6 TPD CBG plant, the cost of installation will be around Rs. 22 to 28 crores and the cost of Plant &amp; Machinery will be around Rs. 16.5 to 21 crores. The cost of Plant &amp; Machinery varies depending on the technology used in the plant. As per the quotation provided by the client, the cost of Plant &amp; Machinery is Rs. 12.22 crores which is found less as per the reference. As per discussion with client, the cost in appears less because it is excluding GST and same is purchased on his own. There is no EPC consultant hired for this project, same is being managed by the owner which also effected the cost of machinery procurement. 
</t>
  </si>
  <si>
    <t>ELECTRIC LOAD</t>
  </si>
  <si>
    <t>DESCRIPTION</t>
  </si>
  <si>
    <t>CONNECTION LOAD KW</t>
  </si>
  <si>
    <t>QTY IN NOS</t>
  </si>
  <si>
    <t>ACTUAL LOAD KW</t>
  </si>
  <si>
    <t>RUNNING HOURS</t>
  </si>
  <si>
    <t>TOTAL NO OF UNITS</t>
  </si>
  <si>
    <t>SUBMERSIBLE PUMP</t>
  </si>
  <si>
    <t>HIGH FLOW PUMP</t>
  </si>
  <si>
    <t>SUBMERSIBLE MIXER</t>
  </si>
  <si>
    <t>PURIFICATION UNITS</t>
  </si>
  <si>
    <t>BOOSTER COMPRESSOR</t>
  </si>
  <si>
    <t>OFFICE &amp; STREET LIGHT</t>
  </si>
  <si>
    <t>TOTAL NO OF UNITS CONSUME IN ONE DAY</t>
  </si>
  <si>
    <t xml:space="preserve">For reference, Asia's largest Compressed Bio Gas (CBG) plant inaugurated in Sangrur on 18th Oct 2022 by Ministry of Petroleum &amp; Natural Gas. The Plant was commissioned with an FDI investment of ~INR 220 crores, which is spread over an area of 20 acres. The installed capacity of the plant is 33 TPD. The capital expenditure of the plant is ~INR 6.67 Crore per ton. </t>
  </si>
  <si>
    <t>to the Bank Guarantee No. 0187624BGO000003 dated 02.01.2024 for an amount of Rs. 5,00,000 ( Five lakhs Rupees Only ) on behalf of Ms SRSBIOX Renewable LLP valid till 01.01.2029 and claim period upto 01.01.2030.</t>
  </si>
  <si>
    <t>this is a provisional number. The final number will be determined during detailed engineering</t>
  </si>
  <si>
    <t>There will be 2 Nos.RCC Digester each having 6000 cum volume gas (in 24Hrs.). Digester volume shall subject to vary with the type &amp; nature of the feedstock. VPSA Purification/ up gradation unit –with state of art technology with stand-by critical parts for continuous supply. High Pressure Bio Gas Compressor; Standard Make will be supplied for continuous operation. Feeding of Raw material is total automated with underground pit and Screw feeder. This helps to Maintain International standard of hygiene and reduces waste handling labour work. All equipment/Machinery is up to latest/upgraded technology. To avoid breakdown in Biogas generation all critical equipment/machinery has stand by options. Biogas Generation Plant is fully automated and operated with PLC &amp;SCADA. Plant is totally automatic hence very less man power is required, which will reduce production cost and fixed expenses.</t>
  </si>
  <si>
    <t>Description Of Anaerobic Digester</t>
  </si>
  <si>
    <t>CSTR Digester consist of continuous stirred tank reactor where continuous mixing of effluent and biomass take place with the help of central and lateral agitators. The essential feature of that the wash out of the active anaerobic bacterial biomass from the reactor is controlled by a sludge separator recycle system. The basic idea underlying the anaerobic contact process is that it Provides the  contact between the active biomass and feed. Utilize the digester volume effectively and Prevent stratification and temperature gradient, Minimize the formation of scum layer and the deposition of sludge solids.</t>
  </si>
  <si>
    <t>Parameter of CSTR Digester</t>
  </si>
  <si>
    <t>Temperature of digester</t>
  </si>
  <si>
    <t>Digester inside pressure</t>
  </si>
  <si>
    <t>Digester PH</t>
  </si>
  <si>
    <t>Oxygen</t>
  </si>
  <si>
    <t>COD load</t>
  </si>
  <si>
    <t>COD Reduction across the Reactor:</t>
  </si>
  <si>
    <r>
      <t xml:space="preserve">38 to 40 </t>
    </r>
    <r>
      <rPr>
        <sz val="5"/>
        <color theme="1"/>
        <rFont val="Arial"/>
        <family val="2"/>
      </rPr>
      <t xml:space="preserve">0 </t>
    </r>
    <r>
      <rPr>
        <sz val="10.5"/>
        <color theme="1"/>
        <rFont val="Arial"/>
        <family val="2"/>
      </rPr>
      <t>C</t>
    </r>
  </si>
  <si>
    <t xml:space="preserve">200 to 300 mmW </t>
  </si>
  <si>
    <t>7.0 to 7.5</t>
  </si>
  <si>
    <t>Nil</t>
  </si>
  <si>
    <r>
      <t>4 to 5 kgs/ m</t>
    </r>
    <r>
      <rPr>
        <sz val="5"/>
        <color theme="1"/>
        <rFont val="Arial"/>
        <family val="2"/>
      </rPr>
      <t xml:space="preserve">3   </t>
    </r>
    <r>
      <rPr>
        <sz val="10.5"/>
        <color theme="1"/>
        <rFont val="Arial"/>
        <family val="2"/>
      </rPr>
      <t xml:space="preserve">Of Digester area </t>
    </r>
  </si>
  <si>
    <t>65 ± 5 %</t>
  </si>
  <si>
    <t>85 ± 5 %</t>
  </si>
  <si>
    <t>SRI NITROKC PVT LTD.</t>
  </si>
  <si>
    <t xml:space="preserve">S. No. </t>
  </si>
  <si>
    <t>Description</t>
  </si>
  <si>
    <t>EQUIPMENT</t>
  </si>
  <si>
    <t>MAKE</t>
  </si>
  <si>
    <t>MODEL</t>
  </si>
  <si>
    <t>MEDIA</t>
  </si>
  <si>
    <t>INPUT GAS COMPONENTS</t>
  </si>
  <si>
    <t>INLET FLOW</t>
  </si>
  <si>
    <t>OUT LET FLOW</t>
  </si>
  <si>
    <t>INLET PRESSURE</t>
  </si>
  <si>
    <t>OUT LET PRESSURE</t>
  </si>
  <si>
    <t>OUTPUT GAS COMPONENTS</t>
  </si>
  <si>
    <t>PURITY OF CH4</t>
  </si>
  <si>
    <t>DEW POINT- PURE BIOGAS</t>
  </si>
  <si>
    <t>Technical Data</t>
  </si>
  <si>
    <t>VPSA FOR BIO PURIFATION( CBG)</t>
  </si>
  <si>
    <t>SRI NITROKC PVT LTD</t>
  </si>
  <si>
    <t>SATAT 650</t>
  </si>
  <si>
    <t>BIO GAS</t>
  </si>
  <si>
    <t>CH4 + CO2 + H2S</t>
  </si>
  <si>
    <t>650M³/HR</t>
  </si>
  <si>
    <t>390M³/HR</t>
  </si>
  <si>
    <t>0.5 kg/cm2g</t>
  </si>
  <si>
    <t>CH4</t>
  </si>
  <si>
    <t>96% +-2</t>
  </si>
  <si>
    <t>- 400 C</t>
  </si>
  <si>
    <t>with all accessories with
P140 Chemical (Made in France) with 5 yrs Warrantee</t>
  </si>
  <si>
    <t>This VPSA system has been especially designed for Industrial usage of Natural Gas i.e. Methane. This Purification system has a Gas Blower system with Motor, which supplies the Bio Gas at 0.5 kg/cm2g pressure to the Desulphurization tower. Post desulphurization, Biogas having component as Methane and Carbon-Di-Oxide majorly, passes through twin towers of PSA system having composite bed filled with special grade of molecular sieves that adsorbs the CO2 present in the Bio Gas. After a preset cycle time, the towers are switched over through a sequence controller and a set of change over valves. With this, second tower comes into operation and first tower undergoes simultaneous regeneration. This cycle of towers changeover is repeated infinitely and methane gas is continuously produced. Thus, Natural gas (Methane) with the purity of &gt; 96% is available at the outlet. The pressure in the Adsorbers varies with time and the gas available at the PSA outlet is taken to a surge vessel to take care of the pressure variations. The gas can be vented out initially through a 3-way valve and after the gas produced becomes of desired quality, it can be fed to the system for end use.</t>
  </si>
  <si>
    <t>Heat Exchanger system</t>
  </si>
  <si>
    <t>Dia 32mtr</t>
  </si>
  <si>
    <t>HEAT EXCHANGERS SYSTEM</t>
  </si>
  <si>
    <t>TYPE OF HEAT EXCHANGER</t>
  </si>
  <si>
    <t>MINIMUM TEMPRATURE</t>
  </si>
  <si>
    <t>TEMPRATURE MAXIMUM</t>
  </si>
  <si>
    <t>HOT MEDIA</t>
  </si>
  <si>
    <t>PRESSURE OF HOT WATER</t>
  </si>
  <si>
    <t>TIC</t>
  </si>
  <si>
    <t>MOC OF COIL</t>
  </si>
  <si>
    <t>SIZE OF COIL</t>
  </si>
  <si>
    <t>SS 304 ANGEL L TYPE SUPPORT</t>
  </si>
  <si>
    <t>CHEMICAL FASTENERS</t>
  </si>
  <si>
    <t>INTERLOCKING</t>
  </si>
  <si>
    <t>ALL SIGNALS</t>
  </si>
  <si>
    <t>TESTING OF HEAT EXCHANGER</t>
  </si>
  <si>
    <t>NET REQUIREMENT</t>
  </si>
  <si>
    <t>FOR BIO GAS DIGESTER 32Meter Dia</t>
  </si>
  <si>
    <t>COIL TYPE</t>
  </si>
  <si>
    <t>10°C IN WINTER SEASON</t>
  </si>
  <si>
    <t>52°C</t>
  </si>
  <si>
    <t>WATER OF 55°C</t>
  </si>
  <si>
    <t>3KGCM²G</t>
  </si>
  <si>
    <t>UP TO 100°C</t>
  </si>
  <si>
    <t>SS 304/SS316 OPTIONAL</t>
  </si>
  <si>
    <t>50NB</t>
  </si>
  <si>
    <t>1 LOT</t>
  </si>
  <si>
    <t>TEMPRATURE OF DIGESTER, TEMPRATURE OF
HOT WATER, LOW LEVEL OF HOT WATER, HIGH
LEVEL OF HOT WATER TANK</t>
  </si>
  <si>
    <t>DISPLAY IN SCADA</t>
  </si>
  <si>
    <t>5KGCM²G AT SITE</t>
  </si>
  <si>
    <t>TECHNICAL DETAILS OF HEAT EXCHANGER SYSTEM FOR DIGESTER</t>
  </si>
  <si>
    <t>LUCKY-TECH Membranes Pvt. Ltd.</t>
  </si>
  <si>
    <t>Gas Holder Balloon 3500m3</t>
  </si>
  <si>
    <t>Engineered &amp; Manufactured in SIOEN, Belgium make PVC Coated Fabrics</t>
  </si>
  <si>
    <t>Booster Compressor 300 Nm3/hr.</t>
  </si>
  <si>
    <t>JYOTECH ENGINEERING AND MARKETING CONSULTANTS</t>
  </si>
  <si>
    <t>H.P Biogas Compressor capacity of 350 Nm3/hr @ 250 Barg discharge pressure.</t>
  </si>
  <si>
    <t>with discharge pressure 250 Kg/cm2g</t>
  </si>
  <si>
    <t>TECHNICAL DETAILS OF Bio-Gas Compressor.</t>
  </si>
  <si>
    <t>Parameters</t>
  </si>
  <si>
    <t>Type</t>
  </si>
  <si>
    <t>Model</t>
  </si>
  <si>
    <t>No. of stages</t>
  </si>
  <si>
    <t>No. of cylinders</t>
  </si>
  <si>
    <t>Drive type</t>
  </si>
  <si>
    <t>Gas Handled</t>
  </si>
  <si>
    <t>Capacity</t>
  </si>
  <si>
    <t>Suction Pressure</t>
  </si>
  <si>
    <t>Discharge Pressure</t>
  </si>
  <si>
    <t>Suction Temperature</t>
  </si>
  <si>
    <t>Discharge Temperature</t>
  </si>
  <si>
    <t>Compressor Speed (RPM)</t>
  </si>
  <si>
    <t>Motor Rating (KW)</t>
  </si>
  <si>
    <t>Biogas Compressor</t>
  </si>
  <si>
    <t>Reciprocating, horizontal balanced-opposed,
lubricated</t>
  </si>
  <si>
    <t>4JEM5</t>
  </si>
  <si>
    <t>V-Belt driven</t>
  </si>
  <si>
    <t>Bio Gas</t>
  </si>
  <si>
    <t>350 Nm3/hr @ 0.5 Barg Suction Pressure</t>
  </si>
  <si>
    <t>0.3 to 0.5 Barg</t>
  </si>
  <si>
    <t>250 Barg</t>
  </si>
  <si>
    <t>40 Deg C</t>
  </si>
  <si>
    <t>12 Deg. C above Ambient Temp.</t>
  </si>
  <si>
    <t>110 KW, 4 Pole, 415 V±10%, 50 Hz± 5%,</t>
  </si>
  <si>
    <t>T S POWER ENGINEERINGS</t>
  </si>
  <si>
    <t>Complete Automation of 6TPD CBG Plant as per layout &amp; P&amp;ID, SCADA make Siemens,</t>
  </si>
  <si>
    <t>Panel structure will be totally enclosed, Dust &amp; Vermin Proof, Single Front, Front/Rear access Design, Compartmentalized/ Non-Compartmentalized, Indoor type and Floor Mounted type according to details given in the Specifications.</t>
  </si>
  <si>
    <t>12 Months from date of delivery or commissioning of the panel</t>
  </si>
  <si>
    <t>Automation and control system including (SCADA)</t>
  </si>
  <si>
    <t>CNG CYLINDERS CASCADE</t>
  </si>
  <si>
    <t>BALAJI ENTERPRISES</t>
  </si>
  <si>
    <t>CNG CYLINDERS CASCADE 4500 WL. THREE BANK, 75 WL X 60 NOS OF CNG / CBG CYLINDERS. CYLINDERSEURO/ CPIL/SIL/MKC. FITTINGS-SWAGELOK / PARKER,TUBINGTUBACEX/
RATNAMANI. VENT FITTINGS SPRAYTECH</t>
  </si>
  <si>
    <t>30 m3 per day</t>
  </si>
  <si>
    <t>RADIANT TECH RESOURCES PRIVATE LIMITED</t>
  </si>
  <si>
    <t>Sewage Characteristics</t>
  </si>
  <si>
    <t>BOD (ppm)</t>
  </si>
  <si>
    <t>COD (ppm)</t>
  </si>
  <si>
    <t>TSS (ppm)</t>
  </si>
  <si>
    <t>Oil and Grease</t>
  </si>
  <si>
    <t>pH</t>
  </si>
  <si>
    <t>Temperature (in degree Celsius)</t>
  </si>
  <si>
    <t>Inlet</t>
  </si>
  <si>
    <t>600-700 mg/L</t>
  </si>
  <si>
    <t>1000-1500mg/L</t>
  </si>
  <si>
    <t>500-700 mg/L</t>
  </si>
  <si>
    <t>1000-1200 mg/L</t>
  </si>
  <si>
    <t>4 – 6.0</t>
  </si>
  <si>
    <t>ambient</t>
  </si>
  <si>
    <t>Outlet</t>
  </si>
  <si>
    <t>&lt; 20 mg/L</t>
  </si>
  <si>
    <t>&lt; 150 mg/L</t>
  </si>
  <si>
    <t>&lt; 100 mg/L</t>
  </si>
  <si>
    <t>&lt;5 mg/l</t>
  </si>
  <si>
    <t>7.0-8.0</t>
  </si>
  <si>
    <t>Process System</t>
  </si>
  <si>
    <t>Having it's office at: A-18, LANE NO 5/11, VIKASH VIHAR, NILOTHI EXTENSION, NEW DELHI-110041</t>
  </si>
  <si>
    <t>Sri Nitrokc Private Limited is a Private incorporated on 28 January 2022. It is classified as Non-government company and is registered at Registrar of Companies, ROC Delhi. Its authorized share capital is Rs. 100,000 and its paid up capital is Rs. 100,000. It is inolved in Manufacture of special purpose machinery.  Directors of Sri Nitrokc Private Limited are Davinder Kaur and Ruchi Sharma.</t>
  </si>
  <si>
    <t xml:space="preserve">Mr. KP SINGH
CONSULTANT &amp; SOLUTION PROVIDER
(SUGAR, CO-GEN, DISTILLERY &amp; EFFLUENT TREATMENT )
</t>
  </si>
  <si>
    <t xml:space="preserve">Mechanical Engineer having 43 + years of   useful work experience in Sugar Industry Operation &amp; Maintenance including Project planning and execution from concept to commissioning. Worked for Sugar Project Management for 15 years and handled more than 20 sugar projects ranging from 3500 TCD to 9000 TCD, Cogeneration plants up to 35 MW and Ethanol plants of various sizes. I joined Sugar Industry operation in 1991 as Chief Engineer for plant operation &amp; maintenance. My family background of farming always ignited me to do reforms in the industry to improve efficiency, reduce down time and reduce cost of production. I achieved the best and highest efficiency in BALRAMPUR CHINI MILLS Group and became the trend setter for Sugar Industry. One of the world class installation and state of the art construction at Haidergarh was conceptualized and executed by under signed. The plant is very popular in the sugar sector across the globe. More than 150 delegations from all sugar cane growing countries have visited this plant.
</t>
  </si>
  <si>
    <t>Improving milling efficiency to achieve 1.35 Bagasse Pol and 47-48 moisture by doing no cost minor modifications.</t>
  </si>
  <si>
    <t>Under the guidance and leader ship of undersigned, Balrampur Chini Mills Limited expanded from 24000 TCD to 77000 TCD, power export from zero to 170 MWH and Distillery from 160 KLPD to 400 KLPD. Today BCML is a leading Brand at top of the industry. The company's growth has been phenomenal since he joined in 2002 and so was his growth.</t>
  </si>
  <si>
    <t>2. PRABHANSHU BHARDWAJ</t>
  </si>
  <si>
    <t>PLC &amp; DCS PROGRAMMING (ABB) with communication &amp; networking, troubleshooting of control panels.</t>
  </si>
  <si>
    <t xml:space="preserve">He is having BASIC KNOWLEDGE OF PROCESS INSTUMENTATION DP Transmitters for flow and level measurement ,Magnetic flow meters , PID Controllers ABB and YOKOGAWA Pressure sensors, RTDS, Thermocouples, Level Sensor, Flow sensor, Proximity Sensors, Solenoid &amp; control valves, Pressure Transmitters, etc. also having the knowledge of Knowledge of Variable Frequency Drive ( VFD ) of ABB. Operation &amp; Design and program parameters by keypad mode ,Communication with PLC (wiring diagram ) controlling with start stop ,Communication with PLC and controlling with SCADA Software.
Basic Knowledge of Panel Design :Relays, Thermal Overload Relays, Contactor, MCB. Designing of panels through the Auto Cad, EPLAN P8 and Switch Gear Selection.
SCADA: ABB SCADA Compact HMI4.1,5.1,Scada Portal, Digivis(PLC) .HMI (CP400SOFT,CP415,CP600) Creating Applications, Downloading/ Uploading Program Communication with PLC HMI with Modbus Communication.
</t>
  </si>
  <si>
    <t xml:space="preserve">Software Development , erection &amp; commissioning of field instruments and DCS System for Mill and ACFC Automation for LAXMI SUGAR MILL CO. LTD, Roorkee, JK SUGAR MILL LTD, Bareilly, DIWAN SUGAR MILL LTD, Moradabad, CHADHA SUGAR MILL LTD, Dhanaura, DE AVADH SUGAR MILL LTD, Shamli
Software Development, erection &amp; commissioning of field instruments and ABB PLC System for Furnace automation at RIMJHIM GLOBLE SMELTER STEEL LTD, Over-Head Bottling System at . DABUR NEPAL LTD.
VFD Panels Design and Commissioning at BCML KUMBHI CHINI MILLS for 13MW Co-Gen Power plant, AMBE CEMENT ,Birgunj, Nepal and JAY SPINNING TEXTILE,Birgunj ,Nepal. Patanjali Ayurved Ltd.
Web based SCADA System and Process Instruments for Steam Flow measurement. Ambe Cement Pvt Ltd. VFD Panels for Blower Application -Jay Spinning Textile. VFD Panels for Spinning Machines- Vimal Organics Ltd. Supply Process Instruments for New Sulphuric Acid Plant. Automation System for New Sulphuric Acid Plants- Mahakaushal Sugar . Complete retrofitting job (Turn Key Basis) of 12.5MW Co-Gen Power Plant-Sonapur Cement Pvt Ltd.
</t>
  </si>
  <si>
    <t xml:space="preserve">3. Shree Laxman Singh
Expertise on all kinds of Civil Constructions &amp; Foundations
</t>
  </si>
  <si>
    <t xml:space="preserve">A veteran with over 35 years of enriched experience in Sugar &amp; Distillery Industries. He has served as Chief Project Engineer in major Civil Construction &amp; Projects in almost all major Sugar Mills &amp; Distilleries, PAN India.
</t>
  </si>
  <si>
    <t>Bio-CNG/Enriched biogas to be produced will meet the BIS specifications as per IS 16087:2016 (as per guidelines from Ministry of New &amp; Renewable Energy, Govt. of India and Oil Marketing Companies):</t>
  </si>
  <si>
    <t>IS 16087: 2016 Standard</t>
  </si>
  <si>
    <t>Sr. No.</t>
  </si>
  <si>
    <t>Characteristic</t>
  </si>
  <si>
    <t>Requirement</t>
  </si>
  <si>
    <t>Methane percentage (CH4), minimum</t>
  </si>
  <si>
    <t>Only Carbon Dioxide percentage (CO2), maximum</t>
  </si>
  <si>
    <t>Oxygen (O2) percentage maximum</t>
  </si>
  <si>
    <t>Total Sulphur (including H2S) mg/m3, maximum</t>
  </si>
  <si>
    <t>20 mg/m3</t>
  </si>
  <si>
    <t>Moisture mg/m3, maximum</t>
  </si>
  <si>
    <t>5 mg/m3</t>
  </si>
  <si>
    <t>Carbon Dioxide (CO2) + Nitrogen (N2) + Oxygen (O2) percentage maximum</t>
  </si>
  <si>
    <t>https://www.goodreturns.in/cng-price.html
CNG Price in meerut as on 21st June 2024</t>
  </si>
  <si>
    <t>https://www.goodreturns.in/cng-price-in-meerut.html</t>
  </si>
  <si>
    <t xml:space="preserve"> Supply of 6 TPD of CBG to IOCL @ Rs. 62.86/ kg without GST</t>
  </si>
  <si>
    <t>The Indian Biogas Association (IBA) has recommended a fair and remunerative price of Rs 5.5 per kg for fermented organic manure (FOM), excluding the government incentive of Rs 1.5 per kg, to support biogas plants in the country. The IBA has suggested that the Ministry of Chemical and Fertilizer administer a fair market price for FOM, with an additional allowance for logistics and transportation charges.</t>
  </si>
  <si>
    <t>https://economictimes.indiatimes.com/industry/indl-goods/svs/chem-/-fertilisers/fix-fair-remunerative-price-of-rs-5-5/kg-for-fermented-organic-manure-indian-biogas-association/articleshow/103100564.cms?from=mdr</t>
  </si>
  <si>
    <t xml:space="preserve">The government has recently announced the Market Development Assistance (MDA) Scheme, under which the government approved Rs 1,451 crore for promoting organic fertilizers. Under MDA, the bio fertilizer coming out of a biogas plant -- technically known as FOM, the producers get Rs 1.5 for each kg, over and above the sale price of FOM.
The IBA suggested a 'floor market price' at par with the Urea Retail Prices (presently at Rs 242 per 45 Kg bag), i.e. approx. Rs 5.5 per kg (exclusive of taxes). The market development Assistance (MDA) of Rs 1.5 per kg shall be realized over and above the floor market price by the FOM producer, it said. 
It further added that the floor market price should have additional leeway to accommodate for additional logistics and transportation charges, if incurred and suggested an additional rate of approx. Rs 50/ton/km. According to the IBA, FOM is being sold at a rate ranging from Rs 0.50 to 4.50 per kg in the country.
The department of fertilizer in coordination with the Bureau of Indian Standards (BIS) and relevant industry stakeholders, should look forward to devising an appropriate BIS standard or Eco-Mark for defining a Quality protocol, enabling better market acceptance and linkage to the FOM, it stated.
</t>
  </si>
  <si>
    <t>Availability of different feed stock in the adjoining area is in sufficient quantity. There are many sugar mills in the area as Bajaj group Kinoni and Budhana. U.P Cooperative
sugar units Ramala and Baghpat and one mini sugar plant just 3km distance which yields 40-50 Ton of press mud on daily basis, There are large no. of cow and buffalo dairies, U.P govt. funded goshalas. A very big poultry farm within 5km range yeilding approximately 7-8 ton poultry litter daily. It is very obvious that a plenty of feedstock for biogas plant is available in the nearby area. We also got an agreement with a FPO, copy is also attached.</t>
  </si>
  <si>
    <t>SANRAKSHAK FARMER PRODUCER COMPANY LIMITED</t>
  </si>
  <si>
    <t>Sanrakshak Farmer Producer Company Limited is a Private incorporated on 24 November 2021. It is classified as Non-government company and is registered at Registrar of Companies, ROC Kanpur. Its authorized share capital is Rs. 500,000 and its paid up capital is Rs. 100,000. It is inolved in Growing of crops; market gardening; horticulture Sanrakshak Farmer Producer Company Limited's Annual General Meeting (AGM) was last held on N/A and as per records from Ministry of Corporate Affairs (MCA), its balance sheet was last filed on 31 March 2023. Directors of Sanrakshak Farmer Producer Company Limited are Dharmendr Singh, Bijander Singh, Roshan Lal, Lokesh Kumar and Pradeep Kumar. Sanrakshak Farmer Producer Company Limited's Corporate Identification Number is (CIN) U01100UP2021PTC155892 and its registration number is 155892.Its Email address is roc2019filing@gmail.com and its registered address is C/O DHARMENDER SINGH R/O H.NO. 1, V MUKANDPUR, , BAGHPAT, Uttar Pradesh, India - 250617. Current status of Sanrakshak Farmer Producer Company Limited is - Active</t>
  </si>
  <si>
    <t>SHREE SUMATI SUGAR PRIVATE LIMITED</t>
  </si>
  <si>
    <t>Shree Sumati Sugar Private Limited is a Private incorporated on 11 November 2003. It is classified as Non-government company and is registered at Registrar of Companies, ROC Kanpur. Its authorized share capital is Rs. 45,000,000 and its paid up capital is Rs. 45,000,000. It is inolved in Manufacture of other food products
Shree Sumati Sugar Private Limited's Annual General Meeting (AGM) was last held on N/A and as per records from Ministry of Corporate Affairs (MCA), its balance sheet was last filed on 31 March 2023.
Directors of Shree Sumati Sugar Private Limited are Ambuj Kumar Jain and Anubhav Jain.
Shree Sumati Sugar Private Limited's Corporate Identification Number is (CIN) U15425UP2003PTC028058 and its registration number is 28058.Its Email address is atuljainonline23@gmail.com and its registered address is 116/4 MAHAVEERJI NAGAR MEERUT , UTTAR PRADESH, Uttar Pradesh, India - 250001.
Current status of Shree Sumati Sugar Private Limited is - Active</t>
  </si>
  <si>
    <t>(Ref No.: Indian Oil/SATAT/01/3613 Date: 06.12.2023).</t>
  </si>
  <si>
    <t xml:space="preserve">Base Tax Rate </t>
  </si>
  <si>
    <t>Surcharge applicable</t>
  </si>
  <si>
    <t>Effective Tax Rate (%)</t>
  </si>
  <si>
    <t>SRI NITROKC based in New Delhi is having wide experience in the field of gas generation/separation/purification systems for gases including Oxygen, Nitrogen, CO2, CBG, CNG &amp; various process developments, designs and Anaerobic Digestion plants. SRI NITROKC is one of the few full-service providers of turnkey Industrial, Agricultural, and other waste to bio-gas plants in India. Our portfolio includes design – engineering - project planning and construction as well as O&amp;M services. One of our core competencies is providing consultancy for designs, drawings,installation,supervision, and monitoring during installation and providing periodic operational as well as supervision services / Contracts. We aim at satisfying the needs and providing complete solution to plant engineering and utility requirements. The line of products which we offer, have a user friendly interface, thus allowing the operator to use the machine in a hassle free manner.</t>
  </si>
  <si>
    <t>DAVINDER KAUR (Director)</t>
  </si>
  <si>
    <t xml:space="preserve">having it's office at A-18, Lane No. 5/11, Vikash Vihar, Nilothi Extension, New Delhi-110041as </t>
  </si>
  <si>
    <t>Developed a well-equipped production unit, which is divided into several departments like R&amp;D, Designing, Manufacturing, Quality Control, Packing Etc.</t>
  </si>
  <si>
    <t>RUCHI SHARMA (Director)
She is working in the field of gas and industrial projects</t>
  </si>
  <si>
    <t>CHETAN VASHISTHA (Technical director)
Having fifteen years of experience in advancements of gas and industrial projects
From Jan 2015 to 2021 worked as manager projects in KB polytech pvt Ltd. From 2021, worked for six months as general manager in Airox Nigen Pvt Ltd (Ahmedabad, Gujarat). Worked as general manager in Nihon Precision Fab Tech India (Khushkhera, Alwar, Rajasthan).</t>
  </si>
  <si>
    <t>HARPREET SINGH (Commercial director)</t>
  </si>
  <si>
    <t>Commissioning team</t>
  </si>
  <si>
    <t>Fabrication team</t>
  </si>
  <si>
    <t>Star cement ltd. (Meghalaya), HPCL Bio fuels (Patna), HPCL (Pathmeda), Parle foods (Neemrana), Microtek new technologies pvt. Ltd. (Baddi), Aditya birla nuvo ltd. (Junagarh), Dalmia bharat sugar and industries ltd. (Sitapur), Sunmax auto engineering pvt. Ltd. (Manesar), Kuantum papers (Hoshiarpur), Paras terara (Gurugram), Jain agro foods (Thane), Pioneer park (Gurugram), Dharampal satyapal ltd. (Udaipur sikar)</t>
  </si>
  <si>
    <t xml:space="preserve">The proposed Bio-CNG plant is proposed to be setup at a total of about 18,771 Sq. Mt. land area in Meerut, U.P. As per the sale deeds shared by the client/LLP, total stamp duty paid by M/s SRS BIOX for the registration of the land in favour of LLP is INR 27,68,600, which is considered as a part of total project cost.  </t>
  </si>
  <si>
    <t>as per Market Standard Rates</t>
  </si>
  <si>
    <t xml:space="preserve">As per our assessment, the cost of the following civil work will be in range of ~INR 4-4.5 Crore depending upon the specification of the material and construction. We recommend the bank to get the verified cost of building &amp; civil works from an Architect/Chartered Engineer.
</t>
  </si>
  <si>
    <t>paschimanchal vidyut vitran nigam ltd</t>
  </si>
  <si>
    <t>ETP 30 m3 per day</t>
  </si>
  <si>
    <t>the estimated cost for plant &amp; machinery will be ~INR 12.42 Crore excluding the applicable GST. The estimated cost of the Plant &amp; Machinery has been provided to us by the client as per quotations received by them from various vendors/suppliers. However, as a TEV consultant the cost of major plant &amp; machinery has been verified by us independently, which we found comparatively lower than the industrial/sectoral benchmark although the cost may change as per specifications &amp; brand.</t>
  </si>
  <si>
    <t xml:space="preserve">As informed by client, land development work will be initiated after completion of boundary wall work. Out of total land 18771 Sq. Mt., Change of land use (CLU) is has been obtained by LLP for 14871 Sq. Mt. of land, which has been approved by Sub Divisional Magistrate, Sardhana, Meerut on 14th July 2023, for setting up the proposed Bio-CNG plant. CLU is applied for other 3900 Sq. Mt. of land as informed by designated partners of LLP. </t>
  </si>
  <si>
    <t>ACB-9890</t>
  </si>
  <si>
    <t>A/G/HO/UP/05/639 &amp; A/G/HO/UP/06/618 (G131526)</t>
  </si>
  <si>
    <t>Application No : 25431997</t>
  </si>
  <si>
    <t>MUNICIPAL AUTHORITY</t>
  </si>
  <si>
    <t>Uttar Pradesh Fire and Emergency Services
Government Of Uttar Pradesh</t>
  </si>
  <si>
    <t>Khiwai municipal authority</t>
  </si>
  <si>
    <t>-</t>
  </si>
  <si>
    <t>https://www.goodreturns.in/cng-price.html
CNG Price in meerut as on 19 july 2024 80.50</t>
  </si>
  <si>
    <t>The Indian Biogas Association (IBA) has recommended a fair and remunerative price of Rs 5.5 per kg for fermented organic manure (FOM), excluding the government incentive of Rs 1.5 per kg, to support biogas plants in the country. (https://economictimes.indiatimes.com/industry/indl-goods/svs/chem-/-fertilisers/fix-fair-remunerative-price-of-rs-5-5/kg-for-fermented-organic-manure-indian-biogas-association/articleshow/103100564.cms?from=mdr)</t>
  </si>
  <si>
    <t xml:space="preserve">The project is proposed to be funded through a term loan of INR 11.66 crores and promoter’s Equity of INR 5.79 crores. Further, as per the working capital assessment, the WC loan of INR 50.00 lakhs will be required to meet the day to day operational expenses.
</t>
  </si>
  <si>
    <t xml:space="preserve">Thus, ~INR 2.91 Crore per ton will be the CAPEX for the proposed Bio-CNG generating plant excluding land, GST, transportation charges etc. (borne by owners) considering the fact that the plant would be commissioned by the in-house experienced EPC/technical team of the LLP in coordination with the appointed technical consultant and thus the CAPEX per ton is lower as per the industrial/sectoral benchmark as per the tertiary research done by us, data/information available in the public domain and information provided by the third party consultants/vendors. </t>
  </si>
  <si>
    <t xml:space="preserve">As sugar mill owners have now recognised its potential for revenue generation. This realisation has resulted in a substantial increase in press mud prices over the last two years, rising from INR 100 per tonne to INR 500-600 per tonne including transportation. As escalated in recent years, the sugarcane press mud is generated by the sugar mill and made available to the project @ INR 1200/ Ton. The cattle dung is collected from various dairy farms/ nearby villages @ INR 1000/MT and used as inoculants.
(Ref:https://www.downtoearth.org.in/news/renewable-energy/sugarcane-byproduct-pressmud-can-be-a-sweet-spot-for-india-s-compressed-biogas-sector-93022#:~:text=This%20realisation%20has%20resulted%20in,as%20fuel%20in%20brick%20kilns).
Jaggery waste &amp; Non edible oil cake will be used as an additive in the CBG production process, which is generally available @INR 25 per kg in the open market.
</t>
  </si>
  <si>
    <t>As per the data/information provided to us by the client, Company is in the process to apply for sanction of 500 KVA power load. As per the tentative estimation provided by the client, total consumption of electric units will be 5825 kWh per day and company will be using variable frequency drive (VFD) in motors to reduce electricity load by 25%. Thus the estimated consumption of electric units will be ~4369 units/ kWh per day. This is a provisional number. The final number will be determined during detailed engineering.</t>
  </si>
  <si>
    <t>CORPORATE BANKING BRANCH, PNB E.K. ROAD MEERUT - 250004</t>
  </si>
  <si>
    <t>for Consulting, , Engineering, Project Execution and Project Management contract for 6000 kg Bio CNG (CBG) Producing capacity biogas/Bio CNG plant.</t>
  </si>
  <si>
    <t>Building &amp; Civil works including Land development &amp; Boundary Work</t>
  </si>
  <si>
    <t>EQUIPMENT NAME</t>
  </si>
  <si>
    <t>TECHNICAL SPECIFICATION</t>
  </si>
  <si>
    <t>VENDOR NAME</t>
  </si>
  <si>
    <t>TECHNICAL CONSULTANCY</t>
  </si>
  <si>
    <t xml:space="preserve"> 6TPD CBG PROJECT</t>
  </si>
  <si>
    <t>1 NOS</t>
  </si>
  <si>
    <t>DIGESTER &amp; MIXING KIT</t>
  </si>
  <si>
    <r>
      <rPr>
        <sz val="11"/>
        <color theme="1"/>
        <rFont val="Calibri"/>
        <family val="2"/>
        <scheme val="minor"/>
      </rPr>
      <t>7200M</t>
    </r>
    <r>
      <rPr>
        <sz val="11"/>
        <color theme="1"/>
        <rFont val="Calibri"/>
        <charset val="134"/>
      </rPr>
      <t>³(Ø32M×9.5M</t>
    </r>
  </si>
  <si>
    <t>2 NOS</t>
  </si>
  <si>
    <t>PURIFICATION UNIT</t>
  </si>
  <si>
    <r>
      <rPr>
        <sz val="11"/>
        <color theme="1"/>
        <rFont val="Calibri"/>
        <family val="2"/>
        <scheme val="minor"/>
      </rPr>
      <t>650M</t>
    </r>
    <r>
      <rPr>
        <sz val="11"/>
        <color theme="1"/>
        <rFont val="Calibri"/>
        <charset val="134"/>
      </rPr>
      <t xml:space="preserve">³/Hr </t>
    </r>
  </si>
  <si>
    <t>HOT WATER TANK</t>
  </si>
  <si>
    <t>12KL</t>
  </si>
  <si>
    <t xml:space="preserve">HEATING COIL IN DIGESTER </t>
  </si>
  <si>
    <t xml:space="preserve">HEAT EXCHANGER SHELL &amp; TUBE </t>
  </si>
  <si>
    <t>COOLING TOWER</t>
  </si>
  <si>
    <t>2.5-TON</t>
  </si>
  <si>
    <t>NOT YET DECIDED</t>
  </si>
  <si>
    <t>2NOS</t>
  </si>
  <si>
    <t xml:space="preserve">BIO GAS BALLON </t>
  </si>
  <si>
    <r>
      <rPr>
        <sz val="11"/>
        <color theme="1"/>
        <rFont val="Calibri"/>
        <family val="2"/>
        <scheme val="minor"/>
      </rPr>
      <t>3536M</t>
    </r>
    <r>
      <rPr>
        <sz val="11"/>
        <color theme="1"/>
        <rFont val="Calibri"/>
        <charset val="134"/>
      </rPr>
      <t xml:space="preserve">³, DOUBLE MEMBRANE, RCC MOUNTED, 32.00M DIA, 8.10 Ht </t>
    </r>
  </si>
  <si>
    <r>
      <rPr>
        <sz val="11"/>
        <color theme="1"/>
        <rFont val="Calibri"/>
        <family val="2"/>
        <scheme val="minor"/>
      </rPr>
      <t>600NM</t>
    </r>
    <r>
      <rPr>
        <sz val="11"/>
        <color theme="1"/>
        <rFont val="Calibri"/>
        <charset val="134"/>
      </rPr>
      <t>³/Hr@ 0.5 BARG DISCHARGE 250 BAR</t>
    </r>
  </si>
  <si>
    <t>JOYTECH ,KIRLOSKER, BAUR,  BUCKARD</t>
  </si>
  <si>
    <t>4500WL. THREE BANK, 75WLx60 NOS OF CNG/CBG CYLINDERS</t>
  </si>
  <si>
    <t>6 NOS</t>
  </si>
  <si>
    <t xml:space="preserve"> CASCADE FOR STORAGE
</t>
  </si>
  <si>
    <t>4500-WL</t>
  </si>
  <si>
    <t>1NOS</t>
  </si>
  <si>
    <t xml:space="preserve">SUBMERSIBLE HIGH FLOW PUMP WITH ACCESSORIES &amp; INSTALLATION
</t>
  </si>
  <si>
    <t>11KW</t>
  </si>
  <si>
    <t>RISHANSHI/ SYNO</t>
  </si>
  <si>
    <t xml:space="preserve">SUBMERSIBLE AGITATOR WITH ACCESSORIES &amp; INSTALLATION
</t>
  </si>
  <si>
    <t xml:space="preserve">AXIAL HIGH FLOW PUMP WITH ACCESSORIES, INSTALLATION
</t>
  </si>
  <si>
    <t>7.5KW</t>
  </si>
  <si>
    <t>8NOS</t>
  </si>
  <si>
    <t>RAW GAS GENERATOR (SLIENT)</t>
  </si>
  <si>
    <t>125KVA</t>
  </si>
  <si>
    <t xml:space="preserve">ASHOK LEYLAND, KIRLOSKER , MAHINDRA </t>
  </si>
  <si>
    <t xml:space="preserve">MANIFOLD SYSTEM FOR CASCADES: LCV POST WITH UNLOADING HOSE, MASS FLOW METER &amp; OUTLET CONNECTIVITY FOR THREE BANK SYSTEM FOR BOOSTER MAKE: 
</t>
  </si>
  <si>
    <t>250 BAR</t>
  </si>
  <si>
    <t>3NOS</t>
  </si>
  <si>
    <t xml:space="preserve">"FILLING STATION WITH 3 GAS FILLING WITH ONLINE CH4 ANALYZER AND FLOW METER 
</t>
  </si>
  <si>
    <t xml:space="preserve">"STATION TUBING- WITH MANPOWER, HYDROTESTING 
&amp; N2 PURGING &amp; FITTINGS AND VALVES @ 7000/ MTRS "
</t>
  </si>
  <si>
    <t>15 BAR</t>
  </si>
  <si>
    <t>100NOS</t>
  </si>
  <si>
    <t xml:space="preserve">PIPING, FITTINGS, CHAIN &amp; CONVEYOR (L/S) SS PIPE / FABRICATOR WELDING </t>
  </si>
  <si>
    <t xml:space="preserve">
</t>
  </si>
  <si>
    <t>AOS HOUSE OF POWER AUTOMATION &amp; ENGINEERING</t>
  </si>
  <si>
    <t>WEIGHBRIDGE</t>
  </si>
  <si>
    <t>100-TON</t>
  </si>
  <si>
    <t>MATIN &amp; COMPANY</t>
  </si>
  <si>
    <t>SOLAR SYSTEM 5KW &amp; LIGHTING</t>
  </si>
  <si>
    <t>5KW</t>
  </si>
  <si>
    <t>FIRE FIGHTING SYSTEM</t>
  </si>
  <si>
    <t>AS PER LAYOUT DRW</t>
  </si>
  <si>
    <t>MECHANICAL, ELECTRICAL &amp; OTHER INSTALLATION</t>
  </si>
  <si>
    <t>TRACTOR &amp; LOADER</t>
  </si>
  <si>
    <t>MAHINDRA, FARMTRAC, KUBUTA, NEW-HOLAND</t>
  </si>
  <si>
    <t>TANKER &amp; SLURRY</t>
  </si>
  <si>
    <t xml:space="preserve">SERVICES CHARGES OF LIASIONING WORK 
</t>
  </si>
  <si>
    <t>NONE</t>
  </si>
  <si>
    <t>MISCELLANEOUS EXPENSES</t>
  </si>
  <si>
    <t xml:space="preserve">1NOS </t>
  </si>
  <si>
    <t>LAND REGISTRATION CHARGES</t>
  </si>
  <si>
    <t xml:space="preserve">BANK GUARANTEE FOR IOCL </t>
  </si>
  <si>
    <t>LAND DEVELOPMENT &amp; BOUNDARY WORK</t>
  </si>
  <si>
    <t>CIVIL WORK</t>
  </si>
  <si>
    <t>TOTAL AMOUNT</t>
  </si>
  <si>
    <t>19,30,63000/-</t>
  </si>
  <si>
    <t>Land Cost</t>
  </si>
  <si>
    <t>Contingencies at ~1% of Total Project Cost</t>
  </si>
  <si>
    <t>Civil &amp; M.S. Work including Land development &amp; Boundary wall</t>
  </si>
  <si>
    <t xml:space="preserve">No. of days Per Annum </t>
  </si>
  <si>
    <t>No. of operating days</t>
  </si>
  <si>
    <t>Supply of CBG to IOCL' RO @ Rs. 62.86/ kg without GST</t>
  </si>
  <si>
    <t>DETAILS OF PARTNERS CAPITAL A/C AS ON 22 Aug 2024</t>
  </si>
  <si>
    <t>Rakesh Panwar</t>
  </si>
  <si>
    <t>Sunil Kumar Verma</t>
  </si>
  <si>
    <t>Ranpal Singh Tomar</t>
  </si>
  <si>
    <t>Santosh Kumari Tomar</t>
  </si>
  <si>
    <t>Rama Verma</t>
  </si>
  <si>
    <t>Partner Name</t>
  </si>
  <si>
    <t>Share</t>
  </si>
  <si>
    <t>Addition</t>
  </si>
  <si>
    <t>Withdrawal</t>
  </si>
  <si>
    <t>Loss</t>
  </si>
  <si>
    <t>Closing Balance</t>
  </si>
  <si>
    <t xml:space="preserve">AUTOMATION AND CONTROL SYSTEM INCLUDING (SCADA), TRANSFORMER 650  KVA, ELECTRICAL PANEL &amp; CABLES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</si>
</sst>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 &quot;Months&quot;"/>
    <numFmt numFmtId="165" formatCode="0\ &quot;Years&quot;"/>
    <numFmt numFmtId="166" formatCode="[$-409]d\-mmm\-yy;@"/>
    <numFmt numFmtId="167" formatCode="0.000%"/>
    <numFmt numFmtId="168" formatCode="_(* #,##0.00_);_(* \(#,##0.00\);_(* &quot;-&quot;??_);_(@_)"/>
    <numFmt numFmtId="169" formatCode="_ * #,##0_ ;_ * \-#,##0_ ;_ * &quot;-&quot;??_ ;_ @_ "/>
    <numFmt numFmtId="170" formatCode="&quot;INR&quot;\ 0.00\ &quot;Crore&quot;"/>
    <numFmt numFmtId="171" formatCode="0.00\ &quot;years&quot;"/>
    <numFmt numFmtId="172" formatCode="[$-409]mmm/yy;@"/>
    <numFmt numFmtId="173" formatCode="&quot;INR&quot;\ 0\ &quot;Crore&quot;"/>
    <numFmt numFmtId="174" formatCode="0\ &quot;CuM&quot;"/>
    <numFmt numFmtId="175" formatCode="0\ &quot;Kg&quot;"/>
  </numFmts>
  <fonts count="4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4"/>
      <color rgb="FFC00000"/>
      <name val="Calibri"/>
      <family val="2"/>
    </font>
    <font>
      <b/>
      <sz val="16"/>
      <color rgb="FFC00000"/>
      <name val="Calibri"/>
      <family val="2"/>
    </font>
    <font>
      <b/>
      <sz val="11"/>
      <color theme="1"/>
      <name val="Calibri"/>
      <family val="2"/>
    </font>
    <font>
      <b/>
      <sz val="12"/>
      <color theme="0"/>
      <name val="Calibri"/>
      <family val="2"/>
    </font>
    <font>
      <sz val="11"/>
      <color theme="0"/>
      <name val="Calibri"/>
      <family val="2"/>
    </font>
    <font>
      <b/>
      <sz val="11"/>
      <color theme="0"/>
      <name val="Calibri"/>
      <family val="2"/>
    </font>
    <font>
      <sz val="11"/>
      <color rgb="FF0070C0"/>
      <name val="Calibri"/>
      <family val="2"/>
    </font>
    <font>
      <b/>
      <sz val="9"/>
      <color indexed="81"/>
      <name val="Tahoma"/>
      <family val="2"/>
    </font>
    <font>
      <sz val="9"/>
      <color indexed="81"/>
      <name val="Tahoma"/>
      <family val="2"/>
    </font>
    <font>
      <b/>
      <sz val="12"/>
      <color rgb="FFC00000"/>
      <name val="Calibri"/>
      <family val="2"/>
    </font>
    <font>
      <b/>
      <i/>
      <sz val="10"/>
      <color theme="1"/>
      <name val="Calibri"/>
      <family val="2"/>
    </font>
    <font>
      <i/>
      <sz val="10"/>
      <color theme="1"/>
      <name val="Calibri"/>
      <family val="2"/>
    </font>
    <font>
      <b/>
      <sz val="11"/>
      <color rgb="FFC00000"/>
      <name val="Calibri"/>
      <family val="2"/>
    </font>
    <font>
      <b/>
      <u/>
      <sz val="11"/>
      <color theme="1"/>
      <name val="Calibri"/>
      <family val="2"/>
    </font>
    <font>
      <sz val="11"/>
      <color rgb="FF11E543"/>
      <name val="Calibri"/>
      <family val="2"/>
    </font>
    <font>
      <sz val="11"/>
      <name val="Calibri"/>
      <family val="2"/>
    </font>
    <font>
      <sz val="9"/>
      <color theme="1"/>
      <name val="Gill Sans MT"/>
      <family val="2"/>
    </font>
    <font>
      <sz val="10"/>
      <name val="Arial"/>
      <family val="2"/>
    </font>
    <font>
      <i/>
      <sz val="11"/>
      <color rgb="FFC00000"/>
      <name val="Calibri"/>
      <family val="2"/>
    </font>
    <font>
      <sz val="11"/>
      <color rgb="FF00B050"/>
      <name val="Calibri"/>
      <family val="2"/>
    </font>
    <font>
      <b/>
      <sz val="11"/>
      <color rgb="FF11E543"/>
      <name val="Calibri"/>
      <family val="2"/>
    </font>
    <font>
      <b/>
      <sz val="11"/>
      <color rgb="FFFF0000"/>
      <name val="Calibri"/>
      <family val="2"/>
    </font>
    <font>
      <sz val="11"/>
      <color rgb="FF0070C0"/>
      <name val="Calibri"/>
      <family val="2"/>
      <scheme val="minor"/>
    </font>
    <font>
      <u/>
      <sz val="11"/>
      <color theme="1"/>
      <name val="Calibri"/>
      <family val="2"/>
      <scheme val="minor"/>
    </font>
    <font>
      <b/>
      <u/>
      <sz val="11"/>
      <name val="Calibri"/>
      <family val="2"/>
    </font>
    <font>
      <b/>
      <u/>
      <sz val="11"/>
      <color theme="0"/>
      <name val="Calibri"/>
      <family val="2"/>
      <scheme val="minor"/>
    </font>
    <font>
      <b/>
      <sz val="11"/>
      <color rgb="FF0070C0"/>
      <name val="Calibri"/>
      <family val="2"/>
    </font>
    <font>
      <b/>
      <u/>
      <sz val="11"/>
      <color theme="1"/>
      <name val="Calibri"/>
      <family val="2"/>
      <scheme val="minor"/>
    </font>
    <font>
      <i/>
      <sz val="10"/>
      <color rgb="FFC00000"/>
      <name val="Calibri"/>
      <family val="2"/>
    </font>
    <font>
      <i/>
      <sz val="9"/>
      <color indexed="81"/>
      <name val="Tahoma"/>
      <family val="2"/>
    </font>
    <font>
      <b/>
      <i/>
      <sz val="9"/>
      <color indexed="81"/>
      <name val="Tahoma"/>
      <family val="2"/>
    </font>
    <font>
      <b/>
      <sz val="11"/>
      <name val="Calibri"/>
      <family val="2"/>
    </font>
    <font>
      <b/>
      <sz val="11"/>
      <color rgb="FF000000"/>
      <name val="Calibri"/>
      <family val="2"/>
    </font>
    <font>
      <b/>
      <sz val="7"/>
      <color rgb="FF000000"/>
      <name val="Times New Roman"/>
      <family val="1"/>
    </font>
    <font>
      <u/>
      <sz val="11"/>
      <color theme="10"/>
      <name val="Calibri"/>
      <family val="2"/>
      <scheme val="minor"/>
    </font>
    <font>
      <sz val="11"/>
      <color rgb="FFFF0000"/>
      <name val="Calibri"/>
      <family val="2"/>
      <scheme val="minor"/>
    </font>
    <font>
      <sz val="10.5"/>
      <color theme="1"/>
      <name val="Arial"/>
      <family val="2"/>
    </font>
    <font>
      <sz val="5"/>
      <color theme="1"/>
      <name val="Arial"/>
      <family val="2"/>
    </font>
    <font>
      <sz val="9"/>
      <color indexed="81"/>
      <name val="Tahoma"/>
      <charset val="1"/>
    </font>
    <font>
      <b/>
      <sz val="9"/>
      <color indexed="81"/>
      <name val="Tahoma"/>
      <charset val="1"/>
    </font>
    <font>
      <sz val="11"/>
      <color theme="1"/>
      <name val="Calibri"/>
      <charset val="134"/>
      <scheme val="minor"/>
    </font>
    <font>
      <b/>
      <sz val="11"/>
      <color theme="1"/>
      <name val="Calibri"/>
      <charset val="134"/>
      <scheme val="minor"/>
    </font>
    <font>
      <sz val="11"/>
      <color theme="1"/>
      <name val="Calibri"/>
      <charset val="134"/>
    </font>
    <font>
      <sz val="11"/>
      <color rgb="FF000000"/>
      <name val="Calibri"/>
      <family val="2"/>
    </font>
  </fonts>
  <fills count="21">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D966"/>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xf numFmtId="9" fontId="21" fillId="0" borderId="0" applyFont="0" applyFill="0" applyBorder="0" applyAlignment="0" applyProtection="0"/>
    <xf numFmtId="4" fontId="22" fillId="0" borderId="0"/>
    <xf numFmtId="168"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39" fillId="0" borderId="0" applyNumberFormat="0" applyFill="0" applyBorder="0" applyAlignment="0" applyProtection="0"/>
    <xf numFmtId="0" fontId="45" fillId="0" borderId="0"/>
  </cellStyleXfs>
  <cellXfs count="325">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10" fillId="2" borderId="1"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15" fontId="11" fillId="0" borderId="0" xfId="0" applyNumberFormat="1" applyFont="1" applyAlignment="1">
      <alignment horizontal="center" vertical="center"/>
    </xf>
    <xf numFmtId="164" fontId="11" fillId="0" borderId="0" xfId="1" applyNumberFormat="1" applyFont="1" applyAlignment="1">
      <alignment horizontal="center" vertical="center"/>
    </xf>
    <xf numFmtId="165" fontId="11" fillId="0" borderId="0" xfId="1" applyNumberFormat="1" applyFont="1" applyAlignment="1">
      <alignment horizontal="center" vertical="center"/>
    </xf>
    <xf numFmtId="0" fontId="4" fillId="0" borderId="0" xfId="0" applyFont="1"/>
    <xf numFmtId="0" fontId="4" fillId="0" borderId="0" xfId="0" applyFont="1" applyAlignment="1">
      <alignment vertical="center" wrapText="1"/>
    </xf>
    <xf numFmtId="0" fontId="11" fillId="0" borderId="0" xfId="0" applyFont="1" applyAlignment="1">
      <alignment horizontal="center" vertical="center"/>
    </xf>
    <xf numFmtId="9" fontId="11" fillId="0" borderId="0" xfId="0" applyNumberFormat="1" applyFont="1" applyAlignment="1">
      <alignment horizontal="center" vertical="center"/>
    </xf>
    <xf numFmtId="9" fontId="4" fillId="0" borderId="0" xfId="0" applyNumberFormat="1" applyFont="1" applyAlignment="1">
      <alignment horizontal="center" vertical="center"/>
    </xf>
    <xf numFmtId="2" fontId="11" fillId="0" borderId="0" xfId="0" applyNumberFormat="1" applyFont="1" applyAlignment="1">
      <alignment horizontal="center" vertical="center"/>
    </xf>
    <xf numFmtId="4" fontId="11" fillId="0" borderId="0" xfId="0" applyNumberFormat="1" applyFont="1" applyAlignment="1">
      <alignment horizontal="center" vertical="center"/>
    </xf>
    <xf numFmtId="0" fontId="4" fillId="0" borderId="0" xfId="0" applyFont="1" applyAlignment="1">
      <alignment horizontal="left" vertical="center" wrapText="1"/>
    </xf>
    <xf numFmtId="9" fontId="11" fillId="0" borderId="0" xfId="2" applyFont="1" applyAlignment="1">
      <alignment horizontal="center" vertical="center"/>
    </xf>
    <xf numFmtId="10" fontId="11" fillId="0" borderId="0" xfId="2" applyNumberFormat="1" applyFont="1" applyAlignment="1">
      <alignment horizontal="center" vertical="center"/>
    </xf>
    <xf numFmtId="10" fontId="11" fillId="0" borderId="0" xfId="0" applyNumberFormat="1" applyFont="1" applyAlignment="1">
      <alignment horizontal="center" vertical="center"/>
    </xf>
    <xf numFmtId="10" fontId="11" fillId="0" borderId="0" xfId="0" applyNumberFormat="1" applyFont="1" applyFill="1" applyAlignment="1">
      <alignment horizontal="center" vertical="center"/>
    </xf>
    <xf numFmtId="0" fontId="5" fillId="4" borderId="0" xfId="0" applyFont="1" applyFill="1" applyAlignment="1">
      <alignment horizontal="left" vertical="center"/>
    </xf>
    <xf numFmtId="0" fontId="6" fillId="4" borderId="0" xfId="0" applyFont="1" applyFill="1" applyAlignment="1">
      <alignment horizontal="left" vertical="center"/>
    </xf>
    <xf numFmtId="0" fontId="7" fillId="4" borderId="0" xfId="0" applyFont="1" applyFill="1" applyAlignment="1">
      <alignment horizontal="left" vertical="center"/>
    </xf>
    <xf numFmtId="0" fontId="4" fillId="0" borderId="0" xfId="0" applyFont="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 vertical="center"/>
    </xf>
    <xf numFmtId="14" fontId="4" fillId="0" borderId="0" xfId="0" applyNumberFormat="1" applyFont="1" applyAlignment="1">
      <alignment vertical="center"/>
    </xf>
    <xf numFmtId="0" fontId="10" fillId="2" borderId="0" xfId="0" applyFont="1" applyFill="1" applyAlignment="1">
      <alignment vertical="center"/>
    </xf>
    <xf numFmtId="0" fontId="10" fillId="2" borderId="0" xfId="0" applyFont="1" applyFill="1" applyAlignment="1">
      <alignment horizontal="center" vertical="center"/>
    </xf>
    <xf numFmtId="166" fontId="10" fillId="2" borderId="0" xfId="0" applyNumberFormat="1" applyFont="1" applyFill="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5" fillId="4" borderId="0" xfId="0" applyFont="1" applyFill="1" applyAlignment="1">
      <alignment vertical="center"/>
    </xf>
    <xf numFmtId="0" fontId="17" fillId="4" borderId="0" xfId="0" applyFont="1" applyFill="1" applyAlignment="1">
      <alignment horizontal="center" vertical="center"/>
    </xf>
    <xf numFmtId="1" fontId="15" fillId="5" borderId="0" xfId="0" applyNumberFormat="1" applyFont="1" applyFill="1" applyAlignment="1">
      <alignment horizontal="center" vertical="center"/>
    </xf>
    <xf numFmtId="0" fontId="15" fillId="7" borderId="0" xfId="0" applyFont="1" applyFill="1" applyAlignment="1">
      <alignment vertical="center"/>
    </xf>
    <xf numFmtId="0" fontId="15" fillId="7" borderId="0" xfId="0" applyFont="1" applyFill="1" applyAlignment="1">
      <alignment horizontal="center" vertical="center"/>
    </xf>
    <xf numFmtId="1" fontId="15" fillId="7" borderId="0" xfId="0" applyNumberFormat="1"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0" fontId="0" fillId="0" borderId="0" xfId="0" applyAlignment="1">
      <alignment horizontal="center" vertical="center"/>
    </xf>
    <xf numFmtId="0" fontId="3" fillId="7" borderId="0" xfId="0" applyFont="1" applyFill="1" applyAlignment="1">
      <alignment vertical="center"/>
    </xf>
    <xf numFmtId="0" fontId="3" fillId="7" borderId="0" xfId="0" applyFont="1" applyFill="1" applyAlignment="1">
      <alignment horizontal="center" vertical="center"/>
    </xf>
    <xf numFmtId="0" fontId="18" fillId="0" borderId="0" xfId="0" applyFont="1" applyAlignment="1">
      <alignment vertical="center"/>
    </xf>
    <xf numFmtId="2" fontId="4" fillId="0" borderId="0" xfId="0" applyNumberFormat="1" applyFont="1" applyAlignment="1">
      <alignment horizontal="center" vertical="center"/>
    </xf>
    <xf numFmtId="2" fontId="19" fillId="0" borderId="0" xfId="0" applyNumberFormat="1" applyFont="1" applyAlignment="1">
      <alignment horizontal="center" vertical="center"/>
    </xf>
    <xf numFmtId="1" fontId="19" fillId="0" borderId="0" xfId="0" applyNumberFormat="1" applyFont="1" applyAlignment="1">
      <alignment horizontal="center" vertical="center"/>
    </xf>
    <xf numFmtId="1" fontId="4" fillId="0" borderId="0" xfId="0" applyNumberFormat="1" applyFont="1" applyAlignment="1">
      <alignment horizontal="center" vertical="center"/>
    </xf>
    <xf numFmtId="0" fontId="18" fillId="7" borderId="0" xfId="0" applyFont="1" applyFill="1" applyAlignment="1">
      <alignment vertical="center"/>
    </xf>
    <xf numFmtId="0" fontId="4" fillId="7" borderId="0" xfId="0" applyFont="1" applyFill="1" applyAlignment="1">
      <alignment vertical="center"/>
    </xf>
    <xf numFmtId="2" fontId="4" fillId="7" borderId="0" xfId="0" applyNumberFormat="1" applyFont="1" applyFill="1" applyAlignment="1">
      <alignment horizontal="center" vertical="center"/>
    </xf>
    <xf numFmtId="0" fontId="7" fillId="7" borderId="2" xfId="0" applyFont="1" applyFill="1" applyBorder="1" applyAlignment="1">
      <alignment vertical="center"/>
    </xf>
    <xf numFmtId="2" fontId="7" fillId="7" borderId="2" xfId="0" applyNumberFormat="1" applyFont="1" applyFill="1" applyBorder="1" applyAlignment="1">
      <alignment horizontal="center" vertical="center"/>
    </xf>
    <xf numFmtId="10" fontId="0" fillId="0" borderId="0" xfId="2" applyNumberFormat="1" applyFont="1" applyAlignment="1">
      <alignment horizontal="center" vertical="center"/>
    </xf>
    <xf numFmtId="1" fontId="11" fillId="0" borderId="0" xfId="0" applyNumberFormat="1" applyFont="1" applyAlignment="1">
      <alignment horizontal="center" vertical="center"/>
    </xf>
    <xf numFmtId="4" fontId="4" fillId="0" borderId="0" xfId="0" applyNumberFormat="1" applyFont="1" applyAlignment="1">
      <alignment horizontal="center" vertical="center"/>
    </xf>
    <xf numFmtId="0" fontId="20" fillId="0" borderId="0" xfId="0" applyNumberFormat="1" applyFont="1" applyAlignment="1">
      <alignment vertical="center"/>
    </xf>
    <xf numFmtId="0" fontId="10" fillId="2" borderId="2" xfId="0" applyFont="1" applyFill="1" applyBorder="1" applyAlignment="1">
      <alignment vertical="center"/>
    </xf>
    <xf numFmtId="2" fontId="10" fillId="2" borderId="2" xfId="0" applyNumberFormat="1" applyFont="1" applyFill="1" applyBorder="1" applyAlignment="1">
      <alignment horizontal="center" vertical="center"/>
    </xf>
    <xf numFmtId="4" fontId="19" fillId="0" borderId="0" xfId="0" applyNumberFormat="1" applyFont="1" applyAlignment="1">
      <alignment horizontal="center" vertical="center"/>
    </xf>
    <xf numFmtId="3" fontId="4" fillId="0" borderId="0" xfId="0" applyNumberFormat="1" applyFont="1" applyAlignment="1">
      <alignment horizontal="center" vertical="center"/>
    </xf>
    <xf numFmtId="0" fontId="4" fillId="0" borderId="0" xfId="3" applyFont="1" applyAlignment="1">
      <alignment horizontal="left" vertical="center"/>
    </xf>
    <xf numFmtId="0" fontId="4" fillId="0" borderId="0" xfId="3" applyFont="1" applyAlignment="1">
      <alignment vertical="center"/>
    </xf>
    <xf numFmtId="0" fontId="8" fillId="2" borderId="0" xfId="3" applyFont="1" applyFill="1" applyAlignment="1">
      <alignment horizontal="left" vertical="center"/>
    </xf>
    <xf numFmtId="0" fontId="9" fillId="2" borderId="0" xfId="3" applyFont="1" applyFill="1" applyAlignment="1">
      <alignment horizontal="left" vertical="center"/>
    </xf>
    <xf numFmtId="0" fontId="10" fillId="2" borderId="1" xfId="3" applyFont="1" applyFill="1" applyBorder="1" applyAlignment="1">
      <alignment vertical="center"/>
    </xf>
    <xf numFmtId="0" fontId="7" fillId="3" borderId="0" xfId="3" applyFont="1" applyFill="1" applyAlignment="1">
      <alignment horizontal="left" vertical="center"/>
    </xf>
    <xf numFmtId="0" fontId="7" fillId="3" borderId="0" xfId="3" applyFont="1" applyFill="1" applyAlignment="1">
      <alignment horizontal="center" vertical="center"/>
    </xf>
    <xf numFmtId="2" fontId="4" fillId="0" borderId="0" xfId="3" applyNumberFormat="1" applyFont="1" applyAlignment="1">
      <alignment vertical="center"/>
    </xf>
    <xf numFmtId="2" fontId="4" fillId="8" borderId="0" xfId="3" applyNumberFormat="1" applyFont="1" applyFill="1" applyAlignment="1">
      <alignment horizontal="center" vertical="center"/>
    </xf>
    <xf numFmtId="0" fontId="7" fillId="3" borderId="2" xfId="3" applyFont="1" applyFill="1" applyBorder="1" applyAlignment="1">
      <alignment horizontal="left" vertical="center"/>
    </xf>
    <xf numFmtId="2" fontId="7" fillId="3" borderId="2" xfId="3" applyNumberFormat="1" applyFont="1" applyFill="1" applyBorder="1" applyAlignment="1">
      <alignment horizontal="center" vertical="center"/>
    </xf>
    <xf numFmtId="0" fontId="4" fillId="0" borderId="0" xfId="3" applyFont="1" applyAlignment="1">
      <alignment vertical="center" wrapText="1"/>
    </xf>
    <xf numFmtId="9" fontId="4" fillId="0" borderId="0" xfId="3" applyNumberFormat="1" applyFont="1" applyAlignment="1">
      <alignment horizontal="center" vertical="center"/>
    </xf>
    <xf numFmtId="2" fontId="4" fillId="0" borderId="0" xfId="3" applyNumberFormat="1" applyFont="1" applyAlignment="1">
      <alignment horizontal="center" vertical="center"/>
    </xf>
    <xf numFmtId="0" fontId="5" fillId="4" borderId="0" xfId="3" applyFont="1" applyFill="1" applyAlignment="1">
      <alignment horizontal="left" vertical="center"/>
    </xf>
    <xf numFmtId="0" fontId="6" fillId="4" borderId="0" xfId="3" applyFont="1" applyFill="1" applyAlignment="1">
      <alignment horizontal="left" vertical="center"/>
    </xf>
    <xf numFmtId="0" fontId="7" fillId="4" borderId="0" xfId="3" applyFont="1" applyFill="1" applyAlignment="1">
      <alignment horizontal="left" vertical="center"/>
    </xf>
    <xf numFmtId="0" fontId="10" fillId="2" borderId="0" xfId="3" applyFont="1" applyFill="1" applyAlignment="1">
      <alignment vertical="center"/>
    </xf>
    <xf numFmtId="2" fontId="10" fillId="2" borderId="0" xfId="3" applyNumberFormat="1" applyFont="1" applyFill="1" applyAlignment="1">
      <alignment horizontal="center" vertical="center"/>
    </xf>
    <xf numFmtId="2" fontId="11" fillId="0" borderId="0" xfId="3" applyNumberFormat="1" applyFont="1" applyAlignment="1">
      <alignment horizontal="center" vertical="center"/>
    </xf>
    <xf numFmtId="4" fontId="11" fillId="0" borderId="0" xfId="3" applyNumberFormat="1" applyFont="1" applyAlignment="1">
      <alignment horizontal="center" vertical="center"/>
    </xf>
    <xf numFmtId="10" fontId="4" fillId="0" borderId="0" xfId="2" applyNumberFormat="1" applyFont="1" applyAlignment="1">
      <alignment vertical="center"/>
    </xf>
    <xf numFmtId="2" fontId="4" fillId="0" borderId="0" xfId="2" applyNumberFormat="1" applyFont="1" applyAlignment="1">
      <alignment vertical="center"/>
    </xf>
    <xf numFmtId="2" fontId="23" fillId="0" borderId="3" xfId="3" applyNumberFormat="1" applyFont="1" applyBorder="1" applyAlignment="1">
      <alignment vertical="center"/>
    </xf>
    <xf numFmtId="167" fontId="4" fillId="0" borderId="0" xfId="2" applyNumberFormat="1" applyFont="1" applyAlignment="1">
      <alignmen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9" fontId="24" fillId="0" borderId="0" xfId="0" applyNumberFormat="1" applyFont="1" applyAlignment="1">
      <alignment horizontal="center" vertical="center"/>
    </xf>
    <xf numFmtId="0" fontId="7" fillId="3" borderId="2" xfId="0" applyFont="1" applyFill="1" applyBorder="1" applyAlignment="1">
      <alignment vertical="center"/>
    </xf>
    <xf numFmtId="2" fontId="7" fillId="3" borderId="2" xfId="0" applyNumberFormat="1" applyFont="1" applyFill="1" applyBorder="1" applyAlignment="1">
      <alignment horizontal="center" vertical="center"/>
    </xf>
    <xf numFmtId="0" fontId="17" fillId="4" borderId="0" xfId="0" applyFont="1" applyFill="1" applyAlignment="1">
      <alignment horizontal="center" vertical="center"/>
    </xf>
    <xf numFmtId="0" fontId="4" fillId="0" borderId="0" xfId="0" applyFont="1" applyAlignment="1">
      <alignment horizontal="center" vertical="center" wrapText="1"/>
    </xf>
    <xf numFmtId="0" fontId="7" fillId="10" borderId="0" xfId="0" applyFont="1" applyFill="1" applyAlignment="1">
      <alignment horizontal="left" vertical="center"/>
    </xf>
    <xf numFmtId="0" fontId="7" fillId="10"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3" fontId="7" fillId="10" borderId="0" xfId="0" applyNumberFormat="1" applyFont="1" applyFill="1" applyAlignment="1">
      <alignment horizontal="center" vertical="center"/>
    </xf>
    <xf numFmtId="3" fontId="4" fillId="10" borderId="0" xfId="0" applyNumberFormat="1" applyFont="1" applyFill="1" applyAlignment="1">
      <alignment horizontal="center" vertical="center"/>
    </xf>
    <xf numFmtId="3" fontId="7" fillId="0" borderId="0" xfId="0" applyNumberFormat="1" applyFont="1" applyAlignment="1">
      <alignment vertical="center"/>
    </xf>
    <xf numFmtId="0" fontId="10" fillId="2" borderId="0" xfId="0" applyFont="1" applyFill="1" applyAlignment="1">
      <alignment horizontal="left" vertical="center"/>
    </xf>
    <xf numFmtId="3" fontId="10" fillId="2" borderId="0" xfId="0" applyNumberFormat="1" applyFont="1" applyFill="1" applyAlignment="1">
      <alignment horizontal="center" vertical="center"/>
    </xf>
    <xf numFmtId="10" fontId="4" fillId="0" borderId="0" xfId="0" applyNumberFormat="1" applyFont="1" applyAlignment="1">
      <alignment horizontal="center" vertical="center"/>
    </xf>
    <xf numFmtId="0" fontId="7" fillId="3" borderId="2" xfId="0" applyFont="1" applyFill="1" applyBorder="1" applyAlignment="1">
      <alignment vertical="center" wrapText="1"/>
    </xf>
    <xf numFmtId="10" fontId="7" fillId="3" borderId="2" xfId="4" applyNumberFormat="1" applyFont="1" applyFill="1" applyBorder="1" applyAlignment="1">
      <alignment vertical="center"/>
    </xf>
    <xf numFmtId="2" fontId="7" fillId="0" borderId="0" xfId="0" applyNumberFormat="1" applyFont="1" applyAlignment="1">
      <alignment horizontal="center" vertical="center"/>
    </xf>
    <xf numFmtId="9" fontId="20" fillId="0" borderId="0" xfId="0" applyNumberFormat="1" applyFont="1" applyAlignment="1">
      <alignment horizontal="center" vertical="center"/>
    </xf>
    <xf numFmtId="169" fontId="0" fillId="0" borderId="0" xfId="1" applyNumberFormat="1" applyFont="1" applyAlignment="1">
      <alignment vertical="center"/>
    </xf>
    <xf numFmtId="0" fontId="7" fillId="0" borderId="2" xfId="0" applyFont="1" applyBorder="1" applyAlignment="1">
      <alignment vertical="center"/>
    </xf>
    <xf numFmtId="2" fontId="25" fillId="0" borderId="2" xfId="0" applyNumberFormat="1" applyFont="1" applyBorder="1" applyAlignment="1">
      <alignment horizontal="center" vertical="center"/>
    </xf>
    <xf numFmtId="2" fontId="7" fillId="0" borderId="2" xfId="0" applyNumberFormat="1" applyFont="1" applyBorder="1" applyAlignment="1">
      <alignment horizontal="center" vertical="center"/>
    </xf>
    <xf numFmtId="2" fontId="10" fillId="2" borderId="0" xfId="0" applyNumberFormat="1" applyFont="1" applyFill="1" applyAlignment="1">
      <alignment horizontal="center" vertical="center"/>
    </xf>
    <xf numFmtId="0" fontId="10" fillId="2" borderId="0" xfId="0" applyNumberFormat="1" applyFont="1" applyFill="1" applyAlignment="1">
      <alignment vertical="center"/>
    </xf>
    <xf numFmtId="9" fontId="10" fillId="2" borderId="0" xfId="0" applyNumberFormat="1"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horizontal="center" vertical="center" wrapText="1"/>
    </xf>
    <xf numFmtId="0" fontId="7" fillId="0" borderId="2" xfId="0" applyFont="1" applyFill="1" applyBorder="1" applyAlignment="1">
      <alignment vertical="center"/>
    </xf>
    <xf numFmtId="0" fontId="4" fillId="0" borderId="0" xfId="0" applyFont="1" applyFill="1" applyAlignment="1">
      <alignment vertical="center"/>
    </xf>
    <xf numFmtId="2" fontId="4" fillId="0" borderId="0" xfId="0" applyNumberFormat="1" applyFont="1" applyFill="1" applyAlignment="1">
      <alignment horizontal="center" vertical="center"/>
    </xf>
    <xf numFmtId="0" fontId="4" fillId="8" borderId="0" xfId="0" applyFont="1" applyFill="1" applyAlignment="1">
      <alignment vertical="center"/>
    </xf>
    <xf numFmtId="2" fontId="4" fillId="8" borderId="0" xfId="0" applyNumberFormat="1" applyFont="1" applyFill="1" applyAlignment="1">
      <alignment horizontal="center" vertical="center"/>
    </xf>
    <xf numFmtId="0" fontId="26" fillId="8" borderId="0" xfId="0" applyFont="1" applyFill="1" applyAlignment="1">
      <alignment vertical="center"/>
    </xf>
    <xf numFmtId="0" fontId="4" fillId="11" borderId="0" xfId="0" applyFont="1" applyFill="1" applyAlignment="1">
      <alignment vertical="center"/>
    </xf>
    <xf numFmtId="2" fontId="4" fillId="11" borderId="0" xfId="0" applyNumberFormat="1" applyFont="1" applyFill="1" applyAlignment="1">
      <alignment horizontal="center" vertical="center"/>
    </xf>
    <xf numFmtId="0" fontId="4" fillId="3" borderId="0" xfId="0" applyFont="1" applyFill="1" applyAlignment="1">
      <alignment vertical="center"/>
    </xf>
    <xf numFmtId="2" fontId="4" fillId="3" borderId="0" xfId="0" applyNumberFormat="1" applyFont="1" applyFill="1" applyAlignment="1">
      <alignment horizontal="center" vertical="center"/>
    </xf>
    <xf numFmtId="0" fontId="7" fillId="12" borderId="2" xfId="0" applyFont="1" applyFill="1" applyBorder="1" applyAlignment="1">
      <alignment vertical="center"/>
    </xf>
    <xf numFmtId="2" fontId="7" fillId="12" borderId="2" xfId="0" applyNumberFormat="1" applyFont="1" applyFill="1" applyBorder="1" applyAlignment="1">
      <alignment horizontal="center" vertical="center"/>
    </xf>
    <xf numFmtId="0" fontId="4" fillId="12" borderId="0" xfId="0" applyFont="1" applyFill="1" applyAlignment="1">
      <alignment vertical="center"/>
    </xf>
    <xf numFmtId="2" fontId="4" fillId="12" borderId="0" xfId="0" applyNumberFormat="1" applyFont="1" applyFill="1" applyAlignment="1">
      <alignment horizontal="center" vertical="center"/>
    </xf>
    <xf numFmtId="0" fontId="7" fillId="10" borderId="2" xfId="0" applyFont="1" applyFill="1" applyBorder="1" applyAlignment="1">
      <alignment vertical="center"/>
    </xf>
    <xf numFmtId="0" fontId="4" fillId="10" borderId="2" xfId="0" applyFont="1" applyFill="1" applyBorder="1" applyAlignment="1">
      <alignment vertical="center"/>
    </xf>
    <xf numFmtId="2" fontId="4" fillId="10" borderId="2" xfId="0" applyNumberFormat="1" applyFont="1" applyFill="1" applyBorder="1" applyAlignment="1">
      <alignment horizontal="center" vertical="center"/>
    </xf>
    <xf numFmtId="0" fontId="4" fillId="10" borderId="0" xfId="0" applyFont="1" applyFill="1" applyAlignment="1">
      <alignment vertical="center"/>
    </xf>
    <xf numFmtId="2" fontId="4" fillId="10" borderId="0" xfId="0" applyNumberFormat="1" applyFont="1" applyFill="1" applyAlignment="1">
      <alignment horizontal="center" vertical="center"/>
    </xf>
    <xf numFmtId="0" fontId="7" fillId="13" borderId="2" xfId="0" applyFont="1" applyFill="1" applyBorder="1" applyAlignment="1">
      <alignment vertical="center"/>
    </xf>
    <xf numFmtId="2" fontId="7" fillId="13" borderId="2" xfId="0" applyNumberFormat="1" applyFont="1" applyFill="1" applyBorder="1" applyAlignment="1">
      <alignment horizontal="center" vertical="center"/>
    </xf>
    <xf numFmtId="0" fontId="4" fillId="13" borderId="0" xfId="0" applyFont="1" applyFill="1" applyAlignment="1">
      <alignment vertical="center"/>
    </xf>
    <xf numFmtId="2" fontId="4" fillId="13" borderId="0" xfId="0" applyNumberFormat="1" applyFont="1" applyFill="1" applyAlignment="1">
      <alignment horizontal="center" vertical="center"/>
    </xf>
    <xf numFmtId="0" fontId="7" fillId="14" borderId="2" xfId="0" applyFont="1" applyFill="1" applyBorder="1" applyAlignment="1">
      <alignment vertical="center"/>
    </xf>
    <xf numFmtId="2" fontId="7" fillId="14" borderId="2" xfId="0" applyNumberFormat="1" applyFont="1" applyFill="1" applyBorder="1" applyAlignment="1">
      <alignment horizontal="center" vertical="center"/>
    </xf>
    <xf numFmtId="0" fontId="4" fillId="14" borderId="0" xfId="0" applyFont="1" applyFill="1" applyAlignment="1">
      <alignment vertical="center"/>
    </xf>
    <xf numFmtId="2" fontId="4" fillId="14" borderId="0" xfId="0" applyNumberFormat="1" applyFont="1" applyFill="1" applyAlignment="1">
      <alignment horizontal="center" vertical="center"/>
    </xf>
    <xf numFmtId="0" fontId="7" fillId="15" borderId="2" xfId="0" applyFont="1" applyFill="1" applyBorder="1" applyAlignment="1">
      <alignment vertical="center"/>
    </xf>
    <xf numFmtId="2" fontId="7" fillId="15" borderId="2" xfId="0" applyNumberFormat="1" applyFont="1" applyFill="1" applyBorder="1" applyAlignment="1">
      <alignment horizontal="center" vertical="center"/>
    </xf>
    <xf numFmtId="0" fontId="4" fillId="15" borderId="0" xfId="0" applyFont="1" applyFill="1" applyAlignment="1">
      <alignment vertical="center"/>
    </xf>
    <xf numFmtId="2" fontId="4" fillId="15" borderId="0" xfId="0" applyNumberFormat="1" applyFont="1" applyFill="1" applyAlignment="1">
      <alignment horizontal="center" vertical="center"/>
    </xf>
    <xf numFmtId="0" fontId="7" fillId="16" borderId="2" xfId="0" applyFont="1" applyFill="1" applyBorder="1" applyAlignment="1">
      <alignment vertical="center"/>
    </xf>
    <xf numFmtId="2" fontId="7" fillId="16" borderId="2" xfId="0" applyNumberFormat="1" applyFont="1" applyFill="1" applyBorder="1" applyAlignment="1">
      <alignment horizontal="center" vertical="center"/>
    </xf>
    <xf numFmtId="0" fontId="4" fillId="16" borderId="0" xfId="0" applyFont="1" applyFill="1" applyAlignment="1">
      <alignment vertical="center"/>
    </xf>
    <xf numFmtId="2" fontId="4" fillId="16" borderId="0" xfId="0" applyNumberFormat="1" applyFont="1" applyFill="1" applyAlignment="1">
      <alignment horizontal="center" vertical="center"/>
    </xf>
    <xf numFmtId="0" fontId="10" fillId="2" borderId="2" xfId="0" applyFont="1" applyFill="1" applyBorder="1" applyAlignment="1">
      <alignment horizontal="center" vertical="center"/>
    </xf>
    <xf numFmtId="2" fontId="0" fillId="0" borderId="0" xfId="0" applyNumberFormat="1" applyAlignment="1">
      <alignment horizontal="center" vertical="center"/>
    </xf>
    <xf numFmtId="2" fontId="27" fillId="0" borderId="0" xfId="0" applyNumberFormat="1" applyFont="1" applyAlignment="1">
      <alignment horizontal="center" vertical="center"/>
    </xf>
    <xf numFmtId="2" fontId="17" fillId="5" borderId="0" xfId="0" applyNumberFormat="1" applyFont="1" applyFill="1" applyAlignment="1">
      <alignment horizontal="center" vertical="center"/>
    </xf>
    <xf numFmtId="0" fontId="17" fillId="4" borderId="0" xfId="0" applyFont="1" applyFill="1" applyAlignment="1">
      <alignment horizontal="center" vertical="center"/>
    </xf>
    <xf numFmtId="1" fontId="0" fillId="0" borderId="0" xfId="0" applyNumberFormat="1" applyAlignment="1">
      <alignment horizontal="center" vertical="center"/>
    </xf>
    <xf numFmtId="0" fontId="10" fillId="2" borderId="0" xfId="0" applyFont="1" applyFill="1" applyAlignment="1">
      <alignment horizontal="center" vertical="center" wrapText="1"/>
    </xf>
    <xf numFmtId="0" fontId="19" fillId="0" borderId="0" xfId="0" applyFont="1" applyAlignment="1">
      <alignment horizontal="center" vertical="center"/>
    </xf>
    <xf numFmtId="10" fontId="11" fillId="0" borderId="0" xfId="8" applyNumberFormat="1" applyFont="1" applyFill="1" applyBorder="1" applyAlignment="1">
      <alignment horizontal="center" vertical="center"/>
    </xf>
    <xf numFmtId="0" fontId="7" fillId="17" borderId="0" xfId="0" applyFont="1" applyFill="1" applyAlignment="1">
      <alignment vertical="center"/>
    </xf>
    <xf numFmtId="2" fontId="7" fillId="17" borderId="0" xfId="0" applyNumberFormat="1" applyFont="1" applyFill="1" applyAlignment="1">
      <alignment horizontal="center" vertical="center"/>
    </xf>
    <xf numFmtId="0" fontId="4" fillId="7" borderId="2" xfId="0" applyFont="1" applyFill="1" applyBorder="1" applyAlignment="1">
      <alignment horizontal="center" vertical="center"/>
    </xf>
    <xf numFmtId="0" fontId="7" fillId="7" borderId="0" xfId="0" applyFont="1" applyFill="1" applyAlignment="1">
      <alignment vertical="center"/>
    </xf>
    <xf numFmtId="0" fontId="7" fillId="7" borderId="0" xfId="0" applyFont="1" applyFill="1" applyAlignment="1">
      <alignment horizontal="center" vertical="center"/>
    </xf>
    <xf numFmtId="166" fontId="17" fillId="5" borderId="0" xfId="0" applyNumberFormat="1" applyFont="1" applyFill="1" applyAlignment="1">
      <alignment horizontal="center" vertical="center"/>
    </xf>
    <xf numFmtId="0" fontId="17" fillId="4" borderId="0" xfId="0" applyFont="1" applyFill="1" applyAlignment="1">
      <alignment horizontal="center" vertical="center"/>
    </xf>
    <xf numFmtId="2" fontId="3" fillId="7" borderId="0" xfId="0" applyNumberFormat="1" applyFont="1" applyFill="1" applyAlignment="1">
      <alignment horizontal="center" vertical="center"/>
    </xf>
    <xf numFmtId="0" fontId="28" fillId="0" borderId="0" xfId="0" applyFont="1" applyAlignment="1">
      <alignment vertical="center"/>
    </xf>
    <xf numFmtId="0" fontId="29" fillId="0" borderId="0" xfId="0" applyNumberFormat="1" applyFont="1" applyAlignment="1">
      <alignment vertical="center"/>
    </xf>
    <xf numFmtId="0" fontId="7" fillId="0" borderId="2" xfId="0" applyFont="1" applyBorder="1" applyAlignment="1">
      <alignment horizontal="center" vertical="center"/>
    </xf>
    <xf numFmtId="0" fontId="30" fillId="2" borderId="0" xfId="0" applyFont="1" applyFill="1" applyAlignment="1">
      <alignment vertical="center"/>
    </xf>
    <xf numFmtId="2" fontId="30" fillId="2" borderId="0" xfId="0" applyNumberFormat="1" applyFont="1" applyFill="1" applyAlignment="1">
      <alignment horizontal="center" vertical="center"/>
    </xf>
    <xf numFmtId="9" fontId="0" fillId="0" borderId="0" xfId="0" applyNumberFormat="1" applyAlignment="1">
      <alignment horizontal="center" vertical="center"/>
    </xf>
    <xf numFmtId="0" fontId="3" fillId="0" borderId="2" xfId="0" applyFont="1" applyBorder="1" applyAlignment="1">
      <alignment vertical="center"/>
    </xf>
    <xf numFmtId="2" fontId="3" fillId="0" borderId="2" xfId="0" applyNumberFormat="1" applyFont="1" applyBorder="1" applyAlignment="1">
      <alignment horizontal="center" vertical="center"/>
    </xf>
    <xf numFmtId="9" fontId="31" fillId="0" borderId="2" xfId="0" applyNumberFormat="1" applyFont="1" applyBorder="1" applyAlignment="1">
      <alignment horizontal="center" vertical="center"/>
    </xf>
    <xf numFmtId="10" fontId="7" fillId="0" borderId="2" xfId="0" applyNumberFormat="1" applyFont="1" applyBorder="1" applyAlignment="1">
      <alignment horizontal="center" vertical="center"/>
    </xf>
    <xf numFmtId="10" fontId="4" fillId="0" borderId="0" xfId="0" applyNumberFormat="1" applyFont="1" applyAlignment="1">
      <alignment vertical="center"/>
    </xf>
    <xf numFmtId="2" fontId="7" fillId="3" borderId="0" xfId="0" applyNumberFormat="1" applyFont="1" applyFill="1" applyAlignment="1">
      <alignment horizontal="center" vertical="center"/>
    </xf>
    <xf numFmtId="0" fontId="32" fillId="0" borderId="0" xfId="0" applyFont="1" applyAlignment="1">
      <alignment vertical="center"/>
    </xf>
    <xf numFmtId="0" fontId="3" fillId="7" borderId="2" xfId="0" applyFont="1" applyFill="1" applyBorder="1" applyAlignment="1">
      <alignment vertical="center"/>
    </xf>
    <xf numFmtId="2" fontId="2" fillId="2" borderId="0" xfId="0" applyNumberFormat="1" applyFont="1" applyFill="1" applyAlignment="1">
      <alignment horizontal="center" vertical="center"/>
    </xf>
    <xf numFmtId="4" fontId="0" fillId="0" borderId="0" xfId="0" applyNumberFormat="1" applyAlignment="1">
      <alignment horizontal="center" vertical="center"/>
    </xf>
    <xf numFmtId="0" fontId="33" fillId="0" borderId="2" xfId="0" applyFont="1" applyBorder="1" applyAlignment="1">
      <alignment vertical="center"/>
    </xf>
    <xf numFmtId="2" fontId="33" fillId="0" borderId="2" xfId="0" applyNumberFormat="1" applyFont="1" applyBorder="1" applyAlignment="1">
      <alignment horizontal="center" vertical="center"/>
    </xf>
    <xf numFmtId="2" fontId="3" fillId="7" borderId="2" xfId="0" applyNumberFormat="1" applyFont="1" applyFill="1" applyBorder="1" applyAlignment="1">
      <alignment horizontal="center" vertical="center"/>
    </xf>
    <xf numFmtId="0" fontId="17" fillId="4" borderId="0" xfId="0" applyFont="1" applyFill="1" applyAlignment="1">
      <alignment horizontal="center" vertical="center"/>
    </xf>
    <xf numFmtId="0" fontId="17" fillId="4" borderId="0" xfId="0" applyFont="1" applyFill="1" applyAlignment="1">
      <alignment vertical="center"/>
    </xf>
    <xf numFmtId="2" fontId="0" fillId="0" borderId="0" xfId="0" applyNumberFormat="1" applyAlignment="1">
      <alignment vertical="center"/>
    </xf>
    <xf numFmtId="0" fontId="4" fillId="0" borderId="0" xfId="0" applyFont="1" applyBorder="1" applyAlignment="1">
      <alignment vertical="center"/>
    </xf>
    <xf numFmtId="2" fontId="4" fillId="0" borderId="0" xfId="0" applyNumberFormat="1" applyFont="1" applyBorder="1" applyAlignment="1">
      <alignment horizontal="center" vertical="center"/>
    </xf>
    <xf numFmtId="0" fontId="4" fillId="18" borderId="0" xfId="0" applyFont="1" applyFill="1" applyAlignment="1">
      <alignment vertical="center"/>
    </xf>
    <xf numFmtId="2" fontId="4" fillId="18" borderId="0" xfId="0" applyNumberFormat="1" applyFont="1" applyFill="1" applyAlignment="1">
      <alignment horizontal="center" vertical="center"/>
    </xf>
    <xf numFmtId="170" fontId="10" fillId="2" borderId="0" xfId="0" applyNumberFormat="1" applyFont="1" applyFill="1" applyAlignment="1">
      <alignment vertical="center"/>
    </xf>
    <xf numFmtId="10" fontId="10" fillId="2" borderId="0" xfId="0" applyNumberFormat="1" applyFont="1" applyFill="1" applyAlignment="1">
      <alignment vertical="center"/>
    </xf>
    <xf numFmtId="171" fontId="10" fillId="2" borderId="0" xfId="0" applyNumberFormat="1" applyFont="1" applyFill="1" applyAlignment="1">
      <alignment vertical="center"/>
    </xf>
    <xf numFmtId="10" fontId="7" fillId="0" borderId="0" xfId="4" applyNumberFormat="1" applyFont="1" applyAlignment="1">
      <alignment horizontal="center" vertical="center"/>
    </xf>
    <xf numFmtId="0" fontId="7" fillId="0" borderId="0" xfId="0" applyFont="1" applyAlignment="1">
      <alignment vertical="center" wrapText="1"/>
    </xf>
    <xf numFmtId="10" fontId="10" fillId="2" borderId="2" xfId="4" applyNumberFormat="1" applyFont="1" applyFill="1" applyBorder="1" applyAlignment="1">
      <alignment horizontal="center" vertical="center"/>
    </xf>
    <xf numFmtId="9" fontId="4" fillId="0" borderId="0" xfId="0" applyNumberFormat="1" applyFont="1" applyAlignment="1">
      <alignment vertical="center"/>
    </xf>
    <xf numFmtId="10" fontId="10" fillId="2" borderId="0" xfId="0" applyNumberFormat="1" applyFont="1" applyFill="1" applyAlignment="1">
      <alignment horizontal="center" vertical="center"/>
    </xf>
    <xf numFmtId="9" fontId="0" fillId="0" borderId="0" xfId="0" applyNumberFormat="1" applyAlignment="1">
      <alignment vertical="center"/>
    </xf>
    <xf numFmtId="9" fontId="2" fillId="19" borderId="0" xfId="0" applyNumberFormat="1" applyFont="1" applyFill="1" applyAlignment="1">
      <alignment vertical="center"/>
    </xf>
    <xf numFmtId="0" fontId="0" fillId="0" borderId="0" xfId="0" applyFont="1" applyAlignment="1">
      <alignment vertical="center"/>
    </xf>
    <xf numFmtId="9" fontId="4" fillId="0" borderId="0" xfId="2" applyFont="1" applyAlignment="1">
      <alignment vertical="center"/>
    </xf>
    <xf numFmtId="0" fontId="4" fillId="0" borderId="0" xfId="3" applyFont="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172" fontId="36" fillId="0" borderId="0" xfId="0" applyNumberFormat="1" applyFont="1" applyFill="1" applyAlignment="1">
      <alignment horizontal="center" vertical="center"/>
    </xf>
    <xf numFmtId="0" fontId="2" fillId="2" borderId="0" xfId="0" applyFont="1" applyFill="1" applyAlignment="1">
      <alignment horizontal="left" vertical="center"/>
    </xf>
    <xf numFmtId="0" fontId="2" fillId="2" borderId="2" xfId="0" applyFont="1" applyFill="1" applyBorder="1" applyAlignment="1">
      <alignment vertical="center"/>
    </xf>
    <xf numFmtId="2" fontId="2" fillId="2" borderId="2" xfId="0" applyNumberFormat="1" applyFont="1" applyFill="1" applyBorder="1" applyAlignment="1">
      <alignment horizontal="center" vertical="center"/>
    </xf>
    <xf numFmtId="172" fontId="36" fillId="0" borderId="2" xfId="0" applyNumberFormat="1" applyFont="1" applyFill="1" applyBorder="1" applyAlignment="1">
      <alignment horizontal="center" vertical="center"/>
    </xf>
    <xf numFmtId="0" fontId="0" fillId="0" borderId="2" xfId="0" applyBorder="1" applyAlignment="1">
      <alignment vertical="center"/>
    </xf>
    <xf numFmtId="2" fontId="0" fillId="0" borderId="2" xfId="0" applyNumberFormat="1" applyBorder="1" applyAlignment="1">
      <alignment horizontal="center" vertical="center"/>
    </xf>
    <xf numFmtId="2" fontId="0" fillId="0" borderId="2" xfId="0" applyNumberFormat="1" applyBorder="1" applyAlignment="1">
      <alignment vertical="center"/>
    </xf>
    <xf numFmtId="173" fontId="10" fillId="2" borderId="0" xfId="0" applyNumberFormat="1" applyFont="1" applyFill="1" applyAlignment="1">
      <alignment vertical="center"/>
    </xf>
    <xf numFmtId="170" fontId="10" fillId="2" borderId="0" xfId="0" applyNumberFormat="1" applyFont="1" applyFill="1" applyAlignment="1">
      <alignment horizontal="center" vertical="center"/>
    </xf>
    <xf numFmtId="2" fontId="4" fillId="0" borderId="0" xfId="0" applyNumberFormat="1" applyFont="1" applyAlignment="1">
      <alignment vertical="center"/>
    </xf>
    <xf numFmtId="43" fontId="4" fillId="0" borderId="0" xfId="1" applyNumberFormat="1" applyFont="1" applyAlignment="1">
      <alignment vertical="center"/>
    </xf>
    <xf numFmtId="10" fontId="4" fillId="0" borderId="0" xfId="4" applyNumberFormat="1" applyFont="1" applyFill="1" applyAlignment="1">
      <alignment horizontal="center" vertical="center"/>
    </xf>
    <xf numFmtId="0" fontId="4" fillId="0" borderId="0" xfId="0" applyFont="1" applyFill="1" applyAlignment="1">
      <alignment horizontal="center" vertical="center"/>
    </xf>
    <xf numFmtId="2" fontId="7" fillId="3" borderId="0" xfId="0" applyNumberFormat="1" applyFont="1" applyFill="1" applyAlignment="1">
      <alignment horizontal="center" vertical="center"/>
    </xf>
    <xf numFmtId="174" fontId="0" fillId="0" borderId="0" xfId="0" applyNumberFormat="1" applyAlignment="1">
      <alignment horizontal="center" vertical="center"/>
    </xf>
    <xf numFmtId="175" fontId="0" fillId="0" borderId="0" xfId="0" applyNumberFormat="1" applyAlignment="1">
      <alignment horizontal="center" vertical="center"/>
    </xf>
    <xf numFmtId="10" fontId="0" fillId="0" borderId="0" xfId="2" applyNumberFormat="1" applyFont="1" applyAlignment="1">
      <alignment vertical="center"/>
    </xf>
    <xf numFmtId="175" fontId="2" fillId="2" borderId="2" xfId="0" applyNumberFormat="1" applyFont="1" applyFill="1" applyBorder="1" applyAlignment="1">
      <alignment horizontal="center" vertical="center"/>
    </xf>
    <xf numFmtId="0" fontId="4" fillId="18" borderId="0" xfId="0" applyFont="1" applyFill="1" applyAlignment="1">
      <alignment horizontal="left" vertical="center"/>
    </xf>
    <xf numFmtId="3" fontId="11" fillId="18" borderId="0" xfId="0" applyNumberFormat="1" applyFont="1" applyFill="1" applyAlignment="1">
      <alignment horizontal="center" vertical="center"/>
    </xf>
    <xf numFmtId="4" fontId="11" fillId="18" borderId="0" xfId="0" applyNumberFormat="1" applyFont="1" applyFill="1" applyAlignment="1">
      <alignment horizontal="center" vertical="center"/>
    </xf>
    <xf numFmtId="0" fontId="4" fillId="20" borderId="0" xfId="0" applyFont="1" applyFill="1" applyAlignment="1">
      <alignment horizontal="left" vertical="center"/>
    </xf>
    <xf numFmtId="4" fontId="11" fillId="20" borderId="0" xfId="0" applyNumberFormat="1" applyFont="1" applyFill="1" applyAlignment="1">
      <alignment horizontal="center" vertical="center"/>
    </xf>
    <xf numFmtId="0" fontId="7" fillId="20" borderId="2" xfId="0" applyFont="1" applyFill="1" applyBorder="1" applyAlignment="1">
      <alignment horizontal="left" vertical="center"/>
    </xf>
    <xf numFmtId="1" fontId="31" fillId="20" borderId="2" xfId="0" applyNumberFormat="1" applyFont="1" applyFill="1" applyBorder="1" applyAlignment="1">
      <alignment horizontal="center" vertical="center"/>
    </xf>
    <xf numFmtId="2" fontId="31" fillId="20" borderId="2" xfId="0" applyNumberFormat="1" applyFont="1" applyFill="1" applyBorder="1" applyAlignment="1">
      <alignment horizontal="center" vertical="center"/>
    </xf>
    <xf numFmtId="169" fontId="4" fillId="0" borderId="0" xfId="1" applyNumberFormat="1" applyFont="1" applyAlignment="1">
      <alignment vertical="center"/>
    </xf>
    <xf numFmtId="3" fontId="11" fillId="0" borderId="0" xfId="0" applyNumberFormat="1" applyFont="1" applyFill="1" applyAlignment="1">
      <alignment horizontal="center" vertical="center"/>
    </xf>
    <xf numFmtId="0" fontId="7" fillId="18" borderId="2" xfId="0" applyFont="1" applyFill="1" applyBorder="1" applyAlignment="1">
      <alignment horizontal="left" vertical="center"/>
    </xf>
    <xf numFmtId="3" fontId="31" fillId="18" borderId="2" xfId="0" applyNumberFormat="1" applyFont="1" applyFill="1" applyBorder="1" applyAlignment="1">
      <alignment horizontal="center" vertical="center"/>
    </xf>
    <xf numFmtId="2" fontId="31" fillId="18" borderId="2" xfId="0" applyNumberFormat="1" applyFont="1" applyFill="1" applyBorder="1" applyAlignment="1">
      <alignment horizontal="center" vertical="center"/>
    </xf>
    <xf numFmtId="4" fontId="11" fillId="0" borderId="0" xfId="0" applyNumberFormat="1" applyFont="1" applyFill="1" applyAlignment="1">
      <alignment horizontal="center" vertical="center"/>
    </xf>
    <xf numFmtId="4" fontId="1" fillId="9" borderId="0" xfId="5" applyFont="1" applyFill="1" applyAlignment="1">
      <alignment vertical="center"/>
    </xf>
    <xf numFmtId="4" fontId="1" fillId="9" borderId="0" xfId="5" applyFont="1" applyFill="1" applyAlignment="1">
      <alignment horizontal="center" vertical="center"/>
    </xf>
    <xf numFmtId="169" fontId="1" fillId="9" borderId="0" xfId="1" applyNumberFormat="1" applyFont="1" applyFill="1" applyAlignment="1">
      <alignment vertical="center"/>
    </xf>
    <xf numFmtId="3" fontId="1" fillId="9" borderId="0" xfId="5" applyNumberFormat="1" applyFont="1" applyFill="1" applyAlignment="1">
      <alignment vertical="center"/>
    </xf>
    <xf numFmtId="4" fontId="0" fillId="9" borderId="0" xfId="5" applyFont="1" applyFill="1" applyAlignment="1">
      <alignment vertical="center"/>
    </xf>
    <xf numFmtId="4" fontId="4" fillId="0" borderId="0" xfId="3" applyNumberFormat="1" applyFont="1" applyAlignment="1">
      <alignment horizontal="left" vertical="center"/>
    </xf>
    <xf numFmtId="4" fontId="4" fillId="0" borderId="0" xfId="0" applyNumberFormat="1" applyFont="1" applyAlignment="1">
      <alignment vertical="center"/>
    </xf>
    <xf numFmtId="0" fontId="17" fillId="4" borderId="0" xfId="0" applyFont="1" applyFill="1" applyAlignment="1">
      <alignment horizontal="center" vertical="center"/>
    </xf>
    <xf numFmtId="10" fontId="11" fillId="0" borderId="0" xfId="0" applyNumberFormat="1" applyFont="1" applyAlignment="1">
      <alignment vertical="center"/>
    </xf>
    <xf numFmtId="0" fontId="0" fillId="0" borderId="4" xfId="0" applyBorder="1" applyAlignment="1">
      <alignment vertical="center"/>
    </xf>
    <xf numFmtId="0" fontId="3" fillId="7" borderId="4" xfId="0" applyFont="1" applyFill="1" applyBorder="1" applyAlignment="1">
      <alignment vertical="center"/>
    </xf>
    <xf numFmtId="0" fontId="0" fillId="0" borderId="4" xfId="0" applyBorder="1" applyAlignment="1">
      <alignment horizontal="center" vertical="center"/>
    </xf>
    <xf numFmtId="0" fontId="3" fillId="7" borderId="4" xfId="0" applyFont="1" applyFill="1" applyBorder="1" applyAlignment="1">
      <alignment horizontal="center" vertical="center"/>
    </xf>
    <xf numFmtId="10" fontId="0" fillId="0" borderId="4" xfId="2" applyNumberFormat="1" applyFont="1" applyBorder="1" applyAlignment="1">
      <alignment horizontal="center" vertical="center"/>
    </xf>
    <xf numFmtId="0" fontId="0" fillId="0" borderId="0" xfId="0" applyAlignment="1"/>
    <xf numFmtId="0" fontId="39" fillId="0" borderId="0" xfId="9"/>
    <xf numFmtId="0" fontId="0" fillId="0" borderId="4" xfId="0" applyBorder="1"/>
    <xf numFmtId="169" fontId="0" fillId="0" borderId="4" xfId="1" applyNumberFormat="1" applyFont="1" applyBorder="1"/>
    <xf numFmtId="0" fontId="0" fillId="0" borderId="0" xfId="0" applyAlignment="1">
      <alignment wrapText="1"/>
    </xf>
    <xf numFmtId="0" fontId="0" fillId="0" borderId="0" xfId="0" applyAlignment="1">
      <alignment horizontal="left" vertical="center" wrapText="1"/>
    </xf>
    <xf numFmtId="0" fontId="0" fillId="0" borderId="4" xfId="0" applyBorder="1" applyAlignment="1">
      <alignment horizontal="center"/>
    </xf>
    <xf numFmtId="169" fontId="0" fillId="0" borderId="0" xfId="1" applyNumberFormat="1" applyFont="1"/>
    <xf numFmtId="0" fontId="41" fillId="0" borderId="0" xfId="0" applyFont="1" applyAlignment="1">
      <alignment vertical="center"/>
    </xf>
    <xf numFmtId="0" fontId="41" fillId="0" borderId="0" xfId="0" applyFont="1"/>
    <xf numFmtId="0" fontId="3" fillId="0" borderId="0" xfId="0" applyFont="1" applyAlignment="1">
      <alignment horizontal="center" vertical="center"/>
    </xf>
    <xf numFmtId="0" fontId="3" fillId="0" borderId="0" xfId="0" applyFont="1"/>
    <xf numFmtId="0" fontId="0" fillId="0" borderId="0" xfId="0" applyAlignment="1">
      <alignment horizontal="left" vertical="center"/>
    </xf>
    <xf numFmtId="3" fontId="40" fillId="8" borderId="0" xfId="5" applyNumberFormat="1" applyFont="1" applyFill="1" applyAlignment="1">
      <alignment vertical="center"/>
    </xf>
    <xf numFmtId="0" fontId="39" fillId="0" borderId="0" xfId="9" applyAlignment="1">
      <alignment wrapText="1"/>
    </xf>
    <xf numFmtId="4" fontId="0" fillId="9" borderId="0" xfId="5" applyFont="1" applyFill="1" applyAlignment="1">
      <alignment vertical="center" wrapText="1"/>
    </xf>
    <xf numFmtId="0" fontId="46" fillId="0" borderId="4" xfId="10" applyFont="1" applyBorder="1"/>
    <xf numFmtId="0" fontId="45" fillId="0" borderId="0" xfId="10"/>
    <xf numFmtId="0" fontId="45" fillId="0" borderId="4" xfId="10" applyFont="1" applyBorder="1"/>
    <xf numFmtId="0" fontId="45" fillId="0" borderId="4" xfId="10" applyFont="1" applyBorder="1" applyAlignment="1">
      <alignment wrapText="1"/>
    </xf>
    <xf numFmtId="3" fontId="45" fillId="0" borderId="4" xfId="10" applyNumberFormat="1" applyFont="1" applyBorder="1"/>
    <xf numFmtId="0" fontId="45" fillId="0" borderId="4" xfId="10" applyBorder="1"/>
    <xf numFmtId="3" fontId="45" fillId="0" borderId="4" xfId="10" applyNumberFormat="1" applyBorder="1"/>
    <xf numFmtId="0" fontId="45" fillId="0" borderId="4" xfId="10" applyBorder="1" applyAlignment="1">
      <alignment wrapText="1"/>
    </xf>
    <xf numFmtId="0" fontId="45" fillId="0" borderId="4" xfId="10" applyFill="1" applyBorder="1" applyAlignment="1">
      <alignment wrapText="1"/>
    </xf>
    <xf numFmtId="0" fontId="45" fillId="0" borderId="4" xfId="10" applyFill="1" applyBorder="1"/>
    <xf numFmtId="3" fontId="45" fillId="0" borderId="4" xfId="10" applyNumberFormat="1" applyFill="1" applyBorder="1"/>
    <xf numFmtId="0" fontId="45" fillId="8" borderId="4" xfId="10" applyFill="1" applyBorder="1" applyAlignment="1">
      <alignment wrapText="1"/>
    </xf>
    <xf numFmtId="0" fontId="45" fillId="8" borderId="4" xfId="10" applyFill="1" applyBorder="1"/>
    <xf numFmtId="3" fontId="45" fillId="8" borderId="4" xfId="10" applyNumberFormat="1" applyFill="1" applyBorder="1"/>
    <xf numFmtId="0" fontId="45" fillId="0" borderId="0" xfId="10" applyBorder="1"/>
    <xf numFmtId="0" fontId="4" fillId="0" borderId="0" xfId="3" applyFont="1" applyAlignment="1">
      <alignment horizontal="left" vertical="center" wrapText="1"/>
    </xf>
    <xf numFmtId="1" fontId="25" fillId="17" borderId="0" xfId="0" applyNumberFormat="1" applyFont="1" applyFill="1" applyAlignment="1">
      <alignment horizontal="center" vertical="center"/>
    </xf>
    <xf numFmtId="1" fontId="7" fillId="17" borderId="0" xfId="0" applyNumberFormat="1" applyFont="1" applyFill="1" applyAlignment="1">
      <alignment horizontal="center" vertical="center"/>
    </xf>
    <xf numFmtId="4" fontId="1" fillId="9" borderId="4" xfId="5" applyFont="1" applyFill="1" applyBorder="1" applyAlignment="1">
      <alignment vertical="center"/>
    </xf>
    <xf numFmtId="4" fontId="1" fillId="9" borderId="4" xfId="5" applyFont="1" applyFill="1" applyBorder="1" applyAlignment="1">
      <alignment horizontal="center" vertical="center"/>
    </xf>
    <xf numFmtId="4" fontId="2" fillId="2" borderId="4" xfId="5" applyFont="1" applyFill="1" applyBorder="1" applyAlignment="1">
      <alignment vertical="center"/>
    </xf>
    <xf numFmtId="4" fontId="2" fillId="2" borderId="4" xfId="5" applyFont="1" applyFill="1" applyBorder="1" applyAlignment="1">
      <alignment horizontal="center" vertical="center"/>
    </xf>
    <xf numFmtId="3" fontId="48" fillId="0" borderId="3" xfId="0" applyNumberFormat="1" applyFont="1" applyBorder="1" applyAlignment="1">
      <alignment horizontal="center" vertical="center"/>
    </xf>
    <xf numFmtId="0" fontId="48" fillId="0" borderId="7" xfId="0" applyFont="1" applyBorder="1" applyAlignment="1">
      <alignment horizontal="center" vertical="center"/>
    </xf>
    <xf numFmtId="3" fontId="45" fillId="0" borderId="0" xfId="10" applyNumberFormat="1"/>
    <xf numFmtId="4" fontId="45" fillId="0" borderId="0" xfId="10" applyNumberFormat="1"/>
    <xf numFmtId="0" fontId="2" fillId="2" borderId="0" xfId="0" applyFont="1" applyFill="1" applyAlignment="1">
      <alignment horizontal="center" vertical="center"/>
    </xf>
    <xf numFmtId="0" fontId="0" fillId="0" borderId="5"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14" fillId="5" borderId="0" xfId="0" applyFont="1" applyFill="1" applyAlignment="1">
      <alignment horizontal="center" vertical="center" wrapText="1"/>
    </xf>
    <xf numFmtId="0" fontId="14" fillId="6" borderId="0" xfId="0" applyFont="1" applyFill="1" applyAlignment="1">
      <alignment horizontal="center" vertical="center"/>
    </xf>
    <xf numFmtId="10" fontId="4" fillId="0" borderId="0" xfId="4" applyNumberFormat="1" applyFont="1" applyFill="1" applyAlignment="1">
      <alignment horizontal="center" vertical="center"/>
    </xf>
    <xf numFmtId="0" fontId="17" fillId="4" borderId="0" xfId="0" applyFont="1" applyFill="1" applyAlignment="1">
      <alignment horizontal="center" vertical="center"/>
    </xf>
    <xf numFmtId="0" fontId="17" fillId="4" borderId="0" xfId="0" applyFont="1" applyFill="1" applyAlignment="1">
      <alignment vertical="center"/>
    </xf>
    <xf numFmtId="0" fontId="10" fillId="2" borderId="0" xfId="0" applyFont="1" applyFill="1" applyAlignment="1">
      <alignment horizontal="left" vertical="center" wrapText="1"/>
    </xf>
    <xf numFmtId="0" fontId="9" fillId="2" borderId="0" xfId="0" applyFont="1" applyFill="1" applyAlignment="1">
      <alignment vertical="center" wrapText="1"/>
    </xf>
    <xf numFmtId="0" fontId="7" fillId="10" borderId="0" xfId="0" applyFont="1" applyFill="1" applyAlignment="1">
      <alignment vertical="center"/>
    </xf>
    <xf numFmtId="0" fontId="4" fillId="10" borderId="0" xfId="0" applyFont="1" applyFill="1" applyAlignment="1">
      <alignment vertical="center"/>
    </xf>
    <xf numFmtId="2" fontId="10" fillId="2" borderId="0" xfId="0" applyNumberFormat="1" applyFont="1" applyFill="1" applyAlignment="1">
      <alignment horizontal="center" vertical="center"/>
    </xf>
    <xf numFmtId="2" fontId="7" fillId="3" borderId="0" xfId="0" applyNumberFormat="1" applyFont="1" applyFill="1" applyAlignment="1">
      <alignment horizontal="center" vertical="center"/>
    </xf>
    <xf numFmtId="10" fontId="7" fillId="3" borderId="0" xfId="0" applyNumberFormat="1" applyFont="1" applyFill="1" applyAlignment="1">
      <alignment horizontal="center" vertical="center"/>
    </xf>
    <xf numFmtId="0" fontId="2" fillId="2" borderId="4" xfId="0" applyFont="1" applyFill="1" applyBorder="1" applyAlignment="1">
      <alignment horizontal="center" vertical="center"/>
    </xf>
    <xf numFmtId="4" fontId="4" fillId="0" borderId="3"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0" fontId="0" fillId="0" borderId="4" xfId="10" applyFont="1" applyBorder="1" applyAlignment="1">
      <alignment wrapText="1"/>
    </xf>
    <xf numFmtId="0" fontId="0" fillId="0" borderId="4" xfId="10" applyFont="1" applyFill="1" applyBorder="1" applyAlignment="1">
      <alignment wrapText="1"/>
    </xf>
  </cellXfs>
  <cellStyles count="11">
    <cellStyle name="Comma" xfId="1" builtinId="3"/>
    <cellStyle name="Comma 2" xfId="6"/>
    <cellStyle name="Hyperlink" xfId="9" builtinId="8"/>
    <cellStyle name="Normal" xfId="0" builtinId="0"/>
    <cellStyle name="Normal 2" xfId="3"/>
    <cellStyle name="Normal 2 2" xfId="5"/>
    <cellStyle name="Normal 3" xfId="10"/>
    <cellStyle name="Percent" xfId="2" builtinId="5"/>
    <cellStyle name="Percent 2" xfId="4"/>
    <cellStyle name="Percent 2 2" xfId="7"/>
    <cellStyle name="Percent 4" xfId="8"/>
  </cellStyles>
  <dxfs count="0"/>
  <tableStyles count="0" defaultTableStyle="TableStyleMedium2" defaultPivotStyle="PivotStyleMedium9"/>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777016386465204"/>
          <c:y val="3.956478733926804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340341924264311"/>
          <c:y val="0.13610334155991696"/>
          <c:w val="0.8558572745974321"/>
          <c:h val="0.62996736683878918"/>
        </c:manualLayout>
      </c:layout>
      <c:barChart>
        <c:barDir val="col"/>
        <c:grouping val="clustered"/>
        <c:varyColors val="0"/>
        <c:ser>
          <c:idx val="0"/>
          <c:order val="0"/>
          <c:tx>
            <c:strRef>
              <c:f>IS!$B$59</c:f>
              <c:strCache>
                <c:ptCount val="1"/>
                <c:pt idx="0">
                  <c:v>EBITDA Margin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numCache>
            </c:numRef>
          </c:cat>
          <c:val>
            <c:numRef>
              <c:f>IS!$F$59:$M$59</c:f>
              <c:numCache>
                <c:formatCode>0.00%</c:formatCode>
                <c:ptCount val="8"/>
                <c:pt idx="0">
                  <c:v>0.46153165910817684</c:v>
                </c:pt>
                <c:pt idx="1">
                  <c:v>0.43872439605066937</c:v>
                </c:pt>
                <c:pt idx="2">
                  <c:v>0.4264768945044905</c:v>
                </c:pt>
                <c:pt idx="3">
                  <c:v>0.42342804536086792</c:v>
                </c:pt>
                <c:pt idx="4">
                  <c:v>0.42037792862577317</c:v>
                </c:pt>
                <c:pt idx="5">
                  <c:v>0.41852731114251956</c:v>
                </c:pt>
                <c:pt idx="6">
                  <c:v>0.4150620778210824</c:v>
                </c:pt>
                <c:pt idx="7">
                  <c:v>0.41139762440602495</c:v>
                </c:pt>
              </c:numCache>
            </c:numRef>
          </c:val>
        </c:ser>
        <c:dLbls>
          <c:dLblPos val="outEnd"/>
          <c:showLegendKey val="0"/>
          <c:showVal val="1"/>
          <c:showCatName val="0"/>
          <c:showSerName val="0"/>
          <c:showPercent val="0"/>
          <c:showBubbleSize val="0"/>
        </c:dLbls>
        <c:gapWidth val="200"/>
        <c:overlap val="-27"/>
        <c:axId val="163822832"/>
        <c:axId val="476913320"/>
      </c:barChart>
      <c:catAx>
        <c:axId val="16382283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2143948075129251"/>
              <c:y val="0.90737664986121336"/>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9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913320"/>
        <c:crosses val="autoZero"/>
        <c:auto val="0"/>
        <c:lblAlgn val="ctr"/>
        <c:lblOffset val="100"/>
        <c:noMultiLvlLbl val="0"/>
      </c:catAx>
      <c:valAx>
        <c:axId val="476913320"/>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EBITDA</a:t>
                </a:r>
                <a:r>
                  <a:rPr lang="en-IN" b="1" i="1" baseline="0"/>
                  <a:t> Margin %</a:t>
                </a:r>
                <a:endParaRPr lang="en-IN" b="1" i="1"/>
              </a:p>
            </c:rich>
          </c:tx>
          <c:layout>
            <c:manualLayout>
              <c:xMode val="edge"/>
              <c:yMode val="edge"/>
              <c:x val="3.78005403232054E-3"/>
              <c:y val="0.29648407258445214"/>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2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36260197205079"/>
          <c:y val="4.7761194029850747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536395444907875"/>
          <c:y val="0.14499517347565599"/>
          <c:w val="0.85765907639923389"/>
          <c:h val="0.65459662318329603"/>
        </c:manualLayout>
      </c:layout>
      <c:barChart>
        <c:barDir val="col"/>
        <c:grouping val="clustered"/>
        <c:varyColors val="0"/>
        <c:ser>
          <c:idx val="0"/>
          <c:order val="0"/>
          <c:tx>
            <c:strRef>
              <c:f>IS!$B$61</c:f>
              <c:strCache>
                <c:ptCount val="1"/>
                <c:pt idx="0">
                  <c:v>EBIT Margin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numCache>
            </c:numRef>
          </c:cat>
          <c:val>
            <c:numRef>
              <c:f>IS!$F$61:$M$61</c:f>
              <c:numCache>
                <c:formatCode>0.00%</c:formatCode>
                <c:ptCount val="8"/>
                <c:pt idx="0">
                  <c:v>0.38373705421815246</c:v>
                </c:pt>
                <c:pt idx="1">
                  <c:v>0.37945231613446034</c:v>
                </c:pt>
                <c:pt idx="2">
                  <c:v>0.37018152846385483</c:v>
                </c:pt>
                <c:pt idx="3">
                  <c:v>0.36966652162734498</c:v>
                </c:pt>
                <c:pt idx="4">
                  <c:v>0.36917647745098942</c:v>
                </c:pt>
                <c:pt idx="5">
                  <c:v>0.37061189854173593</c:v>
                </c:pt>
                <c:pt idx="6">
                  <c:v>0.36955303384687982</c:v>
                </c:pt>
                <c:pt idx="7">
                  <c:v>0.3679369327046339</c:v>
                </c:pt>
              </c:numCache>
            </c:numRef>
          </c:val>
        </c:ser>
        <c:dLbls>
          <c:dLblPos val="outEnd"/>
          <c:showLegendKey val="0"/>
          <c:showVal val="1"/>
          <c:showCatName val="0"/>
          <c:showSerName val="0"/>
          <c:showPercent val="0"/>
          <c:showBubbleSize val="0"/>
        </c:dLbls>
        <c:gapWidth val="207"/>
        <c:overlap val="-27"/>
        <c:axId val="163813944"/>
        <c:axId val="335459792"/>
      </c:barChart>
      <c:catAx>
        <c:axId val="16381394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5029772329246937"/>
              <c:y val="0.91765348919013989"/>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459792"/>
        <c:crosses val="autoZero"/>
        <c:auto val="0"/>
        <c:lblAlgn val="ctr"/>
        <c:lblOffset val="100"/>
        <c:noMultiLvlLbl val="0"/>
      </c:catAx>
      <c:valAx>
        <c:axId val="335459792"/>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a:t>
                </a:r>
                <a:r>
                  <a:rPr lang="en-IN" b="1" i="1" baseline="0"/>
                  <a:t> Margin %</a:t>
                </a:r>
                <a:endParaRPr lang="en-IN" b="1" i="1"/>
              </a:p>
            </c:rich>
          </c:tx>
          <c:layout>
            <c:manualLayout>
              <c:xMode val="edge"/>
              <c:yMode val="edge"/>
              <c:x val="1.8612647149404051E-3"/>
              <c:y val="0.3301421774574998"/>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13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788777282083327"/>
          <c:y val="4.633204633204633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756535565008251"/>
          <c:y val="0.12181477315335586"/>
          <c:w val="0.85727334894289753"/>
          <c:h val="0.64309862225688241"/>
        </c:manualLayout>
      </c:layout>
      <c:barChart>
        <c:barDir val="col"/>
        <c:grouping val="clustered"/>
        <c:varyColors val="0"/>
        <c:ser>
          <c:idx val="0"/>
          <c:order val="0"/>
          <c:tx>
            <c:strRef>
              <c:f>IS!$B$63</c:f>
              <c:strCache>
                <c:ptCount val="1"/>
                <c:pt idx="0">
                  <c:v>PAT Margin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IS!$F$9:$M$9</c:f>
              <c:numCache>
                <c:formatCode>[$-409]d\-mmm\-yy;@</c:formatCode>
                <c:ptCount val="8"/>
                <c:pt idx="0">
                  <c:v>46112</c:v>
                </c:pt>
                <c:pt idx="1">
                  <c:v>46477</c:v>
                </c:pt>
                <c:pt idx="2">
                  <c:v>46843</c:v>
                </c:pt>
                <c:pt idx="3">
                  <c:v>47208</c:v>
                </c:pt>
                <c:pt idx="4">
                  <c:v>47573</c:v>
                </c:pt>
                <c:pt idx="5">
                  <c:v>47938</c:v>
                </c:pt>
                <c:pt idx="6">
                  <c:v>48304</c:v>
                </c:pt>
                <c:pt idx="7">
                  <c:v>48669</c:v>
                </c:pt>
              </c:numCache>
            </c:numRef>
          </c:cat>
          <c:val>
            <c:numRef>
              <c:f>IS!$F$63:$M$63</c:f>
              <c:numCache>
                <c:formatCode>0.00%</c:formatCode>
                <c:ptCount val="8"/>
                <c:pt idx="0">
                  <c:v>0.19898276293260217</c:v>
                </c:pt>
                <c:pt idx="1">
                  <c:v>0.22002298789336044</c:v>
                </c:pt>
                <c:pt idx="2">
                  <c:v>0.2223303891171827</c:v>
                </c:pt>
                <c:pt idx="3">
                  <c:v>0.23170942179370321</c:v>
                </c:pt>
                <c:pt idx="4">
                  <c:v>0.24151153496555861</c:v>
                </c:pt>
                <c:pt idx="5">
                  <c:v>0.25188791108707692</c:v>
                </c:pt>
                <c:pt idx="6">
                  <c:v>0.26021955448179579</c:v>
                </c:pt>
                <c:pt idx="7">
                  <c:v>0.26879475154595656</c:v>
                </c:pt>
              </c:numCache>
            </c:numRef>
          </c:val>
        </c:ser>
        <c:dLbls>
          <c:dLblPos val="outEnd"/>
          <c:showLegendKey val="0"/>
          <c:showVal val="1"/>
          <c:showCatName val="0"/>
          <c:showSerName val="0"/>
          <c:showPercent val="0"/>
          <c:showBubbleSize val="0"/>
        </c:dLbls>
        <c:gapWidth val="205"/>
        <c:overlap val="-27"/>
        <c:axId val="163622400"/>
        <c:axId val="335118808"/>
      </c:barChart>
      <c:catAx>
        <c:axId val="163622400"/>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3146247965442919"/>
              <c:y val="0.90564111918442647"/>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10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118808"/>
        <c:crosses val="autoZero"/>
        <c:auto val="0"/>
        <c:lblAlgn val="ctr"/>
        <c:lblOffset val="100"/>
        <c:noMultiLvlLbl val="0"/>
      </c:catAx>
      <c:valAx>
        <c:axId val="335118808"/>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PAT</a:t>
                </a:r>
                <a:r>
                  <a:rPr lang="en-IN" b="1" i="1" baseline="0"/>
                  <a:t> Margin %</a:t>
                </a:r>
                <a:endParaRPr lang="en-IN" b="1" i="1"/>
              </a:p>
            </c:rich>
          </c:tx>
          <c:layout>
            <c:manualLayout>
              <c:xMode val="edge"/>
              <c:yMode val="edge"/>
              <c:x val="7.7699022104624508E-3"/>
              <c:y val="0.3348534135935711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62240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037890341321715"/>
          <c:y val="3.867915159253741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1609005083514889"/>
          <c:y val="0.17410122721146343"/>
          <c:w val="0.86099830716426717"/>
          <c:h val="0.6109906363055968"/>
        </c:manualLayout>
      </c:layout>
      <c:barChart>
        <c:barDir val="col"/>
        <c:grouping val="clustered"/>
        <c:varyColors val="0"/>
        <c:ser>
          <c:idx val="0"/>
          <c:order val="0"/>
          <c:tx>
            <c:strRef>
              <c:f>IS!$B$65</c:f>
              <c:strCache>
                <c:ptCount val="1"/>
                <c:pt idx="0">
                  <c:v>Revenue growth rate Y-o-Y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numCache>
            </c:numRef>
          </c:cat>
          <c:val>
            <c:numRef>
              <c:f>IS!$F$65:$M$65</c:f>
              <c:numCache>
                <c:formatCode>0.00%</c:formatCode>
                <c:ptCount val="8"/>
                <c:pt idx="1">
                  <c:v>0.3125</c:v>
                </c:pt>
                <c:pt idx="2">
                  <c:v>4.9999999999999822E-2</c:v>
                </c:pt>
                <c:pt idx="3">
                  <c:v>5.0000000000000044E-2</c:v>
                </c:pt>
                <c:pt idx="4">
                  <c:v>5.0000000000000266E-2</c:v>
                </c:pt>
                <c:pt idx="5">
                  <c:v>4.9999999999999822E-2</c:v>
                </c:pt>
                <c:pt idx="6">
                  <c:v>5.0000000000000044E-2</c:v>
                </c:pt>
                <c:pt idx="7">
                  <c:v>5.0000000000000044E-2</c:v>
                </c:pt>
              </c:numCache>
            </c:numRef>
          </c:val>
        </c:ser>
        <c:dLbls>
          <c:dLblPos val="outEnd"/>
          <c:showLegendKey val="0"/>
          <c:showVal val="1"/>
          <c:showCatName val="0"/>
          <c:showSerName val="0"/>
          <c:showPercent val="0"/>
          <c:showBubbleSize val="0"/>
        </c:dLbls>
        <c:gapWidth val="219"/>
        <c:overlap val="-27"/>
        <c:axId val="333467336"/>
        <c:axId val="333468512"/>
      </c:barChart>
      <c:catAx>
        <c:axId val="333467336"/>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7476321939940291"/>
              <c:y val="0.91836276147299756"/>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m/yy;@" sourceLinked="0"/>
        <c:majorTickMark val="none"/>
        <c:minorTickMark val="none"/>
        <c:tickLblPos val="nextTo"/>
        <c:spPr>
          <a:noFill/>
          <a:ln w="9525" cap="flat" cmpd="sng" algn="ctr">
            <a:solidFill>
              <a:schemeClr val="tx1">
                <a:lumMod val="15000"/>
                <a:lumOff val="85000"/>
              </a:schemeClr>
            </a:solidFill>
            <a:round/>
          </a:ln>
          <a:effectLst/>
        </c:spPr>
        <c:txPr>
          <a:bodyPr rot="-11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468512"/>
        <c:crosses val="autoZero"/>
        <c:auto val="0"/>
        <c:lblAlgn val="ctr"/>
        <c:lblOffset val="100"/>
        <c:noMultiLvlLbl val="0"/>
      </c:catAx>
      <c:valAx>
        <c:axId val="333468512"/>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baseline="0"/>
                  <a:t>Revenue Growth Rate %</a:t>
                </a:r>
                <a:endParaRPr lang="en-IN" b="1" i="1"/>
              </a:p>
            </c:rich>
          </c:tx>
          <c:layout>
            <c:manualLayout>
              <c:xMode val="edge"/>
              <c:yMode val="edge"/>
              <c:x val="1.1151917247949323E-2"/>
              <c:y val="0.26503022349479038"/>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467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1080000"/>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r>
              <a:rPr lang="en-US" sz="1100" b="1">
                <a:solidFill>
                  <a:schemeClr val="bg1"/>
                </a:solidFill>
              </a:rPr>
              <a:t>DEBT SERVICE COVERAGE RATIO</a:t>
            </a:r>
          </a:p>
        </c:rich>
      </c:tx>
      <c:layout>
        <c:manualLayout>
          <c:xMode val="edge"/>
          <c:yMode val="edge"/>
          <c:x val="0.33889625797398554"/>
          <c:y val="3.8094746353427122E-3"/>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40207613192215"/>
          <c:y val="0.14301199971136724"/>
          <c:w val="0.81983483263827706"/>
          <c:h val="0.6404490297438582"/>
        </c:manualLayout>
      </c:layout>
      <c:barChart>
        <c:barDir val="col"/>
        <c:grouping val="clustered"/>
        <c:varyColors val="0"/>
        <c:ser>
          <c:idx val="0"/>
          <c:order val="0"/>
          <c:tx>
            <c:strRef>
              <c:f>DSCR!$B$21</c:f>
              <c:strCache>
                <c:ptCount val="1"/>
                <c:pt idx="0">
                  <c:v>DSCR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DSCR!$F$9:$M$9</c:f>
              <c:numCache>
                <c:formatCode>[$-409]d\-mmm\-yy;@</c:formatCode>
                <c:ptCount val="8"/>
                <c:pt idx="0">
                  <c:v>46112</c:v>
                </c:pt>
                <c:pt idx="1">
                  <c:v>46477</c:v>
                </c:pt>
                <c:pt idx="2">
                  <c:v>46843</c:v>
                </c:pt>
                <c:pt idx="3">
                  <c:v>47208</c:v>
                </c:pt>
                <c:pt idx="4">
                  <c:v>47573</c:v>
                </c:pt>
                <c:pt idx="5">
                  <c:v>47938</c:v>
                </c:pt>
                <c:pt idx="6">
                  <c:v>48304</c:v>
                </c:pt>
                <c:pt idx="7">
                  <c:v>48669</c:v>
                </c:pt>
              </c:numCache>
            </c:numRef>
          </c:cat>
          <c:val>
            <c:numRef>
              <c:f>DSCR!$F$21:$M$21</c:f>
              <c:numCache>
                <c:formatCode>0.00</c:formatCode>
                <c:ptCount val="8"/>
                <c:pt idx="0">
                  <c:v>3.367795823203291</c:v>
                </c:pt>
                <c:pt idx="1">
                  <c:v>2.2280892110446815</c:v>
                </c:pt>
                <c:pt idx="2">
                  <c:v>2.3818379496121778</c:v>
                </c:pt>
                <c:pt idx="3">
                  <c:v>2.1361986401881841</c:v>
                </c:pt>
                <c:pt idx="4">
                  <c:v>2.3655781332072743</c:v>
                </c:pt>
                <c:pt idx="5">
                  <c:v>2.630261475634438</c:v>
                </c:pt>
                <c:pt idx="6">
                  <c:v>2.610640401225838</c:v>
                </c:pt>
                <c:pt idx="7">
                  <c:v>2.4887679741686619</c:v>
                </c:pt>
              </c:numCache>
            </c:numRef>
          </c:val>
        </c:ser>
        <c:dLbls>
          <c:dLblPos val="outEnd"/>
          <c:showLegendKey val="0"/>
          <c:showVal val="1"/>
          <c:showCatName val="0"/>
          <c:showSerName val="0"/>
          <c:showPercent val="0"/>
          <c:showBubbleSize val="0"/>
        </c:dLbls>
        <c:gapWidth val="119"/>
        <c:axId val="333463024"/>
        <c:axId val="163826016"/>
      </c:barChart>
      <c:catAx>
        <c:axId val="3334630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 Ending</a:t>
                </a:r>
              </a:p>
            </c:rich>
          </c:tx>
          <c:layout>
            <c:manualLayout>
              <c:xMode val="edge"/>
              <c:yMode val="edge"/>
              <c:x val="0.40997848895842215"/>
              <c:y val="0.935559489224052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mmmm/yy;@" sourceLinked="0"/>
        <c:majorTickMark val="none"/>
        <c:minorTickMark val="none"/>
        <c:tickLblPos val="low"/>
        <c:spPr>
          <a:noFill/>
          <a:ln w="9525" cap="flat" cmpd="sng" algn="ctr">
            <a:solidFill>
              <a:schemeClr val="tx1">
                <a:lumMod val="15000"/>
                <a:lumOff val="85000"/>
              </a:schemeClr>
            </a:solidFill>
            <a:round/>
          </a:ln>
          <a:effectLst/>
        </c:spPr>
        <c:txPr>
          <a:bodyPr rot="-144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3826016"/>
        <c:crosses val="autoZero"/>
        <c:auto val="0"/>
        <c:lblAlgn val="ctr"/>
        <c:lblOffset val="100"/>
        <c:noMultiLvlLbl val="0"/>
      </c:catAx>
      <c:valAx>
        <c:axId val="163826016"/>
        <c:scaling>
          <c:orientation val="minMax"/>
          <c:max val="4"/>
          <c:min val="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DSCR</a:t>
                </a:r>
              </a:p>
            </c:rich>
          </c:tx>
          <c:layout>
            <c:manualLayout>
              <c:xMode val="edge"/>
              <c:yMode val="edge"/>
              <c:x val="2.6025004589788552E-2"/>
              <c:y val="0.3770705328500604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463024"/>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2</xdr:col>
      <xdr:colOff>403192</xdr:colOff>
      <xdr:row>13</xdr:row>
      <xdr:rowOff>19049</xdr:rowOff>
    </xdr:from>
    <xdr:ext cx="3302033" cy="400051"/>
    <mc:AlternateContent xmlns:mc="http://schemas.openxmlformats.org/markup-compatibility/2006" xmlns:a14="http://schemas.microsoft.com/office/drawing/2010/main">
      <mc:Choice Requires="a14">
        <xdr:sp macro="" textlink="">
          <xdr:nvSpPr>
            <xdr:cNvPr id="2" name="TextBox 1"/>
            <xdr:cNvSpPr txBox="1"/>
          </xdr:nvSpPr>
          <xdr:spPr>
            <a:xfrm>
              <a:off x="3413092" y="2762249"/>
              <a:ext cx="3302033" cy="400051"/>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IN" sz="2000"/>
                <a:t>Weight</a:t>
              </a:r>
              <a14:m>
                <m:oMath xmlns:m="http://schemas.openxmlformats.org/officeDocument/2006/math">
                  <m:r>
                    <a:rPr lang="en-IN" sz="2000" i="1">
                      <a:latin typeface="Cambria Math" panose="02040503050406030204" pitchFamily="18" charset="0"/>
                    </a:rPr>
                    <m:t>=</m:t>
                  </m:r>
                  <m:r>
                    <a:rPr lang="en-US" sz="2000" b="0" i="1">
                      <a:latin typeface="Cambria Math" panose="02040503050406030204" pitchFamily="18" charset="0"/>
                    </a:rPr>
                    <m:t>𝑉𝑜𝑙𝑢𝑚𝑒</m:t>
                  </m:r>
                  <m:r>
                    <a:rPr lang="en-US" sz="2000" b="0" i="1">
                      <a:latin typeface="Cambria Math" panose="02040503050406030204" pitchFamily="18" charset="0"/>
                    </a:rPr>
                    <m:t> </m:t>
                  </m:r>
                  <m:r>
                    <a:rPr lang="en-US" sz="2000" b="0" i="1">
                      <a:latin typeface="Cambria Math" panose="02040503050406030204" pitchFamily="18" charset="0"/>
                    </a:rPr>
                    <m:t>𝑋</m:t>
                  </m:r>
                  <m:r>
                    <a:rPr lang="en-US" sz="2000" b="0" i="1">
                      <a:latin typeface="Cambria Math" panose="02040503050406030204" pitchFamily="18" charset="0"/>
                    </a:rPr>
                    <m:t> </m:t>
                  </m:r>
                  <m:r>
                    <a:rPr lang="en-US" sz="2000" b="0" i="1">
                      <a:latin typeface="Cambria Math" panose="02040503050406030204" pitchFamily="18" charset="0"/>
                    </a:rPr>
                    <m:t>𝐷𝑒𝑛𝑠𝑖𝑡𝑦</m:t>
                  </m:r>
                </m:oMath>
              </a14:m>
              <a:endParaRPr lang="en-US" sz="2000" b="0"/>
            </a:p>
          </xdr:txBody>
        </xdr:sp>
      </mc:Choice>
      <mc:Fallback xmlns="">
        <xdr:sp macro="" textlink="">
          <xdr:nvSpPr>
            <xdr:cNvPr id="2" name="TextBox 1"/>
            <xdr:cNvSpPr txBox="1"/>
          </xdr:nvSpPr>
          <xdr:spPr>
            <a:xfrm>
              <a:off x="3413092" y="2762249"/>
              <a:ext cx="3302033" cy="400051"/>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IN" sz="2000"/>
                <a:t>Weight</a:t>
              </a:r>
              <a:r>
                <a:rPr lang="en-IN" sz="2000" i="0">
                  <a:latin typeface="Cambria Math" panose="02040503050406030204" pitchFamily="18" charset="0"/>
                </a:rPr>
                <a:t>=</a:t>
              </a:r>
              <a:r>
                <a:rPr lang="en-US" sz="2000" b="0" i="0">
                  <a:latin typeface="Cambria Math" panose="02040503050406030204" pitchFamily="18" charset="0"/>
                </a:rPr>
                <a:t>𝑉𝑜𝑙𝑢𝑚𝑒 𝑋 𝐷𝑒𝑛𝑠𝑖𝑡𝑦</a:t>
              </a:r>
              <a:endParaRPr lang="en-US" sz="2000" b="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3</xdr:col>
      <xdr:colOff>1733550</xdr:colOff>
      <xdr:row>16</xdr:row>
      <xdr:rowOff>152400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857500"/>
          <a:ext cx="31908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314327</xdr:colOff>
      <xdr:row>67</xdr:row>
      <xdr:rowOff>200025</xdr:rowOff>
    </xdr:from>
    <xdr:to>
      <xdr:col>5</xdr:col>
      <xdr:colOff>219076</xdr:colOff>
      <xdr:row>79</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342900</xdr:colOff>
      <xdr:row>67</xdr:row>
      <xdr:rowOff>209550</xdr:rowOff>
    </xdr:from>
    <xdr:to>
      <xdr:col>11</xdr:col>
      <xdr:colOff>695325</xdr:colOff>
      <xdr:row>79</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285751</xdr:colOff>
      <xdr:row>80</xdr:row>
      <xdr:rowOff>76200</xdr:rowOff>
    </xdr:from>
    <xdr:to>
      <xdr:col>5</xdr:col>
      <xdr:colOff>219075</xdr:colOff>
      <xdr:row>92</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390525</xdr:colOff>
      <xdr:row>80</xdr:row>
      <xdr:rowOff>28575</xdr:rowOff>
    </xdr:from>
    <xdr:to>
      <xdr:col>11</xdr:col>
      <xdr:colOff>742950</xdr:colOff>
      <xdr:row>91</xdr:row>
      <xdr:rowOff>200025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400051</xdr:colOff>
      <xdr:row>26</xdr:row>
      <xdr:rowOff>66675</xdr:rowOff>
    </xdr:from>
    <xdr:to>
      <xdr:col>10</xdr:col>
      <xdr:colOff>266700</xdr:colOff>
      <xdr:row>39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V%206%20TPD%20CBG%20SHAMLI/Data%20shared%20by%20the%20client/Final%20CMA%20AND%20DPR/Final%20model%20from%20client/Reference%20Sheet%20for%20Superior%20Agro%20CBG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signment%20data%20for%20rajathan/Financial%20Model%20assignment/Reference/05.04.2024%20VIS(2023-24)-PL715-616-943%20RKA%20NARUMA%20MODEL%20-%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ial%20Model%20I%20Greenfield%20Ethanol%20Project%20-%20Assig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 CoP_MOF"/>
      <sheetName val="CoP-MoF"/>
      <sheetName val="Det Assump"/>
      <sheetName val="Assump"/>
      <sheetName val="Sheet2"/>
      <sheetName val="BS"/>
      <sheetName val="P &amp; L"/>
      <sheetName val="Cash Flow"/>
      <sheetName val="BEP"/>
      <sheetName val="IRR"/>
      <sheetName val="DSCR"/>
      <sheetName val="Loan Assumptions"/>
      <sheetName val="TL Schd"/>
      <sheetName val="Ratio"/>
      <sheetName val="WC"/>
      <sheetName val="PBP-IRR"/>
      <sheetName val="NPV"/>
      <sheetName val="P E"/>
      <sheetName val="PE"/>
      <sheetName val="Tax"/>
      <sheetName val="Depr"/>
      <sheetName val="sal &amp; wages"/>
      <sheetName val="Sheet1"/>
    </sheetNames>
    <sheetDataSet>
      <sheetData sheetId="0" refreshError="1"/>
      <sheetData sheetId="1" refreshError="1"/>
      <sheetData sheetId="2" refreshError="1"/>
      <sheetData sheetId="3" refreshError="1"/>
      <sheetData sheetId="4" refreshError="1"/>
      <sheetData sheetId="5" refreshError="1"/>
      <sheetData sheetId="6">
        <row r="1">
          <cell r="B1">
            <v>100000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 CoP_MOF"/>
      <sheetName val="CoP-MoF"/>
      <sheetName val="Det Assump"/>
      <sheetName val="Assump"/>
      <sheetName val="Sheet2"/>
      <sheetName val="P &amp; L"/>
      <sheetName val="BS"/>
      <sheetName val="Cash Flow"/>
      <sheetName val="BEP"/>
      <sheetName val="IRR"/>
      <sheetName val="DSCR"/>
      <sheetName val="Loan Assumptions"/>
      <sheetName val="TL Schd"/>
      <sheetName val="Ratio"/>
      <sheetName val="WC"/>
      <sheetName val="PBP-IRR"/>
      <sheetName val="NPV"/>
      <sheetName val="P E"/>
      <sheetName val="PE"/>
      <sheetName val="Tax"/>
      <sheetName val="Depr"/>
      <sheetName val="sal &amp; wages"/>
      <sheetName val="Sheet1"/>
    </sheetNames>
    <sheetDataSet>
      <sheetData sheetId="0" refreshError="1"/>
      <sheetData sheetId="1" refreshError="1"/>
      <sheetData sheetId="2" refreshError="1"/>
      <sheetData sheetId="3" refreshError="1"/>
      <sheetData sheetId="4" refreshError="1"/>
      <sheetData sheetId="5">
        <row r="1">
          <cell r="B1">
            <v>100000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sheetName val="Data 2"/>
      <sheetName val="Instructions"/>
      <sheetName val="Assumptions write up, SWOT"/>
      <sheetName val="Rice &amp; Maize"/>
      <sheetName val="TPC and MoF"/>
      <sheetName val="Common Assumption"/>
      <sheetName val="Total Project Cost and IDC"/>
      <sheetName val="Revenue &amp; Expenses"/>
      <sheetName val="Profit and Loss Account"/>
      <sheetName val="P &amp; L Account "/>
      <sheetName val="Balance Sheet"/>
      <sheetName val="Cash Flow Statement"/>
      <sheetName val="Ratio and Break Even Analysis"/>
      <sheetName val="Loan Schedule"/>
      <sheetName val="Depreciation Schedule"/>
      <sheetName val="Tax"/>
      <sheetName val="Working Capital"/>
      <sheetName val="DSCR &amp; Sensitivity Analysis"/>
      <sheetName val="NPV &amp; IRR, Payback Period"/>
      <sheetName val="Sensitivity &amp; Scenario Summary"/>
    </sheetNames>
    <sheetDataSet>
      <sheetData sheetId="0">
        <row r="14">
          <cell r="C14">
            <v>365</v>
          </cell>
        </row>
      </sheetData>
      <sheetData sheetId="1"/>
      <sheetData sheetId="2"/>
      <sheetData sheetId="3"/>
      <sheetData sheetId="4"/>
      <sheetData sheetId="5"/>
      <sheetData sheetId="6">
        <row r="9">
          <cell r="E9">
            <v>45535</v>
          </cell>
        </row>
        <row r="10">
          <cell r="E10">
            <v>15</v>
          </cell>
        </row>
        <row r="11">
          <cell r="E11">
            <v>45991</v>
          </cell>
        </row>
        <row r="89">
          <cell r="D89">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goodreturns.in/cng-price.htmlCNG%20Price%20in%20meerut%20as%20on%2019%20july%202024%2080.50" TargetMode="External"/><Relationship Id="rId3" Type="http://schemas.openxmlformats.org/officeDocument/2006/relationships/hyperlink" Target="mailto:dr.sunilpanwar66@gmail.com" TargetMode="External"/><Relationship Id="rId7" Type="http://schemas.openxmlformats.org/officeDocument/2006/relationships/hyperlink" Target="https://economictimes.indiatimes.com/industry/indl-goods/svs/chem-/-fertilisers/fix-fair-remunerative-price-of-rs-5-5/kg-for-fermented-organic-manure-indian-biogas-association/articleshow/103100564.cms?from=mdr" TargetMode="External"/><Relationship Id="rId2" Type="http://schemas.openxmlformats.org/officeDocument/2006/relationships/hyperlink" Target="mailto:rpstomar501@gmail.com" TargetMode="External"/><Relationship Id="rId1" Type="http://schemas.openxmlformats.org/officeDocument/2006/relationships/hyperlink" Target="mailto:skumarverma59@gmail.com" TargetMode="External"/><Relationship Id="rId6" Type="http://schemas.openxmlformats.org/officeDocument/2006/relationships/hyperlink" Target="https://www.goodreturns.in/cng-price-in-meerut.html" TargetMode="External"/><Relationship Id="rId5" Type="http://schemas.openxmlformats.org/officeDocument/2006/relationships/hyperlink" Target="https://www.goodreturns.in/cng-price.htmlCNG%20Price%20in%20meerut%20as%20on%2021st%20June%202024" TargetMode="External"/><Relationship Id="rId10" Type="http://schemas.openxmlformats.org/officeDocument/2006/relationships/drawing" Target="../drawings/drawing2.xml"/><Relationship Id="rId4" Type="http://schemas.openxmlformats.org/officeDocument/2006/relationships/hyperlink" Target="mailto:tomarsantosh737@gmail.com"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70" zoomScaleNormal="70" workbookViewId="0">
      <selection activeCell="C3" sqref="C3"/>
    </sheetView>
  </sheetViews>
  <sheetFormatPr defaultColWidth="9" defaultRowHeight="15"/>
  <cols>
    <col min="1" max="1" width="4.85546875" style="278" customWidth="1"/>
    <col min="2" max="2" width="31.140625" style="278" customWidth="1"/>
    <col min="3" max="3" width="26.5703125" style="278" customWidth="1"/>
    <col min="4" max="4" width="30.140625" style="278" customWidth="1"/>
    <col min="5" max="5" width="13.7109375" style="278" customWidth="1"/>
    <col min="6" max="6" width="14.140625" style="278" customWidth="1"/>
    <col min="7" max="7" width="22.85546875" style="278" customWidth="1"/>
    <col min="8" max="10" width="9" style="278"/>
    <col min="11" max="11" width="17.5703125" style="278" customWidth="1"/>
    <col min="12" max="13" width="9" style="278"/>
    <col min="14" max="14" width="20.42578125" style="278" customWidth="1"/>
    <col min="15" max="16384" width="9" style="278"/>
  </cols>
  <sheetData>
    <row r="1" spans="1:6" ht="15.4" customHeight="1">
      <c r="A1" s="277" t="s">
        <v>557</v>
      </c>
      <c r="B1" s="277" t="s">
        <v>804</v>
      </c>
      <c r="C1" s="277" t="s">
        <v>805</v>
      </c>
      <c r="D1" s="277" t="s">
        <v>806</v>
      </c>
      <c r="E1" s="277" t="s">
        <v>560</v>
      </c>
      <c r="F1" s="277" t="s">
        <v>561</v>
      </c>
    </row>
    <row r="2" spans="1:6" ht="28.5" customHeight="1">
      <c r="A2" s="279">
        <v>1</v>
      </c>
      <c r="B2" s="280" t="s">
        <v>807</v>
      </c>
      <c r="C2" s="279" t="s">
        <v>808</v>
      </c>
      <c r="D2" s="279" t="s">
        <v>624</v>
      </c>
      <c r="E2" s="279" t="s">
        <v>809</v>
      </c>
      <c r="F2" s="281">
        <v>5000000</v>
      </c>
    </row>
    <row r="3" spans="1:6" ht="27" customHeight="1">
      <c r="A3" s="282">
        <v>2</v>
      </c>
      <c r="B3" s="282" t="s">
        <v>810</v>
      </c>
      <c r="C3" s="282" t="s">
        <v>811</v>
      </c>
      <c r="D3" s="282" t="s">
        <v>624</v>
      </c>
      <c r="E3" s="282" t="s">
        <v>812</v>
      </c>
      <c r="F3" s="283">
        <v>30680000</v>
      </c>
    </row>
    <row r="4" spans="1:6" ht="27" customHeight="1">
      <c r="A4" s="282">
        <v>3</v>
      </c>
      <c r="B4" s="282" t="s">
        <v>813</v>
      </c>
      <c r="C4" s="282" t="s">
        <v>814</v>
      </c>
      <c r="D4" s="282" t="s">
        <v>624</v>
      </c>
      <c r="E4" s="282" t="s">
        <v>812</v>
      </c>
      <c r="F4" s="283">
        <v>24000000</v>
      </c>
    </row>
    <row r="5" spans="1:6" ht="28.15" customHeight="1">
      <c r="A5" s="279">
        <v>4</v>
      </c>
      <c r="B5" s="282" t="s">
        <v>815</v>
      </c>
      <c r="C5" s="282" t="s">
        <v>816</v>
      </c>
      <c r="D5" s="282" t="s">
        <v>624</v>
      </c>
      <c r="E5" s="282" t="s">
        <v>809</v>
      </c>
      <c r="F5" s="283">
        <v>1888000</v>
      </c>
    </row>
    <row r="6" spans="1:6" ht="25.9" customHeight="1">
      <c r="A6" s="279">
        <v>5</v>
      </c>
      <c r="B6" s="282" t="s">
        <v>817</v>
      </c>
      <c r="C6" s="282"/>
      <c r="D6" s="282" t="s">
        <v>624</v>
      </c>
      <c r="E6" s="282" t="s">
        <v>812</v>
      </c>
      <c r="F6" s="283">
        <v>2832000</v>
      </c>
    </row>
    <row r="7" spans="1:6" ht="28.9" customHeight="1">
      <c r="A7" s="282">
        <v>6</v>
      </c>
      <c r="B7" s="282" t="s">
        <v>818</v>
      </c>
      <c r="C7" s="282"/>
      <c r="D7" s="282" t="s">
        <v>624</v>
      </c>
      <c r="E7" s="282" t="s">
        <v>812</v>
      </c>
      <c r="F7" s="283">
        <v>1300000</v>
      </c>
    </row>
    <row r="8" spans="1:6" ht="28.9" customHeight="1">
      <c r="A8" s="282">
        <v>7</v>
      </c>
      <c r="B8" s="282" t="s">
        <v>819</v>
      </c>
      <c r="C8" s="282" t="s">
        <v>820</v>
      </c>
      <c r="D8" s="282" t="s">
        <v>821</v>
      </c>
      <c r="E8" s="282" t="s">
        <v>822</v>
      </c>
      <c r="F8" s="283">
        <v>160000</v>
      </c>
    </row>
    <row r="9" spans="1:6" ht="48.4" customHeight="1">
      <c r="A9" s="279">
        <v>8</v>
      </c>
      <c r="B9" s="282" t="s">
        <v>823</v>
      </c>
      <c r="C9" s="323" t="s">
        <v>824</v>
      </c>
      <c r="D9" s="284" t="s">
        <v>821</v>
      </c>
      <c r="E9" s="282" t="s">
        <v>809</v>
      </c>
      <c r="F9" s="283">
        <v>12272000</v>
      </c>
    </row>
    <row r="10" spans="1:6" ht="30" customHeight="1">
      <c r="A10" s="279">
        <v>9</v>
      </c>
      <c r="B10" s="282" t="s">
        <v>584</v>
      </c>
      <c r="C10" s="284" t="s">
        <v>825</v>
      </c>
      <c r="D10" s="284" t="s">
        <v>826</v>
      </c>
      <c r="E10" s="282" t="s">
        <v>809</v>
      </c>
      <c r="F10" s="283">
        <v>14000000</v>
      </c>
    </row>
    <row r="11" spans="1:6" ht="45">
      <c r="A11" s="282">
        <v>10</v>
      </c>
      <c r="B11" s="282" t="s">
        <v>705</v>
      </c>
      <c r="C11" s="284" t="s">
        <v>827</v>
      </c>
      <c r="D11" s="284" t="s">
        <v>821</v>
      </c>
      <c r="E11" s="282" t="s">
        <v>828</v>
      </c>
      <c r="F11" s="283">
        <v>24780000</v>
      </c>
    </row>
    <row r="12" spans="1:6" ht="30">
      <c r="A12" s="282">
        <v>11</v>
      </c>
      <c r="B12" s="284" t="s">
        <v>829</v>
      </c>
      <c r="C12" s="323" t="s">
        <v>830</v>
      </c>
      <c r="D12" s="285" t="s">
        <v>821</v>
      </c>
      <c r="E12" s="282" t="s">
        <v>831</v>
      </c>
      <c r="F12" s="283">
        <v>2500000</v>
      </c>
    </row>
    <row r="13" spans="1:6" ht="46.5" customHeight="1">
      <c r="A13" s="279">
        <v>12</v>
      </c>
      <c r="B13" s="284" t="s">
        <v>832</v>
      </c>
      <c r="C13" s="285" t="s">
        <v>833</v>
      </c>
      <c r="D13" s="285" t="s">
        <v>834</v>
      </c>
      <c r="E13" s="286" t="s">
        <v>822</v>
      </c>
      <c r="F13" s="283">
        <v>600000</v>
      </c>
    </row>
    <row r="14" spans="1:6" ht="45">
      <c r="A14" s="279">
        <v>13</v>
      </c>
      <c r="B14" s="284" t="s">
        <v>835</v>
      </c>
      <c r="C14" s="285" t="s">
        <v>833</v>
      </c>
      <c r="D14" s="285" t="s">
        <v>821</v>
      </c>
      <c r="E14" s="286" t="s">
        <v>822</v>
      </c>
      <c r="F14" s="287">
        <v>1652000</v>
      </c>
    </row>
    <row r="15" spans="1:6" ht="45">
      <c r="A15" s="282">
        <v>14</v>
      </c>
      <c r="B15" s="284" t="s">
        <v>836</v>
      </c>
      <c r="C15" s="285" t="s">
        <v>837</v>
      </c>
      <c r="D15" s="285" t="s">
        <v>821</v>
      </c>
      <c r="E15" s="286" t="s">
        <v>838</v>
      </c>
      <c r="F15" s="287">
        <v>3776000</v>
      </c>
    </row>
    <row r="16" spans="1:6" ht="30">
      <c r="A16" s="282">
        <v>15</v>
      </c>
      <c r="B16" s="285" t="s">
        <v>839</v>
      </c>
      <c r="C16" s="285" t="s">
        <v>840</v>
      </c>
      <c r="D16" s="285" t="s">
        <v>841</v>
      </c>
      <c r="E16" s="286" t="s">
        <v>831</v>
      </c>
      <c r="F16" s="287">
        <v>1500000</v>
      </c>
    </row>
    <row r="17" spans="1:14" ht="105">
      <c r="A17" s="279">
        <v>16</v>
      </c>
      <c r="B17" s="284" t="s">
        <v>842</v>
      </c>
      <c r="C17" s="285" t="s">
        <v>843</v>
      </c>
      <c r="D17" s="285" t="s">
        <v>821</v>
      </c>
      <c r="E17" s="286" t="s">
        <v>844</v>
      </c>
      <c r="F17" s="287">
        <v>1062000</v>
      </c>
    </row>
    <row r="18" spans="1:14" ht="60">
      <c r="A18" s="279">
        <v>17</v>
      </c>
      <c r="B18" s="284" t="s">
        <v>845</v>
      </c>
      <c r="C18" s="285" t="s">
        <v>843</v>
      </c>
      <c r="D18" s="285" t="s">
        <v>821</v>
      </c>
      <c r="E18" s="286" t="s">
        <v>822</v>
      </c>
      <c r="F18" s="287">
        <v>2000000</v>
      </c>
    </row>
    <row r="19" spans="1:14" ht="75">
      <c r="A19" s="282">
        <v>18</v>
      </c>
      <c r="B19" s="284" t="s">
        <v>846</v>
      </c>
      <c r="C19" s="285" t="s">
        <v>847</v>
      </c>
      <c r="D19" s="285" t="s">
        <v>821</v>
      </c>
      <c r="E19" s="286" t="s">
        <v>848</v>
      </c>
      <c r="F19" s="287">
        <v>236000</v>
      </c>
    </row>
    <row r="20" spans="1:14" ht="45">
      <c r="A20" s="282">
        <v>19</v>
      </c>
      <c r="B20" s="284" t="s">
        <v>849</v>
      </c>
      <c r="C20" s="284" t="s">
        <v>850</v>
      </c>
      <c r="D20" s="285" t="s">
        <v>821</v>
      </c>
      <c r="E20" s="282" t="s">
        <v>831</v>
      </c>
      <c r="F20" s="287">
        <v>1770000</v>
      </c>
    </row>
    <row r="21" spans="1:14" ht="74.25" customHeight="1">
      <c r="A21" s="279">
        <v>20</v>
      </c>
      <c r="B21" s="323" t="s">
        <v>891</v>
      </c>
      <c r="C21" s="282"/>
      <c r="D21" s="324" t="s">
        <v>851</v>
      </c>
      <c r="E21" s="282" t="s">
        <v>831</v>
      </c>
      <c r="F21" s="287">
        <v>9600000</v>
      </c>
    </row>
    <row r="22" spans="1:14">
      <c r="A22" s="279">
        <v>21</v>
      </c>
      <c r="B22" s="285" t="s">
        <v>852</v>
      </c>
      <c r="C22" s="284" t="s">
        <v>853</v>
      </c>
      <c r="D22" s="285" t="s">
        <v>854</v>
      </c>
      <c r="E22" s="282" t="s">
        <v>831</v>
      </c>
      <c r="F22" s="287">
        <v>944000</v>
      </c>
    </row>
    <row r="23" spans="1:14">
      <c r="A23" s="282">
        <v>22</v>
      </c>
      <c r="B23" s="285" t="s">
        <v>855</v>
      </c>
      <c r="C23" s="284" t="s">
        <v>856</v>
      </c>
      <c r="D23" s="285" t="s">
        <v>821</v>
      </c>
      <c r="E23" s="282" t="s">
        <v>831</v>
      </c>
      <c r="F23" s="283">
        <v>500000</v>
      </c>
    </row>
    <row r="24" spans="1:14">
      <c r="A24" s="282">
        <v>23</v>
      </c>
      <c r="B24" s="285" t="s">
        <v>857</v>
      </c>
      <c r="C24" s="284" t="s">
        <v>858</v>
      </c>
      <c r="D24" s="285" t="s">
        <v>624</v>
      </c>
      <c r="E24" s="282" t="s">
        <v>831</v>
      </c>
      <c r="F24" s="283">
        <v>500000</v>
      </c>
    </row>
    <row r="25" spans="1:14" ht="30">
      <c r="A25" s="279">
        <v>24</v>
      </c>
      <c r="B25" s="285" t="s">
        <v>859</v>
      </c>
      <c r="C25" s="282"/>
      <c r="D25" s="285" t="s">
        <v>624</v>
      </c>
      <c r="E25" s="282" t="s">
        <v>831</v>
      </c>
      <c r="F25" s="283">
        <v>1500000</v>
      </c>
    </row>
    <row r="26" spans="1:14" ht="30">
      <c r="A26" s="279">
        <v>25</v>
      </c>
      <c r="B26" s="285" t="s">
        <v>860</v>
      </c>
      <c r="C26" s="282"/>
      <c r="D26" s="285" t="s">
        <v>861</v>
      </c>
      <c r="E26" s="282" t="s">
        <v>831</v>
      </c>
      <c r="F26" s="283">
        <v>1711000</v>
      </c>
    </row>
    <row r="27" spans="1:14" ht="15.75" thickBot="1">
      <c r="A27" s="282">
        <v>26</v>
      </c>
      <c r="B27" s="285" t="s">
        <v>862</v>
      </c>
      <c r="C27" s="282"/>
      <c r="D27" s="285" t="s">
        <v>821</v>
      </c>
      <c r="E27" s="282" t="s">
        <v>822</v>
      </c>
      <c r="F27" s="283">
        <v>500000</v>
      </c>
    </row>
    <row r="28" spans="1:14" ht="45.75" thickBot="1">
      <c r="A28" s="282">
        <v>27</v>
      </c>
      <c r="B28" s="284" t="s">
        <v>863</v>
      </c>
      <c r="C28" s="282"/>
      <c r="D28" s="285" t="s">
        <v>864</v>
      </c>
      <c r="E28" s="282" t="s">
        <v>831</v>
      </c>
      <c r="F28" s="283">
        <v>1500000</v>
      </c>
      <c r="K28" s="299">
        <v>17367600</v>
      </c>
      <c r="N28" s="299">
        <f>500*19730</f>
        <v>9865000</v>
      </c>
    </row>
    <row r="29" spans="1:14" ht="15.75" thickBot="1">
      <c r="A29" s="279">
        <v>28</v>
      </c>
      <c r="B29" s="284" t="s">
        <v>865</v>
      </c>
      <c r="C29" s="282"/>
      <c r="D29" s="282"/>
      <c r="E29" s="282" t="s">
        <v>866</v>
      </c>
      <c r="F29" s="283">
        <v>1000000</v>
      </c>
      <c r="K29" s="300">
        <v>49005</v>
      </c>
      <c r="N29" s="300">
        <v>326700</v>
      </c>
    </row>
    <row r="30" spans="1:14" ht="15.75" thickBot="1">
      <c r="A30" s="279">
        <v>29</v>
      </c>
      <c r="B30" s="288" t="s">
        <v>867</v>
      </c>
      <c r="C30" s="289"/>
      <c r="D30" s="289"/>
      <c r="E30" s="289"/>
      <c r="F30" s="290">
        <v>2800000</v>
      </c>
      <c r="K30" s="300">
        <v>5769120</v>
      </c>
      <c r="N30" s="300">
        <v>5769120</v>
      </c>
    </row>
    <row r="31" spans="1:14" ht="15.75" thickBot="1">
      <c r="A31" s="282">
        <v>30</v>
      </c>
      <c r="B31" s="288" t="s">
        <v>868</v>
      </c>
      <c r="C31" s="289"/>
      <c r="D31" s="289"/>
      <c r="E31" s="289" t="s">
        <v>831</v>
      </c>
      <c r="F31" s="290">
        <v>500000</v>
      </c>
      <c r="K31" s="300">
        <v>803682</v>
      </c>
      <c r="N31" s="300">
        <v>4688145</v>
      </c>
    </row>
    <row r="32" spans="1:14" ht="30.75" thickBot="1">
      <c r="A32" s="282">
        <v>31</v>
      </c>
      <c r="B32" s="288" t="s">
        <v>869</v>
      </c>
      <c r="C32" s="289"/>
      <c r="D32" s="289"/>
      <c r="E32" s="289"/>
      <c r="F32" s="290">
        <v>15000000</v>
      </c>
      <c r="K32" s="300">
        <v>80000</v>
      </c>
      <c r="N32" s="300">
        <v>560000</v>
      </c>
    </row>
    <row r="33" spans="1:14" ht="15.75" thickBot="1">
      <c r="A33" s="279">
        <v>32</v>
      </c>
      <c r="B33" s="288" t="s">
        <v>870</v>
      </c>
      <c r="C33" s="289"/>
      <c r="D33" s="289"/>
      <c r="E33" s="289"/>
      <c r="F33" s="290">
        <v>25000000</v>
      </c>
      <c r="K33" s="300">
        <v>21600</v>
      </c>
      <c r="N33" s="300">
        <v>132000</v>
      </c>
    </row>
    <row r="34" spans="1:14" ht="15.75" thickBot="1">
      <c r="A34" s="279"/>
      <c r="B34" s="282" t="s">
        <v>871</v>
      </c>
      <c r="C34" s="282"/>
      <c r="D34" s="282"/>
      <c r="E34" s="282"/>
      <c r="F34" s="282" t="s">
        <v>872</v>
      </c>
      <c r="K34" s="300">
        <v>57600</v>
      </c>
      <c r="N34" s="300">
        <v>360000</v>
      </c>
    </row>
    <row r="35" spans="1:14" ht="15.75" thickBot="1">
      <c r="A35" s="291"/>
      <c r="K35" s="300">
        <v>41817.599999999999</v>
      </c>
      <c r="N35" s="300">
        <v>243936</v>
      </c>
    </row>
    <row r="36" spans="1:14" ht="15.75" thickBot="1">
      <c r="A36" s="291"/>
      <c r="K36" s="300">
        <v>80498.880000000005</v>
      </c>
      <c r="N36" s="300">
        <v>80498.880000000005</v>
      </c>
    </row>
    <row r="37" spans="1:14" ht="15.75" thickBot="1">
      <c r="K37" s="300">
        <v>2319570</v>
      </c>
      <c r="N37" s="300">
        <v>3267000</v>
      </c>
    </row>
    <row r="38" spans="1:14" ht="15.75" thickBot="1">
      <c r="K38" s="300">
        <v>38332.800000000003</v>
      </c>
      <c r="N38" s="300">
        <v>261360</v>
      </c>
    </row>
    <row r="39" spans="1:14" ht="15.75" thickBot="1">
      <c r="K39" s="300">
        <v>67082.399999999994</v>
      </c>
      <c r="N39" s="300">
        <v>457380</v>
      </c>
    </row>
    <row r="40" spans="1:14" ht="15.75" thickBot="1">
      <c r="K40" s="300">
        <v>44376.254999999997</v>
      </c>
      <c r="N40" s="300">
        <v>112701.6</v>
      </c>
    </row>
    <row r="41" spans="1:14" ht="15.75" thickBot="1">
      <c r="K41" s="300">
        <v>6281522.0999999996</v>
      </c>
      <c r="N41" s="300">
        <v>15953072</v>
      </c>
    </row>
    <row r="42" spans="1:14" ht="15.75" thickBot="1">
      <c r="K42" s="300">
        <v>6591299.4000000004</v>
      </c>
      <c r="N42" s="300">
        <v>16739808</v>
      </c>
    </row>
    <row r="43" spans="1:14" ht="15.75" thickBot="1">
      <c r="K43" s="300">
        <v>435327.75</v>
      </c>
      <c r="N43" s="300">
        <v>435327.7</v>
      </c>
    </row>
    <row r="44" spans="1:14">
      <c r="K44" s="301">
        <f>SUM(K28:K43)</f>
        <v>40048434.184999995</v>
      </c>
      <c r="N44" s="302">
        <f>SUM(N28:N43)</f>
        <v>59252049.180000007</v>
      </c>
    </row>
    <row r="46" spans="1:14" ht="15.75" thickBot="1"/>
    <row r="47" spans="1:14" ht="15.75" thickBot="1">
      <c r="G47" s="321">
        <v>8032294.4000000004</v>
      </c>
    </row>
    <row r="48" spans="1:14" ht="15.75" thickBot="1">
      <c r="G48" s="322">
        <v>2961234.4</v>
      </c>
    </row>
    <row r="49" spans="7:7" ht="15.75" thickBot="1">
      <c r="G49" s="322">
        <v>2584010</v>
      </c>
    </row>
    <row r="50" spans="7:7" ht="15.75" thickBot="1">
      <c r="G50" s="322">
        <v>639060</v>
      </c>
    </row>
    <row r="51" spans="7:7" ht="15.75" thickBot="1">
      <c r="G51" s="322">
        <v>2584010</v>
      </c>
    </row>
    <row r="52" spans="7:7" ht="15.75" thickBot="1">
      <c r="G52" s="322">
        <v>2584010</v>
      </c>
    </row>
    <row r="53" spans="7:7" ht="15.75" thickBot="1">
      <c r="G53" s="322">
        <v>2584010</v>
      </c>
    </row>
    <row r="54" spans="7:7">
      <c r="G54" s="302">
        <f>SUM(G47:G53)</f>
        <v>21968628.800000001</v>
      </c>
    </row>
  </sheetData>
  <pageMargins left="0.25" right="0" top="0.75" bottom="0.75" header="0.3" footer="0.3"/>
  <pageSetup scale="60"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S22"/>
  <sheetViews>
    <sheetView topLeftCell="D1" zoomScaleNormal="100" zoomScaleSheetLayoutView="100" workbookViewId="0">
      <selection activeCell="M15" sqref="M15:S22"/>
    </sheetView>
  </sheetViews>
  <sheetFormatPr defaultColWidth="16" defaultRowHeight="15"/>
  <cols>
    <col min="1" max="1" width="5.28515625" style="247" customWidth="1"/>
    <col min="2" max="2" width="55.85546875" style="247" customWidth="1"/>
    <col min="3" max="3" width="14.42578125" style="248" bestFit="1" customWidth="1"/>
    <col min="4" max="4" width="8.85546875" style="248" customWidth="1"/>
    <col min="5" max="5" width="13.42578125" style="247" bestFit="1" customWidth="1"/>
    <col min="6" max="6" width="28.85546875" style="247" hidden="1" customWidth="1"/>
    <col min="7" max="7" width="18.85546875" style="247" hidden="1" customWidth="1"/>
    <col min="8" max="8" width="16.28515625" style="247" hidden="1" customWidth="1"/>
    <col min="9" max="9" width="0" style="247" hidden="1" customWidth="1"/>
    <col min="10" max="10" width="8.7109375" style="247" hidden="1" customWidth="1"/>
    <col min="11" max="11" width="0.5703125" style="247" hidden="1" customWidth="1"/>
    <col min="12" max="12" width="30.7109375" style="247" customWidth="1"/>
    <col min="13" max="13" width="23.85546875" style="247" customWidth="1"/>
    <col min="14" max="255" width="16" style="247"/>
    <col min="256" max="256" width="3" style="247" customWidth="1"/>
    <col min="257" max="257" width="8.42578125" style="247" customWidth="1"/>
    <col min="258" max="258" width="51" style="247" customWidth="1"/>
    <col min="259" max="259" width="10.28515625" style="247" customWidth="1"/>
    <col min="260" max="260" width="8.85546875" style="247" customWidth="1"/>
    <col min="261" max="261" width="10" style="247" customWidth="1"/>
    <col min="262" max="262" width="28.85546875" style="247" bestFit="1" customWidth="1"/>
    <col min="263" max="263" width="18.85546875" style="247" customWidth="1"/>
    <col min="264" max="264" width="16.28515625" style="247" bestFit="1" customWidth="1"/>
    <col min="265" max="511" width="16" style="247"/>
    <col min="512" max="512" width="3" style="247" customWidth="1"/>
    <col min="513" max="513" width="8.42578125" style="247" customWidth="1"/>
    <col min="514" max="514" width="51" style="247" customWidth="1"/>
    <col min="515" max="515" width="10.28515625" style="247" customWidth="1"/>
    <col min="516" max="516" width="8.85546875" style="247" customWidth="1"/>
    <col min="517" max="517" width="10" style="247" customWidth="1"/>
    <col min="518" max="518" width="28.85546875" style="247" bestFit="1" customWidth="1"/>
    <col min="519" max="519" width="18.85546875" style="247" customWidth="1"/>
    <col min="520" max="520" width="16.28515625" style="247" bestFit="1" customWidth="1"/>
    <col min="521" max="767" width="16" style="247"/>
    <col min="768" max="768" width="3" style="247" customWidth="1"/>
    <col min="769" max="769" width="8.42578125" style="247" customWidth="1"/>
    <col min="770" max="770" width="51" style="247" customWidth="1"/>
    <col min="771" max="771" width="10.28515625" style="247" customWidth="1"/>
    <col min="772" max="772" width="8.85546875" style="247" customWidth="1"/>
    <col min="773" max="773" width="10" style="247" customWidth="1"/>
    <col min="774" max="774" width="28.85546875" style="247" bestFit="1" customWidth="1"/>
    <col min="775" max="775" width="18.85546875" style="247" customWidth="1"/>
    <col min="776" max="776" width="16.28515625" style="247" bestFit="1" customWidth="1"/>
    <col min="777" max="1023" width="16" style="247"/>
    <col min="1024" max="1024" width="3" style="247" customWidth="1"/>
    <col min="1025" max="1025" width="8.42578125" style="247" customWidth="1"/>
    <col min="1026" max="1026" width="51" style="247" customWidth="1"/>
    <col min="1027" max="1027" width="10.28515625" style="247" customWidth="1"/>
    <col min="1028" max="1028" width="8.85546875" style="247" customWidth="1"/>
    <col min="1029" max="1029" width="10" style="247" customWidth="1"/>
    <col min="1030" max="1030" width="28.85546875" style="247" bestFit="1" customWidth="1"/>
    <col min="1031" max="1031" width="18.85546875" style="247" customWidth="1"/>
    <col min="1032" max="1032" width="16.28515625" style="247" bestFit="1" customWidth="1"/>
    <col min="1033" max="1279" width="16" style="247"/>
    <col min="1280" max="1280" width="3" style="247" customWidth="1"/>
    <col min="1281" max="1281" width="8.42578125" style="247" customWidth="1"/>
    <col min="1282" max="1282" width="51" style="247" customWidth="1"/>
    <col min="1283" max="1283" width="10.28515625" style="247" customWidth="1"/>
    <col min="1284" max="1284" width="8.85546875" style="247" customWidth="1"/>
    <col min="1285" max="1285" width="10" style="247" customWidth="1"/>
    <col min="1286" max="1286" width="28.85546875" style="247" bestFit="1" customWidth="1"/>
    <col min="1287" max="1287" width="18.85546875" style="247" customWidth="1"/>
    <col min="1288" max="1288" width="16.28515625" style="247" bestFit="1" customWidth="1"/>
    <col min="1289" max="1535" width="16" style="247"/>
    <col min="1536" max="1536" width="3" style="247" customWidth="1"/>
    <col min="1537" max="1537" width="8.42578125" style="247" customWidth="1"/>
    <col min="1538" max="1538" width="51" style="247" customWidth="1"/>
    <col min="1539" max="1539" width="10.28515625" style="247" customWidth="1"/>
    <col min="1540" max="1540" width="8.85546875" style="247" customWidth="1"/>
    <col min="1541" max="1541" width="10" style="247" customWidth="1"/>
    <col min="1542" max="1542" width="28.85546875" style="247" bestFit="1" customWidth="1"/>
    <col min="1543" max="1543" width="18.85546875" style="247" customWidth="1"/>
    <col min="1544" max="1544" width="16.28515625" style="247" bestFit="1" customWidth="1"/>
    <col min="1545" max="1791" width="16" style="247"/>
    <col min="1792" max="1792" width="3" style="247" customWidth="1"/>
    <col min="1793" max="1793" width="8.42578125" style="247" customWidth="1"/>
    <col min="1794" max="1794" width="51" style="247" customWidth="1"/>
    <col min="1795" max="1795" width="10.28515625" style="247" customWidth="1"/>
    <col min="1796" max="1796" width="8.85546875" style="247" customWidth="1"/>
    <col min="1797" max="1797" width="10" style="247" customWidth="1"/>
    <col min="1798" max="1798" width="28.85546875" style="247" bestFit="1" customWidth="1"/>
    <col min="1799" max="1799" width="18.85546875" style="247" customWidth="1"/>
    <col min="1800" max="1800" width="16.28515625" style="247" bestFit="1" customWidth="1"/>
    <col min="1801" max="2047" width="16" style="247"/>
    <col min="2048" max="2048" width="3" style="247" customWidth="1"/>
    <col min="2049" max="2049" width="8.42578125" style="247" customWidth="1"/>
    <col min="2050" max="2050" width="51" style="247" customWidth="1"/>
    <col min="2051" max="2051" width="10.28515625" style="247" customWidth="1"/>
    <col min="2052" max="2052" width="8.85546875" style="247" customWidth="1"/>
    <col min="2053" max="2053" width="10" style="247" customWidth="1"/>
    <col min="2054" max="2054" width="28.85546875" style="247" bestFit="1" customWidth="1"/>
    <col min="2055" max="2055" width="18.85546875" style="247" customWidth="1"/>
    <col min="2056" max="2056" width="16.28515625" style="247" bestFit="1" customWidth="1"/>
    <col min="2057" max="2303" width="16" style="247"/>
    <col min="2304" max="2304" width="3" style="247" customWidth="1"/>
    <col min="2305" max="2305" width="8.42578125" style="247" customWidth="1"/>
    <col min="2306" max="2306" width="51" style="247" customWidth="1"/>
    <col min="2307" max="2307" width="10.28515625" style="247" customWidth="1"/>
    <col min="2308" max="2308" width="8.85546875" style="247" customWidth="1"/>
    <col min="2309" max="2309" width="10" style="247" customWidth="1"/>
    <col min="2310" max="2310" width="28.85546875" style="247" bestFit="1" customWidth="1"/>
    <col min="2311" max="2311" width="18.85546875" style="247" customWidth="1"/>
    <col min="2312" max="2312" width="16.28515625" style="247" bestFit="1" customWidth="1"/>
    <col min="2313" max="2559" width="16" style="247"/>
    <col min="2560" max="2560" width="3" style="247" customWidth="1"/>
    <col min="2561" max="2561" width="8.42578125" style="247" customWidth="1"/>
    <col min="2562" max="2562" width="51" style="247" customWidth="1"/>
    <col min="2563" max="2563" width="10.28515625" style="247" customWidth="1"/>
    <col min="2564" max="2564" width="8.85546875" style="247" customWidth="1"/>
    <col min="2565" max="2565" width="10" style="247" customWidth="1"/>
    <col min="2566" max="2566" width="28.85546875" style="247" bestFit="1" customWidth="1"/>
    <col min="2567" max="2567" width="18.85546875" style="247" customWidth="1"/>
    <col min="2568" max="2568" width="16.28515625" style="247" bestFit="1" customWidth="1"/>
    <col min="2569" max="2815" width="16" style="247"/>
    <col min="2816" max="2816" width="3" style="247" customWidth="1"/>
    <col min="2817" max="2817" width="8.42578125" style="247" customWidth="1"/>
    <col min="2818" max="2818" width="51" style="247" customWidth="1"/>
    <col min="2819" max="2819" width="10.28515625" style="247" customWidth="1"/>
    <col min="2820" max="2820" width="8.85546875" style="247" customWidth="1"/>
    <col min="2821" max="2821" width="10" style="247" customWidth="1"/>
    <col min="2822" max="2822" width="28.85546875" style="247" bestFit="1" customWidth="1"/>
    <col min="2823" max="2823" width="18.85546875" style="247" customWidth="1"/>
    <col min="2824" max="2824" width="16.28515625" style="247" bestFit="1" customWidth="1"/>
    <col min="2825" max="3071" width="16" style="247"/>
    <col min="3072" max="3072" width="3" style="247" customWidth="1"/>
    <col min="3073" max="3073" width="8.42578125" style="247" customWidth="1"/>
    <col min="3074" max="3074" width="51" style="247" customWidth="1"/>
    <col min="3075" max="3075" width="10.28515625" style="247" customWidth="1"/>
    <col min="3076" max="3076" width="8.85546875" style="247" customWidth="1"/>
    <col min="3077" max="3077" width="10" style="247" customWidth="1"/>
    <col min="3078" max="3078" width="28.85546875" style="247" bestFit="1" customWidth="1"/>
    <col min="3079" max="3079" width="18.85546875" style="247" customWidth="1"/>
    <col min="3080" max="3080" width="16.28515625" style="247" bestFit="1" customWidth="1"/>
    <col min="3081" max="3327" width="16" style="247"/>
    <col min="3328" max="3328" width="3" style="247" customWidth="1"/>
    <col min="3329" max="3329" width="8.42578125" style="247" customWidth="1"/>
    <col min="3330" max="3330" width="51" style="247" customWidth="1"/>
    <col min="3331" max="3331" width="10.28515625" style="247" customWidth="1"/>
    <col min="3332" max="3332" width="8.85546875" style="247" customWidth="1"/>
    <col min="3333" max="3333" width="10" style="247" customWidth="1"/>
    <col min="3334" max="3334" width="28.85546875" style="247" bestFit="1" customWidth="1"/>
    <col min="3335" max="3335" width="18.85546875" style="247" customWidth="1"/>
    <col min="3336" max="3336" width="16.28515625" style="247" bestFit="1" customWidth="1"/>
    <col min="3337" max="3583" width="16" style="247"/>
    <col min="3584" max="3584" width="3" style="247" customWidth="1"/>
    <col min="3585" max="3585" width="8.42578125" style="247" customWidth="1"/>
    <col min="3586" max="3586" width="51" style="247" customWidth="1"/>
    <col min="3587" max="3587" width="10.28515625" style="247" customWidth="1"/>
    <col min="3588" max="3588" width="8.85546875" style="247" customWidth="1"/>
    <col min="3589" max="3589" width="10" style="247" customWidth="1"/>
    <col min="3590" max="3590" width="28.85546875" style="247" bestFit="1" customWidth="1"/>
    <col min="3591" max="3591" width="18.85546875" style="247" customWidth="1"/>
    <col min="3592" max="3592" width="16.28515625" style="247" bestFit="1" customWidth="1"/>
    <col min="3593" max="3839" width="16" style="247"/>
    <col min="3840" max="3840" width="3" style="247" customWidth="1"/>
    <col min="3841" max="3841" width="8.42578125" style="247" customWidth="1"/>
    <col min="3842" max="3842" width="51" style="247" customWidth="1"/>
    <col min="3843" max="3843" width="10.28515625" style="247" customWidth="1"/>
    <col min="3844" max="3844" width="8.85546875" style="247" customWidth="1"/>
    <col min="3845" max="3845" width="10" style="247" customWidth="1"/>
    <col min="3846" max="3846" width="28.85546875" style="247" bestFit="1" customWidth="1"/>
    <col min="3847" max="3847" width="18.85546875" style="247" customWidth="1"/>
    <col min="3848" max="3848" width="16.28515625" style="247" bestFit="1" customWidth="1"/>
    <col min="3849" max="4095" width="16" style="247"/>
    <col min="4096" max="4096" width="3" style="247" customWidth="1"/>
    <col min="4097" max="4097" width="8.42578125" style="247" customWidth="1"/>
    <col min="4098" max="4098" width="51" style="247" customWidth="1"/>
    <col min="4099" max="4099" width="10.28515625" style="247" customWidth="1"/>
    <col min="4100" max="4100" width="8.85546875" style="247" customWidth="1"/>
    <col min="4101" max="4101" width="10" style="247" customWidth="1"/>
    <col min="4102" max="4102" width="28.85546875" style="247" bestFit="1" customWidth="1"/>
    <col min="4103" max="4103" width="18.85546875" style="247" customWidth="1"/>
    <col min="4104" max="4104" width="16.28515625" style="247" bestFit="1" customWidth="1"/>
    <col min="4105" max="4351" width="16" style="247"/>
    <col min="4352" max="4352" width="3" style="247" customWidth="1"/>
    <col min="4353" max="4353" width="8.42578125" style="247" customWidth="1"/>
    <col min="4354" max="4354" width="51" style="247" customWidth="1"/>
    <col min="4355" max="4355" width="10.28515625" style="247" customWidth="1"/>
    <col min="4356" max="4356" width="8.85546875" style="247" customWidth="1"/>
    <col min="4357" max="4357" width="10" style="247" customWidth="1"/>
    <col min="4358" max="4358" width="28.85546875" style="247" bestFit="1" customWidth="1"/>
    <col min="4359" max="4359" width="18.85546875" style="247" customWidth="1"/>
    <col min="4360" max="4360" width="16.28515625" style="247" bestFit="1" customWidth="1"/>
    <col min="4361" max="4607" width="16" style="247"/>
    <col min="4608" max="4608" width="3" style="247" customWidth="1"/>
    <col min="4609" max="4609" width="8.42578125" style="247" customWidth="1"/>
    <col min="4610" max="4610" width="51" style="247" customWidth="1"/>
    <col min="4611" max="4611" width="10.28515625" style="247" customWidth="1"/>
    <col min="4612" max="4612" width="8.85546875" style="247" customWidth="1"/>
    <col min="4613" max="4613" width="10" style="247" customWidth="1"/>
    <col min="4614" max="4614" width="28.85546875" style="247" bestFit="1" customWidth="1"/>
    <col min="4615" max="4615" width="18.85546875" style="247" customWidth="1"/>
    <col min="4616" max="4616" width="16.28515625" style="247" bestFit="1" customWidth="1"/>
    <col min="4617" max="4863" width="16" style="247"/>
    <col min="4864" max="4864" width="3" style="247" customWidth="1"/>
    <col min="4865" max="4865" width="8.42578125" style="247" customWidth="1"/>
    <col min="4866" max="4866" width="51" style="247" customWidth="1"/>
    <col min="4867" max="4867" width="10.28515625" style="247" customWidth="1"/>
    <col min="4868" max="4868" width="8.85546875" style="247" customWidth="1"/>
    <col min="4869" max="4869" width="10" style="247" customWidth="1"/>
    <col min="4870" max="4870" width="28.85546875" style="247" bestFit="1" customWidth="1"/>
    <col min="4871" max="4871" width="18.85546875" style="247" customWidth="1"/>
    <col min="4872" max="4872" width="16.28515625" style="247" bestFit="1" customWidth="1"/>
    <col min="4873" max="5119" width="16" style="247"/>
    <col min="5120" max="5120" width="3" style="247" customWidth="1"/>
    <col min="5121" max="5121" width="8.42578125" style="247" customWidth="1"/>
    <col min="5122" max="5122" width="51" style="247" customWidth="1"/>
    <col min="5123" max="5123" width="10.28515625" style="247" customWidth="1"/>
    <col min="5124" max="5124" width="8.85546875" style="247" customWidth="1"/>
    <col min="5125" max="5125" width="10" style="247" customWidth="1"/>
    <col min="5126" max="5126" width="28.85546875" style="247" bestFit="1" customWidth="1"/>
    <col min="5127" max="5127" width="18.85546875" style="247" customWidth="1"/>
    <col min="5128" max="5128" width="16.28515625" style="247" bestFit="1" customWidth="1"/>
    <col min="5129" max="5375" width="16" style="247"/>
    <col min="5376" max="5376" width="3" style="247" customWidth="1"/>
    <col min="5377" max="5377" width="8.42578125" style="247" customWidth="1"/>
    <col min="5378" max="5378" width="51" style="247" customWidth="1"/>
    <col min="5379" max="5379" width="10.28515625" style="247" customWidth="1"/>
    <col min="5380" max="5380" width="8.85546875" style="247" customWidth="1"/>
    <col min="5381" max="5381" width="10" style="247" customWidth="1"/>
    <col min="5382" max="5382" width="28.85546875" style="247" bestFit="1" customWidth="1"/>
    <col min="5383" max="5383" width="18.85546875" style="247" customWidth="1"/>
    <col min="5384" max="5384" width="16.28515625" style="247" bestFit="1" customWidth="1"/>
    <col min="5385" max="5631" width="16" style="247"/>
    <col min="5632" max="5632" width="3" style="247" customWidth="1"/>
    <col min="5633" max="5633" width="8.42578125" style="247" customWidth="1"/>
    <col min="5634" max="5634" width="51" style="247" customWidth="1"/>
    <col min="5635" max="5635" width="10.28515625" style="247" customWidth="1"/>
    <col min="5636" max="5636" width="8.85546875" style="247" customWidth="1"/>
    <col min="5637" max="5637" width="10" style="247" customWidth="1"/>
    <col min="5638" max="5638" width="28.85546875" style="247" bestFit="1" customWidth="1"/>
    <col min="5639" max="5639" width="18.85546875" style="247" customWidth="1"/>
    <col min="5640" max="5640" width="16.28515625" style="247" bestFit="1" customWidth="1"/>
    <col min="5641" max="5887" width="16" style="247"/>
    <col min="5888" max="5888" width="3" style="247" customWidth="1"/>
    <col min="5889" max="5889" width="8.42578125" style="247" customWidth="1"/>
    <col min="5890" max="5890" width="51" style="247" customWidth="1"/>
    <col min="5891" max="5891" width="10.28515625" style="247" customWidth="1"/>
    <col min="5892" max="5892" width="8.85546875" style="247" customWidth="1"/>
    <col min="5893" max="5893" width="10" style="247" customWidth="1"/>
    <col min="5894" max="5894" width="28.85546875" style="247" bestFit="1" customWidth="1"/>
    <col min="5895" max="5895" width="18.85546875" style="247" customWidth="1"/>
    <col min="5896" max="5896" width="16.28515625" style="247" bestFit="1" customWidth="1"/>
    <col min="5897" max="6143" width="16" style="247"/>
    <col min="6144" max="6144" width="3" style="247" customWidth="1"/>
    <col min="6145" max="6145" width="8.42578125" style="247" customWidth="1"/>
    <col min="6146" max="6146" width="51" style="247" customWidth="1"/>
    <col min="6147" max="6147" width="10.28515625" style="247" customWidth="1"/>
    <col min="6148" max="6148" width="8.85546875" style="247" customWidth="1"/>
    <col min="6149" max="6149" width="10" style="247" customWidth="1"/>
    <col min="6150" max="6150" width="28.85546875" style="247" bestFit="1" customWidth="1"/>
    <col min="6151" max="6151" width="18.85546875" style="247" customWidth="1"/>
    <col min="6152" max="6152" width="16.28515625" style="247" bestFit="1" customWidth="1"/>
    <col min="6153" max="6399" width="16" style="247"/>
    <col min="6400" max="6400" width="3" style="247" customWidth="1"/>
    <col min="6401" max="6401" width="8.42578125" style="247" customWidth="1"/>
    <col min="6402" max="6402" width="51" style="247" customWidth="1"/>
    <col min="6403" max="6403" width="10.28515625" style="247" customWidth="1"/>
    <col min="6404" max="6404" width="8.85546875" style="247" customWidth="1"/>
    <col min="6405" max="6405" width="10" style="247" customWidth="1"/>
    <col min="6406" max="6406" width="28.85546875" style="247" bestFit="1" customWidth="1"/>
    <col min="6407" max="6407" width="18.85546875" style="247" customWidth="1"/>
    <col min="6408" max="6408" width="16.28515625" style="247" bestFit="1" customWidth="1"/>
    <col min="6409" max="6655" width="16" style="247"/>
    <col min="6656" max="6656" width="3" style="247" customWidth="1"/>
    <col min="6657" max="6657" width="8.42578125" style="247" customWidth="1"/>
    <col min="6658" max="6658" width="51" style="247" customWidth="1"/>
    <col min="6659" max="6659" width="10.28515625" style="247" customWidth="1"/>
    <col min="6660" max="6660" width="8.85546875" style="247" customWidth="1"/>
    <col min="6661" max="6661" width="10" style="247" customWidth="1"/>
    <col min="6662" max="6662" width="28.85546875" style="247" bestFit="1" customWidth="1"/>
    <col min="6663" max="6663" width="18.85546875" style="247" customWidth="1"/>
    <col min="6664" max="6664" width="16.28515625" style="247" bestFit="1" customWidth="1"/>
    <col min="6665" max="6911" width="16" style="247"/>
    <col min="6912" max="6912" width="3" style="247" customWidth="1"/>
    <col min="6913" max="6913" width="8.42578125" style="247" customWidth="1"/>
    <col min="6914" max="6914" width="51" style="247" customWidth="1"/>
    <col min="6915" max="6915" width="10.28515625" style="247" customWidth="1"/>
    <col min="6916" max="6916" width="8.85546875" style="247" customWidth="1"/>
    <col min="6917" max="6917" width="10" style="247" customWidth="1"/>
    <col min="6918" max="6918" width="28.85546875" style="247" bestFit="1" customWidth="1"/>
    <col min="6919" max="6919" width="18.85546875" style="247" customWidth="1"/>
    <col min="6920" max="6920" width="16.28515625" style="247" bestFit="1" customWidth="1"/>
    <col min="6921" max="7167" width="16" style="247"/>
    <col min="7168" max="7168" width="3" style="247" customWidth="1"/>
    <col min="7169" max="7169" width="8.42578125" style="247" customWidth="1"/>
    <col min="7170" max="7170" width="51" style="247" customWidth="1"/>
    <col min="7171" max="7171" width="10.28515625" style="247" customWidth="1"/>
    <col min="7172" max="7172" width="8.85546875" style="247" customWidth="1"/>
    <col min="7173" max="7173" width="10" style="247" customWidth="1"/>
    <col min="7174" max="7174" width="28.85546875" style="247" bestFit="1" customWidth="1"/>
    <col min="7175" max="7175" width="18.85546875" style="247" customWidth="1"/>
    <col min="7176" max="7176" width="16.28515625" style="247" bestFit="1" customWidth="1"/>
    <col min="7177" max="7423" width="16" style="247"/>
    <col min="7424" max="7424" width="3" style="247" customWidth="1"/>
    <col min="7425" max="7425" width="8.42578125" style="247" customWidth="1"/>
    <col min="7426" max="7426" width="51" style="247" customWidth="1"/>
    <col min="7427" max="7427" width="10.28515625" style="247" customWidth="1"/>
    <col min="7428" max="7428" width="8.85546875" style="247" customWidth="1"/>
    <col min="7429" max="7429" width="10" style="247" customWidth="1"/>
    <col min="7430" max="7430" width="28.85546875" style="247" bestFit="1" customWidth="1"/>
    <col min="7431" max="7431" width="18.85546875" style="247" customWidth="1"/>
    <col min="7432" max="7432" width="16.28515625" style="247" bestFit="1" customWidth="1"/>
    <col min="7433" max="7679" width="16" style="247"/>
    <col min="7680" max="7680" width="3" style="247" customWidth="1"/>
    <col min="7681" max="7681" width="8.42578125" style="247" customWidth="1"/>
    <col min="7682" max="7682" width="51" style="247" customWidth="1"/>
    <col min="7683" max="7683" width="10.28515625" style="247" customWidth="1"/>
    <col min="7684" max="7684" width="8.85546875" style="247" customWidth="1"/>
    <col min="7685" max="7685" width="10" style="247" customWidth="1"/>
    <col min="7686" max="7686" width="28.85546875" style="247" bestFit="1" customWidth="1"/>
    <col min="7687" max="7687" width="18.85546875" style="247" customWidth="1"/>
    <col min="7688" max="7688" width="16.28515625" style="247" bestFit="1" customWidth="1"/>
    <col min="7689" max="7935" width="16" style="247"/>
    <col min="7936" max="7936" width="3" style="247" customWidth="1"/>
    <col min="7937" max="7937" width="8.42578125" style="247" customWidth="1"/>
    <col min="7938" max="7938" width="51" style="247" customWidth="1"/>
    <col min="7939" max="7939" width="10.28515625" style="247" customWidth="1"/>
    <col min="7940" max="7940" width="8.85546875" style="247" customWidth="1"/>
    <col min="7941" max="7941" width="10" style="247" customWidth="1"/>
    <col min="7942" max="7942" width="28.85546875" style="247" bestFit="1" customWidth="1"/>
    <col min="7943" max="7943" width="18.85546875" style="247" customWidth="1"/>
    <col min="7944" max="7944" width="16.28515625" style="247" bestFit="1" customWidth="1"/>
    <col min="7945" max="8191" width="16" style="247"/>
    <col min="8192" max="8192" width="3" style="247" customWidth="1"/>
    <col min="8193" max="8193" width="8.42578125" style="247" customWidth="1"/>
    <col min="8194" max="8194" width="51" style="247" customWidth="1"/>
    <col min="8195" max="8195" width="10.28515625" style="247" customWidth="1"/>
    <col min="8196" max="8196" width="8.85546875" style="247" customWidth="1"/>
    <col min="8197" max="8197" width="10" style="247" customWidth="1"/>
    <col min="8198" max="8198" width="28.85546875" style="247" bestFit="1" customWidth="1"/>
    <col min="8199" max="8199" width="18.85546875" style="247" customWidth="1"/>
    <col min="8200" max="8200" width="16.28515625" style="247" bestFit="1" customWidth="1"/>
    <col min="8201" max="8447" width="16" style="247"/>
    <col min="8448" max="8448" width="3" style="247" customWidth="1"/>
    <col min="8449" max="8449" width="8.42578125" style="247" customWidth="1"/>
    <col min="8450" max="8450" width="51" style="247" customWidth="1"/>
    <col min="8451" max="8451" width="10.28515625" style="247" customWidth="1"/>
    <col min="8452" max="8452" width="8.85546875" style="247" customWidth="1"/>
    <col min="8453" max="8453" width="10" style="247" customWidth="1"/>
    <col min="8454" max="8454" width="28.85546875" style="247" bestFit="1" customWidth="1"/>
    <col min="8455" max="8455" width="18.85546875" style="247" customWidth="1"/>
    <col min="8456" max="8456" width="16.28515625" style="247" bestFit="1" customWidth="1"/>
    <col min="8457" max="8703" width="16" style="247"/>
    <col min="8704" max="8704" width="3" style="247" customWidth="1"/>
    <col min="8705" max="8705" width="8.42578125" style="247" customWidth="1"/>
    <col min="8706" max="8706" width="51" style="247" customWidth="1"/>
    <col min="8707" max="8707" width="10.28515625" style="247" customWidth="1"/>
    <col min="8708" max="8708" width="8.85546875" style="247" customWidth="1"/>
    <col min="8709" max="8709" width="10" style="247" customWidth="1"/>
    <col min="8710" max="8710" width="28.85546875" style="247" bestFit="1" customWidth="1"/>
    <col min="8711" max="8711" width="18.85546875" style="247" customWidth="1"/>
    <col min="8712" max="8712" width="16.28515625" style="247" bestFit="1" customWidth="1"/>
    <col min="8713" max="8959" width="16" style="247"/>
    <col min="8960" max="8960" width="3" style="247" customWidth="1"/>
    <col min="8961" max="8961" width="8.42578125" style="247" customWidth="1"/>
    <col min="8962" max="8962" width="51" style="247" customWidth="1"/>
    <col min="8963" max="8963" width="10.28515625" style="247" customWidth="1"/>
    <col min="8964" max="8964" width="8.85546875" style="247" customWidth="1"/>
    <col min="8965" max="8965" width="10" style="247" customWidth="1"/>
    <col min="8966" max="8966" width="28.85546875" style="247" bestFit="1" customWidth="1"/>
    <col min="8967" max="8967" width="18.85546875" style="247" customWidth="1"/>
    <col min="8968" max="8968" width="16.28515625" style="247" bestFit="1" customWidth="1"/>
    <col min="8969" max="9215" width="16" style="247"/>
    <col min="9216" max="9216" width="3" style="247" customWidth="1"/>
    <col min="9217" max="9217" width="8.42578125" style="247" customWidth="1"/>
    <col min="9218" max="9218" width="51" style="247" customWidth="1"/>
    <col min="9219" max="9219" width="10.28515625" style="247" customWidth="1"/>
    <col min="9220" max="9220" width="8.85546875" style="247" customWidth="1"/>
    <col min="9221" max="9221" width="10" style="247" customWidth="1"/>
    <col min="9222" max="9222" width="28.85546875" style="247" bestFit="1" customWidth="1"/>
    <col min="9223" max="9223" width="18.85546875" style="247" customWidth="1"/>
    <col min="9224" max="9224" width="16.28515625" style="247" bestFit="1" customWidth="1"/>
    <col min="9225" max="9471" width="16" style="247"/>
    <col min="9472" max="9472" width="3" style="247" customWidth="1"/>
    <col min="9473" max="9473" width="8.42578125" style="247" customWidth="1"/>
    <col min="9474" max="9474" width="51" style="247" customWidth="1"/>
    <col min="9475" max="9475" width="10.28515625" style="247" customWidth="1"/>
    <col min="9476" max="9476" width="8.85546875" style="247" customWidth="1"/>
    <col min="9477" max="9477" width="10" style="247" customWidth="1"/>
    <col min="9478" max="9478" width="28.85546875" style="247" bestFit="1" customWidth="1"/>
    <col min="9479" max="9479" width="18.85546875" style="247" customWidth="1"/>
    <col min="9480" max="9480" width="16.28515625" style="247" bestFit="1" customWidth="1"/>
    <col min="9481" max="9727" width="16" style="247"/>
    <col min="9728" max="9728" width="3" style="247" customWidth="1"/>
    <col min="9729" max="9729" width="8.42578125" style="247" customWidth="1"/>
    <col min="9730" max="9730" width="51" style="247" customWidth="1"/>
    <col min="9731" max="9731" width="10.28515625" style="247" customWidth="1"/>
    <col min="9732" max="9732" width="8.85546875" style="247" customWidth="1"/>
    <col min="9733" max="9733" width="10" style="247" customWidth="1"/>
    <col min="9734" max="9734" width="28.85546875" style="247" bestFit="1" customWidth="1"/>
    <col min="9735" max="9735" width="18.85546875" style="247" customWidth="1"/>
    <col min="9736" max="9736" width="16.28515625" style="247" bestFit="1" customWidth="1"/>
    <col min="9737" max="9983" width="16" style="247"/>
    <col min="9984" max="9984" width="3" style="247" customWidth="1"/>
    <col min="9985" max="9985" width="8.42578125" style="247" customWidth="1"/>
    <col min="9986" max="9986" width="51" style="247" customWidth="1"/>
    <col min="9987" max="9987" width="10.28515625" style="247" customWidth="1"/>
    <col min="9988" max="9988" width="8.85546875" style="247" customWidth="1"/>
    <col min="9989" max="9989" width="10" style="247" customWidth="1"/>
    <col min="9990" max="9990" width="28.85546875" style="247" bestFit="1" customWidth="1"/>
    <col min="9991" max="9991" width="18.85546875" style="247" customWidth="1"/>
    <col min="9992" max="9992" width="16.28515625" style="247" bestFit="1" customWidth="1"/>
    <col min="9993" max="10239" width="16" style="247"/>
    <col min="10240" max="10240" width="3" style="247" customWidth="1"/>
    <col min="10241" max="10241" width="8.42578125" style="247" customWidth="1"/>
    <col min="10242" max="10242" width="51" style="247" customWidth="1"/>
    <col min="10243" max="10243" width="10.28515625" style="247" customWidth="1"/>
    <col min="10244" max="10244" width="8.85546875" style="247" customWidth="1"/>
    <col min="10245" max="10245" width="10" style="247" customWidth="1"/>
    <col min="10246" max="10246" width="28.85546875" style="247" bestFit="1" customWidth="1"/>
    <col min="10247" max="10247" width="18.85546875" style="247" customWidth="1"/>
    <col min="10248" max="10248" width="16.28515625" style="247" bestFit="1" customWidth="1"/>
    <col min="10249" max="10495" width="16" style="247"/>
    <col min="10496" max="10496" width="3" style="247" customWidth="1"/>
    <col min="10497" max="10497" width="8.42578125" style="247" customWidth="1"/>
    <col min="10498" max="10498" width="51" style="247" customWidth="1"/>
    <col min="10499" max="10499" width="10.28515625" style="247" customWidth="1"/>
    <col min="10500" max="10500" width="8.85546875" style="247" customWidth="1"/>
    <col min="10501" max="10501" width="10" style="247" customWidth="1"/>
    <col min="10502" max="10502" width="28.85546875" style="247" bestFit="1" customWidth="1"/>
    <col min="10503" max="10503" width="18.85546875" style="247" customWidth="1"/>
    <col min="10504" max="10504" width="16.28515625" style="247" bestFit="1" customWidth="1"/>
    <col min="10505" max="10751" width="16" style="247"/>
    <col min="10752" max="10752" width="3" style="247" customWidth="1"/>
    <col min="10753" max="10753" width="8.42578125" style="247" customWidth="1"/>
    <col min="10754" max="10754" width="51" style="247" customWidth="1"/>
    <col min="10755" max="10755" width="10.28515625" style="247" customWidth="1"/>
    <col min="10756" max="10756" width="8.85546875" style="247" customWidth="1"/>
    <col min="10757" max="10757" width="10" style="247" customWidth="1"/>
    <col min="10758" max="10758" width="28.85546875" style="247" bestFit="1" customWidth="1"/>
    <col min="10759" max="10759" width="18.85546875" style="247" customWidth="1"/>
    <col min="10760" max="10760" width="16.28515625" style="247" bestFit="1" customWidth="1"/>
    <col min="10761" max="11007" width="16" style="247"/>
    <col min="11008" max="11008" width="3" style="247" customWidth="1"/>
    <col min="11009" max="11009" width="8.42578125" style="247" customWidth="1"/>
    <col min="11010" max="11010" width="51" style="247" customWidth="1"/>
    <col min="11011" max="11011" width="10.28515625" style="247" customWidth="1"/>
    <col min="11012" max="11012" width="8.85546875" style="247" customWidth="1"/>
    <col min="11013" max="11013" width="10" style="247" customWidth="1"/>
    <col min="11014" max="11014" width="28.85546875" style="247" bestFit="1" customWidth="1"/>
    <col min="11015" max="11015" width="18.85546875" style="247" customWidth="1"/>
    <col min="11016" max="11016" width="16.28515625" style="247" bestFit="1" customWidth="1"/>
    <col min="11017" max="11263" width="16" style="247"/>
    <col min="11264" max="11264" width="3" style="247" customWidth="1"/>
    <col min="11265" max="11265" width="8.42578125" style="247" customWidth="1"/>
    <col min="11266" max="11266" width="51" style="247" customWidth="1"/>
    <col min="11267" max="11267" width="10.28515625" style="247" customWidth="1"/>
    <col min="11268" max="11268" width="8.85546875" style="247" customWidth="1"/>
    <col min="11269" max="11269" width="10" style="247" customWidth="1"/>
    <col min="11270" max="11270" width="28.85546875" style="247" bestFit="1" customWidth="1"/>
    <col min="11271" max="11271" width="18.85546875" style="247" customWidth="1"/>
    <col min="11272" max="11272" width="16.28515625" style="247" bestFit="1" customWidth="1"/>
    <col min="11273" max="11519" width="16" style="247"/>
    <col min="11520" max="11520" width="3" style="247" customWidth="1"/>
    <col min="11521" max="11521" width="8.42578125" style="247" customWidth="1"/>
    <col min="11522" max="11522" width="51" style="247" customWidth="1"/>
    <col min="11523" max="11523" width="10.28515625" style="247" customWidth="1"/>
    <col min="11524" max="11524" width="8.85546875" style="247" customWidth="1"/>
    <col min="11525" max="11525" width="10" style="247" customWidth="1"/>
    <col min="11526" max="11526" width="28.85546875" style="247" bestFit="1" customWidth="1"/>
    <col min="11527" max="11527" width="18.85546875" style="247" customWidth="1"/>
    <col min="11528" max="11528" width="16.28515625" style="247" bestFit="1" customWidth="1"/>
    <col min="11529" max="11775" width="16" style="247"/>
    <col min="11776" max="11776" width="3" style="247" customWidth="1"/>
    <col min="11777" max="11777" width="8.42578125" style="247" customWidth="1"/>
    <col min="11778" max="11778" width="51" style="247" customWidth="1"/>
    <col min="11779" max="11779" width="10.28515625" style="247" customWidth="1"/>
    <col min="11780" max="11780" width="8.85546875" style="247" customWidth="1"/>
    <col min="11781" max="11781" width="10" style="247" customWidth="1"/>
    <col min="11782" max="11782" width="28.85546875" style="247" bestFit="1" customWidth="1"/>
    <col min="11783" max="11783" width="18.85546875" style="247" customWidth="1"/>
    <col min="11784" max="11784" width="16.28515625" style="247" bestFit="1" customWidth="1"/>
    <col min="11785" max="12031" width="16" style="247"/>
    <col min="12032" max="12032" width="3" style="247" customWidth="1"/>
    <col min="12033" max="12033" width="8.42578125" style="247" customWidth="1"/>
    <col min="12034" max="12034" width="51" style="247" customWidth="1"/>
    <col min="12035" max="12035" width="10.28515625" style="247" customWidth="1"/>
    <col min="12036" max="12036" width="8.85546875" style="247" customWidth="1"/>
    <col min="12037" max="12037" width="10" style="247" customWidth="1"/>
    <col min="12038" max="12038" width="28.85546875" style="247" bestFit="1" customWidth="1"/>
    <col min="12039" max="12039" width="18.85546875" style="247" customWidth="1"/>
    <col min="12040" max="12040" width="16.28515625" style="247" bestFit="1" customWidth="1"/>
    <col min="12041" max="12287" width="16" style="247"/>
    <col min="12288" max="12288" width="3" style="247" customWidth="1"/>
    <col min="12289" max="12289" width="8.42578125" style="247" customWidth="1"/>
    <col min="12290" max="12290" width="51" style="247" customWidth="1"/>
    <col min="12291" max="12291" width="10.28515625" style="247" customWidth="1"/>
    <col min="12292" max="12292" width="8.85546875" style="247" customWidth="1"/>
    <col min="12293" max="12293" width="10" style="247" customWidth="1"/>
    <col min="12294" max="12294" width="28.85546875" style="247" bestFit="1" customWidth="1"/>
    <col min="12295" max="12295" width="18.85546875" style="247" customWidth="1"/>
    <col min="12296" max="12296" width="16.28515625" style="247" bestFit="1" customWidth="1"/>
    <col min="12297" max="12543" width="16" style="247"/>
    <col min="12544" max="12544" width="3" style="247" customWidth="1"/>
    <col min="12545" max="12545" width="8.42578125" style="247" customWidth="1"/>
    <col min="12546" max="12546" width="51" style="247" customWidth="1"/>
    <col min="12547" max="12547" width="10.28515625" style="247" customWidth="1"/>
    <col min="12548" max="12548" width="8.85546875" style="247" customWidth="1"/>
    <col min="12549" max="12549" width="10" style="247" customWidth="1"/>
    <col min="12550" max="12550" width="28.85546875" style="247" bestFit="1" customWidth="1"/>
    <col min="12551" max="12551" width="18.85546875" style="247" customWidth="1"/>
    <col min="12552" max="12552" width="16.28515625" style="247" bestFit="1" customWidth="1"/>
    <col min="12553" max="12799" width="16" style="247"/>
    <col min="12800" max="12800" width="3" style="247" customWidth="1"/>
    <col min="12801" max="12801" width="8.42578125" style="247" customWidth="1"/>
    <col min="12802" max="12802" width="51" style="247" customWidth="1"/>
    <col min="12803" max="12803" width="10.28515625" style="247" customWidth="1"/>
    <col min="12804" max="12804" width="8.85546875" style="247" customWidth="1"/>
    <col min="12805" max="12805" width="10" style="247" customWidth="1"/>
    <col min="12806" max="12806" width="28.85546875" style="247" bestFit="1" customWidth="1"/>
    <col min="12807" max="12807" width="18.85546875" style="247" customWidth="1"/>
    <col min="12808" max="12808" width="16.28515625" style="247" bestFit="1" customWidth="1"/>
    <col min="12809" max="13055" width="16" style="247"/>
    <col min="13056" max="13056" width="3" style="247" customWidth="1"/>
    <col min="13057" max="13057" width="8.42578125" style="247" customWidth="1"/>
    <col min="13058" max="13058" width="51" style="247" customWidth="1"/>
    <col min="13059" max="13059" width="10.28515625" style="247" customWidth="1"/>
    <col min="13060" max="13060" width="8.85546875" style="247" customWidth="1"/>
    <col min="13061" max="13061" width="10" style="247" customWidth="1"/>
    <col min="13062" max="13062" width="28.85546875" style="247" bestFit="1" customWidth="1"/>
    <col min="13063" max="13063" width="18.85546875" style="247" customWidth="1"/>
    <col min="13064" max="13064" width="16.28515625" style="247" bestFit="1" customWidth="1"/>
    <col min="13065" max="13311" width="16" style="247"/>
    <col min="13312" max="13312" width="3" style="247" customWidth="1"/>
    <col min="13313" max="13313" width="8.42578125" style="247" customWidth="1"/>
    <col min="13314" max="13314" width="51" style="247" customWidth="1"/>
    <col min="13315" max="13315" width="10.28515625" style="247" customWidth="1"/>
    <col min="13316" max="13316" width="8.85546875" style="247" customWidth="1"/>
    <col min="13317" max="13317" width="10" style="247" customWidth="1"/>
    <col min="13318" max="13318" width="28.85546875" style="247" bestFit="1" customWidth="1"/>
    <col min="13319" max="13319" width="18.85546875" style="247" customWidth="1"/>
    <col min="13320" max="13320" width="16.28515625" style="247" bestFit="1" customWidth="1"/>
    <col min="13321" max="13567" width="16" style="247"/>
    <col min="13568" max="13568" width="3" style="247" customWidth="1"/>
    <col min="13569" max="13569" width="8.42578125" style="247" customWidth="1"/>
    <col min="13570" max="13570" width="51" style="247" customWidth="1"/>
    <col min="13571" max="13571" width="10.28515625" style="247" customWidth="1"/>
    <col min="13572" max="13572" width="8.85546875" style="247" customWidth="1"/>
    <col min="13573" max="13573" width="10" style="247" customWidth="1"/>
    <col min="13574" max="13574" width="28.85546875" style="247" bestFit="1" customWidth="1"/>
    <col min="13575" max="13575" width="18.85546875" style="247" customWidth="1"/>
    <col min="13576" max="13576" width="16.28515625" style="247" bestFit="1" customWidth="1"/>
    <col min="13577" max="13823" width="16" style="247"/>
    <col min="13824" max="13824" width="3" style="247" customWidth="1"/>
    <col min="13825" max="13825" width="8.42578125" style="247" customWidth="1"/>
    <col min="13826" max="13826" width="51" style="247" customWidth="1"/>
    <col min="13827" max="13827" width="10.28515625" style="247" customWidth="1"/>
    <col min="13828" max="13828" width="8.85546875" style="247" customWidth="1"/>
    <col min="13829" max="13829" width="10" style="247" customWidth="1"/>
    <col min="13830" max="13830" width="28.85546875" style="247" bestFit="1" customWidth="1"/>
    <col min="13831" max="13831" width="18.85546875" style="247" customWidth="1"/>
    <col min="13832" max="13832" width="16.28515625" style="247" bestFit="1" customWidth="1"/>
    <col min="13833" max="14079" width="16" style="247"/>
    <col min="14080" max="14080" width="3" style="247" customWidth="1"/>
    <col min="14081" max="14081" width="8.42578125" style="247" customWidth="1"/>
    <col min="14082" max="14082" width="51" style="247" customWidth="1"/>
    <col min="14083" max="14083" width="10.28515625" style="247" customWidth="1"/>
    <col min="14084" max="14084" width="8.85546875" style="247" customWidth="1"/>
    <col min="14085" max="14085" width="10" style="247" customWidth="1"/>
    <col min="14086" max="14086" width="28.85546875" style="247" bestFit="1" customWidth="1"/>
    <col min="14087" max="14087" width="18.85546875" style="247" customWidth="1"/>
    <col min="14088" max="14088" width="16.28515625" style="247" bestFit="1" customWidth="1"/>
    <col min="14089" max="14335" width="16" style="247"/>
    <col min="14336" max="14336" width="3" style="247" customWidth="1"/>
    <col min="14337" max="14337" width="8.42578125" style="247" customWidth="1"/>
    <col min="14338" max="14338" width="51" style="247" customWidth="1"/>
    <col min="14339" max="14339" width="10.28515625" style="247" customWidth="1"/>
    <col min="14340" max="14340" width="8.85546875" style="247" customWidth="1"/>
    <col min="14341" max="14341" width="10" style="247" customWidth="1"/>
    <col min="14342" max="14342" width="28.85546875" style="247" bestFit="1" customWidth="1"/>
    <col min="14343" max="14343" width="18.85546875" style="247" customWidth="1"/>
    <col min="14344" max="14344" width="16.28515625" style="247" bestFit="1" customWidth="1"/>
    <col min="14345" max="14591" width="16" style="247"/>
    <col min="14592" max="14592" width="3" style="247" customWidth="1"/>
    <col min="14593" max="14593" width="8.42578125" style="247" customWidth="1"/>
    <col min="14594" max="14594" width="51" style="247" customWidth="1"/>
    <col min="14595" max="14595" width="10.28515625" style="247" customWidth="1"/>
    <col min="14596" max="14596" width="8.85546875" style="247" customWidth="1"/>
    <col min="14597" max="14597" width="10" style="247" customWidth="1"/>
    <col min="14598" max="14598" width="28.85546875" style="247" bestFit="1" customWidth="1"/>
    <col min="14599" max="14599" width="18.85546875" style="247" customWidth="1"/>
    <col min="14600" max="14600" width="16.28515625" style="247" bestFit="1" customWidth="1"/>
    <col min="14601" max="14847" width="16" style="247"/>
    <col min="14848" max="14848" width="3" style="247" customWidth="1"/>
    <col min="14849" max="14849" width="8.42578125" style="247" customWidth="1"/>
    <col min="14850" max="14850" width="51" style="247" customWidth="1"/>
    <col min="14851" max="14851" width="10.28515625" style="247" customWidth="1"/>
    <col min="14852" max="14852" width="8.85546875" style="247" customWidth="1"/>
    <col min="14853" max="14853" width="10" style="247" customWidth="1"/>
    <col min="14854" max="14854" width="28.85546875" style="247" bestFit="1" customWidth="1"/>
    <col min="14855" max="14855" width="18.85546875" style="247" customWidth="1"/>
    <col min="14856" max="14856" width="16.28515625" style="247" bestFit="1" customWidth="1"/>
    <col min="14857" max="15103" width="16" style="247"/>
    <col min="15104" max="15104" width="3" style="247" customWidth="1"/>
    <col min="15105" max="15105" width="8.42578125" style="247" customWidth="1"/>
    <col min="15106" max="15106" width="51" style="247" customWidth="1"/>
    <col min="15107" max="15107" width="10.28515625" style="247" customWidth="1"/>
    <col min="15108" max="15108" width="8.85546875" style="247" customWidth="1"/>
    <col min="15109" max="15109" width="10" style="247" customWidth="1"/>
    <col min="15110" max="15110" width="28.85546875" style="247" bestFit="1" customWidth="1"/>
    <col min="15111" max="15111" width="18.85546875" style="247" customWidth="1"/>
    <col min="15112" max="15112" width="16.28515625" style="247" bestFit="1" customWidth="1"/>
    <col min="15113" max="15359" width="16" style="247"/>
    <col min="15360" max="15360" width="3" style="247" customWidth="1"/>
    <col min="15361" max="15361" width="8.42578125" style="247" customWidth="1"/>
    <col min="15362" max="15362" width="51" style="247" customWidth="1"/>
    <col min="15363" max="15363" width="10.28515625" style="247" customWidth="1"/>
    <col min="15364" max="15364" width="8.85546875" style="247" customWidth="1"/>
    <col min="15365" max="15365" width="10" style="247" customWidth="1"/>
    <col min="15366" max="15366" width="28.85546875" style="247" bestFit="1" customWidth="1"/>
    <col min="15367" max="15367" width="18.85546875" style="247" customWidth="1"/>
    <col min="15368" max="15368" width="16.28515625" style="247" bestFit="1" customWidth="1"/>
    <col min="15369" max="15615" width="16" style="247"/>
    <col min="15616" max="15616" width="3" style="247" customWidth="1"/>
    <col min="15617" max="15617" width="8.42578125" style="247" customWidth="1"/>
    <col min="15618" max="15618" width="51" style="247" customWidth="1"/>
    <col min="15619" max="15619" width="10.28515625" style="247" customWidth="1"/>
    <col min="15620" max="15620" width="8.85546875" style="247" customWidth="1"/>
    <col min="15621" max="15621" width="10" style="247" customWidth="1"/>
    <col min="15622" max="15622" width="28.85546875" style="247" bestFit="1" customWidth="1"/>
    <col min="15623" max="15623" width="18.85546875" style="247" customWidth="1"/>
    <col min="15624" max="15624" width="16.28515625" style="247" bestFit="1" customWidth="1"/>
    <col min="15625" max="15871" width="16" style="247"/>
    <col min="15872" max="15872" width="3" style="247" customWidth="1"/>
    <col min="15873" max="15873" width="8.42578125" style="247" customWidth="1"/>
    <col min="15874" max="15874" width="51" style="247" customWidth="1"/>
    <col min="15875" max="15875" width="10.28515625" style="247" customWidth="1"/>
    <col min="15876" max="15876" width="8.85546875" style="247" customWidth="1"/>
    <col min="15877" max="15877" width="10" style="247" customWidth="1"/>
    <col min="15878" max="15878" width="28.85546875" style="247" bestFit="1" customWidth="1"/>
    <col min="15879" max="15879" width="18.85546875" style="247" customWidth="1"/>
    <col min="15880" max="15880" width="16.28515625" style="247" bestFit="1" customWidth="1"/>
    <col min="15881" max="16127" width="16" style="247"/>
    <col min="16128" max="16128" width="3" style="247" customWidth="1"/>
    <col min="16129" max="16129" width="8.42578125" style="247" customWidth="1"/>
    <col min="16130" max="16130" width="51" style="247" customWidth="1"/>
    <col min="16131" max="16131" width="10.28515625" style="247" customWidth="1"/>
    <col min="16132" max="16132" width="8.85546875" style="247" customWidth="1"/>
    <col min="16133" max="16133" width="10" style="247" customWidth="1"/>
    <col min="16134" max="16134" width="28.85546875" style="247" bestFit="1" customWidth="1"/>
    <col min="16135" max="16135" width="18.85546875" style="247" customWidth="1"/>
    <col min="16136" max="16136" width="16.28515625" style="247" bestFit="1" customWidth="1"/>
    <col min="16137" max="16384" width="16" style="247"/>
  </cols>
  <sheetData>
    <row r="3" spans="2:19">
      <c r="B3" s="251" t="s">
        <v>873</v>
      </c>
      <c r="C3" s="249">
        <v>21968628</v>
      </c>
    </row>
    <row r="4" spans="2:19">
      <c r="B4" s="251" t="s">
        <v>422</v>
      </c>
      <c r="C4" s="249">
        <v>0</v>
      </c>
    </row>
    <row r="5" spans="2:19" ht="30">
      <c r="B5" s="276" t="s">
        <v>803</v>
      </c>
      <c r="C5" s="250">
        <f>25048434.2+15000000</f>
        <v>40048434.200000003</v>
      </c>
      <c r="E5" s="247">
        <v>25048434.199999999</v>
      </c>
    </row>
    <row r="6" spans="2:19">
      <c r="B6" s="251" t="s">
        <v>421</v>
      </c>
      <c r="C6" s="274">
        <f>SUM('Revised Cost Sheet'!F2:F28)</f>
        <v>148763000</v>
      </c>
    </row>
    <row r="7" spans="2:19">
      <c r="B7" s="251" t="s">
        <v>423</v>
      </c>
      <c r="C7" s="250">
        <v>500000</v>
      </c>
    </row>
    <row r="8" spans="2:19">
      <c r="B8" s="247" t="s">
        <v>94</v>
      </c>
      <c r="C8" s="250">
        <v>1000000</v>
      </c>
    </row>
    <row r="13" spans="2:19">
      <c r="M13" s="251" t="s">
        <v>879</v>
      </c>
    </row>
    <row r="15" spans="2:19">
      <c r="M15" s="295" t="s">
        <v>879</v>
      </c>
      <c r="N15" s="295"/>
      <c r="O15" s="295"/>
      <c r="P15" s="295"/>
      <c r="Q15" s="295"/>
      <c r="R15" s="295"/>
      <c r="S15" s="295"/>
    </row>
    <row r="16" spans="2:19">
      <c r="M16" s="295" t="s">
        <v>885</v>
      </c>
      <c r="N16" s="296" t="s">
        <v>886</v>
      </c>
      <c r="O16" s="296" t="s">
        <v>195</v>
      </c>
      <c r="P16" s="296" t="s">
        <v>887</v>
      </c>
      <c r="Q16" s="296" t="s">
        <v>888</v>
      </c>
      <c r="R16" s="296" t="s">
        <v>889</v>
      </c>
      <c r="S16" s="296" t="s">
        <v>890</v>
      </c>
    </row>
    <row r="17" spans="13:19">
      <c r="M17" s="295" t="s">
        <v>880</v>
      </c>
      <c r="N17" s="296">
        <v>29</v>
      </c>
      <c r="O17" s="295">
        <v>7995212</v>
      </c>
      <c r="P17" s="295"/>
      <c r="Q17" s="296" t="s">
        <v>794</v>
      </c>
      <c r="R17" s="296">
        <v>89327</v>
      </c>
      <c r="S17" s="295">
        <v>7905885</v>
      </c>
    </row>
    <row r="18" spans="13:19">
      <c r="M18" s="295" t="s">
        <v>881</v>
      </c>
      <c r="N18" s="296">
        <v>29</v>
      </c>
      <c r="O18" s="295">
        <v>11055486</v>
      </c>
      <c r="P18" s="295"/>
      <c r="Q18" s="296">
        <v>1125000</v>
      </c>
      <c r="R18" s="296">
        <v>89327</v>
      </c>
      <c r="S18" s="295">
        <v>9841159</v>
      </c>
    </row>
    <row r="19" spans="13:19">
      <c r="M19" s="295" t="s">
        <v>882</v>
      </c>
      <c r="N19" s="296">
        <v>15</v>
      </c>
      <c r="O19" s="295">
        <v>2619937</v>
      </c>
      <c r="P19" s="295"/>
      <c r="Q19" s="296" t="s">
        <v>794</v>
      </c>
      <c r="R19" s="296">
        <v>46204</v>
      </c>
      <c r="S19" s="295">
        <v>2573733</v>
      </c>
    </row>
    <row r="20" spans="13:19">
      <c r="M20" s="295" t="s">
        <v>883</v>
      </c>
      <c r="N20" s="296">
        <v>13</v>
      </c>
      <c r="O20" s="295">
        <v>2930613</v>
      </c>
      <c r="P20" s="295"/>
      <c r="Q20" s="296" t="s">
        <v>794</v>
      </c>
      <c r="R20" s="296">
        <v>40042.6</v>
      </c>
      <c r="S20" s="295">
        <v>2890570.4</v>
      </c>
    </row>
    <row r="21" spans="13:19">
      <c r="M21" s="295" t="s">
        <v>884</v>
      </c>
      <c r="N21" s="296">
        <v>14</v>
      </c>
      <c r="O21" s="295"/>
      <c r="P21" s="295">
        <v>1550000</v>
      </c>
      <c r="Q21" s="295"/>
      <c r="R21" s="296">
        <v>43123</v>
      </c>
      <c r="S21" s="295">
        <v>1506877</v>
      </c>
    </row>
    <row r="22" spans="13:19">
      <c r="M22" s="297"/>
      <c r="N22" s="298">
        <f>SUM(N17:N21)</f>
        <v>100</v>
      </c>
      <c r="O22" s="297">
        <f>SUM(O17:O21)</f>
        <v>24601248</v>
      </c>
      <c r="P22" s="297">
        <f>SUM(P21)</f>
        <v>1550000</v>
      </c>
      <c r="Q22" s="297">
        <f>SUM(Q17:Q21)</f>
        <v>1125000</v>
      </c>
      <c r="R22" s="297">
        <f>SUM(R17:R21)</f>
        <v>308023.59999999998</v>
      </c>
      <c r="S22" s="297">
        <f>SUM(S17:S21)</f>
        <v>24718224.399999999</v>
      </c>
    </row>
  </sheetData>
  <pageMargins left="0.32" right="0.32" top="0.19" bottom="0.34" header="0.18" footer="0.24"/>
  <pageSetup paperSize="9" scale="73" fitToHeight="2" orientation="portrait" r:id="rId1"/>
  <headerFooter alignWithMargins="0">
    <oddHeader>&amp;C&amp;"Arial,Bold"&amp;11DETAILED PROJECT REPORT -CBG PLANT - FINANCIAL ASPECTS</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9"/>
  <sheetViews>
    <sheetView showGridLines="0" workbookViewId="0"/>
  </sheetViews>
  <sheetFormatPr defaultRowHeight="18" customHeight="1"/>
  <cols>
    <col min="1" max="1" width="4.140625" style="1" customWidth="1"/>
    <col min="2" max="2" width="41" style="1" customWidth="1"/>
    <col min="3" max="3" width="17" style="44" customWidth="1"/>
    <col min="4" max="4" width="23.7109375" style="44" customWidth="1"/>
    <col min="5" max="5" width="31.28515625" style="44" customWidth="1"/>
    <col min="6" max="6" width="9.140625" style="1"/>
    <col min="7" max="7" width="11" style="1" customWidth="1"/>
    <col min="8" max="8" width="10.85546875" style="1" customWidth="1"/>
    <col min="9" max="16384" width="9.140625" style="1"/>
  </cols>
  <sheetData>
    <row r="2" spans="2:9" ht="18" customHeight="1">
      <c r="B2" s="79" t="str">
        <f>"Financial Model of " &amp; B4</f>
        <v>Financial Model of Proposed 6000 KGPD CBG plant set up M/s. SRSBIOX RENEWABLE LLP.</v>
      </c>
      <c r="C2" s="80"/>
      <c r="D2" s="81"/>
      <c r="E2" s="81"/>
    </row>
    <row r="3" spans="2:9" ht="15" customHeight="1">
      <c r="B3" s="65"/>
      <c r="C3" s="65"/>
      <c r="D3" s="65"/>
    </row>
    <row r="4" spans="2:9" ht="18" customHeight="1">
      <c r="B4" s="67" t="str">
        <f>'Common Assumption'!B4</f>
        <v>Proposed 6000 KGPD CBG plant set up M/s. SRSBIOX RENEWABLE LLP.</v>
      </c>
      <c r="C4" s="67"/>
      <c r="D4" s="68"/>
      <c r="E4" s="68"/>
      <c r="H4" s="57"/>
    </row>
    <row r="5" spans="2:9" ht="12.75" customHeight="1">
      <c r="C5" s="1"/>
      <c r="D5" s="1"/>
      <c r="E5" s="1"/>
    </row>
    <row r="6" spans="2:9" ht="18" customHeight="1">
      <c r="B6" s="303" t="s">
        <v>55</v>
      </c>
      <c r="C6" s="303"/>
      <c r="D6" s="303"/>
      <c r="E6" s="303"/>
    </row>
    <row r="7" spans="2:9" ht="18" customHeight="1">
      <c r="B7" s="45" t="s">
        <v>391</v>
      </c>
      <c r="C7" s="46" t="s">
        <v>57</v>
      </c>
      <c r="D7" s="46" t="s">
        <v>56</v>
      </c>
      <c r="E7" s="46" t="s">
        <v>390</v>
      </c>
    </row>
    <row r="8" spans="2:9" ht="8.25" customHeight="1">
      <c r="C8" s="1"/>
      <c r="D8" s="1"/>
      <c r="E8" s="1"/>
    </row>
    <row r="9" spans="2:9" ht="18" customHeight="1">
      <c r="B9" s="1" t="s">
        <v>392</v>
      </c>
      <c r="C9" s="44">
        <v>7200</v>
      </c>
      <c r="D9" s="44">
        <v>2</v>
      </c>
      <c r="E9" s="229">
        <f>C9*D9</f>
        <v>14400</v>
      </c>
    </row>
    <row r="10" spans="2:9" ht="18" customHeight="1">
      <c r="B10" s="1" t="s">
        <v>479</v>
      </c>
      <c r="C10" s="44">
        <f>C9</f>
        <v>7200</v>
      </c>
      <c r="D10" s="44">
        <f>D9</f>
        <v>2</v>
      </c>
      <c r="E10" s="229">
        <f>C10*D10</f>
        <v>14400</v>
      </c>
    </row>
    <row r="11" spans="2:9" ht="18" customHeight="1">
      <c r="B11" s="1" t="s">
        <v>393</v>
      </c>
      <c r="C11" s="178">
        <v>0.6</v>
      </c>
      <c r="D11" s="1"/>
      <c r="E11" s="1"/>
    </row>
    <row r="12" spans="2:9" ht="18" customHeight="1">
      <c r="C12" s="44">
        <f>C10*C11</f>
        <v>4320</v>
      </c>
      <c r="D12" s="44">
        <f>D10</f>
        <v>2</v>
      </c>
      <c r="E12" s="44">
        <f>C12*D12</f>
        <v>8640</v>
      </c>
      <c r="I12" s="1">
        <f>15*15*32</f>
        <v>7200</v>
      </c>
    </row>
    <row r="13" spans="2:9" ht="18" customHeight="1">
      <c r="C13" s="1"/>
      <c r="D13" s="1"/>
      <c r="E13" s="1"/>
    </row>
    <row r="14" spans="2:9" ht="18" customHeight="1">
      <c r="C14" s="1"/>
      <c r="D14" s="1"/>
      <c r="E14" s="1"/>
    </row>
    <row r="15" spans="2:9" ht="22.5" customHeight="1">
      <c r="C15" s="1"/>
      <c r="D15" s="1"/>
      <c r="E15" s="1"/>
    </row>
    <row r="16" spans="2:9" ht="18" customHeight="1">
      <c r="B16" s="1" t="s">
        <v>394</v>
      </c>
      <c r="C16" s="44">
        <v>0.71679999999999999</v>
      </c>
      <c r="D16" s="44" t="s">
        <v>395</v>
      </c>
      <c r="E16" s="1"/>
    </row>
    <row r="17" spans="2:7" ht="18" customHeight="1">
      <c r="B17" s="1" t="s">
        <v>396</v>
      </c>
      <c r="C17" s="230">
        <f>C16*C12</f>
        <v>3096.576</v>
      </c>
      <c r="D17" s="44">
        <v>2</v>
      </c>
      <c r="E17" s="230">
        <f>C17*D17</f>
        <v>6193.152</v>
      </c>
    </row>
    <row r="18" spans="2:7" ht="18" customHeight="1">
      <c r="B18" s="1" t="s">
        <v>397</v>
      </c>
      <c r="C18" s="1"/>
      <c r="D18" s="1"/>
      <c r="E18" s="57">
        <v>3.1199999999999999E-2</v>
      </c>
      <c r="G18" s="231"/>
    </row>
    <row r="19" spans="2:7" ht="18" customHeight="1">
      <c r="C19" s="1"/>
      <c r="D19" s="1"/>
      <c r="E19" s="230">
        <f>E17*E18</f>
        <v>193.22634239999999</v>
      </c>
      <c r="G19" s="231"/>
    </row>
    <row r="20" spans="2:7" ht="18" customHeight="1">
      <c r="B20" s="216" t="s">
        <v>398</v>
      </c>
      <c r="C20" s="216"/>
      <c r="D20" s="216"/>
      <c r="E20" s="232">
        <v>6000</v>
      </c>
    </row>
    <row r="21" spans="2:7" ht="18" customHeight="1">
      <c r="C21" s="1"/>
      <c r="D21" s="1"/>
      <c r="E21" s="1"/>
    </row>
    <row r="22" spans="2:7" ht="18" customHeight="1">
      <c r="C22" s="1"/>
      <c r="D22" s="1"/>
      <c r="E22" s="1"/>
    </row>
    <row r="23" spans="2:7" ht="18" customHeight="1">
      <c r="C23" s="1"/>
      <c r="D23" s="1"/>
      <c r="E23" s="1"/>
    </row>
    <row r="24" spans="2:7" ht="18" customHeight="1">
      <c r="C24" s="1"/>
      <c r="D24" s="1"/>
      <c r="E24" s="1"/>
    </row>
    <row r="25" spans="2:7" ht="18" customHeight="1">
      <c r="C25" s="1"/>
      <c r="D25" s="1"/>
      <c r="E25" s="1"/>
    </row>
    <row r="26" spans="2:7" ht="18" customHeight="1">
      <c r="C26" s="1"/>
      <c r="D26" s="1"/>
      <c r="E26" s="1"/>
    </row>
    <row r="27" spans="2:7" ht="18" customHeight="1">
      <c r="C27" s="1"/>
      <c r="D27" s="1"/>
      <c r="E27" s="1"/>
    </row>
    <row r="28" spans="2:7" ht="18" customHeight="1">
      <c r="C28" s="1"/>
      <c r="D28" s="1"/>
      <c r="E28" s="1"/>
    </row>
    <row r="29" spans="2:7" ht="18" customHeight="1">
      <c r="C29" s="1"/>
      <c r="D29" s="1"/>
      <c r="E29" s="1"/>
    </row>
    <row r="30" spans="2:7" ht="18" customHeight="1">
      <c r="C30" s="1"/>
      <c r="D30" s="1"/>
      <c r="E30" s="1"/>
    </row>
    <row r="31" spans="2:7" ht="18" customHeight="1">
      <c r="C31" s="1"/>
      <c r="D31" s="1"/>
      <c r="E31" s="1"/>
    </row>
    <row r="32" spans="2:7" ht="18" customHeight="1">
      <c r="C32" s="1"/>
      <c r="D32" s="1"/>
      <c r="E32" s="1"/>
    </row>
    <row r="33" spans="3:5" ht="18" customHeight="1">
      <c r="C33" s="1"/>
      <c r="D33" s="1"/>
      <c r="E33" s="1"/>
    </row>
    <row r="34" spans="3:5" ht="18" customHeight="1">
      <c r="C34" s="1"/>
      <c r="D34" s="1"/>
      <c r="E34" s="1"/>
    </row>
    <row r="35" spans="3:5" ht="18" customHeight="1">
      <c r="C35" s="1"/>
      <c r="D35" s="1"/>
      <c r="E35" s="1"/>
    </row>
    <row r="36" spans="3:5" ht="18" customHeight="1">
      <c r="C36" s="1"/>
      <c r="D36" s="1"/>
      <c r="E36" s="1"/>
    </row>
    <row r="37" spans="3:5" ht="18" customHeight="1">
      <c r="C37" s="1"/>
      <c r="D37" s="1"/>
      <c r="E37" s="1"/>
    </row>
    <row r="38" spans="3:5" ht="18" customHeight="1">
      <c r="C38" s="1"/>
      <c r="D38" s="1"/>
      <c r="E38" s="1"/>
    </row>
    <row r="39" spans="3:5" ht="18" customHeight="1">
      <c r="C39" s="1"/>
      <c r="D39" s="1"/>
      <c r="E39" s="1"/>
    </row>
  </sheetData>
  <mergeCells count="1">
    <mergeCell ref="B6:E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H441"/>
  <sheetViews>
    <sheetView showGridLines="0" tabSelected="1" zoomScaleNormal="100" workbookViewId="0"/>
  </sheetViews>
  <sheetFormatPr defaultRowHeight="15" customHeight="1"/>
  <cols>
    <col min="1" max="1" width="4.5703125" style="66" customWidth="1"/>
    <col min="2" max="2" width="50.42578125" style="65" customWidth="1"/>
    <col min="3" max="3" width="14.5703125" style="65" customWidth="1"/>
    <col min="4" max="4" width="45" style="65" customWidth="1"/>
    <col min="5" max="16384" width="9.140625" style="66"/>
  </cols>
  <sheetData>
    <row r="1" spans="1:8" ht="16.5" customHeight="1"/>
    <row r="2" spans="1:8" ht="19.5" customHeight="1">
      <c r="B2" s="79" t="str">
        <f>"Financial Model of " &amp; B4</f>
        <v>Financial Model of Proposed 6000 KGPD CBG plant set up M/s. SRSBIOX RENEWABLE LLP.</v>
      </c>
      <c r="C2" s="80"/>
      <c r="D2" s="81"/>
    </row>
    <row r="3" spans="1:8" ht="9" customHeight="1"/>
    <row r="4" spans="1:8" ht="19.5" customHeight="1">
      <c r="B4" s="67" t="str">
        <f>'Common Assumption'!B4</f>
        <v>Proposed 6000 KGPD CBG plant set up M/s. SRSBIOX RENEWABLE LLP.</v>
      </c>
      <c r="C4" s="67"/>
      <c r="D4" s="68"/>
    </row>
    <row r="6" spans="1:8" ht="18" customHeight="1">
      <c r="B6" s="69" t="s">
        <v>87</v>
      </c>
      <c r="C6" s="69"/>
      <c r="D6" s="69"/>
    </row>
    <row r="7" spans="1:8" ht="18" customHeight="1">
      <c r="B7" s="70" t="s">
        <v>2</v>
      </c>
      <c r="C7" s="70"/>
      <c r="D7" s="71" t="s">
        <v>88</v>
      </c>
    </row>
    <row r="8" spans="1:8" ht="18" customHeight="1">
      <c r="A8" s="211">
        <v>1</v>
      </c>
      <c r="B8" s="65" t="s">
        <v>100</v>
      </c>
      <c r="D8" s="84">
        <f>'6 TPD CBG Cost sheet'!C3/10^7</f>
        <v>2.1968627999999999</v>
      </c>
      <c r="E8" s="72"/>
    </row>
    <row r="9" spans="1:8" ht="18" customHeight="1">
      <c r="A9" s="211">
        <f>A8+1</f>
        <v>2</v>
      </c>
      <c r="B9" s="252" t="str">
        <f>'6 TPD CBG Cost sheet'!B4</f>
        <v>Electricity Connection</v>
      </c>
      <c r="D9" s="84">
        <f>'6 TPD CBG Cost sheet'!C4/10^7</f>
        <v>0</v>
      </c>
      <c r="E9" s="72"/>
      <c r="G9" s="72"/>
    </row>
    <row r="10" spans="1:8" ht="30">
      <c r="A10" s="211">
        <f t="shared" ref="A10:A20" si="0">A9+1</f>
        <v>3</v>
      </c>
      <c r="B10" s="292" t="s">
        <v>875</v>
      </c>
      <c r="D10" s="84">
        <f>'6 TPD CBG Cost sheet'!C5/10^7</f>
        <v>4.0048434200000003</v>
      </c>
      <c r="E10" s="72"/>
      <c r="F10" s="210"/>
      <c r="G10" s="72"/>
      <c r="H10" s="86"/>
    </row>
    <row r="11" spans="1:8" ht="18" customHeight="1">
      <c r="A11" s="211">
        <f t="shared" si="0"/>
        <v>4</v>
      </c>
      <c r="B11" s="252" t="str">
        <f>'6 TPD CBG Cost sheet'!B6</f>
        <v>P&amp; M including other equipment</v>
      </c>
      <c r="D11" s="84">
        <f>'6 TPD CBG Cost sheet'!C6/10^7</f>
        <v>14.876300000000001</v>
      </c>
      <c r="E11" s="72"/>
      <c r="F11" s="210">
        <f>D11/D15</f>
        <v>0.67823510625339722</v>
      </c>
      <c r="G11" s="72"/>
    </row>
    <row r="12" spans="1:8" ht="18" customHeight="1">
      <c r="A12" s="211">
        <f t="shared" si="0"/>
        <v>5</v>
      </c>
      <c r="B12" s="252" t="s">
        <v>423</v>
      </c>
      <c r="D12" s="84">
        <f>'6 TPD CBG Cost sheet'!C7/10^7</f>
        <v>0.05</v>
      </c>
      <c r="E12" s="72"/>
      <c r="F12" s="210"/>
      <c r="G12" s="72"/>
    </row>
    <row r="13" spans="1:8" ht="18" customHeight="1">
      <c r="A13" s="211">
        <f t="shared" si="0"/>
        <v>6</v>
      </c>
      <c r="B13" s="65" t="s">
        <v>420</v>
      </c>
      <c r="D13" s="85">
        <f>'6 TPD CBG Cost sheet'!C8/10^7</f>
        <v>0.1</v>
      </c>
      <c r="E13" s="72"/>
      <c r="G13" s="72"/>
      <c r="H13" s="72"/>
    </row>
    <row r="14" spans="1:8" ht="18" customHeight="1">
      <c r="A14" s="211">
        <f t="shared" si="0"/>
        <v>7</v>
      </c>
      <c r="B14" s="65" t="s">
        <v>95</v>
      </c>
      <c r="D14" s="73">
        <f>'Loan Schedule'!E17</f>
        <v>0.7058333333333332</v>
      </c>
      <c r="E14" s="72"/>
      <c r="G14" s="72"/>
    </row>
    <row r="15" spans="1:8" ht="18" customHeight="1">
      <c r="A15" s="211">
        <f t="shared" si="0"/>
        <v>8</v>
      </c>
      <c r="B15" s="74" t="s">
        <v>89</v>
      </c>
      <c r="C15" s="74"/>
      <c r="D15" s="75">
        <f>SUM(D8:D14)</f>
        <v>21.933839553333335</v>
      </c>
    </row>
    <row r="16" spans="1:8" ht="18" customHeight="1">
      <c r="A16" s="211">
        <f t="shared" si="0"/>
        <v>9</v>
      </c>
      <c r="B16" s="65" t="s">
        <v>294</v>
      </c>
      <c r="D16" s="84">
        <f>1000000/10^7+0.05</f>
        <v>0.15000000000000002</v>
      </c>
      <c r="F16" s="86"/>
    </row>
    <row r="17" spans="1:8" ht="18" customHeight="1">
      <c r="A17" s="211">
        <f t="shared" si="0"/>
        <v>10</v>
      </c>
      <c r="B17" s="65" t="s">
        <v>874</v>
      </c>
      <c r="D17" s="84">
        <f>SUM(D9:D11)*1%</f>
        <v>0.18881143420000002</v>
      </c>
      <c r="E17" s="86"/>
      <c r="F17" s="87"/>
      <c r="G17" s="89"/>
    </row>
    <row r="18" spans="1:8" ht="18" customHeight="1">
      <c r="A18" s="211">
        <f t="shared" si="0"/>
        <v>11</v>
      </c>
      <c r="B18" s="74" t="s">
        <v>89</v>
      </c>
      <c r="C18" s="74"/>
      <c r="D18" s="75">
        <f>SUM(D15:D17)</f>
        <v>22.272650987533336</v>
      </c>
      <c r="G18" s="86"/>
    </row>
    <row r="19" spans="1:8" ht="18" customHeight="1">
      <c r="A19" s="211">
        <f t="shared" si="0"/>
        <v>12</v>
      </c>
      <c r="B19" s="65" t="s">
        <v>97</v>
      </c>
      <c r="D19" s="73">
        <f ca="1">'Working Capital Assessment'!F70</f>
        <v>0.31146867095175512</v>
      </c>
      <c r="G19" s="72"/>
      <c r="H19" s="72"/>
    </row>
    <row r="20" spans="1:8" ht="18" customHeight="1">
      <c r="A20" s="211">
        <f t="shared" si="0"/>
        <v>13</v>
      </c>
      <c r="B20" s="82" t="s">
        <v>96</v>
      </c>
      <c r="C20" s="82"/>
      <c r="D20" s="83">
        <f ca="1">SUM(D18:D19)</f>
        <v>22.58411965848509</v>
      </c>
      <c r="E20" s="78"/>
      <c r="G20" s="72"/>
      <c r="H20" s="72">
        <f ca="1">D20/6</f>
        <v>3.7640199430808483</v>
      </c>
    </row>
    <row r="21" spans="1:8" ht="18" customHeight="1">
      <c r="B21" s="66"/>
      <c r="C21" s="66"/>
      <c r="D21" s="66"/>
    </row>
    <row r="22" spans="1:8" ht="18" customHeight="1">
      <c r="B22" s="69" t="s">
        <v>90</v>
      </c>
      <c r="C22" s="69"/>
      <c r="D22" s="69"/>
    </row>
    <row r="23" spans="1:8" ht="18" customHeight="1">
      <c r="B23" s="70" t="s">
        <v>2</v>
      </c>
      <c r="C23" s="70"/>
      <c r="D23" s="71" t="s">
        <v>88</v>
      </c>
    </row>
    <row r="24" spans="1:8" ht="18" customHeight="1">
      <c r="A24" s="211">
        <v>1</v>
      </c>
      <c r="B24" s="76" t="s">
        <v>388</v>
      </c>
      <c r="C24" s="77"/>
      <c r="D24" s="78">
        <f ca="1">D20-D25</f>
        <v>8.5841196584850898</v>
      </c>
      <c r="F24" s="86">
        <f ca="1">D24/D26</f>
        <v>0.38009538508887358</v>
      </c>
    </row>
    <row r="25" spans="1:8" ht="18" customHeight="1" thickBot="1">
      <c r="A25" s="211">
        <v>4</v>
      </c>
      <c r="B25" s="76" t="s">
        <v>104</v>
      </c>
      <c r="C25" s="77"/>
      <c r="D25" s="78">
        <v>14</v>
      </c>
      <c r="H25" s="225">
        <f ca="1">D25/D24</f>
        <v>1.6309185515793119</v>
      </c>
    </row>
    <row r="26" spans="1:8" ht="18" customHeight="1" thickBot="1">
      <c r="B26" s="82" t="s">
        <v>89</v>
      </c>
      <c r="C26" s="82"/>
      <c r="D26" s="83">
        <f ca="1">D24+D25</f>
        <v>22.58411965848509</v>
      </c>
      <c r="E26" s="88">
        <f ca="1">D20-D26</f>
        <v>0</v>
      </c>
    </row>
    <row r="27" spans="1:8" ht="18" customHeight="1">
      <c r="B27" s="76"/>
      <c r="D27" s="77"/>
    </row>
    <row r="28" spans="1:8" ht="18" customHeight="1">
      <c r="B28" s="65" t="s">
        <v>105</v>
      </c>
      <c r="D28" s="78">
        <f>'Working Capital Assessment'!F72</f>
        <v>0.5</v>
      </c>
    </row>
    <row r="29" spans="1:8" ht="18" customHeight="1">
      <c r="B29" s="74" t="s">
        <v>106</v>
      </c>
      <c r="C29" s="74"/>
      <c r="D29" s="75">
        <f>D25+D28</f>
        <v>14.5</v>
      </c>
    </row>
    <row r="30" spans="1:8" ht="18" customHeight="1">
      <c r="D30" s="77"/>
    </row>
    <row r="31" spans="1:8" ht="18" customHeight="1">
      <c r="D31" s="77"/>
    </row>
    <row r="32" spans="1:8" ht="18" customHeight="1">
      <c r="D32" s="77"/>
    </row>
    <row r="33" spans="4:4" ht="18" customHeight="1">
      <c r="D33" s="77"/>
    </row>
    <row r="34" spans="4:4" ht="18" customHeight="1">
      <c r="D34" s="77"/>
    </row>
    <row r="35" spans="4:4" ht="18" customHeight="1">
      <c r="D35" s="77"/>
    </row>
    <row r="36" spans="4:4" ht="18" customHeight="1">
      <c r="D36" s="77"/>
    </row>
    <row r="37" spans="4:4" ht="18" customHeight="1">
      <c r="D37" s="77"/>
    </row>
    <row r="38" spans="4:4" ht="18" customHeight="1">
      <c r="D38" s="77"/>
    </row>
    <row r="39" spans="4:4" ht="18" customHeight="1">
      <c r="D39" s="77"/>
    </row>
    <row r="40" spans="4:4" ht="18" customHeight="1">
      <c r="D40" s="77"/>
    </row>
    <row r="41" spans="4:4" ht="18" customHeight="1">
      <c r="D41" s="77"/>
    </row>
    <row r="42" spans="4:4" ht="18" customHeight="1">
      <c r="D42" s="77"/>
    </row>
    <row r="43" spans="4:4" ht="18" customHeight="1">
      <c r="D43" s="77"/>
    </row>
    <row r="44" spans="4:4" ht="18" customHeight="1">
      <c r="D44" s="77"/>
    </row>
    <row r="45" spans="4:4" ht="18" customHeight="1">
      <c r="D45" s="77"/>
    </row>
    <row r="46" spans="4:4">
      <c r="D46" s="77"/>
    </row>
    <row r="47" spans="4:4">
      <c r="D47" s="77"/>
    </row>
    <row r="48" spans="4:4" ht="18" customHeight="1">
      <c r="D48" s="77"/>
    </row>
    <row r="49" spans="4:4" ht="18" customHeight="1">
      <c r="D49" s="77"/>
    </row>
    <row r="50" spans="4:4" ht="18" customHeight="1">
      <c r="D50" s="77"/>
    </row>
    <row r="51" spans="4:4" ht="18" customHeight="1">
      <c r="D51" s="77"/>
    </row>
    <row r="52" spans="4:4" ht="18" customHeight="1">
      <c r="D52" s="77"/>
    </row>
    <row r="53" spans="4:4" ht="18" customHeight="1">
      <c r="D53" s="77"/>
    </row>
    <row r="54" spans="4:4" ht="18" customHeight="1">
      <c r="D54" s="77"/>
    </row>
    <row r="55" spans="4:4" ht="18" customHeight="1">
      <c r="D55" s="77"/>
    </row>
    <row r="56" spans="4:4" ht="18" customHeight="1">
      <c r="D56" s="77"/>
    </row>
    <row r="57" spans="4:4" ht="18" customHeight="1">
      <c r="D57" s="77"/>
    </row>
    <row r="58" spans="4:4" ht="18" customHeight="1">
      <c r="D58" s="77"/>
    </row>
    <row r="59" spans="4:4" ht="18" customHeight="1">
      <c r="D59" s="77"/>
    </row>
    <row r="60" spans="4:4" ht="18" customHeight="1">
      <c r="D60" s="77"/>
    </row>
    <row r="61" spans="4:4" ht="18" customHeight="1">
      <c r="D61" s="77"/>
    </row>
    <row r="62" spans="4:4" ht="18" customHeight="1">
      <c r="D62" s="77"/>
    </row>
    <row r="63" spans="4:4" ht="18" customHeight="1">
      <c r="D63" s="77"/>
    </row>
    <row r="64" spans="4:4" ht="18" customHeight="1">
      <c r="D64" s="77"/>
    </row>
    <row r="65" spans="4:4" ht="18" customHeight="1">
      <c r="D65" s="77"/>
    </row>
    <row r="66" spans="4:4" ht="18" customHeight="1">
      <c r="D66" s="77"/>
    </row>
    <row r="67" spans="4:4" ht="18" customHeight="1">
      <c r="D67" s="77"/>
    </row>
    <row r="68" spans="4:4" ht="18" customHeight="1">
      <c r="D68" s="77"/>
    </row>
    <row r="69" spans="4:4" ht="18" customHeight="1">
      <c r="D69" s="77"/>
    </row>
    <row r="70" spans="4:4" ht="18" customHeight="1">
      <c r="D70" s="77"/>
    </row>
    <row r="71" spans="4:4" ht="18" customHeight="1">
      <c r="D71" s="77"/>
    </row>
    <row r="72" spans="4:4" ht="18" customHeight="1">
      <c r="D72" s="77"/>
    </row>
    <row r="73" spans="4:4" ht="18" customHeight="1">
      <c r="D73" s="77"/>
    </row>
    <row r="74" spans="4:4" ht="18" customHeight="1">
      <c r="D74" s="77"/>
    </row>
    <row r="75" spans="4:4" ht="18" customHeight="1">
      <c r="D75" s="77"/>
    </row>
    <row r="76" spans="4:4" ht="18" customHeight="1">
      <c r="D76" s="77"/>
    </row>
    <row r="77" spans="4:4" ht="18" customHeight="1">
      <c r="D77" s="77"/>
    </row>
    <row r="78" spans="4:4" ht="18" customHeight="1">
      <c r="D78" s="77"/>
    </row>
    <row r="79" spans="4:4">
      <c r="D79" s="77"/>
    </row>
    <row r="80" spans="4:4">
      <c r="D80" s="77"/>
    </row>
    <row r="81" spans="4:4" ht="18" customHeight="1">
      <c r="D81" s="77"/>
    </row>
    <row r="82" spans="4:4" ht="18" customHeight="1">
      <c r="D82" s="77"/>
    </row>
    <row r="83" spans="4:4" ht="18" customHeight="1">
      <c r="D83" s="77"/>
    </row>
    <row r="84" spans="4:4" ht="18" customHeight="1">
      <c r="D84" s="77"/>
    </row>
    <row r="85" spans="4:4" ht="18" customHeight="1">
      <c r="D85" s="77"/>
    </row>
    <row r="86" spans="4:4">
      <c r="D86" s="77"/>
    </row>
    <row r="87" spans="4:4" ht="18" customHeight="1">
      <c r="D87" s="77"/>
    </row>
    <row r="88" spans="4:4" ht="18" customHeight="1">
      <c r="D88" s="77"/>
    </row>
    <row r="89" spans="4:4" ht="18" customHeight="1">
      <c r="D89" s="77"/>
    </row>
    <row r="90" spans="4:4">
      <c r="D90" s="77"/>
    </row>
    <row r="91" spans="4:4">
      <c r="D91" s="77"/>
    </row>
    <row r="92" spans="4:4" ht="18" customHeight="1">
      <c r="D92" s="77"/>
    </row>
    <row r="93" spans="4:4" ht="18" customHeight="1">
      <c r="D93" s="77"/>
    </row>
    <row r="94" spans="4:4" ht="18" customHeight="1">
      <c r="D94" s="77"/>
    </row>
    <row r="95" spans="4:4" ht="18" customHeight="1">
      <c r="D95" s="77"/>
    </row>
    <row r="96" spans="4:4" ht="18" customHeight="1">
      <c r="D96" s="77"/>
    </row>
    <row r="97" spans="4:4" ht="18" customHeight="1">
      <c r="D97" s="77"/>
    </row>
    <row r="98" spans="4:4" ht="18" customHeight="1">
      <c r="D98" s="77"/>
    </row>
    <row r="99" spans="4:4" ht="18" customHeight="1">
      <c r="D99" s="77"/>
    </row>
    <row r="100" spans="4:4" ht="18" customHeight="1">
      <c r="D100" s="77"/>
    </row>
    <row r="101" spans="4:4" ht="18" customHeight="1">
      <c r="D101" s="77"/>
    </row>
    <row r="102" spans="4:4" ht="18" customHeight="1">
      <c r="D102" s="77"/>
    </row>
    <row r="103" spans="4:4" ht="18" customHeight="1">
      <c r="D103" s="77"/>
    </row>
    <row r="104" spans="4:4" ht="18" customHeight="1">
      <c r="D104" s="77"/>
    </row>
    <row r="105" spans="4:4" ht="18" customHeight="1">
      <c r="D105" s="77"/>
    </row>
    <row r="106" spans="4:4" ht="18" customHeight="1">
      <c r="D106" s="77"/>
    </row>
    <row r="107" spans="4:4" ht="18" customHeight="1">
      <c r="D107" s="77"/>
    </row>
    <row r="108" spans="4:4" ht="18" customHeight="1">
      <c r="D108" s="77"/>
    </row>
    <row r="109" spans="4:4" ht="18" customHeight="1">
      <c r="D109" s="77"/>
    </row>
    <row r="110" spans="4:4" ht="18" customHeight="1">
      <c r="D110" s="77"/>
    </row>
    <row r="111" spans="4:4" ht="18" customHeight="1">
      <c r="D111" s="77"/>
    </row>
    <row r="112" spans="4:4" ht="18" customHeight="1">
      <c r="D112" s="77"/>
    </row>
    <row r="113" spans="1:4" ht="18" customHeight="1">
      <c r="D113" s="77"/>
    </row>
    <row r="114" spans="1:4" ht="18" customHeight="1">
      <c r="D114" s="77"/>
    </row>
    <row r="115" spans="1:4" ht="18" customHeight="1">
      <c r="D115" s="77"/>
    </row>
    <row r="116" spans="1:4" ht="18" customHeight="1">
      <c r="D116" s="77"/>
    </row>
    <row r="117" spans="1:4" ht="18" customHeight="1">
      <c r="D117" s="77"/>
    </row>
    <row r="118" spans="1:4" ht="18" customHeight="1">
      <c r="D118" s="77"/>
    </row>
    <row r="119" spans="1:4" ht="18" customHeight="1">
      <c r="D119" s="77"/>
    </row>
    <row r="120" spans="1:4" ht="18" customHeight="1">
      <c r="D120" s="77"/>
    </row>
    <row r="121" spans="1:4" ht="18" customHeight="1">
      <c r="D121" s="77"/>
    </row>
    <row r="122" spans="1:4" ht="18" customHeight="1">
      <c r="D122" s="77"/>
    </row>
    <row r="123" spans="1:4" ht="18" customHeight="1">
      <c r="D123" s="77"/>
    </row>
    <row r="124" spans="1:4" ht="18" customHeight="1">
      <c r="D124" s="77"/>
    </row>
    <row r="125" spans="1:4" ht="18" customHeight="1">
      <c r="D125" s="77"/>
    </row>
    <row r="126" spans="1:4" ht="18" customHeight="1">
      <c r="D126" s="77"/>
    </row>
    <row r="127" spans="1:4" ht="18" customHeight="1">
      <c r="D127" s="77"/>
    </row>
    <row r="128" spans="1:4" ht="18" customHeight="1">
      <c r="A128" s="65"/>
      <c r="D128" s="77"/>
    </row>
    <row r="129" spans="1:5" ht="18" customHeight="1">
      <c r="A129" s="65"/>
      <c r="D129" s="77"/>
    </row>
    <row r="130" spans="1:5" ht="18" customHeight="1">
      <c r="A130" s="65"/>
      <c r="D130" s="77"/>
    </row>
    <row r="131" spans="1:5" ht="18" customHeight="1">
      <c r="A131" s="65"/>
      <c r="D131" s="77"/>
    </row>
    <row r="132" spans="1:5" s="65" customFormat="1" ht="18" customHeight="1">
      <c r="D132" s="77"/>
      <c r="E132" s="66"/>
    </row>
    <row r="133" spans="1:5" s="65" customFormat="1" ht="18" customHeight="1">
      <c r="E133" s="66"/>
    </row>
    <row r="134" spans="1:5" s="65" customFormat="1" ht="18" customHeight="1">
      <c r="E134" s="66"/>
    </row>
    <row r="135" spans="1:5" s="65" customFormat="1" ht="18" customHeight="1">
      <c r="E135" s="66"/>
    </row>
    <row r="136" spans="1:5" s="65" customFormat="1" ht="18" customHeight="1">
      <c r="E136" s="66"/>
    </row>
    <row r="137" spans="1:5" s="65" customFormat="1" ht="18" customHeight="1">
      <c r="E137" s="66"/>
    </row>
    <row r="138" spans="1:5" s="65" customFormat="1" ht="18" customHeight="1">
      <c r="E138" s="66"/>
    </row>
    <row r="139" spans="1:5" s="65" customFormat="1" ht="18" customHeight="1">
      <c r="E139" s="66"/>
    </row>
    <row r="140" spans="1:5" s="65" customFormat="1" ht="18" customHeight="1">
      <c r="E140" s="66"/>
    </row>
    <row r="141" spans="1:5" s="65" customFormat="1" ht="18" customHeight="1">
      <c r="E141" s="66"/>
    </row>
    <row r="142" spans="1:5" s="65" customFormat="1" ht="18" customHeight="1">
      <c r="E142" s="66"/>
    </row>
    <row r="143" spans="1:5" s="65" customFormat="1" ht="18" customHeight="1">
      <c r="E143" s="66"/>
    </row>
    <row r="144" spans="1:5" s="65" customFormat="1" ht="18" customHeight="1">
      <c r="E144" s="66"/>
    </row>
    <row r="145" spans="5:5" s="65" customFormat="1" ht="18" customHeight="1">
      <c r="E145" s="66"/>
    </row>
    <row r="146" spans="5:5" s="65" customFormat="1" ht="18" customHeight="1">
      <c r="E146" s="66"/>
    </row>
    <row r="147" spans="5:5" s="65" customFormat="1" ht="18" customHeight="1">
      <c r="E147" s="66"/>
    </row>
    <row r="148" spans="5:5" s="65" customFormat="1" ht="18" customHeight="1">
      <c r="E148" s="66"/>
    </row>
    <row r="149" spans="5:5" s="65" customFormat="1" ht="18" customHeight="1">
      <c r="E149" s="66"/>
    </row>
    <row r="150" spans="5:5" s="65" customFormat="1" ht="18" customHeight="1">
      <c r="E150" s="66"/>
    </row>
    <row r="151" spans="5:5" s="65" customFormat="1" ht="18" customHeight="1">
      <c r="E151" s="66"/>
    </row>
    <row r="152" spans="5:5" s="65" customFormat="1" ht="18" customHeight="1">
      <c r="E152" s="66"/>
    </row>
    <row r="153" spans="5:5" s="65" customFormat="1" ht="18" customHeight="1">
      <c r="E153" s="66"/>
    </row>
    <row r="154" spans="5:5" s="65" customFormat="1" ht="18" customHeight="1">
      <c r="E154" s="66"/>
    </row>
    <row r="155" spans="5:5" s="65" customFormat="1" ht="18" customHeight="1">
      <c r="E155" s="66"/>
    </row>
    <row r="156" spans="5:5" s="65" customFormat="1" ht="18" customHeight="1">
      <c r="E156" s="66"/>
    </row>
    <row r="157" spans="5:5" s="65" customFormat="1" ht="18" customHeight="1">
      <c r="E157" s="66"/>
    </row>
    <row r="158" spans="5:5" s="65" customFormat="1" ht="18" customHeight="1">
      <c r="E158" s="66"/>
    </row>
    <row r="159" spans="5:5" s="65" customFormat="1" ht="18" customHeight="1">
      <c r="E159" s="66"/>
    </row>
    <row r="160" spans="5:5" s="65" customFormat="1" ht="18" customHeight="1">
      <c r="E160" s="66"/>
    </row>
    <row r="161" spans="5:5" s="65" customFormat="1" ht="18" customHeight="1">
      <c r="E161" s="66"/>
    </row>
    <row r="162" spans="5:5" s="65" customFormat="1" ht="18" customHeight="1">
      <c r="E162" s="66"/>
    </row>
    <row r="163" spans="5:5" s="65" customFormat="1" ht="18" customHeight="1">
      <c r="E163" s="66"/>
    </row>
    <row r="164" spans="5:5" s="65" customFormat="1" ht="18" customHeight="1">
      <c r="E164" s="66"/>
    </row>
    <row r="165" spans="5:5" s="65" customFormat="1" ht="18" customHeight="1">
      <c r="E165" s="66"/>
    </row>
    <row r="166" spans="5:5" s="65" customFormat="1" ht="18" customHeight="1">
      <c r="E166" s="66"/>
    </row>
    <row r="167" spans="5:5" s="65" customFormat="1" ht="18" customHeight="1">
      <c r="E167" s="66"/>
    </row>
    <row r="168" spans="5:5" s="65" customFormat="1" ht="18" customHeight="1">
      <c r="E168" s="66"/>
    </row>
    <row r="169" spans="5:5" s="65" customFormat="1" ht="18" customHeight="1">
      <c r="E169" s="66"/>
    </row>
    <row r="170" spans="5:5" s="65" customFormat="1" ht="18" customHeight="1">
      <c r="E170" s="66"/>
    </row>
    <row r="171" spans="5:5" s="65" customFormat="1" ht="18" customHeight="1">
      <c r="E171" s="66"/>
    </row>
    <row r="172" spans="5:5" s="65" customFormat="1" ht="18" customHeight="1">
      <c r="E172" s="66"/>
    </row>
    <row r="173" spans="5:5" s="65" customFormat="1" ht="18" customHeight="1">
      <c r="E173" s="66"/>
    </row>
    <row r="174" spans="5:5" s="65" customFormat="1" ht="18" customHeight="1">
      <c r="E174" s="66"/>
    </row>
    <row r="175" spans="5:5" s="65" customFormat="1" ht="18" customHeight="1">
      <c r="E175" s="66"/>
    </row>
    <row r="176" spans="5:5" s="65" customFormat="1" ht="18" customHeight="1">
      <c r="E176" s="66"/>
    </row>
    <row r="177" spans="5:5" s="65" customFormat="1" ht="18" customHeight="1">
      <c r="E177" s="66"/>
    </row>
    <row r="178" spans="5:5" s="65" customFormat="1" ht="18" customHeight="1">
      <c r="E178" s="66"/>
    </row>
    <row r="179" spans="5:5" s="65" customFormat="1" ht="18" customHeight="1">
      <c r="E179" s="66"/>
    </row>
    <row r="180" spans="5:5" s="65" customFormat="1" ht="18" customHeight="1">
      <c r="E180" s="66"/>
    </row>
    <row r="181" spans="5:5" s="65" customFormat="1" ht="18" customHeight="1">
      <c r="E181" s="66"/>
    </row>
    <row r="182" spans="5:5" s="65" customFormat="1" ht="18" customHeight="1">
      <c r="E182" s="66"/>
    </row>
    <row r="183" spans="5:5" s="65" customFormat="1" ht="18" customHeight="1">
      <c r="E183" s="66"/>
    </row>
    <row r="184" spans="5:5" s="65" customFormat="1" ht="18" customHeight="1">
      <c r="E184" s="66"/>
    </row>
    <row r="185" spans="5:5" s="65" customFormat="1" ht="18" customHeight="1">
      <c r="E185" s="66"/>
    </row>
    <row r="186" spans="5:5" s="65" customFormat="1" ht="18" customHeight="1">
      <c r="E186" s="66"/>
    </row>
    <row r="187" spans="5:5" s="65" customFormat="1" ht="18" customHeight="1">
      <c r="E187" s="66"/>
    </row>
    <row r="188" spans="5:5" s="65" customFormat="1" ht="18" customHeight="1">
      <c r="E188" s="66"/>
    </row>
    <row r="189" spans="5:5" s="65" customFormat="1" ht="18" customHeight="1">
      <c r="E189" s="66"/>
    </row>
    <row r="190" spans="5:5" s="65" customFormat="1" ht="18" customHeight="1">
      <c r="E190" s="66"/>
    </row>
    <row r="191" spans="5:5" s="65" customFormat="1" ht="18" customHeight="1">
      <c r="E191" s="66"/>
    </row>
    <row r="192" spans="5:5" s="65" customFormat="1" ht="18" customHeight="1">
      <c r="E192" s="66"/>
    </row>
    <row r="193" spans="5:5" s="65" customFormat="1" ht="18" customHeight="1">
      <c r="E193" s="66"/>
    </row>
    <row r="194" spans="5:5" s="65" customFormat="1" ht="18" customHeight="1">
      <c r="E194" s="66"/>
    </row>
    <row r="195" spans="5:5" s="65" customFormat="1" ht="18" customHeight="1">
      <c r="E195" s="66"/>
    </row>
    <row r="196" spans="5:5" s="65" customFormat="1" ht="18" customHeight="1">
      <c r="E196" s="66"/>
    </row>
    <row r="197" spans="5:5" s="65" customFormat="1" ht="18" customHeight="1">
      <c r="E197" s="66"/>
    </row>
    <row r="198" spans="5:5" s="65" customFormat="1" ht="18" customHeight="1">
      <c r="E198" s="66"/>
    </row>
    <row r="199" spans="5:5" s="65" customFormat="1" ht="18" customHeight="1">
      <c r="E199" s="66"/>
    </row>
    <row r="200" spans="5:5" s="65" customFormat="1" ht="18" customHeight="1">
      <c r="E200" s="66"/>
    </row>
    <row r="201" spans="5:5" s="65" customFormat="1" ht="18" customHeight="1">
      <c r="E201" s="66"/>
    </row>
    <row r="202" spans="5:5" s="65" customFormat="1" ht="18" customHeight="1">
      <c r="E202" s="66"/>
    </row>
    <row r="203" spans="5:5" s="65" customFormat="1" ht="18" customHeight="1">
      <c r="E203" s="66"/>
    </row>
    <row r="204" spans="5:5" s="65" customFormat="1" ht="18" customHeight="1">
      <c r="E204" s="66"/>
    </row>
    <row r="205" spans="5:5" s="65" customFormat="1" ht="18" customHeight="1">
      <c r="E205" s="66"/>
    </row>
    <row r="206" spans="5:5" s="65" customFormat="1" ht="18" customHeight="1">
      <c r="E206" s="66"/>
    </row>
    <row r="207" spans="5:5" s="65" customFormat="1" ht="18" customHeight="1">
      <c r="E207" s="66"/>
    </row>
    <row r="208" spans="5:5" s="65" customFormat="1" ht="18" customHeight="1">
      <c r="E208" s="66"/>
    </row>
    <row r="209" spans="5:5" s="65" customFormat="1" ht="18" customHeight="1">
      <c r="E209" s="66"/>
    </row>
    <row r="210" spans="5:5" s="65" customFormat="1" ht="18" customHeight="1">
      <c r="E210" s="66"/>
    </row>
    <row r="211" spans="5:5" s="65" customFormat="1" ht="18" customHeight="1">
      <c r="E211" s="66"/>
    </row>
    <row r="212" spans="5:5" s="65" customFormat="1" ht="18" customHeight="1">
      <c r="E212" s="66"/>
    </row>
    <row r="213" spans="5:5" s="65" customFormat="1" ht="18" customHeight="1">
      <c r="E213" s="66"/>
    </row>
    <row r="214" spans="5:5" s="65" customFormat="1" ht="18" customHeight="1">
      <c r="E214" s="66"/>
    </row>
    <row r="215" spans="5:5" s="65" customFormat="1" ht="18" customHeight="1">
      <c r="E215" s="66"/>
    </row>
    <row r="216" spans="5:5" s="65" customFormat="1" ht="18" customHeight="1">
      <c r="E216" s="66"/>
    </row>
    <row r="217" spans="5:5" s="65" customFormat="1" ht="18" customHeight="1">
      <c r="E217" s="66"/>
    </row>
    <row r="218" spans="5:5" s="65" customFormat="1" ht="18" customHeight="1">
      <c r="E218" s="66"/>
    </row>
    <row r="219" spans="5:5" s="65" customFormat="1" ht="18" customHeight="1">
      <c r="E219" s="66"/>
    </row>
    <row r="220" spans="5:5" s="65" customFormat="1" ht="18" customHeight="1">
      <c r="E220" s="66"/>
    </row>
    <row r="221" spans="5:5" s="65" customFormat="1" ht="18" customHeight="1">
      <c r="E221" s="66"/>
    </row>
    <row r="222" spans="5:5" s="65" customFormat="1" ht="18" customHeight="1">
      <c r="E222" s="66"/>
    </row>
    <row r="223" spans="5:5" s="65" customFormat="1" ht="18" customHeight="1">
      <c r="E223" s="66"/>
    </row>
    <row r="224" spans="5:5" s="65" customFormat="1" ht="18" customHeight="1">
      <c r="E224" s="66"/>
    </row>
    <row r="225" spans="5:5" s="65" customFormat="1" ht="18" customHeight="1">
      <c r="E225" s="66"/>
    </row>
    <row r="226" spans="5:5" s="65" customFormat="1" ht="18" customHeight="1">
      <c r="E226" s="66"/>
    </row>
    <row r="227" spans="5:5" s="65" customFormat="1" ht="18" customHeight="1">
      <c r="E227" s="66"/>
    </row>
    <row r="228" spans="5:5" s="65" customFormat="1" ht="18" customHeight="1">
      <c r="E228" s="66"/>
    </row>
    <row r="229" spans="5:5" s="65" customFormat="1" ht="18" customHeight="1">
      <c r="E229" s="66"/>
    </row>
    <row r="230" spans="5:5" s="65" customFormat="1" ht="18" customHeight="1">
      <c r="E230" s="66"/>
    </row>
    <row r="231" spans="5:5" s="65" customFormat="1" ht="18" customHeight="1">
      <c r="E231" s="66"/>
    </row>
    <row r="232" spans="5:5" s="65" customFormat="1" ht="18" customHeight="1">
      <c r="E232" s="66"/>
    </row>
    <row r="233" spans="5:5" s="65" customFormat="1" ht="18" customHeight="1">
      <c r="E233" s="66"/>
    </row>
    <row r="234" spans="5:5" s="65" customFormat="1" ht="18" customHeight="1">
      <c r="E234" s="66"/>
    </row>
    <row r="235" spans="5:5" s="65" customFormat="1" ht="18" customHeight="1">
      <c r="E235" s="66"/>
    </row>
    <row r="236" spans="5:5" s="65" customFormat="1" ht="18" customHeight="1">
      <c r="E236" s="66"/>
    </row>
    <row r="237" spans="5:5" s="65" customFormat="1" ht="18" customHeight="1">
      <c r="E237" s="66"/>
    </row>
    <row r="238" spans="5:5" s="65" customFormat="1" ht="18" customHeight="1">
      <c r="E238" s="66"/>
    </row>
    <row r="239" spans="5:5" s="65" customFormat="1" ht="18" customHeight="1">
      <c r="E239" s="66"/>
    </row>
    <row r="240" spans="5:5" s="65" customFormat="1" ht="18" customHeight="1">
      <c r="E240" s="66"/>
    </row>
    <row r="241" spans="5:5" s="65" customFormat="1" ht="18" customHeight="1">
      <c r="E241" s="66"/>
    </row>
    <row r="242" spans="5:5" s="65" customFormat="1" ht="18" customHeight="1">
      <c r="E242" s="66"/>
    </row>
    <row r="243" spans="5:5" s="65" customFormat="1" ht="18" customHeight="1">
      <c r="E243" s="66"/>
    </row>
    <row r="244" spans="5:5" s="65" customFormat="1" ht="18" customHeight="1">
      <c r="E244" s="66"/>
    </row>
    <row r="245" spans="5:5" s="65" customFormat="1" ht="18" customHeight="1">
      <c r="E245" s="66"/>
    </row>
    <row r="246" spans="5:5" s="65" customFormat="1" ht="18" customHeight="1">
      <c r="E246" s="66"/>
    </row>
    <row r="247" spans="5:5" s="65" customFormat="1" ht="18" customHeight="1">
      <c r="E247" s="66"/>
    </row>
    <row r="248" spans="5:5" s="65" customFormat="1" ht="18" customHeight="1">
      <c r="E248" s="66"/>
    </row>
    <row r="249" spans="5:5" s="65" customFormat="1" ht="18" customHeight="1">
      <c r="E249" s="66"/>
    </row>
    <row r="250" spans="5:5" s="65" customFormat="1" ht="18" customHeight="1">
      <c r="E250" s="66"/>
    </row>
    <row r="251" spans="5:5" s="65" customFormat="1" ht="18" customHeight="1">
      <c r="E251" s="66"/>
    </row>
    <row r="252" spans="5:5" s="65" customFormat="1" ht="18" customHeight="1">
      <c r="E252" s="66"/>
    </row>
    <row r="253" spans="5:5" s="65" customFormat="1" ht="18" customHeight="1">
      <c r="E253" s="66"/>
    </row>
    <row r="254" spans="5:5" s="65" customFormat="1" ht="18" customHeight="1">
      <c r="E254" s="66"/>
    </row>
    <row r="255" spans="5:5" s="65" customFormat="1" ht="18" customHeight="1">
      <c r="E255" s="66"/>
    </row>
    <row r="256" spans="5:5" s="65" customFormat="1" ht="18" customHeight="1">
      <c r="E256" s="66"/>
    </row>
    <row r="257" spans="5:5" s="65" customFormat="1" ht="18" customHeight="1">
      <c r="E257" s="66"/>
    </row>
    <row r="258" spans="5:5" s="65" customFormat="1" ht="18" customHeight="1">
      <c r="E258" s="66"/>
    </row>
    <row r="259" spans="5:5" s="65" customFormat="1" ht="18" customHeight="1">
      <c r="E259" s="66"/>
    </row>
    <row r="260" spans="5:5" s="65" customFormat="1" ht="18" customHeight="1">
      <c r="E260" s="66"/>
    </row>
    <row r="261" spans="5:5" s="65" customFormat="1" ht="18" customHeight="1">
      <c r="E261" s="66"/>
    </row>
    <row r="262" spans="5:5" s="65" customFormat="1" ht="18" customHeight="1">
      <c r="E262" s="66"/>
    </row>
    <row r="263" spans="5:5" s="65" customFormat="1" ht="18" customHeight="1">
      <c r="E263" s="66"/>
    </row>
    <row r="264" spans="5:5" s="65" customFormat="1" ht="18" customHeight="1">
      <c r="E264" s="66"/>
    </row>
    <row r="265" spans="5:5" s="65" customFormat="1" ht="18" customHeight="1">
      <c r="E265" s="66"/>
    </row>
    <row r="266" spans="5:5" s="65" customFormat="1" ht="18" customHeight="1">
      <c r="E266" s="66"/>
    </row>
    <row r="267" spans="5:5" s="65" customFormat="1" ht="18" customHeight="1">
      <c r="E267" s="66"/>
    </row>
    <row r="268" spans="5:5" s="65" customFormat="1" ht="18" customHeight="1">
      <c r="E268" s="66"/>
    </row>
    <row r="269" spans="5:5" s="65" customFormat="1" ht="18" customHeight="1">
      <c r="E269" s="66"/>
    </row>
    <row r="270" spans="5:5" s="65" customFormat="1" ht="18" customHeight="1">
      <c r="E270" s="66"/>
    </row>
    <row r="271" spans="5:5" s="65" customFormat="1" ht="18" customHeight="1">
      <c r="E271" s="66"/>
    </row>
    <row r="272" spans="5:5" s="65" customFormat="1" ht="18" customHeight="1">
      <c r="E272" s="66"/>
    </row>
    <row r="273" spans="5:5" s="65" customFormat="1" ht="18" customHeight="1">
      <c r="E273" s="66"/>
    </row>
    <row r="274" spans="5:5" s="65" customFormat="1" ht="18" customHeight="1">
      <c r="E274" s="66"/>
    </row>
    <row r="275" spans="5:5" s="65" customFormat="1" ht="18" customHeight="1">
      <c r="E275" s="66"/>
    </row>
    <row r="276" spans="5:5" s="65" customFormat="1" ht="18" customHeight="1">
      <c r="E276" s="66"/>
    </row>
    <row r="277" spans="5:5" s="65" customFormat="1" ht="18" customHeight="1">
      <c r="E277" s="66"/>
    </row>
    <row r="278" spans="5:5" s="65" customFormat="1" ht="18" customHeight="1">
      <c r="E278" s="66"/>
    </row>
    <row r="279" spans="5:5" s="65" customFormat="1" ht="18" customHeight="1">
      <c r="E279" s="66"/>
    </row>
    <row r="280" spans="5:5" s="65" customFormat="1" ht="18" customHeight="1">
      <c r="E280" s="66"/>
    </row>
    <row r="281" spans="5:5" s="65" customFormat="1" ht="18" customHeight="1">
      <c r="E281" s="66"/>
    </row>
    <row r="282" spans="5:5" s="65" customFormat="1" ht="18" customHeight="1">
      <c r="E282" s="66"/>
    </row>
    <row r="283" spans="5:5" s="65" customFormat="1" ht="18" customHeight="1">
      <c r="E283" s="66"/>
    </row>
    <row r="284" spans="5:5" s="65" customFormat="1" ht="18" customHeight="1">
      <c r="E284" s="66"/>
    </row>
    <row r="285" spans="5:5" s="65" customFormat="1" ht="18" customHeight="1">
      <c r="E285" s="66"/>
    </row>
    <row r="286" spans="5:5" s="65" customFormat="1" ht="18" customHeight="1">
      <c r="E286" s="66"/>
    </row>
    <row r="287" spans="5:5" s="65" customFormat="1" ht="18" customHeight="1">
      <c r="E287" s="66"/>
    </row>
    <row r="288" spans="5:5" s="65" customFormat="1" ht="18" customHeight="1">
      <c r="E288" s="66"/>
    </row>
    <row r="289" spans="5:5" s="65" customFormat="1" ht="18" customHeight="1">
      <c r="E289" s="66"/>
    </row>
    <row r="290" spans="5:5" s="65" customFormat="1" ht="18" customHeight="1">
      <c r="E290" s="66"/>
    </row>
    <row r="291" spans="5:5" s="65" customFormat="1" ht="18" customHeight="1">
      <c r="E291" s="66"/>
    </row>
    <row r="292" spans="5:5" s="65" customFormat="1" ht="18" customHeight="1">
      <c r="E292" s="66"/>
    </row>
    <row r="293" spans="5:5" s="65" customFormat="1" ht="18" customHeight="1">
      <c r="E293" s="66"/>
    </row>
    <row r="294" spans="5:5" s="65" customFormat="1" ht="18" customHeight="1">
      <c r="E294" s="66"/>
    </row>
    <row r="295" spans="5:5" s="65" customFormat="1" ht="18" customHeight="1">
      <c r="E295" s="66"/>
    </row>
    <row r="296" spans="5:5" s="65" customFormat="1" ht="18" customHeight="1">
      <c r="E296" s="66"/>
    </row>
    <row r="297" spans="5:5" s="65" customFormat="1" ht="18" customHeight="1">
      <c r="E297" s="66"/>
    </row>
    <row r="298" spans="5:5" s="65" customFormat="1" ht="18" customHeight="1">
      <c r="E298" s="66"/>
    </row>
    <row r="299" spans="5:5" s="65" customFormat="1" ht="18" customHeight="1">
      <c r="E299" s="66"/>
    </row>
    <row r="300" spans="5:5" s="65" customFormat="1" ht="18" customHeight="1">
      <c r="E300" s="66"/>
    </row>
    <row r="301" spans="5:5" s="65" customFormat="1" ht="18" customHeight="1">
      <c r="E301" s="66"/>
    </row>
    <row r="302" spans="5:5" s="65" customFormat="1" ht="18" customHeight="1">
      <c r="E302" s="66"/>
    </row>
    <row r="303" spans="5:5" s="65" customFormat="1" ht="18" customHeight="1">
      <c r="E303" s="66"/>
    </row>
    <row r="304" spans="5:5" s="65" customFormat="1" ht="18" customHeight="1">
      <c r="E304" s="66"/>
    </row>
    <row r="305" spans="5:5" s="65" customFormat="1" ht="18" customHeight="1">
      <c r="E305" s="66"/>
    </row>
    <row r="306" spans="5:5" s="65" customFormat="1" ht="18" customHeight="1">
      <c r="E306" s="66"/>
    </row>
    <row r="307" spans="5:5" s="65" customFormat="1" ht="18" customHeight="1">
      <c r="E307" s="66"/>
    </row>
    <row r="308" spans="5:5" s="65" customFormat="1" ht="18" customHeight="1">
      <c r="E308" s="66"/>
    </row>
    <row r="309" spans="5:5" s="65" customFormat="1" ht="18" customHeight="1">
      <c r="E309" s="66"/>
    </row>
    <row r="310" spans="5:5" s="65" customFormat="1" ht="18" customHeight="1">
      <c r="E310" s="66"/>
    </row>
    <row r="311" spans="5:5" s="65" customFormat="1" ht="18" customHeight="1">
      <c r="E311" s="66"/>
    </row>
    <row r="312" spans="5:5" s="65" customFormat="1" ht="18" customHeight="1">
      <c r="E312" s="66"/>
    </row>
    <row r="313" spans="5:5" s="65" customFormat="1" ht="18" customHeight="1">
      <c r="E313" s="66"/>
    </row>
    <row r="314" spans="5:5" s="65" customFormat="1" ht="18" customHeight="1">
      <c r="E314" s="66"/>
    </row>
    <row r="315" spans="5:5" s="65" customFormat="1" ht="18" customHeight="1">
      <c r="E315" s="66"/>
    </row>
    <row r="316" spans="5:5" s="65" customFormat="1" ht="18" customHeight="1">
      <c r="E316" s="66"/>
    </row>
    <row r="317" spans="5:5" s="65" customFormat="1" ht="18" customHeight="1">
      <c r="E317" s="66"/>
    </row>
    <row r="318" spans="5:5" s="65" customFormat="1" ht="18" customHeight="1">
      <c r="E318" s="66"/>
    </row>
    <row r="319" spans="5:5" s="65" customFormat="1" ht="18" customHeight="1">
      <c r="E319" s="66"/>
    </row>
    <row r="320" spans="5:5" s="65" customFormat="1" ht="18" customHeight="1">
      <c r="E320" s="66"/>
    </row>
    <row r="321" spans="5:5" s="65" customFormat="1" ht="18" customHeight="1">
      <c r="E321" s="66"/>
    </row>
    <row r="322" spans="5:5" s="65" customFormat="1" ht="18" customHeight="1">
      <c r="E322" s="66"/>
    </row>
    <row r="323" spans="5:5" s="65" customFormat="1" ht="18" customHeight="1">
      <c r="E323" s="66"/>
    </row>
    <row r="324" spans="5:5" s="65" customFormat="1" ht="18" customHeight="1">
      <c r="E324" s="66"/>
    </row>
    <row r="325" spans="5:5" s="65" customFormat="1" ht="18" customHeight="1">
      <c r="E325" s="66"/>
    </row>
    <row r="326" spans="5:5" s="65" customFormat="1" ht="18" customHeight="1">
      <c r="E326" s="66"/>
    </row>
    <row r="327" spans="5:5" s="65" customFormat="1" ht="18" customHeight="1">
      <c r="E327" s="66"/>
    </row>
    <row r="328" spans="5:5" s="65" customFormat="1" ht="18" customHeight="1">
      <c r="E328" s="66"/>
    </row>
    <row r="329" spans="5:5" s="65" customFormat="1" ht="18" customHeight="1">
      <c r="E329" s="66"/>
    </row>
    <row r="330" spans="5:5" s="65" customFormat="1" ht="18" customHeight="1">
      <c r="E330" s="66"/>
    </row>
    <row r="331" spans="5:5" s="65" customFormat="1" ht="18" customHeight="1">
      <c r="E331" s="66"/>
    </row>
    <row r="332" spans="5:5" s="65" customFormat="1" ht="18" customHeight="1">
      <c r="E332" s="66"/>
    </row>
    <row r="333" spans="5:5" s="65" customFormat="1" ht="18" customHeight="1">
      <c r="E333" s="66"/>
    </row>
    <row r="334" spans="5:5" s="65" customFormat="1" ht="18" customHeight="1">
      <c r="E334" s="66"/>
    </row>
    <row r="335" spans="5:5" s="65" customFormat="1" ht="18" customHeight="1">
      <c r="E335" s="66"/>
    </row>
    <row r="336" spans="5:5" s="65" customFormat="1" ht="18" customHeight="1">
      <c r="E336" s="66"/>
    </row>
    <row r="337" spans="5:5" s="65" customFormat="1" ht="18" customHeight="1">
      <c r="E337" s="66"/>
    </row>
    <row r="338" spans="5:5" s="65" customFormat="1" ht="18" customHeight="1">
      <c r="E338" s="66"/>
    </row>
    <row r="339" spans="5:5" s="65" customFormat="1" ht="18" customHeight="1">
      <c r="E339" s="66"/>
    </row>
    <row r="340" spans="5:5" s="65" customFormat="1" ht="18" customHeight="1">
      <c r="E340" s="66"/>
    </row>
    <row r="341" spans="5:5" s="65" customFormat="1" ht="18" customHeight="1">
      <c r="E341" s="66"/>
    </row>
    <row r="342" spans="5:5" s="65" customFormat="1" ht="18" customHeight="1">
      <c r="E342" s="66"/>
    </row>
    <row r="343" spans="5:5" s="65" customFormat="1" ht="18" customHeight="1">
      <c r="E343" s="66"/>
    </row>
    <row r="344" spans="5:5" s="65" customFormat="1" ht="18" customHeight="1">
      <c r="E344" s="66"/>
    </row>
    <row r="345" spans="5:5" s="65" customFormat="1" ht="18" customHeight="1">
      <c r="E345" s="66"/>
    </row>
    <row r="346" spans="5:5" s="65" customFormat="1" ht="18" customHeight="1">
      <c r="E346" s="66"/>
    </row>
    <row r="347" spans="5:5" s="65" customFormat="1" ht="18" customHeight="1">
      <c r="E347" s="66"/>
    </row>
    <row r="348" spans="5:5" s="65" customFormat="1" ht="18" customHeight="1">
      <c r="E348" s="66"/>
    </row>
    <row r="349" spans="5:5" s="65" customFormat="1" ht="18" customHeight="1">
      <c r="E349" s="66"/>
    </row>
    <row r="350" spans="5:5" s="65" customFormat="1" ht="18" customHeight="1">
      <c r="E350" s="66"/>
    </row>
    <row r="351" spans="5:5" s="65" customFormat="1" ht="18" customHeight="1">
      <c r="E351" s="66"/>
    </row>
    <row r="352" spans="5:5" s="65" customFormat="1" ht="18" customHeight="1">
      <c r="E352" s="66"/>
    </row>
    <row r="353" spans="5:5" s="65" customFormat="1" ht="18" customHeight="1">
      <c r="E353" s="66"/>
    </row>
    <row r="354" spans="5:5" s="65" customFormat="1" ht="18" customHeight="1">
      <c r="E354" s="66"/>
    </row>
    <row r="355" spans="5:5" s="65" customFormat="1" ht="18" customHeight="1">
      <c r="E355" s="66"/>
    </row>
    <row r="356" spans="5:5" s="65" customFormat="1" ht="18" customHeight="1">
      <c r="E356" s="66"/>
    </row>
    <row r="357" spans="5:5" s="65" customFormat="1" ht="18" customHeight="1">
      <c r="E357" s="66"/>
    </row>
    <row r="358" spans="5:5" s="65" customFormat="1" ht="18" customHeight="1">
      <c r="E358" s="66"/>
    </row>
    <row r="359" spans="5:5" s="65" customFormat="1" ht="18" customHeight="1">
      <c r="E359" s="66"/>
    </row>
    <row r="360" spans="5:5" s="65" customFormat="1" ht="18" customHeight="1">
      <c r="E360" s="66"/>
    </row>
    <row r="361" spans="5:5" s="65" customFormat="1" ht="18" customHeight="1">
      <c r="E361" s="66"/>
    </row>
    <row r="362" spans="5:5" s="65" customFormat="1" ht="18" customHeight="1">
      <c r="E362" s="66"/>
    </row>
    <row r="363" spans="5:5" s="65" customFormat="1" ht="18" customHeight="1">
      <c r="E363" s="66"/>
    </row>
    <row r="364" spans="5:5" s="65" customFormat="1" ht="18" customHeight="1">
      <c r="E364" s="66"/>
    </row>
    <row r="365" spans="5:5" s="65" customFormat="1" ht="18" customHeight="1">
      <c r="E365" s="66"/>
    </row>
    <row r="366" spans="5:5" s="65" customFormat="1" ht="18" customHeight="1">
      <c r="E366" s="66"/>
    </row>
    <row r="367" spans="5:5" s="65" customFormat="1" ht="18" customHeight="1">
      <c r="E367" s="66"/>
    </row>
    <row r="368" spans="5:5" s="65" customFormat="1" ht="18" customHeight="1">
      <c r="E368" s="66"/>
    </row>
    <row r="369" spans="5:5" s="65" customFormat="1" ht="18" customHeight="1">
      <c r="E369" s="66"/>
    </row>
    <row r="370" spans="5:5" s="65" customFormat="1" ht="18" customHeight="1">
      <c r="E370" s="66"/>
    </row>
    <row r="371" spans="5:5" s="65" customFormat="1" ht="18" customHeight="1">
      <c r="E371" s="66"/>
    </row>
    <row r="372" spans="5:5" s="65" customFormat="1" ht="18" customHeight="1">
      <c r="E372" s="66"/>
    </row>
    <row r="373" spans="5:5" s="65" customFormat="1" ht="18" customHeight="1">
      <c r="E373" s="66"/>
    </row>
    <row r="374" spans="5:5" s="65" customFormat="1" ht="18" customHeight="1">
      <c r="E374" s="66"/>
    </row>
    <row r="375" spans="5:5" s="65" customFormat="1" ht="18" customHeight="1">
      <c r="E375" s="66"/>
    </row>
    <row r="376" spans="5:5" s="65" customFormat="1" ht="18" customHeight="1">
      <c r="E376" s="66"/>
    </row>
    <row r="377" spans="5:5" s="65" customFormat="1" ht="18" customHeight="1">
      <c r="E377" s="66"/>
    </row>
    <row r="378" spans="5:5" s="65" customFormat="1" ht="18" customHeight="1">
      <c r="E378" s="66"/>
    </row>
    <row r="379" spans="5:5" s="65" customFormat="1" ht="18" customHeight="1">
      <c r="E379" s="66"/>
    </row>
    <row r="380" spans="5:5" s="65" customFormat="1" ht="18" customHeight="1">
      <c r="E380" s="66"/>
    </row>
    <row r="381" spans="5:5" s="65" customFormat="1" ht="18" customHeight="1">
      <c r="E381" s="66"/>
    </row>
    <row r="382" spans="5:5" s="65" customFormat="1" ht="18" customHeight="1">
      <c r="E382" s="66"/>
    </row>
    <row r="383" spans="5:5" s="65" customFormat="1" ht="18" customHeight="1">
      <c r="E383" s="66"/>
    </row>
    <row r="384" spans="5:5" s="65" customFormat="1" ht="18" customHeight="1">
      <c r="E384" s="66"/>
    </row>
    <row r="385" spans="5:5" s="65" customFormat="1" ht="18" customHeight="1">
      <c r="E385" s="66"/>
    </row>
    <row r="386" spans="5:5" s="65" customFormat="1" ht="18" customHeight="1">
      <c r="E386" s="66"/>
    </row>
    <row r="387" spans="5:5" s="65" customFormat="1" ht="18" customHeight="1">
      <c r="E387" s="66"/>
    </row>
    <row r="388" spans="5:5" s="65" customFormat="1" ht="18" customHeight="1">
      <c r="E388" s="66"/>
    </row>
    <row r="389" spans="5:5" s="65" customFormat="1" ht="18" customHeight="1">
      <c r="E389" s="66"/>
    </row>
    <row r="390" spans="5:5" s="65" customFormat="1" ht="18" customHeight="1">
      <c r="E390" s="66"/>
    </row>
    <row r="391" spans="5:5" s="65" customFormat="1" ht="18" customHeight="1">
      <c r="E391" s="66"/>
    </row>
    <row r="392" spans="5:5" s="65" customFormat="1" ht="18" customHeight="1">
      <c r="E392" s="66"/>
    </row>
    <row r="393" spans="5:5" s="65" customFormat="1" ht="18" customHeight="1">
      <c r="E393" s="66"/>
    </row>
    <row r="394" spans="5:5" s="65" customFormat="1" ht="18" customHeight="1">
      <c r="E394" s="66"/>
    </row>
    <row r="395" spans="5:5" s="65" customFormat="1" ht="18" customHeight="1">
      <c r="E395" s="66"/>
    </row>
    <row r="396" spans="5:5" s="65" customFormat="1" ht="18" customHeight="1">
      <c r="E396" s="66"/>
    </row>
    <row r="397" spans="5:5" s="65" customFormat="1" ht="18" customHeight="1">
      <c r="E397" s="66"/>
    </row>
    <row r="398" spans="5:5" s="65" customFormat="1" ht="18" customHeight="1">
      <c r="E398" s="66"/>
    </row>
    <row r="399" spans="5:5" s="65" customFormat="1" ht="18" customHeight="1">
      <c r="E399" s="66"/>
    </row>
    <row r="400" spans="5:5" s="65" customFormat="1" ht="18" customHeight="1">
      <c r="E400" s="66"/>
    </row>
    <row r="401" spans="5:5" s="65" customFormat="1" ht="18" customHeight="1">
      <c r="E401" s="66"/>
    </row>
    <row r="402" spans="5:5" s="65" customFormat="1" ht="18" customHeight="1">
      <c r="E402" s="66"/>
    </row>
    <row r="403" spans="5:5" s="65" customFormat="1" ht="18" customHeight="1">
      <c r="E403" s="66"/>
    </row>
    <row r="404" spans="5:5" s="65" customFormat="1" ht="18" customHeight="1">
      <c r="E404" s="66"/>
    </row>
    <row r="405" spans="5:5" s="65" customFormat="1" ht="18" customHeight="1">
      <c r="E405" s="66"/>
    </row>
    <row r="406" spans="5:5" s="65" customFormat="1" ht="18" customHeight="1">
      <c r="E406" s="66"/>
    </row>
    <row r="407" spans="5:5" s="65" customFormat="1" ht="18" customHeight="1">
      <c r="E407" s="66"/>
    </row>
    <row r="408" spans="5:5" s="65" customFormat="1" ht="18" customHeight="1">
      <c r="E408" s="66"/>
    </row>
    <row r="409" spans="5:5" s="65" customFormat="1" ht="18" customHeight="1">
      <c r="E409" s="66"/>
    </row>
    <row r="410" spans="5:5" s="65" customFormat="1" ht="18" customHeight="1">
      <c r="E410" s="66"/>
    </row>
    <row r="411" spans="5:5" s="65" customFormat="1" ht="18" customHeight="1">
      <c r="E411" s="66"/>
    </row>
    <row r="412" spans="5:5" s="65" customFormat="1" ht="18" customHeight="1">
      <c r="E412" s="66"/>
    </row>
    <row r="413" spans="5:5" s="65" customFormat="1" ht="18" customHeight="1">
      <c r="E413" s="66"/>
    </row>
    <row r="414" spans="5:5" s="65" customFormat="1" ht="18" customHeight="1">
      <c r="E414" s="66"/>
    </row>
    <row r="415" spans="5:5" s="65" customFormat="1" ht="18" customHeight="1">
      <c r="E415" s="66"/>
    </row>
    <row r="416" spans="5:5" s="65" customFormat="1" ht="18" customHeight="1">
      <c r="E416" s="66"/>
    </row>
    <row r="417" spans="5:5" s="65" customFormat="1" ht="18" customHeight="1">
      <c r="E417" s="66"/>
    </row>
    <row r="418" spans="5:5" s="65" customFormat="1" ht="18" customHeight="1">
      <c r="E418" s="66"/>
    </row>
    <row r="419" spans="5:5" s="65" customFormat="1" ht="18" customHeight="1">
      <c r="E419" s="66"/>
    </row>
    <row r="420" spans="5:5" s="65" customFormat="1" ht="18" customHeight="1">
      <c r="E420" s="66"/>
    </row>
    <row r="421" spans="5:5" s="65" customFormat="1" ht="18" customHeight="1">
      <c r="E421" s="66"/>
    </row>
    <row r="422" spans="5:5" s="65" customFormat="1" ht="18" customHeight="1">
      <c r="E422" s="66"/>
    </row>
    <row r="423" spans="5:5" s="65" customFormat="1" ht="18" customHeight="1">
      <c r="E423" s="66"/>
    </row>
    <row r="424" spans="5:5" s="65" customFormat="1" ht="18" customHeight="1">
      <c r="E424" s="66"/>
    </row>
    <row r="425" spans="5:5" s="65" customFormat="1" ht="18" customHeight="1">
      <c r="E425" s="66"/>
    </row>
    <row r="426" spans="5:5" s="65" customFormat="1" ht="18" customHeight="1">
      <c r="E426" s="66"/>
    </row>
    <row r="427" spans="5:5" s="65" customFormat="1" ht="18" customHeight="1">
      <c r="E427" s="66"/>
    </row>
    <row r="428" spans="5:5" s="65" customFormat="1" ht="18" customHeight="1">
      <c r="E428" s="66"/>
    </row>
    <row r="429" spans="5:5" s="65" customFormat="1" ht="18" customHeight="1">
      <c r="E429" s="66"/>
    </row>
    <row r="430" spans="5:5" s="65" customFormat="1" ht="18" customHeight="1">
      <c r="E430" s="66"/>
    </row>
    <row r="431" spans="5:5" s="65" customFormat="1" ht="18" customHeight="1">
      <c r="E431" s="66"/>
    </row>
    <row r="432" spans="5:5" s="65" customFormat="1" ht="18" customHeight="1">
      <c r="E432" s="66"/>
    </row>
    <row r="433" spans="1:5" s="65" customFormat="1" ht="18" customHeight="1">
      <c r="E433" s="66"/>
    </row>
    <row r="434" spans="1:5" s="65" customFormat="1" ht="18" customHeight="1">
      <c r="E434" s="66"/>
    </row>
    <row r="435" spans="1:5" s="65" customFormat="1" ht="18" customHeight="1">
      <c r="E435" s="66"/>
    </row>
    <row r="436" spans="1:5" s="65" customFormat="1" ht="18" customHeight="1">
      <c r="E436" s="66"/>
    </row>
    <row r="437" spans="1:5" s="65" customFormat="1" ht="18" customHeight="1">
      <c r="E437" s="66"/>
    </row>
    <row r="438" spans="1:5" s="65" customFormat="1" ht="18" customHeight="1">
      <c r="A438" s="66"/>
      <c r="E438" s="66"/>
    </row>
    <row r="439" spans="1:5" s="65" customFormat="1" ht="18" customHeight="1">
      <c r="A439" s="66"/>
      <c r="E439" s="66"/>
    </row>
    <row r="440" spans="1:5" s="65" customFormat="1" ht="18" customHeight="1">
      <c r="A440" s="66"/>
      <c r="E440" s="66"/>
    </row>
    <row r="441" spans="1:5" s="65" customFormat="1" ht="18" customHeight="1">
      <c r="A441" s="66"/>
      <c r="E441" s="66"/>
    </row>
  </sheetData>
  <scenarios current="0" sqref="C31 C32 C33 C34">
    <scenario name="10% increase in hard cost" locked="1" count="3" user="Author" comment="Created by Author on 18-04-2024">
      <inputCells r="D8" val="25.83"/>
      <inputCells r="D11" val="0.55"/>
      <inputCells r="D14" val="17.17"/>
    </scenario>
  </scenario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8"/>
  <sheetViews>
    <sheetView topLeftCell="A283" workbookViewId="0">
      <selection activeCell="D291" sqref="D291"/>
    </sheetView>
  </sheetViews>
  <sheetFormatPr defaultRowHeight="15"/>
  <cols>
    <col min="3" max="3" width="12.7109375" customWidth="1"/>
    <col min="4" max="4" width="58.85546875" customWidth="1"/>
    <col min="5" max="5" width="31.140625" customWidth="1"/>
    <col min="6" max="6" width="17.42578125" customWidth="1"/>
    <col min="7" max="7" width="18.85546875" customWidth="1"/>
    <col min="8" max="8" width="18.7109375" customWidth="1"/>
    <col min="9" max="9" width="23.42578125" customWidth="1"/>
  </cols>
  <sheetData>
    <row r="1" spans="1:16">
      <c r="A1" t="s">
        <v>467</v>
      </c>
    </row>
    <row r="2" spans="1:16">
      <c r="D2" t="s">
        <v>532</v>
      </c>
      <c r="E2" t="s">
        <v>790</v>
      </c>
      <c r="I2" t="s">
        <v>487</v>
      </c>
      <c r="M2" t="s">
        <v>556</v>
      </c>
    </row>
    <row r="3" spans="1:16">
      <c r="G3" t="s">
        <v>486</v>
      </c>
    </row>
    <row r="4" spans="1:16">
      <c r="D4" t="s">
        <v>788</v>
      </c>
      <c r="E4" t="s">
        <v>471</v>
      </c>
      <c r="L4" t="s">
        <v>482</v>
      </c>
    </row>
    <row r="5" spans="1:16">
      <c r="B5" t="s">
        <v>530</v>
      </c>
      <c r="I5" t="s">
        <v>480</v>
      </c>
    </row>
    <row r="6" spans="1:16">
      <c r="D6" t="s">
        <v>784</v>
      </c>
      <c r="E6" t="s">
        <v>470</v>
      </c>
    </row>
    <row r="7" spans="1:16">
      <c r="D7" t="s">
        <v>791</v>
      </c>
      <c r="E7" t="s">
        <v>793</v>
      </c>
      <c r="O7" t="s">
        <v>529</v>
      </c>
    </row>
    <row r="8" spans="1:16">
      <c r="B8" t="s">
        <v>796</v>
      </c>
      <c r="D8" t="s">
        <v>487</v>
      </c>
      <c r="E8" t="s">
        <v>469</v>
      </c>
    </row>
    <row r="9" spans="1:16">
      <c r="D9" t="s">
        <v>468</v>
      </c>
      <c r="P9" s="261" t="s">
        <v>483</v>
      </c>
    </row>
    <row r="10" spans="1:16" ht="45">
      <c r="B10" t="s">
        <v>485</v>
      </c>
      <c r="E10" s="265" t="s">
        <v>792</v>
      </c>
      <c r="L10" s="261" t="s">
        <v>531</v>
      </c>
    </row>
    <row r="11" spans="1:16">
      <c r="D11" t="s">
        <v>474</v>
      </c>
    </row>
    <row r="12" spans="1:16">
      <c r="E12" t="s">
        <v>472</v>
      </c>
    </row>
    <row r="13" spans="1:16" ht="105">
      <c r="B13" t="s">
        <v>534</v>
      </c>
      <c r="D13" t="s">
        <v>789</v>
      </c>
      <c r="G13" s="275" t="s">
        <v>795</v>
      </c>
      <c r="K13" t="s">
        <v>481</v>
      </c>
    </row>
    <row r="14" spans="1:16">
      <c r="E14" s="261" t="s">
        <v>473</v>
      </c>
      <c r="K14" t="s">
        <v>555</v>
      </c>
    </row>
    <row r="16" spans="1:16">
      <c r="D16" t="s">
        <v>475</v>
      </c>
    </row>
    <row r="18" spans="2:14">
      <c r="E18" t="s">
        <v>476</v>
      </c>
    </row>
    <row r="19" spans="2:14">
      <c r="B19" t="s">
        <v>533</v>
      </c>
      <c r="E19" t="s">
        <v>478</v>
      </c>
    </row>
    <row r="20" spans="2:14">
      <c r="E20" t="s">
        <v>477</v>
      </c>
    </row>
    <row r="21" spans="2:14">
      <c r="B21" t="s">
        <v>535</v>
      </c>
    </row>
    <row r="22" spans="2:14">
      <c r="N22" t="s">
        <v>511</v>
      </c>
    </row>
    <row r="23" spans="2:14">
      <c r="C23" t="s">
        <v>502</v>
      </c>
      <c r="G23" t="s">
        <v>484</v>
      </c>
    </row>
    <row r="24" spans="2:14">
      <c r="H24" s="262" t="s">
        <v>505</v>
      </c>
      <c r="N24" t="s">
        <v>509</v>
      </c>
    </row>
    <row r="25" spans="2:14">
      <c r="B25" s="261" t="s">
        <v>501</v>
      </c>
      <c r="E25" t="s">
        <v>496</v>
      </c>
      <c r="L25" t="s">
        <v>507</v>
      </c>
    </row>
    <row r="26" spans="2:14">
      <c r="E26" t="s">
        <v>488</v>
      </c>
    </row>
    <row r="27" spans="2:14">
      <c r="E27" t="s">
        <v>489</v>
      </c>
    </row>
    <row r="28" spans="2:14">
      <c r="B28" s="261" t="s">
        <v>510</v>
      </c>
      <c r="E28" t="s">
        <v>490</v>
      </c>
    </row>
    <row r="29" spans="2:14">
      <c r="E29" t="s">
        <v>491</v>
      </c>
    </row>
    <row r="30" spans="2:14">
      <c r="E30" t="s">
        <v>492</v>
      </c>
    </row>
    <row r="31" spans="2:14">
      <c r="C31" s="262" t="s">
        <v>503</v>
      </c>
      <c r="N31" s="262" t="s">
        <v>508</v>
      </c>
    </row>
    <row r="32" spans="2:14">
      <c r="F32" t="s">
        <v>499</v>
      </c>
      <c r="H32" s="262" t="s">
        <v>500</v>
      </c>
    </row>
    <row r="33" spans="3:10">
      <c r="C33" t="s">
        <v>504</v>
      </c>
      <c r="E33" t="s">
        <v>493</v>
      </c>
    </row>
    <row r="35" spans="3:10">
      <c r="E35" t="s">
        <v>494</v>
      </c>
    </row>
    <row r="36" spans="3:10">
      <c r="E36" t="s">
        <v>495</v>
      </c>
      <c r="J36" t="s">
        <v>506</v>
      </c>
    </row>
    <row r="37" spans="3:10">
      <c r="E37" t="s">
        <v>497</v>
      </c>
    </row>
    <row r="38" spans="3:10">
      <c r="E38" t="s">
        <v>498</v>
      </c>
    </row>
    <row r="42" spans="3:10">
      <c r="D42" t="s">
        <v>520</v>
      </c>
    </row>
    <row r="44" spans="3:10">
      <c r="D44" s="261" t="s">
        <v>519</v>
      </c>
    </row>
    <row r="46" spans="3:10">
      <c r="C46" t="s">
        <v>515</v>
      </c>
    </row>
    <row r="47" spans="3:10">
      <c r="C47" s="261" t="s">
        <v>516</v>
      </c>
    </row>
    <row r="49" spans="3:5">
      <c r="C49" s="261" t="s">
        <v>512</v>
      </c>
    </row>
    <row r="52" spans="3:5">
      <c r="C52" t="s">
        <v>513</v>
      </c>
    </row>
    <row r="54" spans="3:5">
      <c r="C54" s="261" t="s">
        <v>514</v>
      </c>
    </row>
    <row r="56" spans="3:5">
      <c r="C56" t="s">
        <v>517</v>
      </c>
    </row>
    <row r="57" spans="3:5">
      <c r="C57" s="261" t="s">
        <v>518</v>
      </c>
    </row>
    <row r="61" spans="3:5">
      <c r="D61" t="s">
        <v>521</v>
      </c>
      <c r="E61" t="s">
        <v>522</v>
      </c>
    </row>
    <row r="62" spans="3:5">
      <c r="D62" t="s">
        <v>523</v>
      </c>
      <c r="E62" t="s">
        <v>524</v>
      </c>
    </row>
    <row r="63" spans="3:5">
      <c r="D63" t="s">
        <v>525</v>
      </c>
      <c r="E63" t="s">
        <v>526</v>
      </c>
    </row>
    <row r="64" spans="3:5">
      <c r="D64" t="s">
        <v>527</v>
      </c>
    </row>
    <row r="65" spans="2:12">
      <c r="D65" t="s">
        <v>528</v>
      </c>
    </row>
    <row r="68" spans="2:12">
      <c r="L68" s="261" t="s">
        <v>554</v>
      </c>
    </row>
    <row r="70" spans="2:12">
      <c r="B70" s="263" t="s">
        <v>536</v>
      </c>
      <c r="C70" s="263" t="s">
        <v>2</v>
      </c>
      <c r="D70" s="263" t="s">
        <v>537</v>
      </c>
      <c r="E70" s="263" t="s">
        <v>538</v>
      </c>
      <c r="F70" s="263" t="s">
        <v>539</v>
      </c>
      <c r="G70" s="263" t="s">
        <v>540</v>
      </c>
      <c r="H70" s="263" t="s">
        <v>542</v>
      </c>
      <c r="I70" s="263" t="s">
        <v>544</v>
      </c>
    </row>
    <row r="71" spans="2:12">
      <c r="B71" s="263"/>
      <c r="C71" s="263"/>
      <c r="D71" s="263"/>
      <c r="E71" s="263"/>
      <c r="F71" s="263"/>
      <c r="G71" s="263" t="s">
        <v>541</v>
      </c>
      <c r="H71" s="263" t="s">
        <v>543</v>
      </c>
      <c r="I71" s="263"/>
    </row>
    <row r="72" spans="2:12">
      <c r="B72" s="263">
        <v>1</v>
      </c>
      <c r="C72" s="263" t="s">
        <v>545</v>
      </c>
      <c r="D72" s="263" t="s">
        <v>546</v>
      </c>
      <c r="E72" s="263" t="s">
        <v>547</v>
      </c>
      <c r="F72" s="263">
        <v>20725</v>
      </c>
      <c r="G72" s="263">
        <v>233300</v>
      </c>
      <c r="H72" s="263">
        <v>2221.25</v>
      </c>
      <c r="I72" s="263" t="s">
        <v>548</v>
      </c>
      <c r="L72" t="s">
        <v>553</v>
      </c>
    </row>
    <row r="73" spans="2:12">
      <c r="B73" s="263">
        <v>2</v>
      </c>
      <c r="C73" s="263" t="s">
        <v>545</v>
      </c>
      <c r="D73" s="263" t="s">
        <v>546</v>
      </c>
      <c r="E73" s="263" t="s">
        <v>547</v>
      </c>
      <c r="F73" s="263">
        <v>20723</v>
      </c>
      <c r="G73" s="263">
        <v>233300</v>
      </c>
      <c r="H73" s="263">
        <v>2221.25</v>
      </c>
      <c r="I73" s="263" t="s">
        <v>548</v>
      </c>
    </row>
    <row r="74" spans="2:12">
      <c r="B74" s="263">
        <v>3</v>
      </c>
      <c r="C74" s="263" t="s">
        <v>545</v>
      </c>
      <c r="D74" s="263" t="s">
        <v>549</v>
      </c>
      <c r="E74" s="263" t="s">
        <v>547</v>
      </c>
      <c r="F74" s="263">
        <v>20451</v>
      </c>
      <c r="G74" s="263">
        <v>233300</v>
      </c>
      <c r="H74" s="263">
        <v>2221.25</v>
      </c>
      <c r="I74" s="263" t="s">
        <v>548</v>
      </c>
    </row>
    <row r="75" spans="2:12">
      <c r="B75" s="263">
        <v>4</v>
      </c>
      <c r="C75" s="263" t="s">
        <v>545</v>
      </c>
      <c r="D75" s="263" t="s">
        <v>549</v>
      </c>
      <c r="E75" s="263" t="s">
        <v>547</v>
      </c>
      <c r="F75" s="263">
        <v>20446</v>
      </c>
      <c r="G75" s="263">
        <v>233300</v>
      </c>
      <c r="H75" s="263">
        <v>2221.25</v>
      </c>
      <c r="I75" s="263" t="s">
        <v>548</v>
      </c>
    </row>
    <row r="76" spans="2:12">
      <c r="B76" s="263">
        <v>5</v>
      </c>
      <c r="C76" s="263" t="s">
        <v>545</v>
      </c>
      <c r="D76" s="263" t="s">
        <v>550</v>
      </c>
      <c r="E76" s="263" t="s">
        <v>547</v>
      </c>
      <c r="F76" s="263">
        <v>20374</v>
      </c>
      <c r="G76" s="263">
        <v>100000</v>
      </c>
      <c r="H76" s="263">
        <v>500</v>
      </c>
      <c r="I76" s="263" t="s">
        <v>548</v>
      </c>
    </row>
    <row r="77" spans="2:12">
      <c r="B77" s="263">
        <v>6</v>
      </c>
      <c r="C77" s="263" t="s">
        <v>545</v>
      </c>
      <c r="D77" s="263" t="s">
        <v>551</v>
      </c>
      <c r="E77" s="263" t="s">
        <v>547</v>
      </c>
      <c r="F77" s="263">
        <v>18267</v>
      </c>
      <c r="G77" s="263">
        <v>1539600</v>
      </c>
      <c r="H77" s="263">
        <v>5486</v>
      </c>
      <c r="I77" s="263" t="s">
        <v>548</v>
      </c>
    </row>
    <row r="78" spans="2:12">
      <c r="B78" s="263">
        <v>7</v>
      </c>
      <c r="C78" s="263" t="s">
        <v>545</v>
      </c>
      <c r="D78" s="263" t="s">
        <v>551</v>
      </c>
      <c r="E78" s="263" t="s">
        <v>547</v>
      </c>
      <c r="F78" s="263">
        <v>18266</v>
      </c>
      <c r="G78" s="263">
        <v>195200</v>
      </c>
      <c r="H78" s="263">
        <v>3900</v>
      </c>
      <c r="I78" s="263" t="s">
        <v>552</v>
      </c>
    </row>
    <row r="79" spans="2:12">
      <c r="B79" s="263"/>
      <c r="C79" s="263"/>
      <c r="D79" s="263"/>
      <c r="E79" s="263"/>
      <c r="F79" s="263"/>
      <c r="G79" s="264">
        <f>SUM(G72:G78)</f>
        <v>2768000</v>
      </c>
      <c r="H79" s="263">
        <f>SUM(H72:H78)</f>
        <v>18771</v>
      </c>
      <c r="I79" s="263"/>
    </row>
    <row r="84" spans="2:6">
      <c r="B84" t="s">
        <v>557</v>
      </c>
      <c r="C84" t="s">
        <v>558</v>
      </c>
      <c r="D84" t="s">
        <v>559</v>
      </c>
      <c r="E84" t="s">
        <v>560</v>
      </c>
      <c r="F84" t="s">
        <v>561</v>
      </c>
    </row>
    <row r="85" spans="2:6">
      <c r="F85" t="s">
        <v>562</v>
      </c>
    </row>
    <row r="86" spans="2:6">
      <c r="F86" t="s">
        <v>563</v>
      </c>
    </row>
    <row r="87" spans="2:6">
      <c r="B87" t="s">
        <v>564</v>
      </c>
      <c r="C87" t="s">
        <v>565</v>
      </c>
    </row>
    <row r="88" spans="2:6">
      <c r="B88" t="s">
        <v>566</v>
      </c>
      <c r="C88" t="s">
        <v>567</v>
      </c>
    </row>
    <row r="89" spans="2:6">
      <c r="B89" t="s">
        <v>568</v>
      </c>
      <c r="C89" t="s">
        <v>569</v>
      </c>
    </row>
    <row r="90" spans="2:6">
      <c r="B90" t="s">
        <v>570</v>
      </c>
      <c r="C90" t="s">
        <v>571</v>
      </c>
      <c r="D90">
        <v>12500000</v>
      </c>
      <c r="E90">
        <v>2</v>
      </c>
      <c r="F90">
        <v>250</v>
      </c>
    </row>
    <row r="95" spans="2:6">
      <c r="D95" s="261" t="s">
        <v>572</v>
      </c>
    </row>
    <row r="100" spans="3:9" ht="16.5" customHeight="1">
      <c r="C100" s="304" t="s">
        <v>573</v>
      </c>
      <c r="D100" s="305"/>
      <c r="E100" s="305"/>
      <c r="F100" s="305"/>
      <c r="G100" s="305"/>
      <c r="H100" s="305"/>
      <c r="I100" s="306"/>
    </row>
    <row r="101" spans="3:9">
      <c r="C101" s="258" t="s">
        <v>557</v>
      </c>
      <c r="D101" s="263" t="s">
        <v>574</v>
      </c>
      <c r="E101" s="258" t="s">
        <v>575</v>
      </c>
      <c r="F101" s="258" t="s">
        <v>576</v>
      </c>
      <c r="G101" s="258" t="s">
        <v>577</v>
      </c>
      <c r="H101" s="258" t="s">
        <v>578</v>
      </c>
      <c r="I101" s="258" t="s">
        <v>579</v>
      </c>
    </row>
    <row r="102" spans="3:9">
      <c r="C102" s="258">
        <v>1</v>
      </c>
      <c r="D102" s="263" t="s">
        <v>580</v>
      </c>
      <c r="E102" s="258">
        <v>11</v>
      </c>
      <c r="F102" s="258">
        <v>1</v>
      </c>
      <c r="G102" s="258">
        <v>11</v>
      </c>
      <c r="H102" s="258">
        <v>5</v>
      </c>
      <c r="I102" s="258">
        <v>55</v>
      </c>
    </row>
    <row r="103" spans="3:9">
      <c r="C103" s="258">
        <v>2</v>
      </c>
      <c r="D103" s="263" t="s">
        <v>581</v>
      </c>
      <c r="E103" s="258">
        <v>8</v>
      </c>
      <c r="F103" s="258">
        <v>4</v>
      </c>
      <c r="G103" s="258">
        <v>32</v>
      </c>
      <c r="H103" s="258">
        <v>5</v>
      </c>
      <c r="I103" s="258">
        <v>160</v>
      </c>
    </row>
    <row r="104" spans="3:9">
      <c r="C104" s="258">
        <v>3</v>
      </c>
      <c r="D104" s="263" t="s">
        <v>582</v>
      </c>
      <c r="E104" s="258">
        <v>7.5</v>
      </c>
      <c r="F104" s="258">
        <v>4</v>
      </c>
      <c r="G104" s="258">
        <v>30</v>
      </c>
      <c r="H104" s="258">
        <v>6</v>
      </c>
      <c r="I104" s="258">
        <v>180</v>
      </c>
    </row>
    <row r="105" spans="3:9">
      <c r="C105" s="258">
        <v>4</v>
      </c>
      <c r="D105" s="263" t="s">
        <v>583</v>
      </c>
      <c r="E105" s="258">
        <v>110</v>
      </c>
      <c r="F105" s="258">
        <v>2</v>
      </c>
      <c r="G105" s="258">
        <v>220</v>
      </c>
      <c r="H105" s="258">
        <v>12</v>
      </c>
      <c r="I105" s="258">
        <v>2640</v>
      </c>
    </row>
    <row r="106" spans="3:9">
      <c r="C106" s="258">
        <v>5</v>
      </c>
      <c r="D106" s="263" t="s">
        <v>584</v>
      </c>
      <c r="E106" s="258">
        <v>110</v>
      </c>
      <c r="F106" s="258">
        <v>2</v>
      </c>
      <c r="G106" s="258">
        <v>220</v>
      </c>
      <c r="H106" s="258">
        <v>12</v>
      </c>
      <c r="I106" s="258">
        <v>2640</v>
      </c>
    </row>
    <row r="107" spans="3:9">
      <c r="C107" s="258">
        <v>6</v>
      </c>
      <c r="D107" s="263" t="s">
        <v>585</v>
      </c>
      <c r="E107" s="258">
        <v>10</v>
      </c>
      <c r="F107" s="258">
        <v>1</v>
      </c>
      <c r="G107" s="258">
        <v>10</v>
      </c>
      <c r="H107" s="258">
        <v>15</v>
      </c>
      <c r="I107" s="258">
        <v>150</v>
      </c>
    </row>
    <row r="108" spans="3:9" ht="18" customHeight="1">
      <c r="C108" s="263"/>
      <c r="D108" s="263"/>
      <c r="E108" s="263"/>
      <c r="F108" s="263" t="s">
        <v>586</v>
      </c>
      <c r="G108" s="263"/>
      <c r="H108" s="263"/>
      <c r="I108" s="267">
        <v>5825</v>
      </c>
    </row>
    <row r="111" spans="3:9">
      <c r="C111" t="s">
        <v>587</v>
      </c>
    </row>
    <row r="113" spans="2:7">
      <c r="D113" t="s">
        <v>588</v>
      </c>
    </row>
    <row r="114" spans="2:7">
      <c r="B114" t="s">
        <v>589</v>
      </c>
    </row>
    <row r="115" spans="2:7">
      <c r="E115" s="268">
        <f>300*100</f>
        <v>30000</v>
      </c>
      <c r="G115" s="268">
        <f>3000*1000</f>
        <v>3000000</v>
      </c>
    </row>
    <row r="116" spans="2:7">
      <c r="D116">
        <f>30*300</f>
        <v>9000</v>
      </c>
      <c r="E116">
        <f>2900*300</f>
        <v>870000</v>
      </c>
    </row>
    <row r="118" spans="2:7">
      <c r="D118" t="s">
        <v>593</v>
      </c>
    </row>
    <row r="119" spans="2:7">
      <c r="D119" t="s">
        <v>590</v>
      </c>
    </row>
    <row r="124" spans="2:7">
      <c r="D124" t="s">
        <v>591</v>
      </c>
    </row>
    <row r="126" spans="2:7">
      <c r="D126" t="s">
        <v>592</v>
      </c>
    </row>
    <row r="129" spans="4:6">
      <c r="D129" s="269" t="s">
        <v>594</v>
      </c>
      <c r="E129" s="269" t="s">
        <v>600</v>
      </c>
    </row>
    <row r="130" spans="4:6">
      <c r="D130" s="269" t="s">
        <v>595</v>
      </c>
      <c r="E130" s="269" t="s">
        <v>601</v>
      </c>
      <c r="F130" t="s">
        <v>607</v>
      </c>
    </row>
    <row r="131" spans="4:6">
      <c r="D131" s="269" t="s">
        <v>596</v>
      </c>
      <c r="E131" s="269" t="s">
        <v>602</v>
      </c>
    </row>
    <row r="132" spans="4:6">
      <c r="D132" s="269" t="s">
        <v>597</v>
      </c>
      <c r="E132" s="269" t="s">
        <v>603</v>
      </c>
    </row>
    <row r="133" spans="4:6">
      <c r="D133" s="269" t="s">
        <v>598</v>
      </c>
      <c r="E133" s="269" t="s">
        <v>604</v>
      </c>
    </row>
    <row r="134" spans="4:6">
      <c r="D134" s="269" t="s">
        <v>599</v>
      </c>
      <c r="E134" s="269" t="s">
        <v>605</v>
      </c>
    </row>
    <row r="135" spans="4:6">
      <c r="D135" s="270" t="s">
        <v>599</v>
      </c>
      <c r="E135" s="270" t="s">
        <v>606</v>
      </c>
    </row>
    <row r="138" spans="4:6">
      <c r="D138" s="271" t="s">
        <v>608</v>
      </c>
      <c r="E138" s="272" t="s">
        <v>609</v>
      </c>
      <c r="F138" s="272" t="s">
        <v>622</v>
      </c>
    </row>
    <row r="139" spans="4:6">
      <c r="D139" s="44">
        <v>1</v>
      </c>
      <c r="E139" t="s">
        <v>610</v>
      </c>
      <c r="F139" t="s">
        <v>623</v>
      </c>
    </row>
    <row r="140" spans="4:6">
      <c r="D140" s="44">
        <f>D139+1</f>
        <v>2</v>
      </c>
      <c r="E140" t="s">
        <v>611</v>
      </c>
      <c r="F140" t="s">
        <v>624</v>
      </c>
    </row>
    <row r="141" spans="4:6">
      <c r="D141" s="44">
        <f t="shared" ref="D141:D150" si="0">D140+1</f>
        <v>3</v>
      </c>
      <c r="E141" t="s">
        <v>612</v>
      </c>
      <c r="F141" t="s">
        <v>625</v>
      </c>
    </row>
    <row r="142" spans="4:6">
      <c r="D142" s="44">
        <f t="shared" si="0"/>
        <v>4</v>
      </c>
      <c r="E142" t="s">
        <v>613</v>
      </c>
      <c r="F142" t="s">
        <v>626</v>
      </c>
    </row>
    <row r="143" spans="4:6">
      <c r="D143" s="44">
        <f t="shared" si="0"/>
        <v>5</v>
      </c>
      <c r="E143" t="s">
        <v>614</v>
      </c>
      <c r="F143" t="s">
        <v>627</v>
      </c>
    </row>
    <row r="144" spans="4:6">
      <c r="D144" s="44">
        <f t="shared" si="0"/>
        <v>6</v>
      </c>
      <c r="E144" t="s">
        <v>615</v>
      </c>
      <c r="F144" t="s">
        <v>628</v>
      </c>
    </row>
    <row r="145" spans="4:6">
      <c r="D145" s="44">
        <f t="shared" si="0"/>
        <v>7</v>
      </c>
      <c r="E145" t="s">
        <v>616</v>
      </c>
      <c r="F145" t="s">
        <v>629</v>
      </c>
    </row>
    <row r="146" spans="4:6">
      <c r="D146" s="44">
        <f t="shared" si="0"/>
        <v>8</v>
      </c>
      <c r="E146" t="s">
        <v>617</v>
      </c>
      <c r="F146" t="s">
        <v>630</v>
      </c>
    </row>
    <row r="147" spans="4:6">
      <c r="D147" s="44">
        <f t="shared" si="0"/>
        <v>9</v>
      </c>
      <c r="E147" t="s">
        <v>618</v>
      </c>
      <c r="F147" t="s">
        <v>630</v>
      </c>
    </row>
    <row r="148" spans="4:6">
      <c r="D148" s="44">
        <f t="shared" si="0"/>
        <v>10</v>
      </c>
      <c r="E148" t="s">
        <v>619</v>
      </c>
      <c r="F148" t="s">
        <v>631</v>
      </c>
    </row>
    <row r="149" spans="4:6">
      <c r="D149" s="44">
        <f>D148+1</f>
        <v>11</v>
      </c>
      <c r="E149" t="s">
        <v>620</v>
      </c>
      <c r="F149" t="s">
        <v>632</v>
      </c>
    </row>
    <row r="150" spans="4:6">
      <c r="D150" s="44">
        <f t="shared" si="0"/>
        <v>12</v>
      </c>
      <c r="E150" t="s">
        <v>621</v>
      </c>
      <c r="F150" t="s">
        <v>633</v>
      </c>
    </row>
    <row r="153" spans="4:6">
      <c r="E153" t="s">
        <v>623</v>
      </c>
    </row>
    <row r="154" spans="4:6">
      <c r="E154">
        <v>5.0999999999999996</v>
      </c>
    </row>
    <row r="155" spans="4:6" ht="45">
      <c r="E155" s="265" t="s">
        <v>634</v>
      </c>
    </row>
    <row r="156" spans="4:6">
      <c r="E156" s="265"/>
    </row>
    <row r="159" spans="4:6">
      <c r="E159" t="s">
        <v>635</v>
      </c>
    </row>
    <row r="160" spans="4:6">
      <c r="E160" t="s">
        <v>636</v>
      </c>
    </row>
    <row r="161" spans="4:6">
      <c r="E161" t="s">
        <v>637</v>
      </c>
    </row>
    <row r="163" spans="4:6">
      <c r="D163" s="307" t="s">
        <v>666</v>
      </c>
      <c r="E163" s="307"/>
      <c r="F163" s="307"/>
    </row>
    <row r="164" spans="4:6">
      <c r="D164" s="271" t="s">
        <v>608</v>
      </c>
      <c r="E164" s="271" t="s">
        <v>609</v>
      </c>
      <c r="F164" s="271" t="s">
        <v>652</v>
      </c>
    </row>
    <row r="165" spans="4:6">
      <c r="D165" s="44">
        <v>1</v>
      </c>
      <c r="E165" s="273" t="s">
        <v>638</v>
      </c>
      <c r="F165" s="273" t="s">
        <v>653</v>
      </c>
    </row>
    <row r="166" spans="4:6">
      <c r="D166" s="44">
        <f>D165+1</f>
        <v>2</v>
      </c>
      <c r="E166" s="273" t="s">
        <v>639</v>
      </c>
      <c r="F166" s="273" t="s">
        <v>654</v>
      </c>
    </row>
    <row r="167" spans="4:6">
      <c r="D167" s="44">
        <f t="shared" ref="D167:D178" si="1">D166+1</f>
        <v>3</v>
      </c>
      <c r="E167" s="273" t="s">
        <v>640</v>
      </c>
      <c r="F167" s="273" t="s">
        <v>655</v>
      </c>
    </row>
    <row r="168" spans="4:6">
      <c r="D168" s="44">
        <f t="shared" si="1"/>
        <v>4</v>
      </c>
      <c r="E168" s="273" t="s">
        <v>641</v>
      </c>
      <c r="F168" s="273" t="s">
        <v>656</v>
      </c>
    </row>
    <row r="169" spans="4:6">
      <c r="D169" s="44">
        <f t="shared" si="1"/>
        <v>5</v>
      </c>
      <c r="E169" s="273" t="s">
        <v>642</v>
      </c>
      <c r="F169" s="273" t="s">
        <v>657</v>
      </c>
    </row>
    <row r="170" spans="4:6">
      <c r="D170" s="44">
        <f t="shared" si="1"/>
        <v>6</v>
      </c>
      <c r="E170" s="273" t="s">
        <v>643</v>
      </c>
      <c r="F170" s="273" t="s">
        <v>658</v>
      </c>
    </row>
    <row r="171" spans="4:6">
      <c r="D171" s="44">
        <f t="shared" si="1"/>
        <v>7</v>
      </c>
      <c r="E171" s="273" t="s">
        <v>644</v>
      </c>
      <c r="F171" s="273" t="s">
        <v>659</v>
      </c>
    </row>
    <row r="172" spans="4:6">
      <c r="D172" s="44">
        <f t="shared" si="1"/>
        <v>8</v>
      </c>
      <c r="E172" s="273" t="s">
        <v>645</v>
      </c>
      <c r="F172" s="273" t="s">
        <v>660</v>
      </c>
    </row>
    <row r="173" spans="4:6">
      <c r="D173" s="44">
        <f t="shared" si="1"/>
        <v>9</v>
      </c>
      <c r="E173" s="273" t="s">
        <v>646</v>
      </c>
      <c r="F173" s="273" t="s">
        <v>661</v>
      </c>
    </row>
    <row r="174" spans="4:6">
      <c r="D174" s="44">
        <f t="shared" si="1"/>
        <v>10</v>
      </c>
      <c r="E174" s="273" t="s">
        <v>647</v>
      </c>
      <c r="F174" s="273" t="s">
        <v>662</v>
      </c>
    </row>
    <row r="175" spans="4:6">
      <c r="D175" s="44">
        <f>D174+1</f>
        <v>11</v>
      </c>
      <c r="E175" s="273" t="s">
        <v>648</v>
      </c>
      <c r="F175" s="273" t="s">
        <v>662</v>
      </c>
    </row>
    <row r="176" spans="4:6" ht="120">
      <c r="D176" s="44">
        <f t="shared" si="1"/>
        <v>12</v>
      </c>
      <c r="E176" s="273" t="s">
        <v>649</v>
      </c>
      <c r="F176" s="266" t="s">
        <v>663</v>
      </c>
    </row>
    <row r="177" spans="4:7">
      <c r="D177" s="44">
        <f t="shared" si="1"/>
        <v>13</v>
      </c>
      <c r="E177" s="273" t="s">
        <v>650</v>
      </c>
      <c r="F177" s="273" t="s">
        <v>664</v>
      </c>
    </row>
    <row r="178" spans="4:7">
      <c r="D178" s="44">
        <f t="shared" si="1"/>
        <v>14</v>
      </c>
      <c r="E178" s="273" t="s">
        <v>651</v>
      </c>
      <c r="F178" s="273" t="s">
        <v>665</v>
      </c>
    </row>
    <row r="181" spans="4:7">
      <c r="E181" s="273" t="s">
        <v>667</v>
      </c>
      <c r="G181" t="s">
        <v>673</v>
      </c>
    </row>
    <row r="182" spans="4:7">
      <c r="E182" s="273" t="s">
        <v>668</v>
      </c>
    </row>
    <row r="184" spans="4:7">
      <c r="E184" t="s">
        <v>669</v>
      </c>
    </row>
    <row r="186" spans="4:7">
      <c r="E186" t="s">
        <v>670</v>
      </c>
    </row>
    <row r="187" spans="4:7">
      <c r="E187" t="s">
        <v>671</v>
      </c>
    </row>
    <row r="188" spans="4:7">
      <c r="E188" t="s">
        <v>672</v>
      </c>
    </row>
    <row r="191" spans="4:7">
      <c r="E191" t="s">
        <v>674</v>
      </c>
    </row>
    <row r="192" spans="4:7">
      <c r="D192" s="271" t="s">
        <v>608</v>
      </c>
      <c r="E192" s="271" t="s">
        <v>675</v>
      </c>
      <c r="F192" s="271" t="s">
        <v>689</v>
      </c>
    </row>
    <row r="193" spans="4:8">
      <c r="D193" s="44">
        <v>1</v>
      </c>
      <c r="E193" t="s">
        <v>676</v>
      </c>
      <c r="F193" s="273" t="s">
        <v>690</v>
      </c>
    </row>
    <row r="194" spans="4:8">
      <c r="D194" s="44">
        <f>D193+1</f>
        <v>2</v>
      </c>
      <c r="E194" t="s">
        <v>677</v>
      </c>
      <c r="F194" s="273" t="s">
        <v>691</v>
      </c>
    </row>
    <row r="195" spans="4:8">
      <c r="D195" s="44">
        <f t="shared" ref="D195:D205" si="2">D194+1</f>
        <v>3</v>
      </c>
      <c r="E195" t="s">
        <v>678</v>
      </c>
      <c r="F195" s="273">
        <v>5</v>
      </c>
    </row>
    <row r="196" spans="4:8">
      <c r="D196" s="44">
        <f t="shared" si="2"/>
        <v>4</v>
      </c>
      <c r="E196" t="s">
        <v>679</v>
      </c>
      <c r="F196" s="273">
        <v>5</v>
      </c>
    </row>
    <row r="197" spans="4:8">
      <c r="D197" s="44">
        <f t="shared" si="2"/>
        <v>5</v>
      </c>
      <c r="E197" t="s">
        <v>680</v>
      </c>
      <c r="F197" s="273" t="s">
        <v>692</v>
      </c>
    </row>
    <row r="198" spans="4:8">
      <c r="D198" s="44">
        <f t="shared" si="2"/>
        <v>6</v>
      </c>
      <c r="E198" t="s">
        <v>681</v>
      </c>
      <c r="F198" s="273" t="s">
        <v>693</v>
      </c>
      <c r="H198" t="s">
        <v>705</v>
      </c>
    </row>
    <row r="199" spans="4:8">
      <c r="D199" s="44">
        <f t="shared" si="2"/>
        <v>7</v>
      </c>
      <c r="E199" t="s">
        <v>682</v>
      </c>
      <c r="F199" s="273" t="s">
        <v>694</v>
      </c>
      <c r="H199" t="s">
        <v>706</v>
      </c>
    </row>
    <row r="200" spans="4:8">
      <c r="D200" s="44">
        <f t="shared" si="2"/>
        <v>8</v>
      </c>
      <c r="E200" t="s">
        <v>683</v>
      </c>
      <c r="F200" s="273" t="s">
        <v>695</v>
      </c>
    </row>
    <row r="201" spans="4:8">
      <c r="D201" s="44">
        <f t="shared" si="2"/>
        <v>9</v>
      </c>
      <c r="E201" t="s">
        <v>684</v>
      </c>
      <c r="F201" s="273" t="s">
        <v>696</v>
      </c>
    </row>
    <row r="202" spans="4:8">
      <c r="D202" s="44">
        <f t="shared" si="2"/>
        <v>10</v>
      </c>
      <c r="E202" t="s">
        <v>685</v>
      </c>
      <c r="F202" s="273" t="s">
        <v>697</v>
      </c>
    </row>
    <row r="203" spans="4:8">
      <c r="D203" s="44">
        <f t="shared" si="2"/>
        <v>11</v>
      </c>
      <c r="E203" t="s">
        <v>686</v>
      </c>
      <c r="F203" s="273" t="s">
        <v>698</v>
      </c>
      <c r="G203" t="s">
        <v>705</v>
      </c>
    </row>
    <row r="204" spans="4:8">
      <c r="D204" s="44">
        <f t="shared" si="2"/>
        <v>12</v>
      </c>
      <c r="E204" t="s">
        <v>687</v>
      </c>
      <c r="F204" s="273">
        <v>750</v>
      </c>
    </row>
    <row r="205" spans="4:8">
      <c r="D205" s="44">
        <f t="shared" si="2"/>
        <v>13</v>
      </c>
      <c r="E205" t="s">
        <v>688</v>
      </c>
      <c r="F205" s="273" t="s">
        <v>699</v>
      </c>
    </row>
    <row r="206" spans="4:8">
      <c r="G206" s="261" t="s">
        <v>707</v>
      </c>
    </row>
    <row r="207" spans="4:8">
      <c r="E207" t="s">
        <v>700</v>
      </c>
      <c r="F207" s="273" t="s">
        <v>704</v>
      </c>
    </row>
    <row r="208" spans="4:8">
      <c r="E208" t="s">
        <v>703</v>
      </c>
    </row>
    <row r="209" spans="4:7">
      <c r="E209" t="s">
        <v>701</v>
      </c>
    </row>
    <row r="210" spans="4:7">
      <c r="E210" t="s">
        <v>702</v>
      </c>
    </row>
    <row r="211" spans="4:7">
      <c r="D211" t="s">
        <v>767</v>
      </c>
    </row>
    <row r="213" spans="4:7">
      <c r="E213" t="s">
        <v>708</v>
      </c>
    </row>
    <row r="214" spans="4:7">
      <c r="E214" t="s">
        <v>709</v>
      </c>
    </row>
    <row r="216" spans="4:7">
      <c r="E216" t="s">
        <v>674</v>
      </c>
    </row>
    <row r="217" spans="4:7">
      <c r="E217" s="272" t="s">
        <v>710</v>
      </c>
      <c r="F217" s="272" t="s">
        <v>717</v>
      </c>
      <c r="G217" s="272" t="s">
        <v>724</v>
      </c>
    </row>
    <row r="218" spans="4:7">
      <c r="E218" t="s">
        <v>711</v>
      </c>
      <c r="F218" t="s">
        <v>718</v>
      </c>
      <c r="G218" t="s">
        <v>725</v>
      </c>
    </row>
    <row r="219" spans="4:7">
      <c r="E219" t="s">
        <v>712</v>
      </c>
      <c r="F219" t="s">
        <v>719</v>
      </c>
      <c r="G219" t="s">
        <v>726</v>
      </c>
    </row>
    <row r="220" spans="4:7">
      <c r="E220" t="s">
        <v>713</v>
      </c>
      <c r="F220" t="s">
        <v>720</v>
      </c>
      <c r="G220" t="s">
        <v>727</v>
      </c>
    </row>
    <row r="221" spans="4:7">
      <c r="E221" t="s">
        <v>714</v>
      </c>
      <c r="F221" t="s">
        <v>721</v>
      </c>
      <c r="G221" t="s">
        <v>728</v>
      </c>
    </row>
    <row r="222" spans="4:7">
      <c r="E222" t="s">
        <v>715</v>
      </c>
      <c r="F222" t="s">
        <v>722</v>
      </c>
      <c r="G222" t="s">
        <v>729</v>
      </c>
    </row>
    <row r="223" spans="4:7">
      <c r="E223" t="s">
        <v>716</v>
      </c>
      <c r="F223" t="s">
        <v>723</v>
      </c>
      <c r="G223" t="s">
        <v>723</v>
      </c>
    </row>
    <row r="225" spans="3:5">
      <c r="E225" t="s">
        <v>730</v>
      </c>
    </row>
    <row r="226" spans="3:5">
      <c r="E226" t="s">
        <v>731</v>
      </c>
    </row>
    <row r="229" spans="3:5">
      <c r="E229" s="261" t="s">
        <v>732</v>
      </c>
    </row>
    <row r="231" spans="3:5">
      <c r="C231" s="261" t="s">
        <v>733</v>
      </c>
    </row>
    <row r="232" spans="3:5">
      <c r="C232" s="265"/>
    </row>
    <row r="233" spans="3:5">
      <c r="C233" s="261" t="s">
        <v>734</v>
      </c>
    </row>
    <row r="234" spans="3:5">
      <c r="C234" t="s">
        <v>735</v>
      </c>
    </row>
    <row r="235" spans="3:5">
      <c r="C235" t="s">
        <v>736</v>
      </c>
    </row>
    <row r="237" spans="3:5">
      <c r="C237" t="s">
        <v>737</v>
      </c>
    </row>
    <row r="238" spans="3:5">
      <c r="C238" t="s">
        <v>738</v>
      </c>
    </row>
    <row r="239" spans="3:5">
      <c r="C239" s="261" t="s">
        <v>739</v>
      </c>
    </row>
    <row r="240" spans="3:5">
      <c r="C240" s="265"/>
    </row>
    <row r="243" spans="3:5">
      <c r="C243" s="261" t="s">
        <v>740</v>
      </c>
    </row>
    <row r="244" spans="3:5">
      <c r="C244" s="265"/>
    </row>
    <row r="246" spans="3:5">
      <c r="C246" s="261" t="s">
        <v>741</v>
      </c>
    </row>
    <row r="247" spans="3:5">
      <c r="C247" s="261" t="s">
        <v>742</v>
      </c>
    </row>
    <row r="251" spans="3:5">
      <c r="C251" t="s">
        <v>743</v>
      </c>
    </row>
    <row r="254" spans="3:5" ht="15.75" customHeight="1">
      <c r="C254" t="s">
        <v>744</v>
      </c>
    </row>
    <row r="255" spans="3:5">
      <c r="C255" s="44" t="s">
        <v>745</v>
      </c>
      <c r="D255" t="s">
        <v>746</v>
      </c>
      <c r="E255" s="44" t="s">
        <v>747</v>
      </c>
    </row>
    <row r="256" spans="3:5">
      <c r="C256" s="44">
        <v>1</v>
      </c>
      <c r="D256" t="s">
        <v>748</v>
      </c>
      <c r="E256" s="44">
        <v>0.9</v>
      </c>
    </row>
    <row r="257" spans="3:6">
      <c r="C257" s="44">
        <v>2</v>
      </c>
      <c r="D257" t="s">
        <v>749</v>
      </c>
      <c r="E257" s="44">
        <v>0.04</v>
      </c>
    </row>
    <row r="258" spans="3:6" ht="30">
      <c r="C258" s="44">
        <v>3</v>
      </c>
      <c r="D258" s="265" t="s">
        <v>755</v>
      </c>
      <c r="E258" s="44">
        <v>0.1</v>
      </c>
    </row>
    <row r="259" spans="3:6">
      <c r="C259" s="44">
        <v>4</v>
      </c>
      <c r="D259" t="s">
        <v>750</v>
      </c>
      <c r="E259" s="44">
        <v>5.0000000000000001E-3</v>
      </c>
    </row>
    <row r="260" spans="3:6">
      <c r="C260" s="44">
        <v>5</v>
      </c>
      <c r="D260" t="s">
        <v>751</v>
      </c>
      <c r="E260" s="44" t="s">
        <v>752</v>
      </c>
    </row>
    <row r="261" spans="3:6">
      <c r="C261" s="44">
        <v>6</v>
      </c>
      <c r="D261" t="s">
        <v>753</v>
      </c>
      <c r="E261" s="44" t="s">
        <v>754</v>
      </c>
    </row>
    <row r="263" spans="3:6">
      <c r="E263">
        <v>5000</v>
      </c>
      <c r="F263">
        <v>12500</v>
      </c>
    </row>
    <row r="264" spans="3:6">
      <c r="E264">
        <v>1</v>
      </c>
      <c r="F264">
        <f>F263/E263</f>
        <v>2.5</v>
      </c>
    </row>
    <row r="265" spans="3:6" ht="45">
      <c r="D265" s="275" t="s">
        <v>756</v>
      </c>
      <c r="E265">
        <v>6000</v>
      </c>
      <c r="F265">
        <f>E265*F264</f>
        <v>15000</v>
      </c>
    </row>
    <row r="267" spans="3:6">
      <c r="D267" s="262" t="s">
        <v>757</v>
      </c>
    </row>
    <row r="269" spans="3:6">
      <c r="D269" s="261" t="s">
        <v>766</v>
      </c>
    </row>
    <row r="270" spans="3:6">
      <c r="D270" t="s">
        <v>763</v>
      </c>
    </row>
    <row r="272" spans="3:6">
      <c r="D272" s="261" t="s">
        <v>761</v>
      </c>
    </row>
    <row r="273" spans="4:4">
      <c r="D273" s="262" t="s">
        <v>760</v>
      </c>
    </row>
    <row r="274" spans="4:4">
      <c r="D274" t="s">
        <v>759</v>
      </c>
    </row>
    <row r="276" spans="4:4">
      <c r="D276" t="s">
        <v>764</v>
      </c>
    </row>
    <row r="278" spans="4:4">
      <c r="D278" t="s">
        <v>765</v>
      </c>
    </row>
    <row r="279" spans="4:4">
      <c r="D279" s="261" t="s">
        <v>762</v>
      </c>
    </row>
    <row r="284" spans="4:4" ht="45">
      <c r="D284" s="265" t="s">
        <v>775</v>
      </c>
    </row>
    <row r="285" spans="4:4">
      <c r="D285" t="s">
        <v>774</v>
      </c>
    </row>
    <row r="286" spans="4:4">
      <c r="D286" t="s">
        <v>773</v>
      </c>
    </row>
    <row r="287" spans="4:4">
      <c r="D287" t="s">
        <v>772</v>
      </c>
    </row>
    <row r="288" spans="4:4">
      <c r="D288" t="s">
        <v>771</v>
      </c>
    </row>
    <row r="291" spans="4:4">
      <c r="D291" t="s">
        <v>802</v>
      </c>
    </row>
    <row r="294" spans="4:4" ht="150">
      <c r="D294" s="265" t="s">
        <v>776</v>
      </c>
    </row>
    <row r="295" spans="4:4">
      <c r="D295" s="265"/>
    </row>
    <row r="296" spans="4:4">
      <c r="D296" t="s">
        <v>777</v>
      </c>
    </row>
    <row r="297" spans="4:4">
      <c r="D297" t="s">
        <v>778</v>
      </c>
    </row>
    <row r="298" spans="4:4">
      <c r="D298" t="s">
        <v>779</v>
      </c>
    </row>
    <row r="299" spans="4:4">
      <c r="D299" t="s">
        <v>780</v>
      </c>
    </row>
    <row r="303" spans="4:4">
      <c r="D303" t="s">
        <v>781</v>
      </c>
    </row>
    <row r="306" spans="4:4">
      <c r="D306" t="s">
        <v>782</v>
      </c>
    </row>
    <row r="307" spans="4:4" ht="90">
      <c r="D307" s="265" t="s">
        <v>783</v>
      </c>
    </row>
    <row r="308" spans="4:4">
      <c r="D308" t="s">
        <v>784</v>
      </c>
    </row>
    <row r="309" spans="4:4">
      <c r="D309" t="s">
        <v>785</v>
      </c>
    </row>
    <row r="310" spans="4:4">
      <c r="D310" t="s">
        <v>786</v>
      </c>
    </row>
    <row r="316" spans="4:4">
      <c r="D316" t="s">
        <v>787</v>
      </c>
    </row>
    <row r="322" spans="4:5" ht="90">
      <c r="D322" s="265" t="s">
        <v>797</v>
      </c>
    </row>
    <row r="325" spans="4:5">
      <c r="D325" t="s">
        <v>798</v>
      </c>
    </row>
    <row r="328" spans="4:5">
      <c r="D328" s="261" t="s">
        <v>799</v>
      </c>
      <c r="E328" t="s">
        <v>800</v>
      </c>
    </row>
    <row r="332" spans="4:5">
      <c r="D332" t="s">
        <v>784</v>
      </c>
    </row>
    <row r="338" spans="4:4">
      <c r="D338" t="s">
        <v>801</v>
      </c>
    </row>
  </sheetData>
  <mergeCells count="2">
    <mergeCell ref="C100:I100"/>
    <mergeCell ref="D163:F163"/>
  </mergeCells>
  <hyperlinks>
    <hyperlink ref="H32" r:id="rId1"/>
    <hyperlink ref="C31" r:id="rId2"/>
    <hyperlink ref="H24" r:id="rId3"/>
    <hyperlink ref="N31" r:id="rId4"/>
    <hyperlink ref="D265" r:id="rId5"/>
    <hyperlink ref="D267" r:id="rId6"/>
    <hyperlink ref="D273" r:id="rId7"/>
    <hyperlink ref="G13" r:id="rId8"/>
  </hyperlinks>
  <pageMargins left="0.7" right="0.7" top="0.75" bottom="0.75" header="0.3" footer="0.3"/>
  <pageSetup orientation="portrait" r:id="rId9"/>
  <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14"/>
  <sheetViews>
    <sheetView showGridLines="0" workbookViewId="0"/>
  </sheetViews>
  <sheetFormatPr defaultColWidth="13.7109375" defaultRowHeight="18" customHeight="1"/>
  <cols>
    <col min="1" max="1" width="4.5703125" style="2" customWidth="1"/>
    <col min="2" max="2" width="45.5703125" style="2" customWidth="1"/>
    <col min="3" max="3" width="11" style="2" customWidth="1"/>
    <col min="4" max="4" width="27.5703125" style="2" customWidth="1"/>
    <col min="5" max="5" width="31.28515625" style="2" customWidth="1"/>
    <col min="6" max="16384" width="13.7109375" style="2"/>
  </cols>
  <sheetData>
    <row r="1" spans="2:6" ht="14.25" customHeight="1"/>
    <row r="2" spans="2:6" ht="19.5" customHeight="1">
      <c r="B2" s="24" t="str">
        <f>"Financial Model of " &amp; B4</f>
        <v>Financial Model of Proposed 6000 KGPD CBG plant set up M/s. SRSBIOX RENEWABLE LLP.</v>
      </c>
      <c r="C2" s="25"/>
      <c r="D2" s="26"/>
      <c r="E2" s="26"/>
    </row>
    <row r="3" spans="2:6" ht="13.5" customHeight="1">
      <c r="B3" s="3"/>
      <c r="C3" s="3"/>
      <c r="D3" s="3"/>
      <c r="E3" s="3"/>
    </row>
    <row r="4" spans="2:6" ht="18" customHeight="1">
      <c r="B4" s="4" t="s">
        <v>386</v>
      </c>
      <c r="C4" s="4"/>
      <c r="D4" s="4"/>
      <c r="E4" s="5"/>
    </row>
    <row r="5" spans="2:6" ht="15.75" customHeight="1">
      <c r="B5" s="3"/>
      <c r="C5" s="3"/>
      <c r="D5" s="3"/>
      <c r="E5" s="3"/>
    </row>
    <row r="6" spans="2:6" ht="18" customHeight="1">
      <c r="B6" s="4" t="s">
        <v>0</v>
      </c>
      <c r="C6" s="4"/>
      <c r="D6" s="4"/>
      <c r="E6" s="5"/>
    </row>
    <row r="7" spans="2:6" ht="15.75" customHeight="1">
      <c r="B7" s="3"/>
      <c r="C7" s="3"/>
      <c r="D7" s="3"/>
      <c r="E7" s="3"/>
    </row>
    <row r="8" spans="2:6" ht="18" customHeight="1">
      <c r="B8" s="6" t="s">
        <v>1</v>
      </c>
      <c r="C8" s="6"/>
      <c r="D8" s="6"/>
      <c r="E8" s="6"/>
    </row>
    <row r="9" spans="2:6" ht="18" customHeight="1">
      <c r="B9" s="7" t="s">
        <v>2</v>
      </c>
      <c r="C9" s="7"/>
      <c r="D9" s="7"/>
      <c r="E9" s="8" t="s">
        <v>3</v>
      </c>
    </row>
    <row r="10" spans="2:6" ht="18" customHeight="1">
      <c r="B10" s="3" t="s">
        <v>4</v>
      </c>
      <c r="C10" s="3"/>
      <c r="D10" s="3" t="s">
        <v>5</v>
      </c>
      <c r="E10" s="9">
        <v>45509</v>
      </c>
    </row>
    <row r="11" spans="2:6" ht="18" customHeight="1">
      <c r="B11" s="3" t="s">
        <v>6</v>
      </c>
      <c r="C11" s="3"/>
      <c r="D11" s="3" t="s">
        <v>7</v>
      </c>
      <c r="E11" s="9">
        <f>DATE(YEAR(E10),MONTH(E10)+1,1)</f>
        <v>45536</v>
      </c>
      <c r="F11" s="30"/>
    </row>
    <row r="12" spans="2:6" ht="18" customHeight="1">
      <c r="B12" s="3" t="s">
        <v>8</v>
      </c>
      <c r="C12" s="3"/>
      <c r="D12" s="3" t="s">
        <v>9</v>
      </c>
      <c r="E12" s="10">
        <v>7</v>
      </c>
    </row>
    <row r="13" spans="2:6" ht="18" customHeight="1">
      <c r="B13" s="3" t="s">
        <v>10</v>
      </c>
      <c r="C13" s="3"/>
      <c r="D13" s="3" t="s">
        <v>11</v>
      </c>
      <c r="E13" s="9">
        <f>EOMONTH(E11,E12-1)</f>
        <v>45747</v>
      </c>
    </row>
    <row r="14" spans="2:6" ht="18" customHeight="1">
      <c r="B14" s="3" t="s">
        <v>12</v>
      </c>
      <c r="C14" s="3"/>
      <c r="D14" s="3" t="s">
        <v>13</v>
      </c>
      <c r="E14" s="9">
        <f>E13+1</f>
        <v>45748</v>
      </c>
    </row>
    <row r="15" spans="2:6" ht="18" customHeight="1">
      <c r="B15" s="3" t="s">
        <v>14</v>
      </c>
      <c r="C15" s="3"/>
      <c r="D15" s="3" t="s">
        <v>15</v>
      </c>
      <c r="E15" s="11">
        <v>8</v>
      </c>
    </row>
    <row r="16" spans="2:6" ht="18" customHeight="1">
      <c r="B16" s="3" t="s">
        <v>16</v>
      </c>
      <c r="C16" s="3"/>
      <c r="D16" s="3" t="s">
        <v>17</v>
      </c>
      <c r="E16" s="9">
        <f>EOMONTH(E13,E15*12)</f>
        <v>48669</v>
      </c>
    </row>
    <row r="17" spans="2:5" ht="18" customHeight="1">
      <c r="B17" s="12"/>
      <c r="C17" s="12"/>
      <c r="D17" s="12"/>
      <c r="E17" s="12"/>
    </row>
    <row r="18" spans="2:5" ht="18" customHeight="1">
      <c r="B18" s="6" t="s">
        <v>18</v>
      </c>
      <c r="C18" s="6"/>
      <c r="D18" s="6"/>
      <c r="E18" s="6"/>
    </row>
    <row r="19" spans="2:5" ht="18" customHeight="1">
      <c r="B19" s="7" t="s">
        <v>2</v>
      </c>
      <c r="C19" s="7"/>
      <c r="D19" s="8" t="s">
        <v>19</v>
      </c>
      <c r="E19" s="8" t="s">
        <v>20</v>
      </c>
    </row>
    <row r="20" spans="2:5" ht="18" customHeight="1">
      <c r="B20" s="13" t="s">
        <v>21</v>
      </c>
      <c r="C20" s="3"/>
      <c r="D20" s="14">
        <v>24</v>
      </c>
      <c r="E20" s="14" t="s">
        <v>22</v>
      </c>
    </row>
    <row r="21" spans="2:5" ht="18" customHeight="1">
      <c r="B21" s="13" t="s">
        <v>23</v>
      </c>
      <c r="C21" s="3"/>
      <c r="D21" s="14">
        <v>365</v>
      </c>
      <c r="E21" s="14" t="s">
        <v>145</v>
      </c>
    </row>
    <row r="22" spans="2:5" ht="18" customHeight="1">
      <c r="B22" s="13" t="s">
        <v>24</v>
      </c>
      <c r="C22" s="3"/>
      <c r="D22" s="14">
        <v>335</v>
      </c>
      <c r="E22" s="14" t="s">
        <v>145</v>
      </c>
    </row>
    <row r="23" spans="2:5" ht="18" customHeight="1">
      <c r="B23" s="3"/>
      <c r="C23" s="3"/>
      <c r="D23" s="16"/>
      <c r="E23" s="16"/>
    </row>
    <row r="24" spans="2:5" ht="18" customHeight="1">
      <c r="B24" s="7" t="s">
        <v>25</v>
      </c>
      <c r="C24" s="7"/>
      <c r="D24" s="7"/>
      <c r="E24" s="7"/>
    </row>
    <row r="25" spans="2:5" ht="18" customHeight="1">
      <c r="B25" s="3" t="s">
        <v>63</v>
      </c>
      <c r="C25" s="3"/>
      <c r="D25" s="58">
        <f>'Input &amp; Output Calc.'!E17</f>
        <v>6193.152</v>
      </c>
      <c r="E25" s="14" t="s">
        <v>62</v>
      </c>
    </row>
    <row r="26" spans="2:5" ht="18" customHeight="1">
      <c r="B26" s="3" t="s">
        <v>64</v>
      </c>
      <c r="C26" s="15">
        <v>1</v>
      </c>
      <c r="D26" s="58">
        <f>D25*C26</f>
        <v>6193.152</v>
      </c>
      <c r="E26" s="14" t="s">
        <v>62</v>
      </c>
    </row>
    <row r="27" spans="2:5" ht="18" customHeight="1">
      <c r="B27" s="3" t="s">
        <v>58</v>
      </c>
      <c r="C27" s="3"/>
      <c r="D27" s="22">
        <f>'Input &amp; Output Calc.'!E18</f>
        <v>3.1199999999999999E-2</v>
      </c>
      <c r="E27" s="15" t="s">
        <v>65</v>
      </c>
    </row>
    <row r="28" spans="2:5" ht="18" customHeight="1">
      <c r="B28" s="3" t="s">
        <v>389</v>
      </c>
      <c r="C28" s="3"/>
      <c r="D28" s="58">
        <f>D26-D26*D27</f>
        <v>5999.9256575999998</v>
      </c>
      <c r="E28" s="14" t="s">
        <v>62</v>
      </c>
    </row>
    <row r="29" spans="2:5" ht="18" customHeight="1">
      <c r="B29" s="3"/>
      <c r="C29" s="3"/>
      <c r="D29" s="16"/>
      <c r="E29" s="16"/>
    </row>
    <row r="30" spans="2:5" ht="18" customHeight="1">
      <c r="B30" s="7" t="s">
        <v>26</v>
      </c>
      <c r="C30" s="7"/>
      <c r="D30" s="7"/>
      <c r="E30" s="7"/>
    </row>
    <row r="31" spans="2:5" ht="18" customHeight="1">
      <c r="B31" s="3" t="s">
        <v>73</v>
      </c>
      <c r="C31" s="3"/>
      <c r="D31" s="58">
        <v>23000</v>
      </c>
      <c r="E31" s="17" t="s">
        <v>62</v>
      </c>
    </row>
    <row r="33" spans="2:7" ht="18" customHeight="1">
      <c r="B33" s="7" t="s">
        <v>27</v>
      </c>
      <c r="C33" s="7"/>
      <c r="D33" s="7"/>
      <c r="E33" s="7"/>
    </row>
    <row r="34" spans="2:7" ht="30">
      <c r="B34" s="19" t="s">
        <v>758</v>
      </c>
      <c r="C34" s="3"/>
      <c r="D34" s="18">
        <v>62.86</v>
      </c>
      <c r="E34" s="18" t="s">
        <v>70</v>
      </c>
    </row>
    <row r="35" spans="2:7" ht="18" customHeight="1">
      <c r="B35" s="3" t="s">
        <v>73</v>
      </c>
      <c r="C35" s="3"/>
      <c r="D35" s="18">
        <v>5.5</v>
      </c>
      <c r="E35" s="18" t="s">
        <v>70</v>
      </c>
    </row>
    <row r="36" spans="2:7" ht="18" customHeight="1">
      <c r="B36" s="3" t="s">
        <v>28</v>
      </c>
      <c r="C36" s="3"/>
      <c r="D36" s="20">
        <v>0.05</v>
      </c>
      <c r="E36" s="18" t="s">
        <v>146</v>
      </c>
    </row>
    <row r="37" spans="2:7" ht="18" customHeight="1">
      <c r="B37" s="3"/>
      <c r="C37" s="3"/>
      <c r="D37" s="3"/>
      <c r="E37" s="3"/>
    </row>
    <row r="38" spans="2:7" ht="18" customHeight="1">
      <c r="B38" s="7" t="s">
        <v>82</v>
      </c>
      <c r="C38" s="7"/>
      <c r="D38" s="7"/>
      <c r="E38" s="7"/>
    </row>
    <row r="39" spans="2:7" ht="18" customHeight="1">
      <c r="B39" s="233" t="s">
        <v>399</v>
      </c>
      <c r="C39" s="233"/>
      <c r="D39" s="234">
        <v>10000</v>
      </c>
      <c r="E39" s="235" t="s">
        <v>80</v>
      </c>
    </row>
    <row r="40" spans="2:7" ht="18" customHeight="1">
      <c r="B40" s="233" t="s">
        <v>81</v>
      </c>
      <c r="C40" s="233"/>
      <c r="D40" s="234">
        <v>120000</v>
      </c>
      <c r="E40" s="235" t="s">
        <v>80</v>
      </c>
    </row>
    <row r="41" spans="2:7" ht="18" customHeight="1">
      <c r="B41" s="233" t="s">
        <v>438</v>
      </c>
      <c r="C41" s="233"/>
      <c r="D41" s="234">
        <v>500</v>
      </c>
      <c r="E41" s="235" t="s">
        <v>80</v>
      </c>
    </row>
    <row r="42" spans="2:7" ht="18" customHeight="1">
      <c r="B42" s="236" t="s">
        <v>400</v>
      </c>
      <c r="C42" s="236"/>
      <c r="D42" s="237">
        <v>1</v>
      </c>
      <c r="E42" s="237" t="s">
        <v>70</v>
      </c>
    </row>
    <row r="43" spans="2:7" ht="18" customHeight="1">
      <c r="B43" s="236" t="s">
        <v>439</v>
      </c>
      <c r="C43" s="236"/>
      <c r="D43" s="237">
        <v>1.2</v>
      </c>
      <c r="E43" s="237" t="s">
        <v>70</v>
      </c>
      <c r="G43" s="2">
        <f>D43*1000</f>
        <v>1200</v>
      </c>
    </row>
    <row r="44" spans="2:7" ht="18" customHeight="1">
      <c r="B44" s="236" t="s">
        <v>437</v>
      </c>
      <c r="C44" s="236"/>
      <c r="D44" s="237">
        <v>25</v>
      </c>
      <c r="E44" s="237" t="s">
        <v>70</v>
      </c>
      <c r="G44" s="2">
        <f>D44*1000</f>
        <v>25000</v>
      </c>
    </row>
    <row r="45" spans="2:7" ht="18" customHeight="1">
      <c r="B45" s="3" t="s">
        <v>29</v>
      </c>
      <c r="C45" s="3"/>
      <c r="D45" s="20">
        <v>0.05</v>
      </c>
      <c r="E45" s="18" t="s">
        <v>146</v>
      </c>
    </row>
    <row r="46" spans="2:7" ht="18" customHeight="1">
      <c r="B46" s="3"/>
      <c r="C46" s="3"/>
      <c r="D46" s="3"/>
      <c r="E46" s="3"/>
    </row>
    <row r="47" spans="2:7" ht="18" customHeight="1">
      <c r="B47" s="7" t="s">
        <v>107</v>
      </c>
      <c r="C47" s="7"/>
      <c r="D47" s="7"/>
      <c r="E47" s="7"/>
    </row>
    <row r="48" spans="2:7" ht="18" customHeight="1">
      <c r="B48" s="238" t="s">
        <v>401</v>
      </c>
      <c r="C48" s="238"/>
      <c r="D48" s="239">
        <v>500</v>
      </c>
      <c r="E48" s="240" t="s">
        <v>402</v>
      </c>
    </row>
    <row r="49" spans="2:7" ht="18" customHeight="1">
      <c r="B49" s="2" t="s">
        <v>433</v>
      </c>
      <c r="D49" s="58">
        <v>4369</v>
      </c>
      <c r="E49" s="17" t="s">
        <v>424</v>
      </c>
      <c r="G49" s="241"/>
    </row>
    <row r="50" spans="2:7" ht="18" customHeight="1">
      <c r="B50" s="91" t="s">
        <v>109</v>
      </c>
      <c r="C50" s="90"/>
      <c r="D50" s="17">
        <v>10</v>
      </c>
      <c r="E50" s="17" t="s">
        <v>108</v>
      </c>
    </row>
    <row r="51" spans="2:7" ht="18" customHeight="1">
      <c r="B51" s="3" t="s">
        <v>142</v>
      </c>
      <c r="C51" s="3"/>
      <c r="D51" s="20">
        <v>0.05</v>
      </c>
      <c r="E51" s="18" t="s">
        <v>146</v>
      </c>
    </row>
    <row r="52" spans="2:7" ht="18" customHeight="1">
      <c r="B52" s="3"/>
      <c r="C52" s="3"/>
      <c r="D52" s="3"/>
    </row>
    <row r="53" spans="2:7" ht="18" customHeight="1">
      <c r="B53" s="7" t="s">
        <v>403</v>
      </c>
      <c r="C53" s="7"/>
      <c r="D53" s="7"/>
      <c r="E53" s="7"/>
    </row>
    <row r="54" spans="2:7" ht="13.5" customHeight="1">
      <c r="B54" s="3"/>
      <c r="C54" s="3"/>
      <c r="D54" s="3"/>
    </row>
    <row r="55" spans="2:7" ht="18" customHeight="1">
      <c r="B55" s="3" t="s">
        <v>404</v>
      </c>
      <c r="C55" s="3"/>
      <c r="D55" s="242">
        <v>428000</v>
      </c>
      <c r="E55" s="17" t="s">
        <v>405</v>
      </c>
    </row>
    <row r="56" spans="2:7" ht="18" customHeight="1">
      <c r="B56" s="3" t="s">
        <v>406</v>
      </c>
      <c r="C56" s="3"/>
      <c r="D56" s="242">
        <v>228000</v>
      </c>
      <c r="E56" s="17" t="s">
        <v>405</v>
      </c>
    </row>
    <row r="57" spans="2:7" ht="18" customHeight="1">
      <c r="B57" s="243" t="s">
        <v>407</v>
      </c>
      <c r="C57" s="243"/>
      <c r="D57" s="244">
        <f>D55-D56</f>
        <v>200000</v>
      </c>
      <c r="E57" s="245" t="s">
        <v>405</v>
      </c>
    </row>
    <row r="58" spans="2:7" ht="18" customHeight="1">
      <c r="B58" s="3" t="s">
        <v>408</v>
      </c>
      <c r="C58" s="3"/>
      <c r="D58" s="242">
        <f>D57/1000</f>
        <v>200</v>
      </c>
      <c r="E58" s="17" t="s">
        <v>409</v>
      </c>
    </row>
    <row r="59" spans="2:7" ht="18" customHeight="1">
      <c r="B59" s="3" t="s">
        <v>410</v>
      </c>
      <c r="C59" s="3"/>
      <c r="D59" s="242">
        <f>D58*D22</f>
        <v>67000</v>
      </c>
      <c r="E59" s="17" t="s">
        <v>411</v>
      </c>
    </row>
    <row r="60" spans="2:7" ht="18" customHeight="1">
      <c r="B60" s="3" t="s">
        <v>414</v>
      </c>
      <c r="C60" s="3"/>
      <c r="D60" s="246">
        <v>2</v>
      </c>
      <c r="E60" s="17" t="s">
        <v>412</v>
      </c>
    </row>
    <row r="61" spans="2:7" ht="18" customHeight="1">
      <c r="B61" s="3" t="s">
        <v>413</v>
      </c>
      <c r="C61" s="3"/>
      <c r="D61" s="20">
        <v>0.05</v>
      </c>
      <c r="E61" s="18" t="s">
        <v>146</v>
      </c>
    </row>
    <row r="62" spans="2:7" ht="13.5" customHeight="1">
      <c r="B62" s="3"/>
      <c r="C62" s="3"/>
      <c r="D62" s="242"/>
      <c r="E62" s="17"/>
    </row>
    <row r="63" spans="2:7" ht="18" customHeight="1">
      <c r="B63" s="3"/>
      <c r="C63" s="3"/>
      <c r="D63" s="3"/>
    </row>
    <row r="64" spans="2:7" ht="18" customHeight="1">
      <c r="B64" s="7" t="s">
        <v>30</v>
      </c>
      <c r="C64" s="7"/>
      <c r="D64" s="7"/>
      <c r="E64" s="7"/>
    </row>
    <row r="65" spans="2:8" ht="18" customHeight="1">
      <c r="B65" s="3" t="s">
        <v>31</v>
      </c>
      <c r="C65" s="3"/>
      <c r="D65" s="242">
        <f>'sal &amp; wages'!F29</f>
        <v>10356000</v>
      </c>
      <c r="E65" s="17" t="s">
        <v>144</v>
      </c>
    </row>
    <row r="66" spans="2:8" ht="18" customHeight="1">
      <c r="B66" s="3" t="s">
        <v>38</v>
      </c>
      <c r="C66" s="3"/>
      <c r="D66" s="22">
        <v>0.1</v>
      </c>
      <c r="E66" s="22" t="s">
        <v>146</v>
      </c>
    </row>
    <row r="67" spans="2:8" ht="18" customHeight="1">
      <c r="B67" s="3"/>
      <c r="C67" s="3"/>
      <c r="D67" s="22"/>
      <c r="E67" s="22"/>
    </row>
    <row r="68" spans="2:8" ht="18" customHeight="1">
      <c r="B68" s="7" t="s">
        <v>147</v>
      </c>
      <c r="C68" s="7"/>
      <c r="D68" s="7"/>
      <c r="E68" s="7"/>
      <c r="H68" s="224"/>
    </row>
    <row r="69" spans="2:8" ht="18" customHeight="1">
      <c r="B69" s="3" t="s">
        <v>151</v>
      </c>
      <c r="C69" s="3"/>
      <c r="D69" s="17">
        <v>0.4</v>
      </c>
      <c r="E69" s="22" t="s">
        <v>152</v>
      </c>
    </row>
    <row r="70" spans="2:8" ht="18" customHeight="1">
      <c r="B70" s="3" t="s">
        <v>153</v>
      </c>
      <c r="C70" s="3"/>
      <c r="D70" s="20">
        <v>0.05</v>
      </c>
      <c r="E70" s="18" t="s">
        <v>146</v>
      </c>
    </row>
    <row r="71" spans="2:8" ht="18" customHeight="1">
      <c r="B71" s="3"/>
      <c r="C71" s="3"/>
      <c r="D71" s="22"/>
      <c r="E71" s="22"/>
    </row>
    <row r="72" spans="2:8" ht="18" customHeight="1">
      <c r="B72" s="7" t="s">
        <v>154</v>
      </c>
      <c r="C72" s="7"/>
      <c r="D72" s="7"/>
      <c r="E72" s="7"/>
    </row>
    <row r="73" spans="2:8" ht="18" customHeight="1">
      <c r="B73" s="3" t="s">
        <v>156</v>
      </c>
      <c r="C73" s="3"/>
      <c r="D73" s="21">
        <v>0.03</v>
      </c>
      <c r="E73" s="22" t="s">
        <v>157</v>
      </c>
    </row>
    <row r="74" spans="2:8" ht="18" customHeight="1">
      <c r="B74" s="3"/>
      <c r="C74" s="3"/>
      <c r="D74" s="22"/>
      <c r="E74" s="22"/>
    </row>
    <row r="75" spans="2:8" ht="18" customHeight="1">
      <c r="B75" s="7" t="s">
        <v>33</v>
      </c>
      <c r="C75" s="7"/>
      <c r="D75" s="7"/>
      <c r="E75" s="7"/>
    </row>
    <row r="76" spans="2:8" ht="18" customHeight="1">
      <c r="B76" s="3" t="s">
        <v>159</v>
      </c>
      <c r="C76" s="3"/>
      <c r="D76" s="21">
        <v>1.4999999999999999E-2</v>
      </c>
      <c r="E76" s="22" t="s">
        <v>157</v>
      </c>
    </row>
    <row r="77" spans="2:8" ht="18" customHeight="1">
      <c r="B77" s="3"/>
      <c r="C77" s="3"/>
      <c r="D77" s="22"/>
      <c r="E77" s="22"/>
    </row>
    <row r="78" spans="2:8" ht="18" customHeight="1">
      <c r="B78" s="7" t="s">
        <v>34</v>
      </c>
      <c r="C78" s="7"/>
      <c r="D78" s="7"/>
      <c r="E78" s="7"/>
    </row>
    <row r="79" spans="2:8" ht="18" customHeight="1">
      <c r="B79" s="253" t="str">
        <f>'Depreciation Schedule'!B17</f>
        <v>Electricity Infrastructure</v>
      </c>
      <c r="C79" s="3"/>
      <c r="D79" s="22">
        <v>2E-3</v>
      </c>
      <c r="E79" s="23" t="s">
        <v>160</v>
      </c>
    </row>
    <row r="80" spans="2:8" ht="18" customHeight="1">
      <c r="B80" s="253" t="str">
        <f>'Depreciation Schedule'!B18</f>
        <v>Civil &amp; M.S. Work including Land development &amp; Boundary wall</v>
      </c>
      <c r="C80" s="3"/>
      <c r="D80" s="22">
        <v>5.0000000000000001E-3</v>
      </c>
      <c r="E80" s="23" t="s">
        <v>160</v>
      </c>
    </row>
    <row r="81" spans="2:5" ht="18" customHeight="1">
      <c r="B81" s="253" t="str">
        <f>'Depreciation Schedule'!B19</f>
        <v>P&amp; M including other equipment</v>
      </c>
      <c r="C81" s="3"/>
      <c r="D81" s="22">
        <v>5.0000000000000001E-3</v>
      </c>
      <c r="E81" s="23" t="s">
        <v>160</v>
      </c>
    </row>
    <row r="82" spans="2:5" ht="18" customHeight="1">
      <c r="B82" s="253" t="str">
        <f>'Depreciation Schedule'!B20</f>
        <v>Furniture &amp; Fixtures</v>
      </c>
      <c r="C82" s="3"/>
      <c r="D82" s="22">
        <v>2E-3</v>
      </c>
      <c r="E82" s="23" t="s">
        <v>160</v>
      </c>
    </row>
    <row r="83" spans="2:5" ht="18" customHeight="1">
      <c r="B83" s="253" t="str">
        <f>'Depreciation Schedule'!B21</f>
        <v>Office Equipment</v>
      </c>
      <c r="C83" s="3"/>
      <c r="D83" s="22">
        <v>2E-3</v>
      </c>
      <c r="E83" s="23" t="s">
        <v>160</v>
      </c>
    </row>
    <row r="84" spans="2:5" ht="18" customHeight="1">
      <c r="B84" s="3"/>
      <c r="C84" s="3"/>
      <c r="D84" s="22"/>
      <c r="E84" s="22"/>
    </row>
    <row r="85" spans="2:5" ht="18" customHeight="1">
      <c r="B85" s="7" t="s">
        <v>35</v>
      </c>
      <c r="C85" s="7"/>
      <c r="D85" s="7"/>
      <c r="E85" s="7"/>
    </row>
    <row r="86" spans="2:5" ht="18" customHeight="1">
      <c r="B86" s="19" t="s">
        <v>35</v>
      </c>
      <c r="C86" s="3"/>
      <c r="D86" s="21">
        <v>1.4999999999999999E-2</v>
      </c>
      <c r="E86" s="22" t="s">
        <v>157</v>
      </c>
    </row>
    <row r="87" spans="2:5" ht="18" customHeight="1">
      <c r="B87" s="3" t="s">
        <v>169</v>
      </c>
      <c r="C87" s="3"/>
      <c r="D87" s="21">
        <v>1.2500000000000001E-2</v>
      </c>
      <c r="E87" s="22" t="s">
        <v>157</v>
      </c>
    </row>
    <row r="88" spans="2:5" ht="18" customHeight="1">
      <c r="B88" s="3"/>
      <c r="C88" s="3"/>
      <c r="D88" s="22"/>
      <c r="E88" s="22"/>
    </row>
    <row r="89" spans="2:5" ht="18" customHeight="1">
      <c r="B89" s="7" t="s">
        <v>36</v>
      </c>
      <c r="C89" s="7"/>
      <c r="D89" s="7"/>
      <c r="E89" s="7"/>
    </row>
    <row r="90" spans="2:5" ht="18" customHeight="1">
      <c r="B90" s="19" t="s">
        <v>36</v>
      </c>
      <c r="C90" s="3"/>
      <c r="D90" s="21">
        <v>2.5000000000000001E-3</v>
      </c>
      <c r="E90" s="22" t="s">
        <v>166</v>
      </c>
    </row>
    <row r="91" spans="2:5" ht="18" customHeight="1">
      <c r="B91" s="3"/>
      <c r="C91" s="3"/>
      <c r="D91" s="22"/>
      <c r="E91" s="22"/>
    </row>
    <row r="92" spans="2:5" ht="18" customHeight="1">
      <c r="B92" s="7" t="s">
        <v>39</v>
      </c>
      <c r="C92" s="7"/>
      <c r="D92" s="7"/>
      <c r="E92" s="7"/>
    </row>
    <row r="93" spans="2:5" ht="18" customHeight="1">
      <c r="B93" s="3" t="s">
        <v>40</v>
      </c>
      <c r="C93" s="3"/>
      <c r="D93" s="14">
        <v>50</v>
      </c>
      <c r="E93" s="14" t="s">
        <v>145</v>
      </c>
    </row>
    <row r="94" spans="2:5" ht="18" customHeight="1">
      <c r="B94" s="3" t="s">
        <v>41</v>
      </c>
      <c r="C94" s="3"/>
      <c r="D94" s="14">
        <v>40</v>
      </c>
      <c r="E94" s="14" t="s">
        <v>145</v>
      </c>
    </row>
    <row r="95" spans="2:5" ht="18" customHeight="1">
      <c r="B95" s="3" t="s">
        <v>42</v>
      </c>
      <c r="C95" s="3"/>
      <c r="D95" s="14">
        <v>7</v>
      </c>
      <c r="E95" s="14" t="s">
        <v>145</v>
      </c>
    </row>
    <row r="96" spans="2:5" ht="18" customHeight="1">
      <c r="B96" s="3" t="s">
        <v>255</v>
      </c>
      <c r="C96" s="3"/>
      <c r="D96" s="14">
        <v>30</v>
      </c>
      <c r="E96" s="14" t="s">
        <v>145</v>
      </c>
    </row>
    <row r="97" spans="2:5" ht="18" customHeight="1">
      <c r="B97" s="3" t="s">
        <v>256</v>
      </c>
      <c r="C97" s="3"/>
      <c r="D97" s="14">
        <v>30</v>
      </c>
      <c r="E97" s="14" t="s">
        <v>145</v>
      </c>
    </row>
    <row r="98" spans="2:5" ht="18" customHeight="1">
      <c r="B98" s="3" t="s">
        <v>262</v>
      </c>
      <c r="C98" s="3"/>
      <c r="D98" s="14">
        <v>45</v>
      </c>
      <c r="E98" s="14" t="s">
        <v>145</v>
      </c>
    </row>
    <row r="99" spans="2:5" ht="18" customHeight="1">
      <c r="B99" s="3" t="s">
        <v>263</v>
      </c>
      <c r="C99" s="3"/>
      <c r="D99" s="14">
        <v>20</v>
      </c>
      <c r="E99" s="14" t="s">
        <v>145</v>
      </c>
    </row>
    <row r="100" spans="2:5" ht="18" customHeight="1">
      <c r="B100" s="3"/>
      <c r="C100" s="3"/>
      <c r="D100" s="3"/>
      <c r="E100" s="3"/>
    </row>
    <row r="101" spans="2:5" ht="18" customHeight="1">
      <c r="B101" s="7" t="s">
        <v>43</v>
      </c>
      <c r="C101" s="7"/>
      <c r="D101" s="7"/>
      <c r="E101" s="7"/>
    </row>
    <row r="102" spans="2:5" ht="18" customHeight="1">
      <c r="B102" s="3" t="s">
        <v>44</v>
      </c>
      <c r="C102" s="3"/>
      <c r="D102" s="22">
        <v>0.11</v>
      </c>
      <c r="E102" s="15" t="s">
        <v>257</v>
      </c>
    </row>
    <row r="103" spans="2:5" ht="18" customHeight="1">
      <c r="B103" s="3" t="s">
        <v>45</v>
      </c>
      <c r="C103" s="3"/>
      <c r="D103" s="22">
        <v>0.11</v>
      </c>
      <c r="E103" s="15" t="s">
        <v>257</v>
      </c>
    </row>
    <row r="104" spans="2:5" ht="18" customHeight="1">
      <c r="B104" s="3" t="s">
        <v>102</v>
      </c>
      <c r="C104" s="3"/>
      <c r="D104" s="22">
        <v>0.11</v>
      </c>
      <c r="E104" s="15"/>
    </row>
    <row r="105" spans="2:5" ht="18" customHeight="1">
      <c r="B105" s="3" t="s">
        <v>46</v>
      </c>
      <c r="C105" s="3"/>
      <c r="D105" s="17"/>
      <c r="E105" s="15" t="s">
        <v>258</v>
      </c>
    </row>
    <row r="106" spans="2:5" ht="18" customHeight="1">
      <c r="B106" s="3" t="s">
        <v>47</v>
      </c>
      <c r="C106" s="3"/>
      <c r="D106" s="17">
        <v>7</v>
      </c>
      <c r="E106" s="15" t="s">
        <v>259</v>
      </c>
    </row>
    <row r="107" spans="2:5" ht="18" customHeight="1">
      <c r="B107" s="3" t="s">
        <v>48</v>
      </c>
      <c r="C107" s="3"/>
      <c r="D107" s="17">
        <v>12</v>
      </c>
      <c r="E107" s="15" t="s">
        <v>259</v>
      </c>
    </row>
    <row r="108" spans="2:5" ht="18" customHeight="1">
      <c r="B108" s="3"/>
      <c r="C108" s="3"/>
      <c r="D108" s="17"/>
      <c r="E108" s="15"/>
    </row>
    <row r="109" spans="2:5" ht="18" customHeight="1">
      <c r="B109" s="7" t="s">
        <v>276</v>
      </c>
      <c r="C109" s="7"/>
      <c r="D109" s="7"/>
      <c r="E109" s="7"/>
    </row>
    <row r="110" spans="2:5" ht="18" customHeight="1">
      <c r="B110" s="2" t="s">
        <v>768</v>
      </c>
      <c r="D110" s="16">
        <v>0.22</v>
      </c>
      <c r="E110" s="15" t="s">
        <v>257</v>
      </c>
    </row>
    <row r="111" spans="2:5" ht="18" customHeight="1">
      <c r="B111" s="2" t="s">
        <v>769</v>
      </c>
      <c r="D111" s="16">
        <v>0.1</v>
      </c>
      <c r="E111" s="15" t="s">
        <v>257</v>
      </c>
    </row>
    <row r="112" spans="2:5" ht="18" customHeight="1">
      <c r="B112" s="2" t="s">
        <v>277</v>
      </c>
      <c r="D112" s="16">
        <v>0.04</v>
      </c>
      <c r="E112" s="15" t="s">
        <v>257</v>
      </c>
    </row>
    <row r="113" spans="2:5" ht="18" customHeight="1">
      <c r="B113" s="113" t="s">
        <v>770</v>
      </c>
      <c r="C113" s="113"/>
      <c r="D113" s="182">
        <f>D110*(1+D111)*(1+D112)</f>
        <v>0.25168000000000001</v>
      </c>
      <c r="E113" s="181" t="s">
        <v>257</v>
      </c>
    </row>
    <row r="114" spans="2:5" ht="18" customHeight="1">
      <c r="E114" s="15"/>
    </row>
  </sheetData>
  <dataValidations count="1">
    <dataValidation type="list" allowBlank="1" showInputMessage="1" showErrorMessage="1" sqref="D103">
      <formula1>"11%,13%"</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114"/>
  <sheetViews>
    <sheetView showGridLines="0" topLeftCell="A22" workbookViewId="0">
      <selection activeCell="G36" sqref="G36"/>
    </sheetView>
  </sheetViews>
  <sheetFormatPr defaultColWidth="13.7109375" defaultRowHeight="18" customHeight="1"/>
  <cols>
    <col min="1" max="1" width="4.85546875" style="1" customWidth="1"/>
    <col min="2" max="2" width="50.85546875" style="1" customWidth="1"/>
    <col min="3" max="3" width="7.140625" style="1" customWidth="1"/>
    <col min="4" max="15" width="12.7109375" style="1" customWidth="1"/>
    <col min="16" max="16384" width="13.7109375" style="1"/>
  </cols>
  <sheetData>
    <row r="1" spans="2:16" ht="15.75" customHeight="1"/>
    <row r="2" spans="2:16" s="2" customFormat="1" ht="18" customHeight="1">
      <c r="B2" s="36" t="str">
        <f>"Financial Model of " &amp; B4</f>
        <v>Financial Model of Proposed 6000 KGPD CBG plant set up M/s. SRSBIOX RENEWABLE LLP.</v>
      </c>
      <c r="C2" s="37"/>
      <c r="D2" s="37"/>
      <c r="E2" s="37"/>
      <c r="F2" s="37"/>
      <c r="G2" s="37"/>
      <c r="H2" s="37"/>
      <c r="I2" s="37"/>
      <c r="J2" s="37"/>
      <c r="K2" s="37"/>
      <c r="L2" s="37"/>
      <c r="M2" s="37"/>
      <c r="N2" s="1"/>
      <c r="O2" s="1"/>
      <c r="P2" s="27"/>
    </row>
    <row r="3" spans="2:16" s="2" customFormat="1" ht="12" customHeight="1">
      <c r="C3" s="27"/>
      <c r="D3" s="27"/>
      <c r="E3" s="27"/>
      <c r="F3" s="27"/>
      <c r="G3" s="27"/>
      <c r="H3" s="27"/>
      <c r="I3" s="27"/>
      <c r="J3" s="27"/>
      <c r="K3" s="27"/>
      <c r="L3" s="27"/>
      <c r="M3" s="27"/>
      <c r="N3" s="1"/>
      <c r="O3" s="1"/>
      <c r="P3" s="27"/>
    </row>
    <row r="4" spans="2:16" s="2" customFormat="1" ht="18" customHeight="1">
      <c r="B4" s="28" t="str">
        <f>'Common Assumption'!B4</f>
        <v>Proposed 6000 KGPD CBG plant set up M/s. SRSBIOX RENEWABLE LLP.</v>
      </c>
      <c r="C4" s="28"/>
      <c r="D4" s="29"/>
      <c r="E4" s="29"/>
      <c r="F4" s="29"/>
      <c r="G4" s="29"/>
      <c r="H4" s="29"/>
      <c r="I4" s="29"/>
      <c r="J4" s="29"/>
      <c r="K4" s="29"/>
      <c r="L4" s="29"/>
      <c r="M4" s="29"/>
      <c r="N4" s="1"/>
      <c r="O4" s="1"/>
      <c r="P4" s="27"/>
    </row>
    <row r="5" spans="2:16" s="2" customFormat="1" ht="13.5" customHeight="1">
      <c r="C5" s="27"/>
      <c r="D5" s="27"/>
      <c r="F5" s="30"/>
      <c r="N5" s="1"/>
      <c r="O5" s="1"/>
      <c r="P5" s="27"/>
    </row>
    <row r="6" spans="2:16" s="2" customFormat="1" ht="18" customHeight="1">
      <c r="B6" s="28" t="s">
        <v>49</v>
      </c>
      <c r="C6" s="28"/>
      <c r="D6" s="29"/>
      <c r="E6" s="29"/>
      <c r="F6" s="29"/>
      <c r="G6" s="29"/>
      <c r="H6" s="29"/>
      <c r="I6" s="29"/>
      <c r="J6" s="29"/>
      <c r="K6" s="29"/>
      <c r="L6" s="29"/>
      <c r="M6" s="29"/>
      <c r="N6" s="1"/>
      <c r="O6" s="1"/>
      <c r="P6" s="27"/>
    </row>
    <row r="7" spans="2:16" s="2" customFormat="1" ht="12.75" customHeight="1">
      <c r="C7" s="27"/>
      <c r="D7" s="27"/>
      <c r="F7" s="30"/>
      <c r="N7" s="1"/>
      <c r="O7" s="1"/>
      <c r="P7" s="27"/>
    </row>
    <row r="8" spans="2:16" s="2" customFormat="1" ht="18" customHeight="1">
      <c r="C8" s="27"/>
      <c r="D8" s="308" t="s">
        <v>8</v>
      </c>
      <c r="E8" s="308"/>
      <c r="F8" s="309" t="s">
        <v>50</v>
      </c>
      <c r="G8" s="309"/>
      <c r="H8" s="309"/>
      <c r="I8" s="309"/>
      <c r="J8" s="309"/>
      <c r="K8" s="309"/>
      <c r="L8" s="309"/>
      <c r="M8" s="309"/>
      <c r="N8" s="1"/>
      <c r="O8" s="1"/>
      <c r="P8" s="27"/>
    </row>
    <row r="9" spans="2:16" s="2" customFormat="1" ht="18" customHeight="1">
      <c r="B9" s="31" t="s">
        <v>51</v>
      </c>
      <c r="C9" s="32" t="s">
        <v>52</v>
      </c>
      <c r="D9" s="33"/>
      <c r="E9" s="33">
        <f>'Common Assumption'!E13</f>
        <v>45747</v>
      </c>
      <c r="F9" s="33">
        <f>DATE(YEAR(E9)+1,MONTH(E9),DAY(E9))</f>
        <v>46112</v>
      </c>
      <c r="G9" s="33">
        <f>DATE(YEAR(F9)+1,MONTH(F9),DAY(F9))</f>
        <v>46477</v>
      </c>
      <c r="H9" s="33">
        <f t="shared" ref="H9:M9" si="0">DATE(YEAR(G9)+1,MONTH(G9),DAY(G9))</f>
        <v>46843</v>
      </c>
      <c r="I9" s="33">
        <f t="shared" si="0"/>
        <v>47208</v>
      </c>
      <c r="J9" s="33">
        <f t="shared" si="0"/>
        <v>47573</v>
      </c>
      <c r="K9" s="33">
        <f t="shared" si="0"/>
        <v>47938</v>
      </c>
      <c r="L9" s="33">
        <f t="shared" si="0"/>
        <v>48304</v>
      </c>
      <c r="M9" s="33">
        <f t="shared" si="0"/>
        <v>48669</v>
      </c>
      <c r="N9" s="1"/>
      <c r="O9" s="1"/>
      <c r="P9" s="27"/>
    </row>
    <row r="10" spans="2:16" s="34" customFormat="1" ht="18" customHeight="1">
      <c r="B10" s="39" t="s">
        <v>53</v>
      </c>
      <c r="C10" s="40"/>
      <c r="D10" s="38"/>
      <c r="E10" s="38">
        <v>0</v>
      </c>
      <c r="F10" s="41">
        <v>1</v>
      </c>
      <c r="G10" s="41">
        <f>F10+1</f>
        <v>2</v>
      </c>
      <c r="H10" s="41">
        <f t="shared" ref="H10:M10" si="1">G10+1</f>
        <v>3</v>
      </c>
      <c r="I10" s="41">
        <f t="shared" si="1"/>
        <v>4</v>
      </c>
      <c r="J10" s="41">
        <f t="shared" si="1"/>
        <v>5</v>
      </c>
      <c r="K10" s="41">
        <f t="shared" si="1"/>
        <v>6</v>
      </c>
      <c r="L10" s="41">
        <f t="shared" si="1"/>
        <v>7</v>
      </c>
      <c r="M10" s="41">
        <f t="shared" si="1"/>
        <v>8</v>
      </c>
      <c r="N10" s="1"/>
      <c r="O10" s="1"/>
      <c r="P10" s="35"/>
    </row>
    <row r="11" spans="2:16" s="34" customFormat="1" ht="18" customHeight="1">
      <c r="B11" s="39" t="s">
        <v>54</v>
      </c>
      <c r="C11" s="40">
        <f>'Common Assumption'!E12</f>
        <v>7</v>
      </c>
      <c r="D11" s="38"/>
      <c r="E11" s="38">
        <f>C11</f>
        <v>7</v>
      </c>
      <c r="F11" s="40">
        <f>MONTH(F9-E9)</f>
        <v>12</v>
      </c>
      <c r="G11" s="40">
        <f t="shared" ref="G11:M11" si="2">MONTH(G9-F9)</f>
        <v>12</v>
      </c>
      <c r="H11" s="40">
        <f t="shared" si="2"/>
        <v>12</v>
      </c>
      <c r="I11" s="40">
        <f t="shared" si="2"/>
        <v>12</v>
      </c>
      <c r="J11" s="40">
        <f t="shared" si="2"/>
        <v>12</v>
      </c>
      <c r="K11" s="40">
        <f t="shared" si="2"/>
        <v>12</v>
      </c>
      <c r="L11" s="40">
        <f t="shared" si="2"/>
        <v>12</v>
      </c>
      <c r="M11" s="40">
        <f t="shared" si="2"/>
        <v>12</v>
      </c>
      <c r="N11" s="1"/>
      <c r="O11" s="1"/>
      <c r="P11" s="35"/>
    </row>
    <row r="13" spans="2:16" ht="18" customHeight="1">
      <c r="B13" s="52" t="s">
        <v>59</v>
      </c>
      <c r="C13" s="53"/>
      <c r="D13" s="53"/>
      <c r="E13" s="53"/>
      <c r="F13" s="54"/>
      <c r="G13" s="54"/>
      <c r="H13" s="54"/>
      <c r="I13" s="54"/>
      <c r="J13" s="54"/>
      <c r="K13" s="54"/>
      <c r="L13" s="54"/>
      <c r="M13" s="54"/>
    </row>
    <row r="14" spans="2:16" ht="18" customHeight="1">
      <c r="B14" s="47" t="s">
        <v>382</v>
      </c>
      <c r="C14" s="2"/>
      <c r="D14" s="2"/>
      <c r="E14" s="2"/>
      <c r="F14" s="48"/>
      <c r="G14" s="48"/>
      <c r="H14" s="48"/>
    </row>
    <row r="15" spans="2:16" ht="18" customHeight="1">
      <c r="B15" s="2" t="s">
        <v>66</v>
      </c>
      <c r="C15" s="2"/>
      <c r="D15" s="2"/>
      <c r="E15" s="2"/>
      <c r="F15" s="50">
        <f>'Common Assumption'!D25</f>
        <v>6193.152</v>
      </c>
      <c r="G15" s="51">
        <f>F15</f>
        <v>6193.152</v>
      </c>
      <c r="H15" s="51">
        <f t="shared" ref="H15:M15" si="3">G15</f>
        <v>6193.152</v>
      </c>
      <c r="I15" s="51">
        <f t="shared" si="3"/>
        <v>6193.152</v>
      </c>
      <c r="J15" s="51">
        <f t="shared" si="3"/>
        <v>6193.152</v>
      </c>
      <c r="K15" s="51">
        <f t="shared" si="3"/>
        <v>6193.152</v>
      </c>
      <c r="L15" s="51">
        <f t="shared" si="3"/>
        <v>6193.152</v>
      </c>
      <c r="M15" s="51">
        <f t="shared" si="3"/>
        <v>6193.152</v>
      </c>
    </row>
    <row r="16" spans="2:16" ht="18" customHeight="1">
      <c r="B16" s="2" t="s">
        <v>67</v>
      </c>
      <c r="C16" s="15">
        <f>'Common Assumption'!C26</f>
        <v>1</v>
      </c>
      <c r="D16" s="2"/>
      <c r="E16" s="2"/>
      <c r="F16" s="51">
        <f>F15*$C$16</f>
        <v>6193.152</v>
      </c>
      <c r="G16" s="51">
        <f>F16</f>
        <v>6193.152</v>
      </c>
      <c r="H16" s="51">
        <f t="shared" ref="H16:M16" si="4">G16</f>
        <v>6193.152</v>
      </c>
      <c r="I16" s="51">
        <f t="shared" si="4"/>
        <v>6193.152</v>
      </c>
      <c r="J16" s="51">
        <f t="shared" si="4"/>
        <v>6193.152</v>
      </c>
      <c r="K16" s="51">
        <f t="shared" si="4"/>
        <v>6193.152</v>
      </c>
      <c r="L16" s="51">
        <f t="shared" si="4"/>
        <v>6193.152</v>
      </c>
      <c r="M16" s="51">
        <f t="shared" si="4"/>
        <v>6193.152</v>
      </c>
    </row>
    <row r="17" spans="2:13" ht="18" customHeight="1">
      <c r="B17" s="2" t="s">
        <v>58</v>
      </c>
      <c r="C17" s="15">
        <f>'Common Assumption'!D27</f>
        <v>3.1199999999999999E-2</v>
      </c>
      <c r="D17" s="2"/>
      <c r="E17" s="2"/>
      <c r="F17" s="51">
        <f>$C$17*F16</f>
        <v>193.22634239999999</v>
      </c>
      <c r="G17" s="51">
        <f t="shared" ref="G17:M17" si="5">$C$17*G16</f>
        <v>193.22634239999999</v>
      </c>
      <c r="H17" s="51">
        <f t="shared" si="5"/>
        <v>193.22634239999999</v>
      </c>
      <c r="I17" s="51">
        <f t="shared" si="5"/>
        <v>193.22634239999999</v>
      </c>
      <c r="J17" s="51">
        <f t="shared" si="5"/>
        <v>193.22634239999999</v>
      </c>
      <c r="K17" s="51">
        <f t="shared" si="5"/>
        <v>193.22634239999999</v>
      </c>
      <c r="L17" s="51">
        <f t="shared" si="5"/>
        <v>193.22634239999999</v>
      </c>
      <c r="M17" s="51">
        <f t="shared" si="5"/>
        <v>193.22634239999999</v>
      </c>
    </row>
    <row r="18" spans="2:13" ht="18" customHeight="1">
      <c r="B18" s="2" t="s">
        <v>68</v>
      </c>
      <c r="C18" s="2"/>
      <c r="D18" s="2"/>
      <c r="E18" s="2"/>
      <c r="F18" s="51">
        <f>(F16-F17)*80%</f>
        <v>4799.9405260800004</v>
      </c>
      <c r="G18" s="51">
        <f t="shared" ref="G18:M18" si="6">G16-G17</f>
        <v>5999.9256575999998</v>
      </c>
      <c r="H18" s="51">
        <f t="shared" si="6"/>
        <v>5999.9256575999998</v>
      </c>
      <c r="I18" s="51">
        <f t="shared" si="6"/>
        <v>5999.9256575999998</v>
      </c>
      <c r="J18" s="51">
        <f t="shared" si="6"/>
        <v>5999.9256575999998</v>
      </c>
      <c r="K18" s="51">
        <f t="shared" si="6"/>
        <v>5999.9256575999998</v>
      </c>
      <c r="L18" s="51">
        <f t="shared" si="6"/>
        <v>5999.9256575999998</v>
      </c>
      <c r="M18" s="51">
        <f t="shared" si="6"/>
        <v>5999.9256575999998</v>
      </c>
    </row>
    <row r="19" spans="2:13" ht="18" customHeight="1">
      <c r="B19" s="2" t="s">
        <v>876</v>
      </c>
      <c r="C19" s="2"/>
      <c r="D19" s="2"/>
      <c r="E19" s="2"/>
      <c r="F19" s="51">
        <f>F9-E9</f>
        <v>365</v>
      </c>
      <c r="G19" s="51">
        <f t="shared" ref="G19:M19" si="7">G9-F9</f>
        <v>365</v>
      </c>
      <c r="H19" s="51">
        <f t="shared" si="7"/>
        <v>366</v>
      </c>
      <c r="I19" s="51">
        <f t="shared" si="7"/>
        <v>365</v>
      </c>
      <c r="J19" s="51">
        <f t="shared" si="7"/>
        <v>365</v>
      </c>
      <c r="K19" s="51">
        <f t="shared" si="7"/>
        <v>365</v>
      </c>
      <c r="L19" s="51">
        <f t="shared" si="7"/>
        <v>366</v>
      </c>
      <c r="M19" s="51">
        <f t="shared" si="7"/>
        <v>365</v>
      </c>
    </row>
    <row r="20" spans="2:13" ht="18" customHeight="1">
      <c r="B20" s="2" t="s">
        <v>877</v>
      </c>
      <c r="C20" s="2"/>
      <c r="D20" s="2"/>
      <c r="E20" s="2"/>
      <c r="F20" s="51">
        <f>'Common Assumption'!D22</f>
        <v>335</v>
      </c>
      <c r="G20" s="51">
        <f>F20</f>
        <v>335</v>
      </c>
      <c r="H20" s="51">
        <f>G20</f>
        <v>335</v>
      </c>
      <c r="I20" s="51">
        <f t="shared" ref="I20:M20" si="8">H20</f>
        <v>335</v>
      </c>
      <c r="J20" s="51">
        <f t="shared" si="8"/>
        <v>335</v>
      </c>
      <c r="K20" s="51">
        <f t="shared" si="8"/>
        <v>335</v>
      </c>
      <c r="L20" s="51">
        <f t="shared" si="8"/>
        <v>335</v>
      </c>
      <c r="M20" s="51">
        <f t="shared" si="8"/>
        <v>335</v>
      </c>
    </row>
    <row r="21" spans="2:13" ht="15.75" customHeight="1">
      <c r="B21" s="2"/>
      <c r="C21" s="2"/>
      <c r="D21" s="2"/>
      <c r="E21" s="2"/>
      <c r="F21" s="51"/>
      <c r="G21" s="51"/>
      <c r="H21" s="51"/>
      <c r="I21" s="51"/>
      <c r="J21" s="51"/>
      <c r="K21" s="51"/>
      <c r="L21" s="51"/>
      <c r="M21" s="51"/>
    </row>
    <row r="22" spans="2:13" ht="19.5" customHeight="1">
      <c r="B22" s="47" t="s">
        <v>878</v>
      </c>
      <c r="C22" s="2"/>
      <c r="D22" s="2"/>
      <c r="E22" s="2"/>
      <c r="F22" s="51"/>
      <c r="G22" s="51"/>
      <c r="H22" s="51"/>
      <c r="I22" s="51"/>
      <c r="J22" s="51"/>
      <c r="K22" s="51"/>
      <c r="L22" s="51"/>
      <c r="M22" s="51"/>
    </row>
    <row r="23" spans="2:13" ht="18" customHeight="1">
      <c r="B23" s="2" t="s">
        <v>425</v>
      </c>
      <c r="C23" s="2"/>
      <c r="D23" s="2"/>
      <c r="E23" s="2"/>
      <c r="F23" s="294">
        <f>F18</f>
        <v>4799.9405260800004</v>
      </c>
      <c r="G23" s="51">
        <f>G18</f>
        <v>5999.9256575999998</v>
      </c>
      <c r="H23" s="51">
        <f t="shared" ref="H23:M23" si="9">G23</f>
        <v>5999.9256575999998</v>
      </c>
      <c r="I23" s="51">
        <f t="shared" si="9"/>
        <v>5999.9256575999998</v>
      </c>
      <c r="J23" s="51">
        <f t="shared" si="9"/>
        <v>5999.9256575999998</v>
      </c>
      <c r="K23" s="51">
        <f t="shared" si="9"/>
        <v>5999.9256575999998</v>
      </c>
      <c r="L23" s="51">
        <f t="shared" si="9"/>
        <v>5999.9256575999998</v>
      </c>
      <c r="M23" s="51">
        <f t="shared" si="9"/>
        <v>5999.9256575999998</v>
      </c>
    </row>
    <row r="24" spans="2:13" ht="18" customHeight="1">
      <c r="B24" s="2" t="s">
        <v>69</v>
      </c>
      <c r="C24" s="2"/>
      <c r="D24" s="2"/>
      <c r="E24" s="2"/>
      <c r="F24" s="51">
        <f t="shared" ref="F24:M24" si="10">F23*F20</f>
        <v>1607980.0762368001</v>
      </c>
      <c r="G24" s="51">
        <f t="shared" si="10"/>
        <v>2009975.0952959999</v>
      </c>
      <c r="H24" s="51">
        <f t="shared" si="10"/>
        <v>2009975.0952959999</v>
      </c>
      <c r="I24" s="51">
        <f t="shared" si="10"/>
        <v>2009975.0952959999</v>
      </c>
      <c r="J24" s="51">
        <f t="shared" si="10"/>
        <v>2009975.0952959999</v>
      </c>
      <c r="K24" s="51">
        <f t="shared" si="10"/>
        <v>2009975.0952959999</v>
      </c>
      <c r="L24" s="51">
        <f t="shared" si="10"/>
        <v>2009975.0952959999</v>
      </c>
      <c r="M24" s="51">
        <f t="shared" si="10"/>
        <v>2009975.0952959999</v>
      </c>
    </row>
    <row r="25" spans="2:13" ht="18" customHeight="1">
      <c r="B25" s="2" t="s">
        <v>71</v>
      </c>
      <c r="C25" s="2"/>
      <c r="D25" s="2"/>
      <c r="E25" s="2"/>
      <c r="F25" s="49">
        <f>'Common Assumption'!D34</f>
        <v>62.86</v>
      </c>
      <c r="G25" s="48">
        <f>F25*(1+G26)</f>
        <v>66.003</v>
      </c>
      <c r="H25" s="48">
        <f t="shared" ref="H25:M25" si="11">G25*(1+H26)</f>
        <v>69.303150000000002</v>
      </c>
      <c r="I25" s="48">
        <f t="shared" si="11"/>
        <v>72.768307500000006</v>
      </c>
      <c r="J25" s="48">
        <f t="shared" si="11"/>
        <v>76.406722875000014</v>
      </c>
      <c r="K25" s="48">
        <f t="shared" si="11"/>
        <v>80.227059018750012</v>
      </c>
      <c r="L25" s="48">
        <f t="shared" si="11"/>
        <v>84.238411969687519</v>
      </c>
      <c r="M25" s="48">
        <f t="shared" si="11"/>
        <v>88.450332568171902</v>
      </c>
    </row>
    <row r="26" spans="2:13" ht="18" customHeight="1">
      <c r="B26" s="2" t="s">
        <v>61</v>
      </c>
      <c r="C26" s="2"/>
      <c r="D26" s="2"/>
      <c r="E26" s="2"/>
      <c r="F26" s="15"/>
      <c r="G26" s="15">
        <f>'Common Assumption'!D36</f>
        <v>0.05</v>
      </c>
      <c r="H26" s="15">
        <f t="shared" ref="H26" si="12">G26</f>
        <v>0.05</v>
      </c>
      <c r="I26" s="15">
        <f t="shared" ref="I26" si="13">H26</f>
        <v>0.05</v>
      </c>
      <c r="J26" s="15">
        <f t="shared" ref="J26" si="14">I26</f>
        <v>0.05</v>
      </c>
      <c r="K26" s="15">
        <f t="shared" ref="K26" si="15">J26</f>
        <v>0.05</v>
      </c>
      <c r="L26" s="15">
        <f t="shared" ref="L26" si="16">K26</f>
        <v>0.05</v>
      </c>
      <c r="M26" s="15">
        <f t="shared" ref="M26" si="17">L26</f>
        <v>0.05</v>
      </c>
    </row>
    <row r="27" spans="2:13" ht="18" customHeight="1">
      <c r="B27" s="55" t="s">
        <v>426</v>
      </c>
      <c r="C27" s="55"/>
      <c r="D27" s="55"/>
      <c r="E27" s="55"/>
      <c r="F27" s="56">
        <f>F25*F24/10^7</f>
        <v>10.107762759224524</v>
      </c>
      <c r="G27" s="56">
        <f t="shared" ref="G27:M27" si="18">G25*G24/10^7</f>
        <v>13.266438621482187</v>
      </c>
      <c r="H27" s="56">
        <f t="shared" si="18"/>
        <v>13.929760552556298</v>
      </c>
      <c r="I27" s="56">
        <f t="shared" si="18"/>
        <v>14.626248580184114</v>
      </c>
      <c r="J27" s="56">
        <f t="shared" si="18"/>
        <v>15.357561009193322</v>
      </c>
      <c r="K27" s="56">
        <f t="shared" si="18"/>
        <v>16.125439059652987</v>
      </c>
      <c r="L27" s="56">
        <f t="shared" si="18"/>
        <v>16.931711012635635</v>
      </c>
      <c r="M27" s="56">
        <f t="shared" si="18"/>
        <v>17.778296563267418</v>
      </c>
    </row>
    <row r="28" spans="2:13" ht="18" customHeight="1">
      <c r="B28" s="2"/>
      <c r="C28" s="2"/>
      <c r="D28" s="2"/>
      <c r="E28" s="2"/>
      <c r="F28" s="51"/>
      <c r="G28" s="51"/>
      <c r="H28" s="51"/>
      <c r="I28" s="51"/>
      <c r="J28" s="51"/>
      <c r="K28" s="51"/>
      <c r="L28" s="51"/>
      <c r="M28" s="51"/>
    </row>
    <row r="29" spans="2:13" ht="18" customHeight="1">
      <c r="B29" s="47" t="s">
        <v>72</v>
      </c>
      <c r="C29" s="27"/>
      <c r="D29" s="15"/>
      <c r="E29" s="15"/>
      <c r="F29" s="15"/>
      <c r="G29" s="27"/>
      <c r="H29" s="27"/>
      <c r="I29" s="27"/>
      <c r="J29" s="27"/>
      <c r="K29" s="27"/>
      <c r="L29" s="27"/>
      <c r="M29" s="27"/>
    </row>
    <row r="30" spans="2:13" ht="18" customHeight="1">
      <c r="B30" s="60" t="s">
        <v>74</v>
      </c>
      <c r="C30" s="27"/>
      <c r="D30" s="15"/>
      <c r="E30" s="15"/>
      <c r="F30" s="293">
        <f>'Common Assumption'!D31*80%</f>
        <v>18400</v>
      </c>
      <c r="G30" s="51">
        <f>'Common Assumption'!D31</f>
        <v>23000</v>
      </c>
      <c r="H30" s="51">
        <f t="shared" ref="H30:M30" si="19">G30</f>
        <v>23000</v>
      </c>
      <c r="I30" s="51">
        <f t="shared" si="19"/>
        <v>23000</v>
      </c>
      <c r="J30" s="51">
        <f t="shared" si="19"/>
        <v>23000</v>
      </c>
      <c r="K30" s="51">
        <f t="shared" si="19"/>
        <v>23000</v>
      </c>
      <c r="L30" s="51">
        <f t="shared" si="19"/>
        <v>23000</v>
      </c>
      <c r="M30" s="51">
        <f t="shared" si="19"/>
        <v>23000</v>
      </c>
    </row>
    <row r="31" spans="2:13" ht="18" customHeight="1">
      <c r="B31" s="2" t="s">
        <v>148</v>
      </c>
      <c r="C31" s="27"/>
      <c r="D31" s="27"/>
      <c r="E31" s="27"/>
      <c r="F31" s="51">
        <f t="shared" ref="F31:M31" si="20">F30*F20</f>
        <v>6164000</v>
      </c>
      <c r="G31" s="51">
        <f t="shared" si="20"/>
        <v>7705000</v>
      </c>
      <c r="H31" s="51">
        <f t="shared" si="20"/>
        <v>7705000</v>
      </c>
      <c r="I31" s="51">
        <f t="shared" si="20"/>
        <v>7705000</v>
      </c>
      <c r="J31" s="51">
        <f t="shared" si="20"/>
        <v>7705000</v>
      </c>
      <c r="K31" s="51">
        <f t="shared" si="20"/>
        <v>7705000</v>
      </c>
      <c r="L31" s="51">
        <f t="shared" si="20"/>
        <v>7705000</v>
      </c>
      <c r="M31" s="51">
        <f t="shared" si="20"/>
        <v>7705000</v>
      </c>
    </row>
    <row r="32" spans="2:13" ht="18" customHeight="1">
      <c r="B32" s="2" t="s">
        <v>75</v>
      </c>
      <c r="C32" s="2"/>
      <c r="D32" s="2"/>
      <c r="E32" s="2"/>
      <c r="F32" s="49">
        <f>'Common Assumption'!D35</f>
        <v>5.5</v>
      </c>
      <c r="G32" s="48">
        <f>F32*(1+G33)</f>
        <v>5.7750000000000004</v>
      </c>
      <c r="H32" s="48">
        <f t="shared" ref="H32:M32" si="21">G32*(1+H33)</f>
        <v>6.0637500000000006</v>
      </c>
      <c r="I32" s="48">
        <f t="shared" si="21"/>
        <v>6.3669375000000006</v>
      </c>
      <c r="J32" s="48">
        <f t="shared" si="21"/>
        <v>6.6852843750000011</v>
      </c>
      <c r="K32" s="48">
        <f t="shared" si="21"/>
        <v>7.0195485937500015</v>
      </c>
      <c r="L32" s="48">
        <f t="shared" si="21"/>
        <v>7.3705260234375016</v>
      </c>
      <c r="M32" s="48">
        <f t="shared" si="21"/>
        <v>7.7390523246093768</v>
      </c>
    </row>
    <row r="33" spans="2:16" ht="18" customHeight="1">
      <c r="B33" s="2" t="s">
        <v>61</v>
      </c>
      <c r="C33" s="2"/>
      <c r="D33" s="2"/>
      <c r="E33" s="2"/>
      <c r="F33" s="15"/>
      <c r="G33" s="15">
        <f>'Common Assumption'!D36</f>
        <v>0.05</v>
      </c>
      <c r="H33" s="15">
        <f t="shared" ref="H33:M33" si="22">G33</f>
        <v>0.05</v>
      </c>
      <c r="I33" s="15">
        <f t="shared" si="22"/>
        <v>0.05</v>
      </c>
      <c r="J33" s="15">
        <f t="shared" si="22"/>
        <v>0.05</v>
      </c>
      <c r="K33" s="15">
        <f t="shared" si="22"/>
        <v>0.05</v>
      </c>
      <c r="L33" s="15">
        <f t="shared" si="22"/>
        <v>0.05</v>
      </c>
      <c r="M33" s="15">
        <f t="shared" si="22"/>
        <v>0.05</v>
      </c>
    </row>
    <row r="34" spans="2:16" ht="18" customHeight="1">
      <c r="B34" s="55" t="s">
        <v>76</v>
      </c>
      <c r="C34" s="55"/>
      <c r="D34" s="55"/>
      <c r="E34" s="55"/>
      <c r="F34" s="56">
        <f>F31*F32/10^7</f>
        <v>3.3902000000000001</v>
      </c>
      <c r="G34" s="56">
        <f t="shared" ref="G34:M34" si="23">G31*G32/10^7</f>
        <v>4.4496374999999997</v>
      </c>
      <c r="H34" s="56">
        <f t="shared" si="23"/>
        <v>4.6721193750000012</v>
      </c>
      <c r="I34" s="56">
        <f t="shared" si="23"/>
        <v>4.9057253437500004</v>
      </c>
      <c r="J34" s="56">
        <f t="shared" si="23"/>
        <v>5.151011610937501</v>
      </c>
      <c r="K34" s="56">
        <f t="shared" si="23"/>
        <v>5.4085621914843758</v>
      </c>
      <c r="L34" s="56">
        <f t="shared" si="23"/>
        <v>5.6789903010585947</v>
      </c>
      <c r="M34" s="56">
        <f t="shared" si="23"/>
        <v>5.9629398161115255</v>
      </c>
    </row>
    <row r="36" spans="2:16" ht="18" customHeight="1">
      <c r="B36" s="61" t="s">
        <v>98</v>
      </c>
      <c r="C36" s="61"/>
      <c r="D36" s="61"/>
      <c r="E36" s="61"/>
      <c r="F36" s="62">
        <f t="shared" ref="F36:M36" si="24">F27+F34</f>
        <v>13.497962759224524</v>
      </c>
      <c r="G36" s="62">
        <f t="shared" si="24"/>
        <v>17.716076121482189</v>
      </c>
      <c r="H36" s="62">
        <f t="shared" si="24"/>
        <v>18.601879927556297</v>
      </c>
      <c r="I36" s="62">
        <f t="shared" si="24"/>
        <v>19.531973923934114</v>
      </c>
      <c r="J36" s="62">
        <f t="shared" si="24"/>
        <v>20.508572620130824</v>
      </c>
      <c r="K36" s="62">
        <f t="shared" si="24"/>
        <v>21.534001251137362</v>
      </c>
      <c r="L36" s="62">
        <f t="shared" si="24"/>
        <v>22.610701313694229</v>
      </c>
      <c r="M36" s="62">
        <f t="shared" si="24"/>
        <v>23.741236379378943</v>
      </c>
    </row>
    <row r="38" spans="2:16" ht="20.25" customHeight="1">
      <c r="B38" s="52" t="s">
        <v>77</v>
      </c>
      <c r="C38" s="53"/>
      <c r="D38" s="53"/>
      <c r="E38" s="53"/>
      <c r="F38" s="54"/>
      <c r="G38" s="54"/>
      <c r="H38" s="54"/>
      <c r="I38" s="54"/>
      <c r="J38" s="54"/>
      <c r="K38" s="54"/>
      <c r="L38" s="54"/>
      <c r="M38" s="54"/>
    </row>
    <row r="39" spans="2:16" ht="18" customHeight="1">
      <c r="B39" s="47" t="s">
        <v>78</v>
      </c>
      <c r="C39" s="2"/>
      <c r="D39" s="2"/>
      <c r="E39" s="2"/>
      <c r="F39" s="2"/>
      <c r="G39" s="2"/>
      <c r="H39" s="2"/>
      <c r="I39" s="2"/>
      <c r="J39" s="2"/>
      <c r="K39" s="2"/>
      <c r="L39" s="2"/>
      <c r="M39" s="2"/>
    </row>
    <row r="40" spans="2:16" ht="15">
      <c r="B40" s="13" t="str">
        <f>'Common Assumption'!B39 &amp; " requirement KGPD"</f>
        <v>Cattle Dung requirement KGPD</v>
      </c>
      <c r="C40" s="2"/>
      <c r="D40" s="2"/>
      <c r="E40" s="2"/>
      <c r="F40" s="293">
        <f>'Common Assumption'!D39*80%</f>
        <v>8000</v>
      </c>
      <c r="G40" s="64">
        <f>'Common Assumption'!D39</f>
        <v>10000</v>
      </c>
      <c r="H40" s="64">
        <f t="shared" ref="H40:M40" si="25">G40</f>
        <v>10000</v>
      </c>
      <c r="I40" s="64">
        <f t="shared" si="25"/>
        <v>10000</v>
      </c>
      <c r="J40" s="64">
        <f t="shared" si="25"/>
        <v>10000</v>
      </c>
      <c r="K40" s="64">
        <f t="shared" si="25"/>
        <v>10000</v>
      </c>
      <c r="L40" s="64">
        <f t="shared" si="25"/>
        <v>10000</v>
      </c>
      <c r="M40" s="64">
        <f t="shared" si="25"/>
        <v>10000</v>
      </c>
    </row>
    <row r="41" spans="2:16" ht="18" customHeight="1">
      <c r="B41" s="2" t="s">
        <v>83</v>
      </c>
      <c r="C41" s="2"/>
      <c r="D41" s="2"/>
      <c r="E41" s="2"/>
      <c r="F41" s="64">
        <f t="shared" ref="F41:M41" si="26">F40*F20</f>
        <v>2680000</v>
      </c>
      <c r="G41" s="64">
        <f t="shared" si="26"/>
        <v>3350000</v>
      </c>
      <c r="H41" s="64">
        <f t="shared" si="26"/>
        <v>3350000</v>
      </c>
      <c r="I41" s="64">
        <f t="shared" si="26"/>
        <v>3350000</v>
      </c>
      <c r="J41" s="64">
        <f t="shared" si="26"/>
        <v>3350000</v>
      </c>
      <c r="K41" s="64">
        <f t="shared" si="26"/>
        <v>3350000</v>
      </c>
      <c r="L41" s="64">
        <f t="shared" si="26"/>
        <v>3350000</v>
      </c>
      <c r="M41" s="64">
        <f t="shared" si="26"/>
        <v>3350000</v>
      </c>
    </row>
    <row r="42" spans="2:16" ht="18" customHeight="1">
      <c r="B42" s="2" t="s">
        <v>84</v>
      </c>
      <c r="C42" s="2"/>
      <c r="D42" s="2"/>
      <c r="E42" s="2"/>
      <c r="F42" s="63">
        <f>'Common Assumption'!D42</f>
        <v>1</v>
      </c>
      <c r="G42" s="59">
        <f>F42*(1+G43)</f>
        <v>1.05</v>
      </c>
      <c r="H42" s="59">
        <f t="shared" ref="H42:M42" si="27">G42*(1+H43)</f>
        <v>1.1025</v>
      </c>
      <c r="I42" s="59">
        <f t="shared" si="27"/>
        <v>1.1576250000000001</v>
      </c>
      <c r="J42" s="59">
        <f t="shared" si="27"/>
        <v>1.2155062500000002</v>
      </c>
      <c r="K42" s="59">
        <f t="shared" si="27"/>
        <v>1.2762815625000004</v>
      </c>
      <c r="L42" s="59">
        <f t="shared" si="27"/>
        <v>1.3400956406250004</v>
      </c>
      <c r="M42" s="59">
        <f t="shared" si="27"/>
        <v>1.4071004226562505</v>
      </c>
    </row>
    <row r="43" spans="2:16" ht="18" customHeight="1">
      <c r="B43" s="2" t="s">
        <v>79</v>
      </c>
      <c r="C43" s="2"/>
      <c r="D43" s="2"/>
      <c r="E43" s="2"/>
      <c r="F43" s="15"/>
      <c r="G43" s="15">
        <f>'Common Assumption'!D45</f>
        <v>0.05</v>
      </c>
      <c r="H43" s="15">
        <f>G43</f>
        <v>0.05</v>
      </c>
      <c r="I43" s="15">
        <f t="shared" ref="I43:M43" si="28">H43</f>
        <v>0.05</v>
      </c>
      <c r="J43" s="15">
        <f t="shared" si="28"/>
        <v>0.05</v>
      </c>
      <c r="K43" s="15">
        <f t="shared" si="28"/>
        <v>0.05</v>
      </c>
      <c r="L43" s="15">
        <f t="shared" si="28"/>
        <v>0.05</v>
      </c>
      <c r="M43" s="15">
        <f t="shared" si="28"/>
        <v>0.05</v>
      </c>
    </row>
    <row r="44" spans="2:16" ht="18" customHeight="1">
      <c r="B44" s="55" t="s">
        <v>400</v>
      </c>
      <c r="C44" s="55"/>
      <c r="D44" s="55"/>
      <c r="E44" s="55"/>
      <c r="F44" s="56">
        <f>F41*F42/10^7</f>
        <v>0.26800000000000002</v>
      </c>
      <c r="G44" s="56">
        <f t="shared" ref="G44:M44" si="29">G41*G42/10^7</f>
        <v>0.35175000000000001</v>
      </c>
      <c r="H44" s="56">
        <f t="shared" si="29"/>
        <v>0.36933749999999999</v>
      </c>
      <c r="I44" s="56">
        <f t="shared" si="29"/>
        <v>0.38780437500000003</v>
      </c>
      <c r="J44" s="56">
        <f t="shared" si="29"/>
        <v>0.40719459375000011</v>
      </c>
      <c r="K44" s="56">
        <f t="shared" si="29"/>
        <v>0.42755432343750011</v>
      </c>
      <c r="L44" s="56">
        <f t="shared" si="29"/>
        <v>0.44893203960937511</v>
      </c>
      <c r="M44" s="56">
        <f t="shared" si="29"/>
        <v>0.47137864158984394</v>
      </c>
    </row>
    <row r="46" spans="2:16" ht="18" customHeight="1">
      <c r="B46" s="13" t="s">
        <v>85</v>
      </c>
      <c r="C46" s="2"/>
      <c r="D46" s="2"/>
      <c r="E46" s="2"/>
      <c r="F46" s="293">
        <f>'Common Assumption'!D40*80%</f>
        <v>96000</v>
      </c>
      <c r="G46" s="64">
        <f>'Common Assumption'!D40</f>
        <v>120000</v>
      </c>
      <c r="H46" s="64">
        <f t="shared" ref="H46:M46" si="30">G46</f>
        <v>120000</v>
      </c>
      <c r="I46" s="64">
        <f t="shared" si="30"/>
        <v>120000</v>
      </c>
      <c r="J46" s="64">
        <f t="shared" si="30"/>
        <v>120000</v>
      </c>
      <c r="K46" s="64">
        <f t="shared" si="30"/>
        <v>120000</v>
      </c>
      <c r="L46" s="64">
        <f t="shared" si="30"/>
        <v>120000</v>
      </c>
      <c r="M46" s="64">
        <f t="shared" si="30"/>
        <v>120000</v>
      </c>
      <c r="P46" s="64"/>
    </row>
    <row r="47" spans="2:16" ht="18" customHeight="1">
      <c r="B47" s="2" t="s">
        <v>83</v>
      </c>
      <c r="C47" s="2"/>
      <c r="D47" s="2"/>
      <c r="E47" s="2"/>
      <c r="F47" s="64">
        <f t="shared" ref="F47:M47" si="31">F46*F20</f>
        <v>32160000</v>
      </c>
      <c r="G47" s="64">
        <f t="shared" si="31"/>
        <v>40200000</v>
      </c>
      <c r="H47" s="64">
        <f t="shared" si="31"/>
        <v>40200000</v>
      </c>
      <c r="I47" s="64">
        <f t="shared" si="31"/>
        <v>40200000</v>
      </c>
      <c r="J47" s="64">
        <f t="shared" si="31"/>
        <v>40200000</v>
      </c>
      <c r="K47" s="64">
        <f t="shared" si="31"/>
        <v>40200000</v>
      </c>
      <c r="L47" s="64">
        <f t="shared" si="31"/>
        <v>40200000</v>
      </c>
      <c r="M47" s="64">
        <f t="shared" si="31"/>
        <v>40200000</v>
      </c>
    </row>
    <row r="48" spans="2:16" ht="18" customHeight="1">
      <c r="B48" s="2" t="s">
        <v>84</v>
      </c>
      <c r="C48" s="2"/>
      <c r="D48" s="2"/>
      <c r="E48" s="2"/>
      <c r="F48" s="63">
        <f>'Common Assumption'!D43</f>
        <v>1.2</v>
      </c>
      <c r="G48" s="59">
        <f>F48*(1+G49)</f>
        <v>1.26</v>
      </c>
      <c r="H48" s="59">
        <f t="shared" ref="H48:M48" si="32">G48*(1+H49)</f>
        <v>1.3230000000000002</v>
      </c>
      <c r="I48" s="59">
        <f t="shared" si="32"/>
        <v>1.3891500000000003</v>
      </c>
      <c r="J48" s="59">
        <f t="shared" si="32"/>
        <v>1.4586075000000005</v>
      </c>
      <c r="K48" s="59">
        <f t="shared" si="32"/>
        <v>1.5315378750000006</v>
      </c>
      <c r="L48" s="59">
        <f t="shared" si="32"/>
        <v>1.6081147687500008</v>
      </c>
      <c r="M48" s="59">
        <f t="shared" si="32"/>
        <v>1.6885205071875009</v>
      </c>
      <c r="P48" s="59"/>
    </row>
    <row r="49" spans="2:13" ht="18" customHeight="1">
      <c r="B49" s="2" t="s">
        <v>79</v>
      </c>
      <c r="C49" s="2"/>
      <c r="D49" s="2"/>
      <c r="E49" s="2"/>
      <c r="F49" s="15"/>
      <c r="G49" s="15">
        <f>'Common Assumption'!D45</f>
        <v>0.05</v>
      </c>
      <c r="H49" s="15">
        <f>G49</f>
        <v>0.05</v>
      </c>
      <c r="I49" s="15">
        <f t="shared" ref="I49:M49" si="33">H49</f>
        <v>0.05</v>
      </c>
      <c r="J49" s="15">
        <f t="shared" si="33"/>
        <v>0.05</v>
      </c>
      <c r="K49" s="15">
        <f t="shared" si="33"/>
        <v>0.05</v>
      </c>
      <c r="L49" s="15">
        <f t="shared" si="33"/>
        <v>0.05</v>
      </c>
      <c r="M49" s="15">
        <f t="shared" si="33"/>
        <v>0.05</v>
      </c>
    </row>
    <row r="50" spans="2:13" ht="18" customHeight="1">
      <c r="B50" s="55" t="s">
        <v>178</v>
      </c>
      <c r="C50" s="55"/>
      <c r="D50" s="55"/>
      <c r="E50" s="55"/>
      <c r="F50" s="56">
        <f>F47*F48/10^7</f>
        <v>3.8592</v>
      </c>
      <c r="G50" s="56">
        <f t="shared" ref="G50:M50" si="34">G47*G48/10^7</f>
        <v>5.0651999999999999</v>
      </c>
      <c r="H50" s="56">
        <f t="shared" si="34"/>
        <v>5.3184600000000009</v>
      </c>
      <c r="I50" s="56">
        <f t="shared" si="34"/>
        <v>5.5843830000000017</v>
      </c>
      <c r="J50" s="56">
        <f t="shared" si="34"/>
        <v>5.863602150000002</v>
      </c>
      <c r="K50" s="56">
        <f t="shared" si="34"/>
        <v>6.1567822575000024</v>
      </c>
      <c r="L50" s="56">
        <f t="shared" si="34"/>
        <v>6.4646213703750028</v>
      </c>
      <c r="M50" s="56">
        <f t="shared" si="34"/>
        <v>6.7878524388937533</v>
      </c>
    </row>
    <row r="52" spans="2:13" ht="30">
      <c r="B52" s="13" t="str">
        <f>'Common Assumption'!B41 &amp; " requirement KGPD"</f>
        <v>Jaggery waste &amp; Non edible oil cake as an additive requirement KGPD</v>
      </c>
      <c r="C52" s="2"/>
      <c r="D52" s="2"/>
      <c r="E52" s="2"/>
      <c r="F52" s="293">
        <f>'Common Assumption'!D41*80%</f>
        <v>400</v>
      </c>
      <c r="G52" s="64">
        <f>'Common Assumption'!D41</f>
        <v>500</v>
      </c>
      <c r="H52" s="64">
        <f t="shared" ref="H52" si="35">G52</f>
        <v>500</v>
      </c>
      <c r="I52" s="64">
        <f t="shared" ref="I52" si="36">H52</f>
        <v>500</v>
      </c>
      <c r="J52" s="64">
        <f t="shared" ref="J52" si="37">I52</f>
        <v>500</v>
      </c>
      <c r="K52" s="64">
        <f t="shared" ref="K52" si="38">J52</f>
        <v>500</v>
      </c>
      <c r="L52" s="64">
        <f t="shared" ref="L52" si="39">K52</f>
        <v>500</v>
      </c>
      <c r="M52" s="64">
        <f t="shared" ref="M52" si="40">L52</f>
        <v>500</v>
      </c>
    </row>
    <row r="53" spans="2:13" ht="18" customHeight="1">
      <c r="B53" s="2" t="s">
        <v>83</v>
      </c>
      <c r="C53" s="2"/>
      <c r="D53" s="2"/>
      <c r="E53" s="2"/>
      <c r="F53" s="64">
        <f t="shared" ref="F53:M53" si="41">F52*F20</f>
        <v>134000</v>
      </c>
      <c r="G53" s="64">
        <f t="shared" si="41"/>
        <v>167500</v>
      </c>
      <c r="H53" s="64">
        <f t="shared" si="41"/>
        <v>167500</v>
      </c>
      <c r="I53" s="64">
        <f t="shared" si="41"/>
        <v>167500</v>
      </c>
      <c r="J53" s="64">
        <f t="shared" si="41"/>
        <v>167500</v>
      </c>
      <c r="K53" s="64">
        <f t="shared" si="41"/>
        <v>167500</v>
      </c>
      <c r="L53" s="64">
        <f t="shared" si="41"/>
        <v>167500</v>
      </c>
      <c r="M53" s="64">
        <f t="shared" si="41"/>
        <v>167500</v>
      </c>
    </row>
    <row r="54" spans="2:13" ht="18" customHeight="1">
      <c r="B54" s="2" t="s">
        <v>84</v>
      </c>
      <c r="C54" s="2"/>
      <c r="D54" s="2"/>
      <c r="E54" s="2"/>
      <c r="F54" s="63">
        <f>'Common Assumption'!D44</f>
        <v>25</v>
      </c>
      <c r="G54" s="59">
        <f>F54*(1+G55)</f>
        <v>26.25</v>
      </c>
      <c r="H54" s="59">
        <f t="shared" ref="H54:M54" si="42">G54*(1+H55)</f>
        <v>27.5625</v>
      </c>
      <c r="I54" s="59">
        <f t="shared" si="42"/>
        <v>28.940625000000001</v>
      </c>
      <c r="J54" s="59">
        <f t="shared" si="42"/>
        <v>30.387656250000003</v>
      </c>
      <c r="K54" s="59">
        <f t="shared" si="42"/>
        <v>31.907039062500004</v>
      </c>
      <c r="L54" s="59">
        <f t="shared" si="42"/>
        <v>33.502391015625008</v>
      </c>
      <c r="M54" s="59">
        <f t="shared" si="42"/>
        <v>35.177510566406262</v>
      </c>
    </row>
    <row r="55" spans="2:13" ht="18" customHeight="1">
      <c r="B55" s="2" t="s">
        <v>79</v>
      </c>
      <c r="C55" s="2"/>
      <c r="D55" s="2"/>
      <c r="E55" s="2"/>
      <c r="F55" s="15"/>
      <c r="G55" s="15">
        <f>'Common Assumption'!D45</f>
        <v>0.05</v>
      </c>
      <c r="H55" s="15">
        <f>G55</f>
        <v>0.05</v>
      </c>
      <c r="I55" s="15">
        <f t="shared" ref="I55" si="43">H55</f>
        <v>0.05</v>
      </c>
      <c r="J55" s="15">
        <f t="shared" ref="J55" si="44">I55</f>
        <v>0.05</v>
      </c>
      <c r="K55" s="15">
        <f t="shared" ref="K55" si="45">J55</f>
        <v>0.05</v>
      </c>
      <c r="L55" s="15">
        <f t="shared" ref="L55" si="46">K55</f>
        <v>0.05</v>
      </c>
      <c r="M55" s="15">
        <f t="shared" ref="M55" si="47">L55</f>
        <v>0.05</v>
      </c>
    </row>
    <row r="56" spans="2:13" ht="18" customHeight="1">
      <c r="B56" s="55" t="s">
        <v>427</v>
      </c>
      <c r="C56" s="55"/>
      <c r="D56" s="55"/>
      <c r="E56" s="55"/>
      <c r="F56" s="56">
        <f>F53*F54/10^7</f>
        <v>0.33500000000000002</v>
      </c>
      <c r="G56" s="56">
        <f t="shared" ref="G56:M56" si="48">G53*G54/10^7</f>
        <v>0.43968750000000001</v>
      </c>
      <c r="H56" s="56">
        <f t="shared" si="48"/>
        <v>0.46167187500000001</v>
      </c>
      <c r="I56" s="56">
        <f t="shared" si="48"/>
        <v>0.48475546874999997</v>
      </c>
      <c r="J56" s="56">
        <f t="shared" si="48"/>
        <v>0.50899324218749997</v>
      </c>
      <c r="K56" s="56">
        <f t="shared" si="48"/>
        <v>0.53444290429687513</v>
      </c>
      <c r="L56" s="56">
        <f t="shared" si="48"/>
        <v>0.56116504951171886</v>
      </c>
      <c r="M56" s="56">
        <f t="shared" si="48"/>
        <v>0.58922330198730488</v>
      </c>
    </row>
    <row r="58" spans="2:13" ht="18" customHeight="1">
      <c r="B58" s="61" t="s">
        <v>86</v>
      </c>
      <c r="C58" s="61"/>
      <c r="D58" s="61"/>
      <c r="E58" s="61"/>
      <c r="F58" s="62">
        <f>F44+F50+F56</f>
        <v>4.4622000000000002</v>
      </c>
      <c r="G58" s="62">
        <f t="shared" ref="G58:M58" si="49">G44+G50+G56</f>
        <v>5.8566374999999997</v>
      </c>
      <c r="H58" s="62">
        <f t="shared" si="49"/>
        <v>6.1494693750000016</v>
      </c>
      <c r="I58" s="62">
        <f t="shared" si="49"/>
        <v>6.4569428437500012</v>
      </c>
      <c r="J58" s="62">
        <f t="shared" si="49"/>
        <v>6.7797899859375015</v>
      </c>
      <c r="K58" s="62">
        <f t="shared" si="49"/>
        <v>7.118779485234378</v>
      </c>
      <c r="L58" s="62">
        <f t="shared" si="49"/>
        <v>7.4747184594960974</v>
      </c>
      <c r="M58" s="62">
        <f t="shared" si="49"/>
        <v>7.8484543824709023</v>
      </c>
    </row>
    <row r="60" spans="2:13" ht="18" customHeight="1">
      <c r="B60" s="47" t="s">
        <v>110</v>
      </c>
      <c r="C60" s="27"/>
      <c r="D60" s="27"/>
      <c r="E60" s="27"/>
      <c r="F60" s="27"/>
      <c r="G60" s="27"/>
      <c r="H60" s="27"/>
      <c r="I60" s="27"/>
    </row>
    <row r="61" spans="2:13" ht="18" customHeight="1">
      <c r="B61" s="2" t="s">
        <v>143</v>
      </c>
      <c r="C61" s="27"/>
      <c r="D61" s="27"/>
      <c r="E61" s="27"/>
      <c r="F61" s="293">
        <f>'Common Assumption'!D49*80%</f>
        <v>3495.2000000000003</v>
      </c>
      <c r="G61" s="48">
        <f>'Common Assumption'!D49</f>
        <v>4369</v>
      </c>
      <c r="H61" s="48">
        <f t="shared" ref="H61:M61" si="50">G61</f>
        <v>4369</v>
      </c>
      <c r="I61" s="48">
        <f t="shared" si="50"/>
        <v>4369</v>
      </c>
      <c r="J61" s="48">
        <f t="shared" si="50"/>
        <v>4369</v>
      </c>
      <c r="K61" s="48">
        <f t="shared" si="50"/>
        <v>4369</v>
      </c>
      <c r="L61" s="48">
        <f t="shared" si="50"/>
        <v>4369</v>
      </c>
      <c r="M61" s="48">
        <f t="shared" si="50"/>
        <v>4369</v>
      </c>
    </row>
    <row r="62" spans="2:13" ht="18" customHeight="1">
      <c r="B62" s="2" t="s">
        <v>112</v>
      </c>
      <c r="C62" s="27"/>
      <c r="D62" s="27"/>
      <c r="E62" s="27"/>
      <c r="F62" s="27">
        <f t="shared" ref="F62:M62" si="51">F61*F20</f>
        <v>1170892</v>
      </c>
      <c r="G62" s="27">
        <f t="shared" si="51"/>
        <v>1463615</v>
      </c>
      <c r="H62" s="27">
        <f t="shared" si="51"/>
        <v>1463615</v>
      </c>
      <c r="I62" s="27">
        <f t="shared" si="51"/>
        <v>1463615</v>
      </c>
      <c r="J62" s="27">
        <f t="shared" si="51"/>
        <v>1463615</v>
      </c>
      <c r="K62" s="27">
        <f t="shared" si="51"/>
        <v>1463615</v>
      </c>
      <c r="L62" s="27">
        <f t="shared" si="51"/>
        <v>1463615</v>
      </c>
      <c r="M62" s="27">
        <f t="shared" si="51"/>
        <v>1463615</v>
      </c>
    </row>
    <row r="63" spans="2:13" ht="18" customHeight="1">
      <c r="B63" s="2" t="s">
        <v>113</v>
      </c>
      <c r="C63" s="27"/>
      <c r="D63" s="27"/>
      <c r="E63" s="27"/>
      <c r="F63" s="49">
        <f>'Common Assumption'!D50</f>
        <v>10</v>
      </c>
      <c r="G63" s="48">
        <f>F63*(1+G64)</f>
        <v>10.5</v>
      </c>
      <c r="H63" s="48">
        <f t="shared" ref="H63:M63" si="52">G63*(1+H64)</f>
        <v>11.025</v>
      </c>
      <c r="I63" s="48">
        <f t="shared" si="52"/>
        <v>11.576250000000002</v>
      </c>
      <c r="J63" s="48">
        <f t="shared" si="52"/>
        <v>12.155062500000001</v>
      </c>
      <c r="K63" s="48">
        <f t="shared" si="52"/>
        <v>12.762815625000002</v>
      </c>
      <c r="L63" s="48">
        <f t="shared" si="52"/>
        <v>13.400956406250003</v>
      </c>
      <c r="M63" s="48">
        <f t="shared" si="52"/>
        <v>14.071004226562504</v>
      </c>
    </row>
    <row r="64" spans="2:13" ht="18" customHeight="1">
      <c r="B64" s="2" t="s">
        <v>111</v>
      </c>
      <c r="C64" s="2"/>
      <c r="D64" s="2"/>
      <c r="E64" s="2"/>
      <c r="F64" s="15"/>
      <c r="G64" s="15">
        <f>'Common Assumption'!D51</f>
        <v>0.05</v>
      </c>
      <c r="H64" s="15">
        <f>G64</f>
        <v>0.05</v>
      </c>
      <c r="I64" s="15">
        <f t="shared" ref="I64:M64" si="53">H64</f>
        <v>0.05</v>
      </c>
      <c r="J64" s="15">
        <f t="shared" si="53"/>
        <v>0.05</v>
      </c>
      <c r="K64" s="15">
        <f t="shared" si="53"/>
        <v>0.05</v>
      </c>
      <c r="L64" s="15">
        <f t="shared" si="53"/>
        <v>0.05</v>
      </c>
      <c r="M64" s="15">
        <f t="shared" si="53"/>
        <v>0.05</v>
      </c>
    </row>
    <row r="65" spans="2:13" ht="18" customHeight="1">
      <c r="B65" s="55" t="s">
        <v>114</v>
      </c>
      <c r="C65" s="55"/>
      <c r="D65" s="55"/>
      <c r="E65" s="55"/>
      <c r="F65" s="56">
        <f>F62*F63/10^7</f>
        <v>1.170892</v>
      </c>
      <c r="G65" s="56">
        <f t="shared" ref="G65:M65" si="54">G62*G63/10^7</f>
        <v>1.53679575</v>
      </c>
      <c r="H65" s="56">
        <f t="shared" si="54"/>
        <v>1.6136355375</v>
      </c>
      <c r="I65" s="56">
        <f t="shared" si="54"/>
        <v>1.6943173143750001</v>
      </c>
      <c r="J65" s="56">
        <f t="shared" si="54"/>
        <v>1.7790331800937504</v>
      </c>
      <c r="K65" s="56">
        <f t="shared" si="54"/>
        <v>1.8679848390984379</v>
      </c>
      <c r="L65" s="56">
        <f t="shared" si="54"/>
        <v>1.9613840810533598</v>
      </c>
      <c r="M65" s="56">
        <f t="shared" si="54"/>
        <v>2.0594532851060277</v>
      </c>
    </row>
    <row r="67" spans="2:13" ht="18" customHeight="1">
      <c r="B67" s="2" t="s">
        <v>428</v>
      </c>
      <c r="C67" s="27"/>
      <c r="D67" s="27"/>
      <c r="E67" s="27"/>
      <c r="F67" s="293">
        <f>'Common Assumption'!D58*80%</f>
        <v>160</v>
      </c>
      <c r="G67" s="48">
        <f>F67</f>
        <v>160</v>
      </c>
      <c r="H67" s="48">
        <f t="shared" ref="H67" si="55">G67</f>
        <v>160</v>
      </c>
      <c r="I67" s="48">
        <f t="shared" ref="I67" si="56">H67</f>
        <v>160</v>
      </c>
      <c r="J67" s="48">
        <f t="shared" ref="J67" si="57">I67</f>
        <v>160</v>
      </c>
      <c r="K67" s="48">
        <f t="shared" ref="K67" si="58">J67</f>
        <v>160</v>
      </c>
      <c r="L67" s="48">
        <f t="shared" ref="L67" si="59">K67</f>
        <v>160</v>
      </c>
      <c r="M67" s="48">
        <f t="shared" ref="M67" si="60">L67</f>
        <v>160</v>
      </c>
    </row>
    <row r="68" spans="2:13" ht="18" customHeight="1">
      <c r="B68" s="2" t="s">
        <v>429</v>
      </c>
      <c r="C68" s="27"/>
      <c r="D68" s="27"/>
      <c r="E68" s="27"/>
      <c r="F68" s="27">
        <f t="shared" ref="F68:M68" si="61">F67*F20</f>
        <v>53600</v>
      </c>
      <c r="G68" s="27">
        <f t="shared" si="61"/>
        <v>53600</v>
      </c>
      <c r="H68" s="27">
        <f t="shared" si="61"/>
        <v>53600</v>
      </c>
      <c r="I68" s="27">
        <f t="shared" si="61"/>
        <v>53600</v>
      </c>
      <c r="J68" s="27">
        <f t="shared" si="61"/>
        <v>53600</v>
      </c>
      <c r="K68" s="27">
        <f t="shared" si="61"/>
        <v>53600</v>
      </c>
      <c r="L68" s="27">
        <f t="shared" si="61"/>
        <v>53600</v>
      </c>
      <c r="M68" s="27">
        <f t="shared" si="61"/>
        <v>53600</v>
      </c>
    </row>
    <row r="69" spans="2:13" ht="18" customHeight="1">
      <c r="B69" s="2" t="s">
        <v>430</v>
      </c>
      <c r="C69" s="27"/>
      <c r="D69" s="27"/>
      <c r="E69" s="27"/>
      <c r="F69" s="49">
        <f>'Common Assumption'!D60</f>
        <v>2</v>
      </c>
      <c r="G69" s="48">
        <f>F69*(1+G70)</f>
        <v>2.1</v>
      </c>
      <c r="H69" s="48">
        <f t="shared" ref="H69:M69" si="62">G69*(1+H70)</f>
        <v>2.2050000000000001</v>
      </c>
      <c r="I69" s="48">
        <f t="shared" si="62"/>
        <v>2.3152500000000003</v>
      </c>
      <c r="J69" s="48">
        <f t="shared" si="62"/>
        <v>2.4310125000000005</v>
      </c>
      <c r="K69" s="48">
        <f t="shared" si="62"/>
        <v>2.5525631250000007</v>
      </c>
      <c r="L69" s="48">
        <f t="shared" si="62"/>
        <v>2.6801912812500008</v>
      </c>
      <c r="M69" s="48">
        <f t="shared" si="62"/>
        <v>2.8142008453125009</v>
      </c>
    </row>
    <row r="70" spans="2:13" ht="18" customHeight="1">
      <c r="B70" s="2" t="s">
        <v>111</v>
      </c>
      <c r="C70" s="2"/>
      <c r="D70" s="2"/>
      <c r="E70" s="2"/>
      <c r="F70" s="15"/>
      <c r="G70" s="15">
        <f>'Common Assumption'!D61</f>
        <v>0.05</v>
      </c>
      <c r="H70" s="15">
        <f>G70</f>
        <v>0.05</v>
      </c>
      <c r="I70" s="15">
        <f t="shared" ref="I70" si="63">H70</f>
        <v>0.05</v>
      </c>
      <c r="J70" s="15">
        <f t="shared" ref="J70" si="64">I70</f>
        <v>0.05</v>
      </c>
      <c r="K70" s="15">
        <f t="shared" ref="K70" si="65">J70</f>
        <v>0.05</v>
      </c>
      <c r="L70" s="15">
        <f t="shared" ref="L70" si="66">K70</f>
        <v>0.05</v>
      </c>
      <c r="M70" s="15">
        <f t="shared" ref="M70" si="67">L70</f>
        <v>0.05</v>
      </c>
    </row>
    <row r="71" spans="2:13" ht="18" customHeight="1">
      <c r="B71" s="55" t="s">
        <v>431</v>
      </c>
      <c r="C71" s="55"/>
      <c r="D71" s="55"/>
      <c r="E71" s="55"/>
      <c r="F71" s="56">
        <f>F68*F69/10^7</f>
        <v>1.072E-2</v>
      </c>
      <c r="G71" s="56">
        <f t="shared" ref="G71:M71" si="68">G68*G69/10^7</f>
        <v>1.1256E-2</v>
      </c>
      <c r="H71" s="56">
        <f t="shared" si="68"/>
        <v>1.1818800000000001E-2</v>
      </c>
      <c r="I71" s="56">
        <f t="shared" si="68"/>
        <v>1.2409740000000001E-2</v>
      </c>
      <c r="J71" s="56">
        <f t="shared" si="68"/>
        <v>1.3030227000000002E-2</v>
      </c>
      <c r="K71" s="56">
        <f t="shared" si="68"/>
        <v>1.3681738350000002E-2</v>
      </c>
      <c r="L71" s="56">
        <f t="shared" si="68"/>
        <v>1.4365825267500005E-2</v>
      </c>
      <c r="M71" s="56">
        <f t="shared" si="68"/>
        <v>1.5084116530875005E-2</v>
      </c>
    </row>
    <row r="73" spans="2:13" ht="18" customHeight="1">
      <c r="B73" s="61" t="s">
        <v>434</v>
      </c>
      <c r="C73" s="61"/>
      <c r="D73" s="61"/>
      <c r="E73" s="61"/>
      <c r="F73" s="62">
        <f>F65+F71</f>
        <v>1.1816120000000001</v>
      </c>
      <c r="G73" s="62">
        <f t="shared" ref="G73:M73" si="69">G65+G71</f>
        <v>1.5480517499999999</v>
      </c>
      <c r="H73" s="62">
        <f t="shared" si="69"/>
        <v>1.6254543374999999</v>
      </c>
      <c r="I73" s="62">
        <f t="shared" si="69"/>
        <v>1.7067270543750002</v>
      </c>
      <c r="J73" s="62">
        <f t="shared" si="69"/>
        <v>1.7920634070937504</v>
      </c>
      <c r="K73" s="62">
        <f t="shared" si="69"/>
        <v>1.881666577448438</v>
      </c>
      <c r="L73" s="62">
        <f t="shared" si="69"/>
        <v>1.9757499063208599</v>
      </c>
      <c r="M73" s="62">
        <f t="shared" si="69"/>
        <v>2.0745374016369027</v>
      </c>
    </row>
    <row r="75" spans="2:13" ht="18" customHeight="1">
      <c r="B75" s="47" t="s">
        <v>31</v>
      </c>
      <c r="C75" s="27"/>
      <c r="D75" s="27"/>
      <c r="E75" s="27"/>
      <c r="F75" s="27"/>
      <c r="G75" s="27"/>
      <c r="H75" s="27"/>
      <c r="I75" s="27"/>
      <c r="J75" s="27"/>
      <c r="K75" s="27"/>
      <c r="L75" s="27"/>
      <c r="M75" s="27"/>
    </row>
    <row r="76" spans="2:13" ht="18" customHeight="1">
      <c r="B76" s="2" t="s">
        <v>115</v>
      </c>
      <c r="C76" s="27"/>
      <c r="D76" s="27"/>
      <c r="E76" s="27"/>
      <c r="F76" s="50">
        <f>'Common Assumption'!D65</f>
        <v>10356000</v>
      </c>
      <c r="G76" s="51">
        <f>F76*(1+G77)</f>
        <v>11391600</v>
      </c>
      <c r="H76" s="51">
        <f t="shared" ref="H76:M76" si="70">G76*(1+H77)</f>
        <v>12530760.000000002</v>
      </c>
      <c r="I76" s="51">
        <f t="shared" si="70"/>
        <v>13783836.000000004</v>
      </c>
      <c r="J76" s="51">
        <f t="shared" si="70"/>
        <v>15162219.600000005</v>
      </c>
      <c r="K76" s="51">
        <f t="shared" si="70"/>
        <v>16678441.560000008</v>
      </c>
      <c r="L76" s="51">
        <f t="shared" si="70"/>
        <v>18346285.716000009</v>
      </c>
      <c r="M76" s="51">
        <f t="shared" si="70"/>
        <v>20180914.287600011</v>
      </c>
    </row>
    <row r="77" spans="2:13" ht="18" customHeight="1">
      <c r="B77" s="2" t="s">
        <v>111</v>
      </c>
      <c r="C77" s="2"/>
      <c r="D77" s="2"/>
      <c r="E77" s="2"/>
      <c r="F77" s="15"/>
      <c r="G77" s="92">
        <f>'Common Assumption'!D66</f>
        <v>0.1</v>
      </c>
      <c r="H77" s="15">
        <f>G77</f>
        <v>0.1</v>
      </c>
      <c r="I77" s="15">
        <f t="shared" ref="I77:M77" si="71">H77</f>
        <v>0.1</v>
      </c>
      <c r="J77" s="15">
        <f t="shared" si="71"/>
        <v>0.1</v>
      </c>
      <c r="K77" s="15">
        <f t="shared" si="71"/>
        <v>0.1</v>
      </c>
      <c r="L77" s="15">
        <f t="shared" si="71"/>
        <v>0.1</v>
      </c>
      <c r="M77" s="15">
        <f t="shared" si="71"/>
        <v>0.1</v>
      </c>
    </row>
    <row r="78" spans="2:13" ht="18" customHeight="1">
      <c r="B78" s="93" t="s">
        <v>116</v>
      </c>
      <c r="C78" s="93"/>
      <c r="D78" s="93"/>
      <c r="E78" s="93"/>
      <c r="F78" s="94">
        <f>F76/10^7</f>
        <v>1.0356000000000001</v>
      </c>
      <c r="G78" s="94">
        <f t="shared" ref="G78:M78" si="72">G76/10^7</f>
        <v>1.13916</v>
      </c>
      <c r="H78" s="94">
        <f t="shared" si="72"/>
        <v>1.2530760000000001</v>
      </c>
      <c r="I78" s="94">
        <f t="shared" si="72"/>
        <v>1.3783836000000003</v>
      </c>
      <c r="J78" s="94">
        <f t="shared" si="72"/>
        <v>1.5162219600000004</v>
      </c>
      <c r="K78" s="94">
        <f t="shared" si="72"/>
        <v>1.6678441560000008</v>
      </c>
      <c r="L78" s="94">
        <f t="shared" si="72"/>
        <v>1.834628571600001</v>
      </c>
      <c r="M78" s="94">
        <f t="shared" si="72"/>
        <v>2.0180914287600009</v>
      </c>
    </row>
    <row r="80" spans="2:13" ht="18" customHeight="1">
      <c r="B80" s="47" t="s">
        <v>147</v>
      </c>
      <c r="C80" s="27"/>
      <c r="D80" s="27"/>
      <c r="E80" s="27"/>
      <c r="F80" s="27"/>
      <c r="G80" s="27"/>
      <c r="H80" s="27"/>
      <c r="I80" s="27"/>
      <c r="J80" s="27"/>
      <c r="K80" s="27"/>
      <c r="L80" s="27"/>
      <c r="M80" s="27"/>
    </row>
    <row r="81" spans="2:13" ht="18" customHeight="1">
      <c r="B81" s="2" t="s">
        <v>149</v>
      </c>
      <c r="C81" s="2"/>
      <c r="D81" s="2"/>
      <c r="E81" s="2"/>
      <c r="F81" s="51">
        <f>F31</f>
        <v>6164000</v>
      </c>
      <c r="G81" s="51">
        <f t="shared" ref="G81:M81" si="73">G31</f>
        <v>7705000</v>
      </c>
      <c r="H81" s="51">
        <f t="shared" si="73"/>
        <v>7705000</v>
      </c>
      <c r="I81" s="51">
        <f t="shared" si="73"/>
        <v>7705000</v>
      </c>
      <c r="J81" s="51">
        <f t="shared" si="73"/>
        <v>7705000</v>
      </c>
      <c r="K81" s="51">
        <f t="shared" si="73"/>
        <v>7705000</v>
      </c>
      <c r="L81" s="51">
        <f t="shared" si="73"/>
        <v>7705000</v>
      </c>
      <c r="M81" s="51">
        <f t="shared" si="73"/>
        <v>7705000</v>
      </c>
    </row>
    <row r="82" spans="2:13" ht="18" customHeight="1">
      <c r="B82" s="2" t="s">
        <v>150</v>
      </c>
      <c r="C82" s="48">
        <f>'Common Assumption'!D69</f>
        <v>0.4</v>
      </c>
      <c r="D82" s="27"/>
      <c r="E82" s="27"/>
      <c r="F82" s="27">
        <f>C82</f>
        <v>0.4</v>
      </c>
      <c r="G82" s="48">
        <f>F82*(1+G83)</f>
        <v>0.42000000000000004</v>
      </c>
      <c r="H82" s="48">
        <f t="shared" ref="H82:M82" si="74">G82*(1+H83)</f>
        <v>0.44100000000000006</v>
      </c>
      <c r="I82" s="48">
        <f t="shared" si="74"/>
        <v>0.46305000000000007</v>
      </c>
      <c r="J82" s="48">
        <f t="shared" si="74"/>
        <v>0.48620250000000009</v>
      </c>
      <c r="K82" s="48">
        <f t="shared" si="74"/>
        <v>0.51051262500000016</v>
      </c>
      <c r="L82" s="48">
        <f t="shared" si="74"/>
        <v>0.53603825625000023</v>
      </c>
      <c r="M82" s="48">
        <f t="shared" si="74"/>
        <v>0.56284016906250023</v>
      </c>
    </row>
    <row r="83" spans="2:13" ht="18" customHeight="1">
      <c r="B83" s="2" t="s">
        <v>111</v>
      </c>
      <c r="C83" s="2"/>
      <c r="D83" s="2"/>
      <c r="E83" s="2"/>
      <c r="F83" s="15"/>
      <c r="G83" s="92">
        <f>'Common Assumption'!D70</f>
        <v>0.05</v>
      </c>
      <c r="H83" s="15">
        <f>G83</f>
        <v>0.05</v>
      </c>
      <c r="I83" s="15">
        <f t="shared" ref="I83:M83" si="75">H83</f>
        <v>0.05</v>
      </c>
      <c r="J83" s="15">
        <f t="shared" si="75"/>
        <v>0.05</v>
      </c>
      <c r="K83" s="15">
        <f t="shared" si="75"/>
        <v>0.05</v>
      </c>
      <c r="L83" s="15">
        <f t="shared" si="75"/>
        <v>0.05</v>
      </c>
      <c r="M83" s="15">
        <f t="shared" si="75"/>
        <v>0.05</v>
      </c>
    </row>
    <row r="84" spans="2:13" ht="18" customHeight="1">
      <c r="B84" s="93" t="s">
        <v>32</v>
      </c>
      <c r="C84" s="93"/>
      <c r="D84" s="93"/>
      <c r="E84" s="93"/>
      <c r="F84" s="94">
        <f>F82*F81/10^7</f>
        <v>0.24656</v>
      </c>
      <c r="G84" s="94">
        <f t="shared" ref="G84:M84" si="76">G82*G81/10^7</f>
        <v>0.32361000000000006</v>
      </c>
      <c r="H84" s="94">
        <f t="shared" si="76"/>
        <v>0.33979050000000005</v>
      </c>
      <c r="I84" s="94">
        <f t="shared" si="76"/>
        <v>0.35678002500000006</v>
      </c>
      <c r="J84" s="94">
        <f t="shared" si="76"/>
        <v>0.37461902625000004</v>
      </c>
      <c r="K84" s="94">
        <f t="shared" si="76"/>
        <v>0.39334997756250012</v>
      </c>
      <c r="L84" s="94">
        <f t="shared" si="76"/>
        <v>0.4130174764406252</v>
      </c>
      <c r="M84" s="94">
        <f t="shared" si="76"/>
        <v>0.43366835026265643</v>
      </c>
    </row>
    <row r="86" spans="2:13" ht="18" customHeight="1">
      <c r="B86" s="47" t="s">
        <v>154</v>
      </c>
      <c r="C86" s="27"/>
      <c r="D86" s="27"/>
      <c r="E86" s="27"/>
      <c r="F86" s="27"/>
      <c r="G86" s="27"/>
      <c r="H86" s="27"/>
      <c r="I86" s="27"/>
      <c r="J86" s="27"/>
      <c r="K86" s="27"/>
      <c r="L86" s="27"/>
      <c r="M86" s="27"/>
    </row>
    <row r="87" spans="2:13" ht="18" customHeight="1">
      <c r="B87" s="2" t="s">
        <v>155</v>
      </c>
      <c r="C87" s="27"/>
      <c r="D87" s="27"/>
      <c r="E87" s="27"/>
      <c r="F87" s="48">
        <f>F36</f>
        <v>13.497962759224524</v>
      </c>
      <c r="G87" s="48">
        <f t="shared" ref="G87:M87" si="77">G36</f>
        <v>17.716076121482189</v>
      </c>
      <c r="H87" s="48">
        <f t="shared" si="77"/>
        <v>18.601879927556297</v>
      </c>
      <c r="I87" s="48">
        <f t="shared" si="77"/>
        <v>19.531973923934114</v>
      </c>
      <c r="J87" s="48">
        <f t="shared" si="77"/>
        <v>20.508572620130824</v>
      </c>
      <c r="K87" s="48">
        <f t="shared" si="77"/>
        <v>21.534001251137362</v>
      </c>
      <c r="L87" s="48">
        <f t="shared" si="77"/>
        <v>22.610701313694229</v>
      </c>
      <c r="M87" s="48">
        <f t="shared" si="77"/>
        <v>23.741236379378943</v>
      </c>
    </row>
    <row r="88" spans="2:13" ht="18" customHeight="1">
      <c r="B88" s="2" t="s">
        <v>383</v>
      </c>
      <c r="C88" s="107">
        <f>'Common Assumption'!D73</f>
        <v>0.03</v>
      </c>
      <c r="D88" s="27"/>
      <c r="E88" s="27"/>
      <c r="F88" s="48">
        <f>F87*$C$88</f>
        <v>0.40493888277673573</v>
      </c>
      <c r="G88" s="48">
        <f t="shared" ref="G88:M88" si="78">G87*$C$88</f>
        <v>0.5314822836444657</v>
      </c>
      <c r="H88" s="48">
        <f t="shared" si="78"/>
        <v>0.55805639782668892</v>
      </c>
      <c r="I88" s="48">
        <f t="shared" si="78"/>
        <v>0.5859592177180234</v>
      </c>
      <c r="J88" s="48">
        <f t="shared" si="78"/>
        <v>0.6152571786039247</v>
      </c>
      <c r="K88" s="48">
        <f t="shared" si="78"/>
        <v>0.64602003753412085</v>
      </c>
      <c r="L88" s="48">
        <f t="shared" si="78"/>
        <v>0.67832103941082678</v>
      </c>
      <c r="M88" s="48">
        <f t="shared" si="78"/>
        <v>0.71223709138136826</v>
      </c>
    </row>
    <row r="89" spans="2:13" ht="18" customHeight="1">
      <c r="B89" s="93" t="s">
        <v>154</v>
      </c>
      <c r="C89" s="93"/>
      <c r="D89" s="93"/>
      <c r="E89" s="93"/>
      <c r="F89" s="94">
        <f>F88</f>
        <v>0.40493888277673573</v>
      </c>
      <c r="G89" s="94">
        <f t="shared" ref="G89:M89" si="79">G88</f>
        <v>0.5314822836444657</v>
      </c>
      <c r="H89" s="94">
        <f t="shared" si="79"/>
        <v>0.55805639782668892</v>
      </c>
      <c r="I89" s="94">
        <f t="shared" si="79"/>
        <v>0.5859592177180234</v>
      </c>
      <c r="J89" s="94">
        <f t="shared" si="79"/>
        <v>0.6152571786039247</v>
      </c>
      <c r="K89" s="94">
        <f t="shared" si="79"/>
        <v>0.64602003753412085</v>
      </c>
      <c r="L89" s="94">
        <f t="shared" si="79"/>
        <v>0.67832103941082678</v>
      </c>
      <c r="M89" s="94">
        <f t="shared" si="79"/>
        <v>0.71223709138136826</v>
      </c>
    </row>
    <row r="91" spans="2:13" ht="18" customHeight="1">
      <c r="B91" s="47" t="s">
        <v>33</v>
      </c>
      <c r="C91" s="27"/>
      <c r="D91" s="27"/>
      <c r="E91" s="27"/>
      <c r="F91" s="27"/>
      <c r="G91" s="27"/>
      <c r="H91" s="27"/>
      <c r="I91" s="27"/>
      <c r="J91" s="27"/>
      <c r="K91" s="27"/>
      <c r="L91" s="27"/>
      <c r="M91" s="27"/>
    </row>
    <row r="92" spans="2:13" ht="30">
      <c r="B92" s="108" t="s">
        <v>158</v>
      </c>
      <c r="C92" s="109">
        <v>5.0000000000000001E-3</v>
      </c>
      <c r="D92" s="93"/>
      <c r="E92" s="93"/>
      <c r="F92" s="94">
        <f t="shared" ref="F92:M92" si="80">$C$92*F36</f>
        <v>6.7489813796122622E-2</v>
      </c>
      <c r="G92" s="94">
        <f t="shared" si="80"/>
        <v>8.8580380607410941E-2</v>
      </c>
      <c r="H92" s="94">
        <f t="shared" si="80"/>
        <v>9.3009399637781487E-2</v>
      </c>
      <c r="I92" s="94">
        <f t="shared" si="80"/>
        <v>9.7659869619670575E-2</v>
      </c>
      <c r="J92" s="94">
        <f t="shared" si="80"/>
        <v>0.10254286310065412</v>
      </c>
      <c r="K92" s="94">
        <f t="shared" si="80"/>
        <v>0.1076700062556868</v>
      </c>
      <c r="L92" s="94">
        <f t="shared" si="80"/>
        <v>0.11305350656847114</v>
      </c>
      <c r="M92" s="94">
        <f t="shared" si="80"/>
        <v>0.11870618189689472</v>
      </c>
    </row>
    <row r="93" spans="2:13" ht="18" customHeight="1">
      <c r="F93" s="112"/>
      <c r="G93" s="112"/>
    </row>
    <row r="94" spans="2:13" ht="18" customHeight="1">
      <c r="B94" s="47" t="s">
        <v>34</v>
      </c>
      <c r="C94" s="27"/>
      <c r="D94" s="27"/>
      <c r="E94" s="27"/>
      <c r="F94" s="27"/>
      <c r="G94" s="27"/>
      <c r="H94" s="27"/>
      <c r="I94" s="27"/>
      <c r="J94" s="27"/>
      <c r="K94" s="27"/>
      <c r="L94" s="27"/>
      <c r="M94" s="27"/>
    </row>
    <row r="95" spans="2:13" ht="18" customHeight="1">
      <c r="B95" s="2" t="s">
        <v>419</v>
      </c>
      <c r="C95" s="107">
        <f>'Common Assumption'!D79</f>
        <v>2E-3</v>
      </c>
      <c r="D95" s="27"/>
      <c r="E95" s="27"/>
      <c r="F95" s="48">
        <f>C95*'Depreciation Schedule'!F17</f>
        <v>0</v>
      </c>
      <c r="G95" s="48">
        <f>F95*(1+G101)</f>
        <v>0</v>
      </c>
      <c r="H95" s="48">
        <f t="shared" ref="H95:M95" si="81">G95*(1+H101)</f>
        <v>0</v>
      </c>
      <c r="I95" s="48">
        <f t="shared" si="81"/>
        <v>0</v>
      </c>
      <c r="J95" s="48">
        <f t="shared" si="81"/>
        <v>0</v>
      </c>
      <c r="K95" s="48">
        <f t="shared" si="81"/>
        <v>0</v>
      </c>
      <c r="L95" s="48">
        <f t="shared" si="81"/>
        <v>0</v>
      </c>
      <c r="M95" s="48">
        <f t="shared" si="81"/>
        <v>0</v>
      </c>
    </row>
    <row r="96" spans="2:13" ht="18" customHeight="1">
      <c r="B96" s="2" t="s">
        <v>387</v>
      </c>
      <c r="C96" s="107">
        <f>'Common Assumption'!D80</f>
        <v>5.0000000000000001E-3</v>
      </c>
      <c r="D96" s="27"/>
      <c r="E96" s="27"/>
      <c r="F96" s="48">
        <f>C96*'Depreciation Schedule'!F18</f>
        <v>2.0965545776743616E-2</v>
      </c>
      <c r="G96" s="48">
        <f>F96*(1+G101)</f>
        <v>2.2013823065580796E-2</v>
      </c>
      <c r="H96" s="48">
        <f t="shared" ref="H96:M96" si="82">G96*(1+H101)</f>
        <v>2.3114514218859836E-2</v>
      </c>
      <c r="I96" s="48">
        <f t="shared" si="82"/>
        <v>2.4270239929802827E-2</v>
      </c>
      <c r="J96" s="48">
        <f t="shared" si="82"/>
        <v>2.5483751926292968E-2</v>
      </c>
      <c r="K96" s="48">
        <f t="shared" si="82"/>
        <v>2.6757939522607618E-2</v>
      </c>
      <c r="L96" s="48">
        <f t="shared" si="82"/>
        <v>2.8095836498738001E-2</v>
      </c>
      <c r="M96" s="48">
        <f t="shared" si="82"/>
        <v>2.9500628323674904E-2</v>
      </c>
    </row>
    <row r="97" spans="2:13" ht="18" customHeight="1">
      <c r="B97" s="253" t="s">
        <v>421</v>
      </c>
      <c r="C97" s="107">
        <f>'Common Assumption'!D81</f>
        <v>5.0000000000000001E-3</v>
      </c>
      <c r="D97" s="27"/>
      <c r="E97" s="27"/>
      <c r="F97" s="48">
        <f>C97*'Depreciation Schedule'!F19</f>
        <v>7.787813802682228E-2</v>
      </c>
      <c r="G97" s="48">
        <f>F97*(1+G101)</f>
        <v>8.1772044928163395E-2</v>
      </c>
      <c r="H97" s="48">
        <f t="shared" ref="H97:M97" si="83">G97*(1+H101)</f>
        <v>8.5860647174571564E-2</v>
      </c>
      <c r="I97" s="48">
        <f t="shared" si="83"/>
        <v>9.0153679533300141E-2</v>
      </c>
      <c r="J97" s="48">
        <f t="shared" si="83"/>
        <v>9.4661363509965152E-2</v>
      </c>
      <c r="K97" s="48">
        <f t="shared" si="83"/>
        <v>9.9394431685463414E-2</v>
      </c>
      <c r="L97" s="48">
        <f t="shared" si="83"/>
        <v>0.1043641532697366</v>
      </c>
      <c r="M97" s="48">
        <f t="shared" si="83"/>
        <v>0.10958236093322343</v>
      </c>
    </row>
    <row r="98" spans="2:13" ht="18" customHeight="1">
      <c r="B98" s="2" t="s">
        <v>423</v>
      </c>
      <c r="C98" s="107">
        <f>'Common Assumption'!D82</f>
        <v>2E-3</v>
      </c>
      <c r="D98" s="27"/>
      <c r="E98" s="27"/>
      <c r="F98" s="48">
        <f>C98*'Depreciation Schedule'!F20</f>
        <v>1.0470095121343652E-4</v>
      </c>
      <c r="G98" s="48">
        <f>F98*(1+G101)</f>
        <v>1.0993599877410835E-4</v>
      </c>
      <c r="H98" s="48">
        <f t="shared" ref="H98:M98" si="84">G98*(1+H101)</f>
        <v>1.1543279871281377E-4</v>
      </c>
      <c r="I98" s="48">
        <f t="shared" si="84"/>
        <v>1.2120443864845446E-4</v>
      </c>
      <c r="J98" s="48">
        <f t="shared" si="84"/>
        <v>1.272646605808772E-4</v>
      </c>
      <c r="K98" s="48">
        <f t="shared" si="84"/>
        <v>1.3362789360992107E-4</v>
      </c>
      <c r="L98" s="48">
        <f t="shared" si="84"/>
        <v>1.4030928829041712E-4</v>
      </c>
      <c r="M98" s="48">
        <f t="shared" si="84"/>
        <v>1.4732475270493798E-4</v>
      </c>
    </row>
    <row r="99" spans="2:13" ht="18" customHeight="1">
      <c r="B99" s="2" t="s">
        <v>420</v>
      </c>
      <c r="C99" s="107">
        <f>'Common Assumption'!D83</f>
        <v>2E-3</v>
      </c>
      <c r="D99" s="27"/>
      <c r="E99" s="27"/>
      <c r="F99" s="48">
        <f>C99*'Depreciation Schedule'!F21</f>
        <v>2.0940190242687304E-4</v>
      </c>
      <c r="G99" s="48">
        <f>F99*(1+G101)</f>
        <v>2.198719975482167E-4</v>
      </c>
      <c r="H99" s="48">
        <f t="shared" ref="H99:M99" si="85">G99*(1+H101)</f>
        <v>2.3086559742562754E-4</v>
      </c>
      <c r="I99" s="48">
        <f t="shared" si="85"/>
        <v>2.4240887729690892E-4</v>
      </c>
      <c r="J99" s="48">
        <f t="shared" si="85"/>
        <v>2.5452932116175439E-4</v>
      </c>
      <c r="K99" s="48">
        <f t="shared" si="85"/>
        <v>2.6725578721984214E-4</v>
      </c>
      <c r="L99" s="48">
        <f t="shared" si="85"/>
        <v>2.8061857658083424E-4</v>
      </c>
      <c r="M99" s="48">
        <f t="shared" si="85"/>
        <v>2.9464950540987597E-4</v>
      </c>
    </row>
    <row r="100" spans="2:13" ht="18" customHeight="1">
      <c r="B100" s="113" t="s">
        <v>161</v>
      </c>
      <c r="C100" s="113"/>
      <c r="D100" s="113"/>
      <c r="E100" s="113"/>
      <c r="F100" s="115">
        <f>SUM(F95:F99)</f>
        <v>9.9157786657206204E-2</v>
      </c>
      <c r="G100" s="115">
        <f t="shared" ref="G100:M100" si="86">SUM(G95:G99)</f>
        <v>0.10411567599006652</v>
      </c>
      <c r="H100" s="115">
        <f t="shared" si="86"/>
        <v>0.10932145978956985</v>
      </c>
      <c r="I100" s="115">
        <f t="shared" si="86"/>
        <v>0.11478753277904834</v>
      </c>
      <c r="J100" s="115">
        <f t="shared" si="86"/>
        <v>0.12052690941800076</v>
      </c>
      <c r="K100" s="115">
        <f t="shared" si="86"/>
        <v>0.12655325488890082</v>
      </c>
      <c r="L100" s="115">
        <f t="shared" si="86"/>
        <v>0.13288091763334584</v>
      </c>
      <c r="M100" s="115">
        <f t="shared" si="86"/>
        <v>0.13952496351501315</v>
      </c>
    </row>
    <row r="101" spans="2:13" ht="18" customHeight="1">
      <c r="B101" s="2" t="s">
        <v>162</v>
      </c>
      <c r="C101" s="2"/>
      <c r="D101" s="2"/>
      <c r="E101" s="2"/>
      <c r="F101" s="15"/>
      <c r="G101" s="92">
        <f>'[3]Common Assumption'!$D$89</f>
        <v>0.05</v>
      </c>
      <c r="H101" s="111">
        <f>G101</f>
        <v>0.05</v>
      </c>
      <c r="I101" s="111">
        <f t="shared" ref="I101:M101" si="87">H101</f>
        <v>0.05</v>
      </c>
      <c r="J101" s="111">
        <f t="shared" si="87"/>
        <v>0.05</v>
      </c>
      <c r="K101" s="111">
        <f t="shared" si="87"/>
        <v>0.05</v>
      </c>
      <c r="L101" s="111">
        <f t="shared" si="87"/>
        <v>0.05</v>
      </c>
      <c r="M101" s="111">
        <f t="shared" si="87"/>
        <v>0.05</v>
      </c>
    </row>
    <row r="102" spans="2:13" ht="18" customHeight="1">
      <c r="B102" s="93" t="s">
        <v>278</v>
      </c>
      <c r="C102" s="93"/>
      <c r="D102" s="93"/>
      <c r="E102" s="93"/>
      <c r="F102" s="94">
        <f>F100*F11/12</f>
        <v>9.9157786657206204E-2</v>
      </c>
      <c r="G102" s="94">
        <f t="shared" ref="G102:M102" si="88">G100*G11/12</f>
        <v>0.10411567599006651</v>
      </c>
      <c r="H102" s="94">
        <f t="shared" si="88"/>
        <v>0.10932145978956985</v>
      </c>
      <c r="I102" s="94">
        <f t="shared" si="88"/>
        <v>0.11478753277904834</v>
      </c>
      <c r="J102" s="94">
        <f t="shared" si="88"/>
        <v>0.12052690941800076</v>
      </c>
      <c r="K102" s="94">
        <f t="shared" si="88"/>
        <v>0.12655325488890082</v>
      </c>
      <c r="L102" s="94">
        <f t="shared" si="88"/>
        <v>0.13288091763334584</v>
      </c>
      <c r="M102" s="94">
        <f t="shared" si="88"/>
        <v>0.13952496351501315</v>
      </c>
    </row>
    <row r="104" spans="2:13" ht="18" customHeight="1">
      <c r="B104" s="47" t="s">
        <v>35</v>
      </c>
      <c r="C104" s="27"/>
      <c r="D104" s="27"/>
      <c r="E104" s="27"/>
      <c r="F104" s="27"/>
      <c r="G104" s="27"/>
      <c r="H104" s="27"/>
      <c r="I104" s="27"/>
      <c r="J104" s="27"/>
      <c r="K104" s="27"/>
      <c r="L104" s="27"/>
      <c r="M104" s="27"/>
    </row>
    <row r="105" spans="2:13" ht="18" customHeight="1">
      <c r="B105" s="2" t="s">
        <v>170</v>
      </c>
      <c r="C105" s="107">
        <f>'Common Assumption'!D86</f>
        <v>1.4999999999999999E-2</v>
      </c>
      <c r="D105" s="27"/>
      <c r="E105" s="27"/>
      <c r="F105" s="48">
        <f>$C$105*F36</f>
        <v>0.20246944138836787</v>
      </c>
      <c r="G105" s="48">
        <f t="shared" ref="G105:M105" si="89">$C$105*G36</f>
        <v>0.26574114182223285</v>
      </c>
      <c r="H105" s="48">
        <f t="shared" si="89"/>
        <v>0.27902819891334446</v>
      </c>
      <c r="I105" s="48">
        <f t="shared" si="89"/>
        <v>0.2929796088590117</v>
      </c>
      <c r="J105" s="48">
        <f t="shared" si="89"/>
        <v>0.30762858930196235</v>
      </c>
      <c r="K105" s="48">
        <f t="shared" si="89"/>
        <v>0.32301001876706043</v>
      </c>
      <c r="L105" s="48">
        <f t="shared" si="89"/>
        <v>0.33916051970541339</v>
      </c>
      <c r="M105" s="48">
        <f t="shared" si="89"/>
        <v>0.35611854569068413</v>
      </c>
    </row>
    <row r="106" spans="2:13" ht="18" customHeight="1">
      <c r="B106" s="93" t="s">
        <v>163</v>
      </c>
      <c r="C106" s="93"/>
      <c r="D106" s="93"/>
      <c r="E106" s="93"/>
      <c r="F106" s="94">
        <f>F105</f>
        <v>0.20246944138836787</v>
      </c>
      <c r="G106" s="94">
        <f t="shared" ref="G106:M106" si="90">G105</f>
        <v>0.26574114182223285</v>
      </c>
      <c r="H106" s="94">
        <f t="shared" si="90"/>
        <v>0.27902819891334446</v>
      </c>
      <c r="I106" s="94">
        <f t="shared" si="90"/>
        <v>0.2929796088590117</v>
      </c>
      <c r="J106" s="94">
        <f t="shared" si="90"/>
        <v>0.30762858930196235</v>
      </c>
      <c r="K106" s="94">
        <f t="shared" si="90"/>
        <v>0.32301001876706043</v>
      </c>
      <c r="L106" s="94">
        <f t="shared" si="90"/>
        <v>0.33916051970541339</v>
      </c>
      <c r="M106" s="94">
        <f t="shared" si="90"/>
        <v>0.35611854569068413</v>
      </c>
    </row>
    <row r="108" spans="2:13" ht="18" customHeight="1">
      <c r="B108" s="47" t="s">
        <v>36</v>
      </c>
      <c r="C108" s="27"/>
      <c r="D108" s="27"/>
      <c r="E108" s="27"/>
      <c r="F108" s="27"/>
      <c r="G108" s="27"/>
      <c r="H108" s="27"/>
      <c r="I108" s="27"/>
      <c r="J108" s="27"/>
      <c r="K108" s="27"/>
      <c r="L108" s="27"/>
      <c r="M108" s="27"/>
    </row>
    <row r="109" spans="2:13" ht="18" customHeight="1">
      <c r="B109" s="2" t="s">
        <v>164</v>
      </c>
      <c r="C109" s="107">
        <f>'Common Assumption'!D90</f>
        <v>2.5000000000000001E-3</v>
      </c>
      <c r="D109" s="27"/>
      <c r="E109" s="27"/>
      <c r="F109" s="48">
        <f>$C$109*BS!F31</f>
        <v>5.2681455769648E-2</v>
      </c>
      <c r="G109" s="48">
        <f>$C$109*BS!G31</f>
        <v>5.005628407046267E-2</v>
      </c>
      <c r="H109" s="48">
        <f>$C$109*BS!H31</f>
        <v>4.7438284971548325E-2</v>
      </c>
      <c r="I109" s="48">
        <f>$C$109*BS!I31</f>
        <v>4.4813113272362995E-2</v>
      </c>
      <c r="J109" s="48">
        <f>$C$109*BS!J31</f>
        <v>4.2187941573177651E-2</v>
      </c>
      <c r="K109" s="48">
        <f>$C$109*BS!K31</f>
        <v>3.9608415185942561E-2</v>
      </c>
      <c r="L109" s="48">
        <f>$C$109*BS!L31</f>
        <v>3.7035936685011379E-2</v>
      </c>
      <c r="M109" s="48">
        <f>$C$109*BS!M31</f>
        <v>3.445641029777629E-2</v>
      </c>
    </row>
    <row r="110" spans="2:13" ht="18" customHeight="1">
      <c r="B110" s="93" t="s">
        <v>165</v>
      </c>
      <c r="C110" s="93"/>
      <c r="D110" s="93"/>
      <c r="E110" s="93"/>
      <c r="F110" s="94">
        <f>F109</f>
        <v>5.2681455769648E-2</v>
      </c>
      <c r="G110" s="94">
        <f t="shared" ref="G110:M110" si="91">G109</f>
        <v>5.005628407046267E-2</v>
      </c>
      <c r="H110" s="94">
        <f t="shared" si="91"/>
        <v>4.7438284971548325E-2</v>
      </c>
      <c r="I110" s="94">
        <f t="shared" si="91"/>
        <v>4.4813113272362995E-2</v>
      </c>
      <c r="J110" s="94">
        <f t="shared" si="91"/>
        <v>4.2187941573177651E-2</v>
      </c>
      <c r="K110" s="94">
        <f t="shared" si="91"/>
        <v>3.9608415185942561E-2</v>
      </c>
      <c r="L110" s="94">
        <f t="shared" si="91"/>
        <v>3.7035936685011379E-2</v>
      </c>
      <c r="M110" s="94">
        <f t="shared" si="91"/>
        <v>3.445641029777629E-2</v>
      </c>
    </row>
    <row r="112" spans="2:13" ht="18" customHeight="1">
      <c r="B112" s="47" t="s">
        <v>37</v>
      </c>
      <c r="C112" s="27"/>
      <c r="D112" s="27"/>
      <c r="E112" s="27"/>
      <c r="F112" s="27"/>
      <c r="G112" s="27"/>
      <c r="H112" s="27"/>
      <c r="I112" s="27"/>
      <c r="J112" s="27"/>
      <c r="K112" s="27"/>
      <c r="L112" s="27"/>
      <c r="M112" s="27"/>
    </row>
    <row r="113" spans="2:13" ht="18" customHeight="1">
      <c r="B113" s="13" t="s">
        <v>167</v>
      </c>
      <c r="C113" s="107">
        <f>'Common Assumption'!D87</f>
        <v>1.2500000000000001E-2</v>
      </c>
      <c r="D113" s="27"/>
      <c r="E113" s="27"/>
      <c r="F113" s="48">
        <f t="shared" ref="F113:M113" si="92">$C$113*F36</f>
        <v>0.16872453449030655</v>
      </c>
      <c r="G113" s="48">
        <f t="shared" si="92"/>
        <v>0.22145095151852737</v>
      </c>
      <c r="H113" s="48">
        <f t="shared" si="92"/>
        <v>0.23252349909445372</v>
      </c>
      <c r="I113" s="48">
        <f t="shared" si="92"/>
        <v>0.24414967404917642</v>
      </c>
      <c r="J113" s="48">
        <f t="shared" si="92"/>
        <v>0.25635715775163531</v>
      </c>
      <c r="K113" s="48">
        <f t="shared" si="92"/>
        <v>0.26917501563921703</v>
      </c>
      <c r="L113" s="48">
        <f t="shared" si="92"/>
        <v>0.28263376642117788</v>
      </c>
      <c r="M113" s="48">
        <f t="shared" si="92"/>
        <v>0.29676545474223681</v>
      </c>
    </row>
    <row r="114" spans="2:13" ht="18" customHeight="1">
      <c r="B114" s="93" t="s">
        <v>168</v>
      </c>
      <c r="C114" s="93"/>
      <c r="D114" s="93"/>
      <c r="E114" s="93"/>
      <c r="F114" s="94">
        <f>F113</f>
        <v>0.16872453449030655</v>
      </c>
      <c r="G114" s="94">
        <f t="shared" ref="G114:M114" si="93">G113</f>
        <v>0.22145095151852737</v>
      </c>
      <c r="H114" s="94">
        <f t="shared" si="93"/>
        <v>0.23252349909445372</v>
      </c>
      <c r="I114" s="94">
        <f t="shared" si="93"/>
        <v>0.24414967404917642</v>
      </c>
      <c r="J114" s="94">
        <f t="shared" si="93"/>
        <v>0.25635715775163531</v>
      </c>
      <c r="K114" s="94">
        <f t="shared" si="93"/>
        <v>0.26917501563921703</v>
      </c>
      <c r="L114" s="94">
        <f t="shared" si="93"/>
        <v>0.28263376642117788</v>
      </c>
      <c r="M114" s="94">
        <f t="shared" si="93"/>
        <v>0.29676545474223681</v>
      </c>
    </row>
  </sheetData>
  <mergeCells count="2">
    <mergeCell ref="D8:E8"/>
    <mergeCell ref="F8:M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topLeftCell="A52" workbookViewId="0"/>
  </sheetViews>
  <sheetFormatPr defaultColWidth="13.7109375" defaultRowHeight="18" customHeight="1"/>
  <cols>
    <col min="1" max="1" width="6.28515625" style="1" customWidth="1"/>
    <col min="2" max="2" width="50.85546875" style="1" customWidth="1"/>
    <col min="3" max="3" width="7.140625" style="1" customWidth="1"/>
    <col min="4" max="4" width="10" style="1" customWidth="1"/>
    <col min="5" max="15" width="12.7109375" style="1" customWidth="1"/>
    <col min="16" max="16384" width="13.7109375" style="1"/>
  </cols>
  <sheetData>
    <row r="1" spans="1:16" ht="15.75" customHeight="1"/>
    <row r="2" spans="1:16" s="2" customFormat="1" ht="18" customHeight="1">
      <c r="B2" s="36" t="str">
        <f>"Financial Model of " &amp; B4</f>
        <v>Financial Model of Proposed 6000 KGPD CBG plant set up M/s. SRSBIOX RENEWABLE LLP.</v>
      </c>
      <c r="C2" s="37"/>
      <c r="D2" s="37"/>
      <c r="E2" s="37"/>
      <c r="F2" s="37"/>
      <c r="G2" s="37"/>
      <c r="H2" s="37"/>
      <c r="I2" s="37"/>
      <c r="J2" s="37"/>
      <c r="K2" s="37"/>
      <c r="L2" s="37"/>
      <c r="M2" s="37"/>
      <c r="N2" s="1"/>
      <c r="O2" s="1"/>
      <c r="P2" s="27"/>
    </row>
    <row r="3" spans="1:16" s="2" customFormat="1" ht="12" customHeight="1">
      <c r="C3" s="27"/>
      <c r="D3" s="27"/>
      <c r="E3" s="27"/>
      <c r="F3" s="27"/>
      <c r="G3" s="27"/>
      <c r="H3" s="27"/>
      <c r="I3" s="27"/>
      <c r="J3" s="27"/>
      <c r="K3" s="27"/>
      <c r="L3" s="27"/>
      <c r="M3" s="27"/>
      <c r="N3" s="1"/>
      <c r="O3" s="1"/>
      <c r="P3" s="27"/>
    </row>
    <row r="4" spans="1:16" s="2" customFormat="1" ht="18" customHeight="1">
      <c r="B4" s="28" t="str">
        <f>'Common Assumption'!B4</f>
        <v>Proposed 6000 KGPD CBG plant set up M/s. SRSBIOX RENEWABLE LLP.</v>
      </c>
      <c r="C4" s="28"/>
      <c r="D4" s="29"/>
      <c r="E4" s="29"/>
      <c r="F4" s="29"/>
      <c r="G4" s="29"/>
      <c r="H4" s="29"/>
      <c r="I4" s="29"/>
      <c r="J4" s="29"/>
      <c r="K4" s="29"/>
      <c r="L4" s="29"/>
      <c r="M4" s="29"/>
      <c r="N4" s="1"/>
      <c r="O4" s="1"/>
      <c r="P4" s="27"/>
    </row>
    <row r="5" spans="1:16" s="2" customFormat="1" ht="13.5" customHeight="1">
      <c r="C5" s="27"/>
      <c r="D5" s="27"/>
      <c r="F5" s="30"/>
      <c r="N5" s="1"/>
      <c r="O5" s="1"/>
      <c r="P5" s="27"/>
    </row>
    <row r="6" spans="1:16" s="2" customFormat="1" ht="18" customHeight="1">
      <c r="B6" s="28" t="s">
        <v>171</v>
      </c>
      <c r="C6" s="28"/>
      <c r="D6" s="29"/>
      <c r="E6" s="29"/>
      <c r="F6" s="29"/>
      <c r="G6" s="29"/>
      <c r="H6" s="29"/>
      <c r="I6" s="29"/>
      <c r="J6" s="29"/>
      <c r="K6" s="29"/>
      <c r="L6" s="29"/>
      <c r="M6" s="29"/>
      <c r="N6" s="1"/>
      <c r="O6" s="1"/>
      <c r="P6" s="27"/>
    </row>
    <row r="7" spans="1:16" s="2" customFormat="1" ht="12.75" customHeight="1">
      <c r="C7" s="27"/>
      <c r="D7" s="27"/>
      <c r="F7" s="30"/>
      <c r="N7" s="1"/>
      <c r="O7" s="1"/>
      <c r="P7" s="27"/>
    </row>
    <row r="8" spans="1:16" s="2" customFormat="1" ht="18" customHeight="1">
      <c r="C8" s="27"/>
      <c r="D8" s="308" t="s">
        <v>8</v>
      </c>
      <c r="E8" s="308"/>
      <c r="F8" s="309" t="s">
        <v>50</v>
      </c>
      <c r="G8" s="309"/>
      <c r="H8" s="309"/>
      <c r="I8" s="309"/>
      <c r="J8" s="309"/>
      <c r="K8" s="309"/>
      <c r="L8" s="309"/>
      <c r="M8" s="309"/>
      <c r="N8" s="1"/>
      <c r="O8" s="1"/>
      <c r="P8" s="27"/>
    </row>
    <row r="9" spans="1:16" s="2" customFormat="1" ht="18" customHeight="1">
      <c r="B9" s="31" t="s">
        <v>51</v>
      </c>
      <c r="C9" s="32" t="s">
        <v>52</v>
      </c>
      <c r="D9" s="33"/>
      <c r="E9" s="33">
        <f>'Common Assumption'!E13</f>
        <v>45747</v>
      </c>
      <c r="F9" s="33">
        <f>DATE(YEAR(E9)+1,MONTH(E9),DAY(E9))</f>
        <v>46112</v>
      </c>
      <c r="G9" s="33">
        <f>DATE(YEAR(F9)+1,MONTH(F9),DAY(F9))</f>
        <v>46477</v>
      </c>
      <c r="H9" s="33">
        <f t="shared" ref="H9:M9" si="0">DATE(YEAR(G9)+1,MONTH(G9),DAY(G9))</f>
        <v>46843</v>
      </c>
      <c r="I9" s="33">
        <f t="shared" si="0"/>
        <v>47208</v>
      </c>
      <c r="J9" s="33">
        <f t="shared" si="0"/>
        <v>47573</v>
      </c>
      <c r="K9" s="33">
        <f t="shared" si="0"/>
        <v>47938</v>
      </c>
      <c r="L9" s="33">
        <f t="shared" si="0"/>
        <v>48304</v>
      </c>
      <c r="M9" s="33">
        <f t="shared" si="0"/>
        <v>48669</v>
      </c>
      <c r="N9" s="1"/>
      <c r="O9" s="1"/>
      <c r="P9" s="27"/>
    </row>
    <row r="10" spans="1:16" s="34" customFormat="1" ht="18" customHeight="1">
      <c r="B10" s="39" t="s">
        <v>53</v>
      </c>
      <c r="C10" s="40"/>
      <c r="D10" s="38"/>
      <c r="E10" s="38">
        <v>0</v>
      </c>
      <c r="F10" s="41">
        <v>1</v>
      </c>
      <c r="G10" s="41">
        <f>F10+1</f>
        <v>2</v>
      </c>
      <c r="H10" s="41">
        <f t="shared" ref="H10:M10" si="1">G10+1</f>
        <v>3</v>
      </c>
      <c r="I10" s="41">
        <f t="shared" si="1"/>
        <v>4</v>
      </c>
      <c r="J10" s="41">
        <f t="shared" si="1"/>
        <v>5</v>
      </c>
      <c r="K10" s="41">
        <f t="shared" si="1"/>
        <v>6</v>
      </c>
      <c r="L10" s="41">
        <f t="shared" si="1"/>
        <v>7</v>
      </c>
      <c r="M10" s="41">
        <f t="shared" si="1"/>
        <v>8</v>
      </c>
      <c r="N10" s="1"/>
      <c r="O10" s="1"/>
      <c r="P10" s="35"/>
    </row>
    <row r="11" spans="1:16" s="34" customFormat="1" ht="18" customHeight="1">
      <c r="B11" s="39" t="s">
        <v>54</v>
      </c>
      <c r="C11" s="40">
        <f>'Common Assumption'!E12</f>
        <v>7</v>
      </c>
      <c r="D11" s="38"/>
      <c r="E11" s="38">
        <f>C11</f>
        <v>7</v>
      </c>
      <c r="F11" s="40">
        <f>MONTH(F9-E9)</f>
        <v>12</v>
      </c>
      <c r="G11" s="40">
        <f t="shared" ref="G11:M11" si="2">MONTH(G9-F9)</f>
        <v>12</v>
      </c>
      <c r="H11" s="40">
        <f t="shared" si="2"/>
        <v>12</v>
      </c>
      <c r="I11" s="40">
        <f t="shared" si="2"/>
        <v>12</v>
      </c>
      <c r="J11" s="40">
        <f t="shared" si="2"/>
        <v>12</v>
      </c>
      <c r="K11" s="40">
        <f t="shared" si="2"/>
        <v>12</v>
      </c>
      <c r="L11" s="40">
        <f t="shared" si="2"/>
        <v>12</v>
      </c>
      <c r="M11" s="40">
        <f t="shared" si="2"/>
        <v>12</v>
      </c>
      <c r="N11" s="1"/>
      <c r="O11" s="1"/>
      <c r="P11" s="35"/>
    </row>
    <row r="12" spans="1:16" ht="18" customHeight="1">
      <c r="B12" s="47" t="s">
        <v>172</v>
      </c>
      <c r="C12" s="2"/>
      <c r="D12" s="2"/>
      <c r="E12" s="2"/>
      <c r="F12" s="2"/>
      <c r="G12" s="2"/>
      <c r="H12" s="2"/>
      <c r="I12" s="2"/>
      <c r="J12" s="2"/>
      <c r="K12" s="2"/>
      <c r="L12" s="2"/>
      <c r="M12" s="2"/>
    </row>
    <row r="13" spans="1:16" ht="18" customHeight="1">
      <c r="A13" s="208">
        <v>0</v>
      </c>
      <c r="B13" s="113" t="s">
        <v>172</v>
      </c>
      <c r="C13" s="113"/>
      <c r="D13" s="113"/>
      <c r="E13" s="113"/>
      <c r="F13" s="114">
        <f>'Revenue &amp; Expense Modelling'!F36*(1-$A$13)</f>
        <v>13.497962759224524</v>
      </c>
      <c r="G13" s="114">
        <f>'Revenue &amp; Expense Modelling'!G36*(1-$A$13)</f>
        <v>17.716076121482189</v>
      </c>
      <c r="H13" s="114">
        <f>'Revenue &amp; Expense Modelling'!H36*(1-$A$13)</f>
        <v>18.601879927556297</v>
      </c>
      <c r="I13" s="114">
        <f>'Revenue &amp; Expense Modelling'!I36*(1-$A$13)</f>
        <v>19.531973923934114</v>
      </c>
      <c r="J13" s="114">
        <f>'Revenue &amp; Expense Modelling'!J36*(1-$A$13)</f>
        <v>20.508572620130824</v>
      </c>
      <c r="K13" s="114">
        <f>'Revenue &amp; Expense Modelling'!K36*(1-$A$13)</f>
        <v>21.534001251137362</v>
      </c>
      <c r="L13" s="114">
        <f>'Revenue &amp; Expense Modelling'!L36*(1-$A$13)</f>
        <v>22.610701313694229</v>
      </c>
      <c r="M13" s="114">
        <f>'Revenue &amp; Expense Modelling'!M36*(1-$A$13)</f>
        <v>23.741236379378943</v>
      </c>
    </row>
    <row r="14" spans="1:16" ht="18" customHeight="1">
      <c r="B14" s="47" t="s">
        <v>173</v>
      </c>
      <c r="C14" s="2"/>
      <c r="D14" s="2"/>
      <c r="E14" s="2"/>
      <c r="F14" s="48"/>
      <c r="G14" s="48"/>
      <c r="H14" s="48"/>
      <c r="I14" s="48"/>
      <c r="J14" s="48"/>
      <c r="K14" s="48"/>
      <c r="L14" s="48"/>
      <c r="M14" s="48"/>
    </row>
    <row r="15" spans="1:16" ht="18" customHeight="1">
      <c r="A15" s="208">
        <v>0</v>
      </c>
      <c r="B15" s="2" t="s">
        <v>174</v>
      </c>
      <c r="C15" s="2"/>
      <c r="D15" s="2"/>
      <c r="E15" s="2"/>
      <c r="F15" s="49">
        <f>'Revenue &amp; Expense Modelling'!F58*(1+$A$15)</f>
        <v>4.4622000000000002</v>
      </c>
      <c r="G15" s="49">
        <f>'Revenue &amp; Expense Modelling'!G58*(1+$A$15)</f>
        <v>5.8566374999999997</v>
      </c>
      <c r="H15" s="49">
        <f>'Revenue &amp; Expense Modelling'!H58*(1+$A$15)</f>
        <v>6.1494693750000016</v>
      </c>
      <c r="I15" s="49">
        <f>'Revenue &amp; Expense Modelling'!I58*(1+$A$15)</f>
        <v>6.4569428437500012</v>
      </c>
      <c r="J15" s="49">
        <f>'Revenue &amp; Expense Modelling'!J58*(1+$A$15)</f>
        <v>6.7797899859375015</v>
      </c>
      <c r="K15" s="49">
        <f>'Revenue &amp; Expense Modelling'!K58*(1+$A$15)</f>
        <v>7.118779485234378</v>
      </c>
      <c r="L15" s="49">
        <f>'Revenue &amp; Expense Modelling'!L58*(1+$A$15)</f>
        <v>7.4747184594960974</v>
      </c>
      <c r="M15" s="49">
        <f>'Revenue &amp; Expense Modelling'!M58*(1+$A$15)</f>
        <v>7.8484543824709023</v>
      </c>
    </row>
    <row r="16" spans="1:16" ht="18" customHeight="1">
      <c r="B16" s="2" t="s">
        <v>110</v>
      </c>
      <c r="C16" s="2"/>
      <c r="D16" s="2"/>
      <c r="E16" s="2"/>
      <c r="F16" s="49">
        <f>'Revenue &amp; Expense Modelling'!F73</f>
        <v>1.1816120000000001</v>
      </c>
      <c r="G16" s="49">
        <f>'Revenue &amp; Expense Modelling'!G73</f>
        <v>1.5480517499999999</v>
      </c>
      <c r="H16" s="49">
        <f>'Revenue &amp; Expense Modelling'!H73</f>
        <v>1.6254543374999999</v>
      </c>
      <c r="I16" s="49">
        <f>'Revenue &amp; Expense Modelling'!I73</f>
        <v>1.7067270543750002</v>
      </c>
      <c r="J16" s="49">
        <f>'Revenue &amp; Expense Modelling'!J73</f>
        <v>1.7920634070937504</v>
      </c>
      <c r="K16" s="49">
        <f>'Revenue &amp; Expense Modelling'!K73</f>
        <v>1.881666577448438</v>
      </c>
      <c r="L16" s="49">
        <f>'Revenue &amp; Expense Modelling'!L73</f>
        <v>1.9757499063208599</v>
      </c>
      <c r="M16" s="49">
        <f>'Revenue &amp; Expense Modelling'!M73</f>
        <v>2.0745374016369027</v>
      </c>
    </row>
    <row r="17" spans="1:13" ht="18" customHeight="1">
      <c r="B17" s="2" t="s">
        <v>31</v>
      </c>
      <c r="C17" s="2"/>
      <c r="D17" s="2"/>
      <c r="E17" s="2"/>
      <c r="F17" s="49">
        <f>'Revenue &amp; Expense Modelling'!F78</f>
        <v>1.0356000000000001</v>
      </c>
      <c r="G17" s="49">
        <f>'Revenue &amp; Expense Modelling'!G78</f>
        <v>1.13916</v>
      </c>
      <c r="H17" s="49">
        <f>'Revenue &amp; Expense Modelling'!H78</f>
        <v>1.2530760000000001</v>
      </c>
      <c r="I17" s="49">
        <f>'Revenue &amp; Expense Modelling'!I78</f>
        <v>1.3783836000000003</v>
      </c>
      <c r="J17" s="49">
        <f>'Revenue &amp; Expense Modelling'!J78</f>
        <v>1.5162219600000004</v>
      </c>
      <c r="K17" s="49">
        <f>'Revenue &amp; Expense Modelling'!K78</f>
        <v>1.6678441560000008</v>
      </c>
      <c r="L17" s="49">
        <f>'Revenue &amp; Expense Modelling'!L78</f>
        <v>1.834628571600001</v>
      </c>
      <c r="M17" s="49">
        <f>'Revenue &amp; Expense Modelling'!M78</f>
        <v>2.0180914287600009</v>
      </c>
    </row>
    <row r="18" spans="1:13" ht="18" customHeight="1">
      <c r="A18" s="209"/>
      <c r="B18" s="2" t="s">
        <v>175</v>
      </c>
      <c r="C18" s="2"/>
      <c r="D18" s="2"/>
      <c r="E18" s="2"/>
      <c r="F18" s="49">
        <f>'Revenue &amp; Expense Modelling'!F102</f>
        <v>9.9157786657206204E-2</v>
      </c>
      <c r="G18" s="49">
        <f>'Revenue &amp; Expense Modelling'!G102</f>
        <v>0.10411567599006651</v>
      </c>
      <c r="H18" s="49">
        <f>'Revenue &amp; Expense Modelling'!H102</f>
        <v>0.10932145978956985</v>
      </c>
      <c r="I18" s="49">
        <f>'Revenue &amp; Expense Modelling'!I102</f>
        <v>0.11478753277904834</v>
      </c>
      <c r="J18" s="49">
        <f>'Revenue &amp; Expense Modelling'!J102</f>
        <v>0.12052690941800076</v>
      </c>
      <c r="K18" s="49">
        <f>'Revenue &amp; Expense Modelling'!K102</f>
        <v>0.12655325488890082</v>
      </c>
      <c r="L18" s="49">
        <f>'Revenue &amp; Expense Modelling'!L102</f>
        <v>0.13288091763334584</v>
      </c>
      <c r="M18" s="49">
        <f>'Revenue &amp; Expense Modelling'!M102</f>
        <v>0.13952496351501315</v>
      </c>
    </row>
    <row r="19" spans="1:13" ht="18" customHeight="1">
      <c r="B19" s="2" t="s">
        <v>165</v>
      </c>
      <c r="C19" s="2"/>
      <c r="D19" s="2"/>
      <c r="E19" s="2"/>
      <c r="F19" s="49">
        <f>'Revenue &amp; Expense Modelling'!F110</f>
        <v>5.2681455769648E-2</v>
      </c>
      <c r="G19" s="49">
        <f>'Revenue &amp; Expense Modelling'!G110</f>
        <v>5.005628407046267E-2</v>
      </c>
      <c r="H19" s="49">
        <f>'Revenue &amp; Expense Modelling'!H110</f>
        <v>4.7438284971548325E-2</v>
      </c>
      <c r="I19" s="49">
        <f>'Revenue &amp; Expense Modelling'!I110</f>
        <v>4.4813113272362995E-2</v>
      </c>
      <c r="J19" s="49">
        <f>'Revenue &amp; Expense Modelling'!J110</f>
        <v>4.2187941573177651E-2</v>
      </c>
      <c r="K19" s="49">
        <f>'Revenue &amp; Expense Modelling'!K110</f>
        <v>3.9608415185942561E-2</v>
      </c>
      <c r="L19" s="49">
        <f>'Revenue &amp; Expense Modelling'!L110</f>
        <v>3.7035936685011379E-2</v>
      </c>
      <c r="M19" s="49">
        <f>'Revenue &amp; Expense Modelling'!M110</f>
        <v>3.445641029777629E-2</v>
      </c>
    </row>
    <row r="20" spans="1:13" ht="18" customHeight="1">
      <c r="B20" s="2" t="s">
        <v>176</v>
      </c>
      <c r="C20" s="2"/>
      <c r="D20" s="2"/>
      <c r="E20" s="2"/>
      <c r="F20" s="49">
        <f>'Depreciation Schedule'!F39</f>
        <v>1.0500686796741352</v>
      </c>
      <c r="G20" s="49">
        <f>'Depreciation Schedule'!G39</f>
        <v>1.0500686796741352</v>
      </c>
      <c r="H20" s="49">
        <f>'Depreciation Schedule'!H39</f>
        <v>1.0471996395657357</v>
      </c>
      <c r="I20" s="49">
        <f>'Depreciation Schedule'!I39</f>
        <v>1.0500686796741352</v>
      </c>
      <c r="J20" s="49">
        <f>'Depreciation Schedule'!J39</f>
        <v>1.0500686796741352</v>
      </c>
      <c r="K20" s="49">
        <f>'Depreciation Schedule'!K39</f>
        <v>1.0318105548940386</v>
      </c>
      <c r="L20" s="49">
        <f>'Depreciation Schedule'!L39</f>
        <v>1.0289914003724701</v>
      </c>
      <c r="M20" s="49">
        <f>'Depreciation Schedule'!M39</f>
        <v>1.0318105548940386</v>
      </c>
    </row>
    <row r="21" spans="1:13" ht="18" customHeight="1">
      <c r="B21" s="113" t="s">
        <v>177</v>
      </c>
      <c r="C21" s="113"/>
      <c r="D21" s="113"/>
      <c r="E21" s="113"/>
      <c r="F21" s="115">
        <f>SUM(F15:F20)</f>
        <v>7.8813199221009906</v>
      </c>
      <c r="G21" s="115">
        <f t="shared" ref="G21:M21" si="3">SUM(G15:G20)</f>
        <v>9.7480898897346631</v>
      </c>
      <c r="H21" s="115">
        <f t="shared" si="3"/>
        <v>10.231959096826856</v>
      </c>
      <c r="I21" s="115">
        <f t="shared" si="3"/>
        <v>10.751722823850548</v>
      </c>
      <c r="J21" s="115">
        <f t="shared" si="3"/>
        <v>11.300858883696565</v>
      </c>
      <c r="K21" s="115">
        <f t="shared" si="3"/>
        <v>11.866262443651697</v>
      </c>
      <c r="L21" s="115">
        <f t="shared" si="3"/>
        <v>12.484005192107787</v>
      </c>
      <c r="M21" s="115">
        <f t="shared" si="3"/>
        <v>13.146875141574634</v>
      </c>
    </row>
    <row r="23" spans="1:13" ht="18" customHeight="1">
      <c r="B23" s="2" t="s">
        <v>179</v>
      </c>
      <c r="C23" s="2"/>
      <c r="D23" s="2"/>
      <c r="E23" s="2"/>
      <c r="F23" s="48">
        <f>E25</f>
        <v>0</v>
      </c>
      <c r="G23" s="48">
        <f t="shared" ref="G23:M23" si="4">F25</f>
        <v>0.53280000000000005</v>
      </c>
      <c r="H23" s="48">
        <f t="shared" si="4"/>
        <v>0.69929999999999992</v>
      </c>
      <c r="I23" s="48">
        <f t="shared" si="4"/>
        <v>0.73426500000000017</v>
      </c>
      <c r="J23" s="48">
        <f t="shared" si="4"/>
        <v>0.77097825000000009</v>
      </c>
      <c r="K23" s="48">
        <f t="shared" si="4"/>
        <v>0.80952716250000012</v>
      </c>
      <c r="L23" s="48">
        <f t="shared" si="4"/>
        <v>0.85000352062500029</v>
      </c>
      <c r="M23" s="48">
        <f t="shared" si="4"/>
        <v>0.8925036966562504</v>
      </c>
    </row>
    <row r="24" spans="1:13" ht="18" customHeight="1">
      <c r="B24" s="2" t="s">
        <v>180</v>
      </c>
      <c r="C24" s="2"/>
      <c r="D24" s="2"/>
      <c r="E24" s="2"/>
      <c r="F24" s="48">
        <f>F21+F23</f>
        <v>7.8813199221009906</v>
      </c>
      <c r="G24" s="48">
        <f t="shared" ref="G24:M24" si="5">G21+G23</f>
        <v>10.280889889734663</v>
      </c>
      <c r="H24" s="48">
        <f t="shared" si="5"/>
        <v>10.931259096826855</v>
      </c>
      <c r="I24" s="48">
        <f t="shared" si="5"/>
        <v>11.485987823850548</v>
      </c>
      <c r="J24" s="48">
        <f t="shared" si="5"/>
        <v>12.071837133696565</v>
      </c>
      <c r="K24" s="48">
        <f t="shared" si="5"/>
        <v>12.675789606151698</v>
      </c>
      <c r="L24" s="48">
        <f t="shared" si="5"/>
        <v>13.334008712732787</v>
      </c>
      <c r="M24" s="48">
        <f t="shared" si="5"/>
        <v>14.039378838230885</v>
      </c>
    </row>
    <row r="25" spans="1:13" ht="18" customHeight="1">
      <c r="B25" s="2" t="s">
        <v>181</v>
      </c>
      <c r="C25" s="2"/>
      <c r="D25" s="2"/>
      <c r="E25" s="17">
        <v>0</v>
      </c>
      <c r="F25" s="49">
        <f>'Working Capital Assessment'!F41</f>
        <v>0.53280000000000005</v>
      </c>
      <c r="G25" s="49">
        <f>'Working Capital Assessment'!G41</f>
        <v>0.69929999999999992</v>
      </c>
      <c r="H25" s="49">
        <f>'Working Capital Assessment'!H41</f>
        <v>0.73426500000000017</v>
      </c>
      <c r="I25" s="49">
        <f>'Working Capital Assessment'!I41</f>
        <v>0.77097825000000009</v>
      </c>
      <c r="J25" s="49">
        <f>'Working Capital Assessment'!J41</f>
        <v>0.80952716250000012</v>
      </c>
      <c r="K25" s="49">
        <f>'Working Capital Assessment'!K41</f>
        <v>0.85000352062500029</v>
      </c>
      <c r="L25" s="49">
        <f>'Working Capital Assessment'!L41</f>
        <v>0.8925036966562504</v>
      </c>
      <c r="M25" s="49">
        <f>'Working Capital Assessment'!M41</f>
        <v>0.93712888148906304</v>
      </c>
    </row>
    <row r="26" spans="1:13" ht="18" customHeight="1">
      <c r="B26" s="2" t="s">
        <v>180</v>
      </c>
      <c r="C26" s="2"/>
      <c r="D26" s="2"/>
      <c r="E26" s="2"/>
      <c r="F26" s="48">
        <f>F24-F25</f>
        <v>7.3485199221009907</v>
      </c>
      <c r="G26" s="48">
        <f t="shared" ref="G26:M26" si="6">G24-G25</f>
        <v>9.5815898897346639</v>
      </c>
      <c r="H26" s="48">
        <f t="shared" si="6"/>
        <v>10.196994096826854</v>
      </c>
      <c r="I26" s="48">
        <f t="shared" si="6"/>
        <v>10.715009573850548</v>
      </c>
      <c r="J26" s="48">
        <f t="shared" si="6"/>
        <v>11.262309971196565</v>
      </c>
      <c r="K26" s="48">
        <f t="shared" si="6"/>
        <v>11.825786085526698</v>
      </c>
      <c r="L26" s="48">
        <f t="shared" si="6"/>
        <v>12.441505016076537</v>
      </c>
      <c r="M26" s="48">
        <f t="shared" si="6"/>
        <v>13.102249956741822</v>
      </c>
    </row>
    <row r="27" spans="1:13" ht="18" customHeight="1">
      <c r="B27" s="2" t="s">
        <v>182</v>
      </c>
      <c r="C27" s="2"/>
      <c r="D27" s="2"/>
      <c r="E27" s="2"/>
      <c r="F27" s="48">
        <f>E29</f>
        <v>0</v>
      </c>
      <c r="G27" s="48">
        <f t="shared" ref="G27:M27" ca="1" si="7">F29</f>
        <v>0.15040830249914308</v>
      </c>
      <c r="H27" s="48">
        <f t="shared" ca="1" si="7"/>
        <v>0.19919294545507793</v>
      </c>
      <c r="I27" s="48">
        <f t="shared" ca="1" si="7"/>
        <v>0.21278745408179395</v>
      </c>
      <c r="J27" s="48">
        <f t="shared" ca="1" si="7"/>
        <v>0.22366836022083736</v>
      </c>
      <c r="K27" s="48">
        <f t="shared" ca="1" si="7"/>
        <v>0.2350931237424615</v>
      </c>
      <c r="L27" s="48">
        <f t="shared" ca="1" si="7"/>
        <v>0.24686010077451492</v>
      </c>
      <c r="M27" s="48">
        <f t="shared" ca="1" si="7"/>
        <v>0.25970337958467066</v>
      </c>
    </row>
    <row r="28" spans="1:13" ht="18" customHeight="1">
      <c r="B28" s="2" t="s">
        <v>180</v>
      </c>
      <c r="C28" s="2"/>
      <c r="D28" s="2"/>
      <c r="E28" s="2"/>
      <c r="F28" s="48">
        <f>F26+F27</f>
        <v>7.3485199221009907</v>
      </c>
      <c r="G28" s="48">
        <f t="shared" ref="G28:M28" ca="1" si="8">G26+G27</f>
        <v>9.7319981922338066</v>
      </c>
      <c r="H28" s="48">
        <f t="shared" ca="1" si="8"/>
        <v>10.396187042281932</v>
      </c>
      <c r="I28" s="48">
        <f t="shared" ca="1" si="8"/>
        <v>10.927797027932341</v>
      </c>
      <c r="J28" s="48">
        <f t="shared" ca="1" si="8"/>
        <v>11.485978331417403</v>
      </c>
      <c r="K28" s="48">
        <f t="shared" ca="1" si="8"/>
        <v>12.060879209269158</v>
      </c>
      <c r="L28" s="48">
        <f t="shared" ca="1" si="8"/>
        <v>12.688365116851053</v>
      </c>
      <c r="M28" s="48">
        <f t="shared" ca="1" si="8"/>
        <v>13.361953336326494</v>
      </c>
    </row>
    <row r="29" spans="1:13" ht="18" customHeight="1">
      <c r="B29" s="2" t="s">
        <v>183</v>
      </c>
      <c r="C29" s="2"/>
      <c r="D29" s="2"/>
      <c r="E29" s="17">
        <v>0</v>
      </c>
      <c r="F29" s="49">
        <f ca="1">'Working Capital Assessment'!F46</f>
        <v>0.15040830249914308</v>
      </c>
      <c r="G29" s="49">
        <f ca="1">'Working Capital Assessment'!G46</f>
        <v>0.19919294545507793</v>
      </c>
      <c r="H29" s="49">
        <f ca="1">'Working Capital Assessment'!H46</f>
        <v>0.21278745408179395</v>
      </c>
      <c r="I29" s="49">
        <f ca="1">'Working Capital Assessment'!I46</f>
        <v>0.22366836022083736</v>
      </c>
      <c r="J29" s="49">
        <f ca="1">'Working Capital Assessment'!J46</f>
        <v>0.2350931237424615</v>
      </c>
      <c r="K29" s="49">
        <f ca="1">'Working Capital Assessment'!K46</f>
        <v>0.24686010077451492</v>
      </c>
      <c r="L29" s="49">
        <f ca="1">'Working Capital Assessment'!L46</f>
        <v>0.25970337958467066</v>
      </c>
      <c r="M29" s="49">
        <f ca="1">'Working Capital Assessment'!M46</f>
        <v>0.27349027296574696</v>
      </c>
    </row>
    <row r="30" spans="1:13" ht="18" customHeight="1">
      <c r="B30" s="113" t="s">
        <v>184</v>
      </c>
      <c r="C30" s="113"/>
      <c r="D30" s="113"/>
      <c r="E30" s="113"/>
      <c r="F30" s="115">
        <f ca="1">F28-F29</f>
        <v>7.198111619601848</v>
      </c>
      <c r="G30" s="115">
        <f t="shared" ref="G30:M30" ca="1" si="9">G28-G29</f>
        <v>9.5328052467787288</v>
      </c>
      <c r="H30" s="115">
        <f t="shared" ca="1" si="9"/>
        <v>10.183399588200139</v>
      </c>
      <c r="I30" s="115">
        <f t="shared" ca="1" si="9"/>
        <v>10.704128667711503</v>
      </c>
      <c r="J30" s="115">
        <f t="shared" ca="1" si="9"/>
        <v>11.250885207674942</v>
      </c>
      <c r="K30" s="115">
        <f t="shared" ca="1" si="9"/>
        <v>11.814019108494643</v>
      </c>
      <c r="L30" s="115">
        <f t="shared" ca="1" si="9"/>
        <v>12.428661737266381</v>
      </c>
      <c r="M30" s="115">
        <f t="shared" ca="1" si="9"/>
        <v>13.088463063360747</v>
      </c>
    </row>
    <row r="31" spans="1:13" ht="18" customHeight="1">
      <c r="B31" s="2" t="s">
        <v>185</v>
      </c>
      <c r="C31" s="2"/>
      <c r="D31" s="2"/>
      <c r="E31" s="2"/>
      <c r="F31" s="48">
        <f>'Revenue &amp; Expense Modelling'!F84+'Revenue &amp; Expense Modelling'!F89+'Revenue &amp; Expense Modelling'!F92+'Revenue &amp; Expense Modelling'!F106+'Revenue &amp; Expense Modelling'!F114</f>
        <v>1.0901826724515327</v>
      </c>
      <c r="G31" s="48">
        <f>'Revenue &amp; Expense Modelling'!G84+'Revenue &amp; Expense Modelling'!G89+'Revenue &amp; Expense Modelling'!G92+'Revenue &amp; Expense Modelling'!G106+'Revenue &amp; Expense Modelling'!G114</f>
        <v>1.430864757592637</v>
      </c>
      <c r="H31" s="48">
        <f>'Revenue &amp; Expense Modelling'!H84+'Revenue &amp; Expense Modelling'!H89+'Revenue &amp; Expense Modelling'!H92+'Revenue &amp; Expense Modelling'!H106+'Revenue &amp; Expense Modelling'!H114</f>
        <v>1.5024079954722687</v>
      </c>
      <c r="I31" s="48">
        <f>'Revenue &amp; Expense Modelling'!I84+'Revenue &amp; Expense Modelling'!I89+'Revenue &amp; Expense Modelling'!I92+'Revenue &amp; Expense Modelling'!I106+'Revenue &amp; Expense Modelling'!I114</f>
        <v>1.5775283952458823</v>
      </c>
      <c r="J31" s="48">
        <f>'Revenue &amp; Expense Modelling'!J84+'Revenue &amp; Expense Modelling'!J89+'Revenue &amp; Expense Modelling'!J92+'Revenue &amp; Expense Modelling'!J106+'Revenue &amp; Expense Modelling'!J114</f>
        <v>1.6564048150081765</v>
      </c>
      <c r="K31" s="48">
        <f>'Revenue &amp; Expense Modelling'!K84+'Revenue &amp; Expense Modelling'!K89+'Revenue &amp; Expense Modelling'!K92+'Revenue &amp; Expense Modelling'!K106+'Revenue &amp; Expense Modelling'!K114</f>
        <v>1.7392250557585851</v>
      </c>
      <c r="L31" s="48">
        <f>'Revenue &amp; Expense Modelling'!L84+'Revenue &amp; Expense Modelling'!L89+'Revenue &amp; Expense Modelling'!L92+'Revenue &amp; Expense Modelling'!L106+'Revenue &amp; Expense Modelling'!L114</f>
        <v>1.8261863085465144</v>
      </c>
      <c r="M31" s="48">
        <f>'Revenue &amp; Expense Modelling'!M84+'Revenue &amp; Expense Modelling'!M89+'Revenue &amp; Expense Modelling'!M92+'Revenue &amp; Expense Modelling'!M106+'Revenue &amp; Expense Modelling'!M114</f>
        <v>1.9174956239738403</v>
      </c>
    </row>
    <row r="32" spans="1:13" ht="18" customHeight="1">
      <c r="B32" s="2" t="s">
        <v>186</v>
      </c>
      <c r="C32" s="2"/>
      <c r="D32" s="2"/>
      <c r="E32" s="2"/>
      <c r="F32" s="49">
        <f>'TPC and MoF'!$D$16/5</f>
        <v>3.0000000000000006E-2</v>
      </c>
      <c r="G32" s="49">
        <f>'TPC and MoF'!$D$16/5</f>
        <v>3.0000000000000006E-2</v>
      </c>
      <c r="H32" s="49">
        <f>'TPC and MoF'!$D$16/5</f>
        <v>3.0000000000000006E-2</v>
      </c>
      <c r="I32" s="49">
        <f>'TPC and MoF'!$D$16/5</f>
        <v>3.0000000000000006E-2</v>
      </c>
      <c r="J32" s="49">
        <f>'TPC and MoF'!$D$16/5</f>
        <v>3.0000000000000006E-2</v>
      </c>
      <c r="K32" s="49">
        <v>0</v>
      </c>
      <c r="L32" s="49">
        <v>0</v>
      </c>
      <c r="M32" s="49">
        <v>0</v>
      </c>
    </row>
    <row r="33" spans="2:13" ht="18" customHeight="1">
      <c r="B33" s="113" t="s">
        <v>269</v>
      </c>
      <c r="C33" s="113"/>
      <c r="D33" s="113"/>
      <c r="E33" s="113"/>
      <c r="F33" s="115">
        <f ca="1">F30+F31+F32</f>
        <v>8.3182942920533804</v>
      </c>
      <c r="G33" s="115">
        <f t="shared" ref="G33:M33" ca="1" si="10">G30+G31+G32</f>
        <v>10.993670004371365</v>
      </c>
      <c r="H33" s="115">
        <f t="shared" ca="1" si="10"/>
        <v>11.715807583672406</v>
      </c>
      <c r="I33" s="115">
        <f t="shared" ca="1" si="10"/>
        <v>12.311657062957385</v>
      </c>
      <c r="J33" s="115">
        <f t="shared" ca="1" si="10"/>
        <v>12.937290022683118</v>
      </c>
      <c r="K33" s="115">
        <f t="shared" ca="1" si="10"/>
        <v>13.553244164253227</v>
      </c>
      <c r="L33" s="115">
        <f t="shared" ca="1" si="10"/>
        <v>14.254848045812896</v>
      </c>
      <c r="M33" s="115">
        <f t="shared" ca="1" si="10"/>
        <v>15.005958687334587</v>
      </c>
    </row>
    <row r="34" spans="2:13" ht="18" customHeight="1">
      <c r="B34" s="2" t="s">
        <v>187</v>
      </c>
      <c r="C34" s="2"/>
      <c r="D34" s="2"/>
      <c r="E34" s="2"/>
      <c r="F34" s="48">
        <f ca="1">F13-F33</f>
        <v>5.1796684671711439</v>
      </c>
      <c r="G34" s="48">
        <f t="shared" ref="G34:M34" ca="1" si="11">G13-G33</f>
        <v>6.7224061171108236</v>
      </c>
      <c r="H34" s="48">
        <f t="shared" ca="1" si="11"/>
        <v>6.8860723438838907</v>
      </c>
      <c r="I34" s="48">
        <f t="shared" ca="1" si="11"/>
        <v>7.2203168609767285</v>
      </c>
      <c r="J34" s="48">
        <f t="shared" ca="1" si="11"/>
        <v>7.5712825974477056</v>
      </c>
      <c r="K34" s="48">
        <f t="shared" ca="1" si="11"/>
        <v>7.9807570868841342</v>
      </c>
      <c r="L34" s="48">
        <f t="shared" ca="1" si="11"/>
        <v>8.3558532678813329</v>
      </c>
      <c r="M34" s="48">
        <f t="shared" ca="1" si="11"/>
        <v>8.735277692044356</v>
      </c>
    </row>
    <row r="35" spans="2:13" ht="18" customHeight="1">
      <c r="B35" s="47" t="s">
        <v>188</v>
      </c>
      <c r="C35" s="2"/>
      <c r="D35" s="2"/>
      <c r="E35" s="2"/>
      <c r="F35" s="2"/>
      <c r="G35" s="2"/>
      <c r="H35" s="2"/>
      <c r="I35" s="2"/>
      <c r="J35" s="2"/>
      <c r="K35" s="2"/>
      <c r="L35" s="2"/>
      <c r="M35" s="2"/>
    </row>
    <row r="36" spans="2:13" ht="18" customHeight="1">
      <c r="B36" s="2" t="s">
        <v>189</v>
      </c>
      <c r="C36" s="2"/>
      <c r="D36" s="2"/>
      <c r="E36" s="2"/>
      <c r="F36" s="49">
        <f>'Loan Schedule'!F18</f>
        <v>1.5400000000000003</v>
      </c>
      <c r="G36" s="49">
        <f>'Loan Schedule'!G18</f>
        <v>1.4629999999999996</v>
      </c>
      <c r="H36" s="49">
        <f>'Loan Schedule'!H18</f>
        <v>1.3089999999999991</v>
      </c>
      <c r="I36" s="49">
        <f>'Loan Schedule'!I18</f>
        <v>1.1219669999999993</v>
      </c>
      <c r="J36" s="49">
        <f>'Loan Schedule'!J18</f>
        <v>0.90190100000000006</v>
      </c>
      <c r="K36" s="49">
        <f>'Loan Schedule'!K18</f>
        <v>0.68183499999999997</v>
      </c>
      <c r="L36" s="49">
        <f>'Loan Schedule'!L18</f>
        <v>0.44290400000000013</v>
      </c>
      <c r="M36" s="49">
        <f>'Loan Schedule'!M18</f>
        <v>0.15700300000000009</v>
      </c>
    </row>
    <row r="37" spans="2:13" ht="18" customHeight="1">
      <c r="B37" s="2" t="s">
        <v>190</v>
      </c>
      <c r="C37" s="2"/>
      <c r="D37" s="2"/>
      <c r="E37" s="2"/>
      <c r="F37" s="49">
        <f>'Working Capital Assessment'!F74</f>
        <v>5.0479452054794524E-2</v>
      </c>
      <c r="G37" s="49">
        <f>'Working Capital Assessment'!G74</f>
        <v>5.0479452054794524E-2</v>
      </c>
      <c r="H37" s="49">
        <f>'Working Capital Assessment'!H74</f>
        <v>5.0341530054644812E-2</v>
      </c>
      <c r="I37" s="49">
        <f>'Working Capital Assessment'!I74</f>
        <v>5.0479452054794524E-2</v>
      </c>
      <c r="J37" s="49">
        <f>'Working Capital Assessment'!J74</f>
        <v>5.0479452054794524E-2</v>
      </c>
      <c r="K37" s="49">
        <f>'Working Capital Assessment'!K74</f>
        <v>5.0479452054794524E-2</v>
      </c>
      <c r="L37" s="49">
        <f>'Working Capital Assessment'!L74</f>
        <v>5.0341530054644812E-2</v>
      </c>
      <c r="M37" s="49">
        <f>'Working Capital Assessment'!M74</f>
        <v>5.0479452054794524E-2</v>
      </c>
    </row>
    <row r="38" spans="2:13" ht="18" customHeight="1">
      <c r="B38" s="2" t="s">
        <v>191</v>
      </c>
      <c r="C38" s="2"/>
      <c r="D38" s="2"/>
      <c r="E38" s="2"/>
      <c r="F38" s="48">
        <f>SUM(F36:F37)</f>
        <v>1.5904794520547947</v>
      </c>
      <c r="G38" s="48">
        <f t="shared" ref="G38:M38" si="12">SUM(G36:G37)</f>
        <v>1.5134794520547941</v>
      </c>
      <c r="H38" s="48">
        <f t="shared" si="12"/>
        <v>1.3593415300546439</v>
      </c>
      <c r="I38" s="48">
        <f t="shared" si="12"/>
        <v>1.1724464520547937</v>
      </c>
      <c r="J38" s="48">
        <f t="shared" si="12"/>
        <v>0.9523804520547946</v>
      </c>
      <c r="K38" s="48">
        <f t="shared" si="12"/>
        <v>0.73231445205479451</v>
      </c>
      <c r="L38" s="48">
        <f t="shared" si="12"/>
        <v>0.49324553005464494</v>
      </c>
      <c r="M38" s="48">
        <f t="shared" si="12"/>
        <v>0.2074824520547946</v>
      </c>
    </row>
    <row r="39" spans="2:13" ht="18" customHeight="1">
      <c r="B39" s="113" t="s">
        <v>192</v>
      </c>
      <c r="C39" s="113"/>
      <c r="D39" s="113"/>
      <c r="E39" s="113"/>
      <c r="F39" s="115">
        <f ca="1">F34-F38</f>
        <v>3.5891890151163492</v>
      </c>
      <c r="G39" s="115">
        <f t="shared" ref="G39:M39" ca="1" si="13">G34-G38</f>
        <v>5.2089266650560297</v>
      </c>
      <c r="H39" s="115">
        <f t="shared" ca="1" si="13"/>
        <v>5.5267308138292464</v>
      </c>
      <c r="I39" s="115">
        <f t="shared" ca="1" si="13"/>
        <v>6.0478704089219351</v>
      </c>
      <c r="J39" s="115">
        <f t="shared" ca="1" si="13"/>
        <v>6.6189021453929113</v>
      </c>
      <c r="K39" s="115">
        <f t="shared" ca="1" si="13"/>
        <v>7.24844263482934</v>
      </c>
      <c r="L39" s="115">
        <f t="shared" ca="1" si="13"/>
        <v>7.8626077378266883</v>
      </c>
      <c r="M39" s="115">
        <f t="shared" ca="1" si="13"/>
        <v>8.5277952399895618</v>
      </c>
    </row>
    <row r="40" spans="2:13" ht="18" customHeight="1">
      <c r="B40" s="2" t="s">
        <v>435</v>
      </c>
      <c r="C40" s="183">
        <f>'Common Assumption'!D113</f>
        <v>0.25168000000000001</v>
      </c>
      <c r="D40" s="2"/>
      <c r="E40" s="2"/>
      <c r="F40" s="48">
        <f ca="1">$C$40*F39</f>
        <v>0.90332709132448286</v>
      </c>
      <c r="G40" s="48">
        <f t="shared" ref="G40:M40" ca="1" si="14">$C$40*G39</f>
        <v>1.3109826630613017</v>
      </c>
      <c r="H40" s="48">
        <f t="shared" ca="1" si="14"/>
        <v>1.3909676112245448</v>
      </c>
      <c r="I40" s="48">
        <f t="shared" ca="1" si="14"/>
        <v>1.5221280245174726</v>
      </c>
      <c r="J40" s="48">
        <f t="shared" ca="1" si="14"/>
        <v>1.665845291952488</v>
      </c>
      <c r="K40" s="48">
        <f t="shared" ca="1" si="14"/>
        <v>1.8242880423338483</v>
      </c>
      <c r="L40" s="48">
        <f t="shared" ca="1" si="14"/>
        <v>1.978861115456221</v>
      </c>
      <c r="M40" s="48">
        <f t="shared" ca="1" si="14"/>
        <v>2.1462755060005732</v>
      </c>
    </row>
    <row r="41" spans="2:13" ht="18" customHeight="1">
      <c r="B41" s="31" t="s">
        <v>193</v>
      </c>
      <c r="C41" s="31"/>
      <c r="D41" s="31"/>
      <c r="E41" s="31"/>
      <c r="F41" s="116">
        <f ca="1">F39-F40</f>
        <v>2.6858619237918662</v>
      </c>
      <c r="G41" s="116">
        <f t="shared" ref="G41:L41" ca="1" si="15">G39-G40</f>
        <v>3.8979440019947278</v>
      </c>
      <c r="H41" s="116">
        <f t="shared" ca="1" si="15"/>
        <v>4.1357632026047018</v>
      </c>
      <c r="I41" s="116">
        <f t="shared" ca="1" si="15"/>
        <v>4.5257423844044622</v>
      </c>
      <c r="J41" s="116">
        <f t="shared" ca="1" si="15"/>
        <v>4.9530568534404233</v>
      </c>
      <c r="K41" s="116">
        <f t="shared" ca="1" si="15"/>
        <v>5.4241545924954915</v>
      </c>
      <c r="L41" s="116">
        <f t="shared" ca="1" si="15"/>
        <v>5.8837466223704675</v>
      </c>
      <c r="M41" s="116">
        <f ca="1">M39-M40</f>
        <v>6.3815197339889886</v>
      </c>
    </row>
    <row r="44" spans="2:13" ht="18" customHeight="1">
      <c r="B44" s="47" t="s">
        <v>280</v>
      </c>
      <c r="C44" s="2"/>
      <c r="D44" s="2"/>
      <c r="E44" s="2"/>
      <c r="F44" s="2"/>
      <c r="G44" s="2"/>
      <c r="H44" s="2"/>
    </row>
    <row r="45" spans="2:13" ht="18" customHeight="1">
      <c r="B45" s="2" t="s">
        <v>281</v>
      </c>
      <c r="C45" s="2"/>
      <c r="D45" s="2"/>
      <c r="E45" s="2"/>
      <c r="F45" s="48">
        <f ca="1">F41</f>
        <v>2.6858619237918662</v>
      </c>
      <c r="G45" s="48">
        <f t="shared" ref="G45" ca="1" si="16">G41</f>
        <v>3.8979440019947278</v>
      </c>
      <c r="H45" s="48">
        <f t="shared" ref="H45:M45" ca="1" si="17">H41</f>
        <v>4.1357632026047018</v>
      </c>
      <c r="I45" s="48">
        <f t="shared" ca="1" si="17"/>
        <v>4.5257423844044622</v>
      </c>
      <c r="J45" s="48">
        <f t="shared" ca="1" si="17"/>
        <v>4.9530568534404233</v>
      </c>
      <c r="K45" s="48">
        <f t="shared" ca="1" si="17"/>
        <v>5.4241545924954915</v>
      </c>
      <c r="L45" s="48">
        <f t="shared" ca="1" si="17"/>
        <v>5.8837466223704675</v>
      </c>
      <c r="M45" s="48">
        <f t="shared" ca="1" si="17"/>
        <v>6.3815197339889886</v>
      </c>
    </row>
    <row r="46" spans="2:13" ht="18" customHeight="1">
      <c r="B46" s="2" t="s">
        <v>282</v>
      </c>
      <c r="C46" s="2"/>
      <c r="D46" s="2"/>
      <c r="E46" s="2"/>
      <c r="F46" s="48">
        <f>F20</f>
        <v>1.0500686796741352</v>
      </c>
      <c r="G46" s="48">
        <f t="shared" ref="G46" si="18">G20</f>
        <v>1.0500686796741352</v>
      </c>
      <c r="H46" s="48">
        <f t="shared" ref="H46:M46" si="19">H20</f>
        <v>1.0471996395657357</v>
      </c>
      <c r="I46" s="48">
        <f t="shared" si="19"/>
        <v>1.0500686796741352</v>
      </c>
      <c r="J46" s="48">
        <f t="shared" si="19"/>
        <v>1.0500686796741352</v>
      </c>
      <c r="K46" s="48">
        <f t="shared" si="19"/>
        <v>1.0318105548940386</v>
      </c>
      <c r="L46" s="48">
        <f t="shared" si="19"/>
        <v>1.0289914003724701</v>
      </c>
      <c r="M46" s="48">
        <f t="shared" si="19"/>
        <v>1.0318105548940386</v>
      </c>
    </row>
    <row r="47" spans="2:13" ht="18" customHeight="1">
      <c r="B47" s="2" t="s">
        <v>186</v>
      </c>
      <c r="C47" s="2"/>
      <c r="D47" s="2"/>
      <c r="E47" s="2"/>
      <c r="F47" s="48">
        <f>F32</f>
        <v>3.0000000000000006E-2</v>
      </c>
      <c r="G47" s="48">
        <f t="shared" ref="G47" si="20">G32</f>
        <v>3.0000000000000006E-2</v>
      </c>
      <c r="H47" s="48">
        <f t="shared" ref="H47:M47" si="21">H32</f>
        <v>3.0000000000000006E-2</v>
      </c>
      <c r="I47" s="48">
        <f t="shared" si="21"/>
        <v>3.0000000000000006E-2</v>
      </c>
      <c r="J47" s="48">
        <f t="shared" si="21"/>
        <v>3.0000000000000006E-2</v>
      </c>
      <c r="K47" s="48">
        <f t="shared" si="21"/>
        <v>0</v>
      </c>
      <c r="L47" s="48">
        <f t="shared" si="21"/>
        <v>0</v>
      </c>
      <c r="M47" s="48">
        <f t="shared" si="21"/>
        <v>0</v>
      </c>
    </row>
    <row r="48" spans="2:13" ht="18" customHeight="1">
      <c r="B48" s="113" t="s">
        <v>280</v>
      </c>
      <c r="C48" s="113"/>
      <c r="D48" s="113"/>
      <c r="E48" s="113"/>
      <c r="F48" s="115">
        <f ca="1">SUM(F45:F47)</f>
        <v>3.7659306034660012</v>
      </c>
      <c r="G48" s="115">
        <f t="shared" ref="G48:M48" ca="1" si="22">SUM(G45:G47)</f>
        <v>4.9780126816688632</v>
      </c>
      <c r="H48" s="115">
        <f t="shared" ca="1" si="22"/>
        <v>5.2129628421704375</v>
      </c>
      <c r="I48" s="115">
        <f t="shared" ca="1" si="22"/>
        <v>5.6058110640785976</v>
      </c>
      <c r="J48" s="115">
        <f t="shared" ca="1" si="22"/>
        <v>6.0331255331145588</v>
      </c>
      <c r="K48" s="115">
        <f t="shared" ca="1" si="22"/>
        <v>6.4559651473895299</v>
      </c>
      <c r="L48" s="115">
        <f t="shared" ca="1" si="22"/>
        <v>6.9127380227429374</v>
      </c>
      <c r="M48" s="115">
        <f t="shared" ca="1" si="22"/>
        <v>7.413330288883027</v>
      </c>
    </row>
    <row r="49" spans="2:13" ht="18" customHeight="1">
      <c r="B49" s="2" t="s">
        <v>283</v>
      </c>
      <c r="C49" s="2"/>
      <c r="D49" s="2"/>
      <c r="E49" s="2"/>
      <c r="F49" s="48">
        <f>CFS!F24</f>
        <v>0</v>
      </c>
      <c r="G49" s="48">
        <f>CFS!G24</f>
        <v>1.4000000000000001</v>
      </c>
      <c r="H49" s="48">
        <f>CFS!H24</f>
        <v>1.4000000000000001</v>
      </c>
      <c r="I49" s="48">
        <f>CFS!I24</f>
        <v>2.0005999999999999</v>
      </c>
      <c r="J49" s="48">
        <f>CFS!J24</f>
        <v>2.0005999999999999</v>
      </c>
      <c r="K49" s="48">
        <f>CFS!K24</f>
        <v>2.0005999999999999</v>
      </c>
      <c r="L49" s="48">
        <f>CFS!L24</f>
        <v>2.3435999999999999</v>
      </c>
      <c r="M49" s="48">
        <f>CFS!M24</f>
        <v>2.8546000000000009</v>
      </c>
    </row>
    <row r="50" spans="2:13" ht="18" customHeight="1">
      <c r="B50" s="113" t="s">
        <v>284</v>
      </c>
      <c r="C50" s="113"/>
      <c r="D50" s="113"/>
      <c r="E50" s="113"/>
      <c r="F50" s="115">
        <f ca="1">F48-F49</f>
        <v>3.7659306034660012</v>
      </c>
      <c r="G50" s="115">
        <f t="shared" ref="G50:M50" ca="1" si="23">G48-G49</f>
        <v>3.5780126816688629</v>
      </c>
      <c r="H50" s="115">
        <f t="shared" ca="1" si="23"/>
        <v>3.8129628421704371</v>
      </c>
      <c r="I50" s="115">
        <f t="shared" ca="1" si="23"/>
        <v>3.6052110640785977</v>
      </c>
      <c r="J50" s="115">
        <f t="shared" ca="1" si="23"/>
        <v>4.0325255331145584</v>
      </c>
      <c r="K50" s="115">
        <f t="shared" ca="1" si="23"/>
        <v>4.4553651473895304</v>
      </c>
      <c r="L50" s="115">
        <f t="shared" ca="1" si="23"/>
        <v>4.569138022742937</v>
      </c>
      <c r="M50" s="115">
        <f t="shared" ca="1" si="23"/>
        <v>4.5587302888830266</v>
      </c>
    </row>
    <row r="51" spans="2:13" ht="18" customHeight="1">
      <c r="B51" s="119" t="s">
        <v>285</v>
      </c>
      <c r="C51" s="119"/>
      <c r="D51" s="119"/>
      <c r="E51" s="119"/>
      <c r="F51" s="184">
        <f ca="1">E51+F50</f>
        <v>3.7659306034660012</v>
      </c>
      <c r="G51" s="228">
        <f t="shared" ref="G51:M51" ca="1" si="24">F51+G50</f>
        <v>7.3439432851348645</v>
      </c>
      <c r="H51" s="228">
        <f t="shared" ca="1" si="24"/>
        <v>11.156906127305302</v>
      </c>
      <c r="I51" s="228">
        <f t="shared" ca="1" si="24"/>
        <v>14.762117191383899</v>
      </c>
      <c r="J51" s="228">
        <f t="shared" ca="1" si="24"/>
        <v>18.794642724498459</v>
      </c>
      <c r="K51" s="228">
        <f t="shared" ca="1" si="24"/>
        <v>23.250007871887988</v>
      </c>
      <c r="L51" s="228">
        <f t="shared" ca="1" si="24"/>
        <v>27.819145894630925</v>
      </c>
      <c r="M51" s="228">
        <f t="shared" ca="1" si="24"/>
        <v>32.377876183513948</v>
      </c>
    </row>
    <row r="52" spans="2:13" ht="18" customHeight="1">
      <c r="B52" s="2"/>
      <c r="C52" s="2"/>
      <c r="D52" s="2"/>
      <c r="E52" s="2"/>
      <c r="F52" s="2"/>
      <c r="G52" s="2"/>
      <c r="H52" s="2"/>
    </row>
    <row r="53" spans="2:13" ht="18" customHeight="1">
      <c r="B53" s="47" t="s">
        <v>286</v>
      </c>
      <c r="C53" s="27"/>
      <c r="D53" s="27"/>
      <c r="E53" s="27"/>
      <c r="F53" s="27"/>
      <c r="G53" s="27"/>
      <c r="H53" s="27"/>
    </row>
    <row r="54" spans="2:13" ht="18" customHeight="1">
      <c r="B54" s="2" t="s">
        <v>172</v>
      </c>
      <c r="C54" s="27"/>
      <c r="D54" s="27"/>
      <c r="E54" s="27"/>
      <c r="F54" s="48">
        <f>F13</f>
        <v>13.497962759224524</v>
      </c>
      <c r="G54" s="48">
        <f t="shared" ref="G54:M54" si="25">G13</f>
        <v>17.716076121482189</v>
      </c>
      <c r="H54" s="48">
        <f t="shared" si="25"/>
        <v>18.601879927556297</v>
      </c>
      <c r="I54" s="48">
        <f t="shared" si="25"/>
        <v>19.531973923934114</v>
      </c>
      <c r="J54" s="48">
        <f t="shared" si="25"/>
        <v>20.508572620130824</v>
      </c>
      <c r="K54" s="48">
        <f t="shared" si="25"/>
        <v>21.534001251137362</v>
      </c>
      <c r="L54" s="48">
        <f t="shared" si="25"/>
        <v>22.610701313694229</v>
      </c>
      <c r="M54" s="48">
        <f t="shared" si="25"/>
        <v>23.741236379378943</v>
      </c>
    </row>
    <row r="55" spans="2:13" ht="18" customHeight="1">
      <c r="B55" s="2" t="s">
        <v>287</v>
      </c>
      <c r="C55" s="27"/>
      <c r="D55" s="27"/>
      <c r="E55" s="27"/>
      <c r="F55" s="48">
        <f t="shared" ref="F55:M55" ca="1" si="26">F34+F20</f>
        <v>6.2297371468452791</v>
      </c>
      <c r="G55" s="48">
        <f t="shared" ca="1" si="26"/>
        <v>7.7724747967849588</v>
      </c>
      <c r="H55" s="48">
        <f t="shared" ca="1" si="26"/>
        <v>7.9332719834496261</v>
      </c>
      <c r="I55" s="48">
        <f t="shared" ca="1" si="26"/>
        <v>8.2703855406508637</v>
      </c>
      <c r="J55" s="48">
        <f t="shared" ca="1" si="26"/>
        <v>8.6213512771218408</v>
      </c>
      <c r="K55" s="48">
        <f t="shared" ca="1" si="26"/>
        <v>9.0125676417781726</v>
      </c>
      <c r="L55" s="48">
        <f t="shared" ca="1" si="26"/>
        <v>9.3848446682538036</v>
      </c>
      <c r="M55" s="48">
        <f t="shared" ca="1" si="26"/>
        <v>9.7670882469383944</v>
      </c>
    </row>
    <row r="56" spans="2:13" ht="18" customHeight="1">
      <c r="B56" s="2" t="s">
        <v>187</v>
      </c>
      <c r="C56" s="27"/>
      <c r="D56" s="27"/>
      <c r="E56" s="27"/>
      <c r="F56" s="48">
        <f t="shared" ref="F56:M56" ca="1" si="27">F34</f>
        <v>5.1796684671711439</v>
      </c>
      <c r="G56" s="48">
        <f t="shared" ca="1" si="27"/>
        <v>6.7224061171108236</v>
      </c>
      <c r="H56" s="48">
        <f t="shared" ca="1" si="27"/>
        <v>6.8860723438838907</v>
      </c>
      <c r="I56" s="48">
        <f t="shared" ca="1" si="27"/>
        <v>7.2203168609767285</v>
      </c>
      <c r="J56" s="48">
        <f t="shared" ca="1" si="27"/>
        <v>7.5712825974477056</v>
      </c>
      <c r="K56" s="48">
        <f t="shared" ca="1" si="27"/>
        <v>7.9807570868841342</v>
      </c>
      <c r="L56" s="48">
        <f t="shared" ca="1" si="27"/>
        <v>8.3558532678813329</v>
      </c>
      <c r="M56" s="48">
        <f t="shared" ca="1" si="27"/>
        <v>8.735277692044356</v>
      </c>
    </row>
    <row r="57" spans="2:13" ht="18" customHeight="1">
      <c r="B57" s="2" t="s">
        <v>281</v>
      </c>
      <c r="C57" s="27"/>
      <c r="D57" s="27"/>
      <c r="E57" s="27"/>
      <c r="F57" s="48">
        <f ca="1">F41</f>
        <v>2.6858619237918662</v>
      </c>
      <c r="G57" s="48">
        <f t="shared" ref="G57:M57" ca="1" si="28">G41</f>
        <v>3.8979440019947278</v>
      </c>
      <c r="H57" s="48">
        <f t="shared" ca="1" si="28"/>
        <v>4.1357632026047018</v>
      </c>
      <c r="I57" s="48">
        <f t="shared" ca="1" si="28"/>
        <v>4.5257423844044622</v>
      </c>
      <c r="J57" s="48">
        <f t="shared" ca="1" si="28"/>
        <v>4.9530568534404233</v>
      </c>
      <c r="K57" s="48">
        <f t="shared" ca="1" si="28"/>
        <v>5.4241545924954915</v>
      </c>
      <c r="L57" s="48">
        <f t="shared" ca="1" si="28"/>
        <v>5.8837466223704675</v>
      </c>
      <c r="M57" s="48">
        <f t="shared" ca="1" si="28"/>
        <v>6.3815197339889886</v>
      </c>
    </row>
    <row r="58" spans="2:13" ht="18" customHeight="1">
      <c r="B58" s="2"/>
      <c r="C58" s="27"/>
      <c r="D58" s="27"/>
      <c r="E58" s="27"/>
      <c r="F58" s="27"/>
      <c r="G58" s="27"/>
      <c r="H58" s="27"/>
    </row>
    <row r="59" spans="2:13" ht="18" customHeight="1">
      <c r="B59" s="212" t="s">
        <v>288</v>
      </c>
      <c r="C59" s="213"/>
      <c r="D59" s="213"/>
      <c r="E59" s="213"/>
      <c r="F59" s="226">
        <f ca="1">F55/F54</f>
        <v>0.46153165910817684</v>
      </c>
      <c r="G59" s="226">
        <f t="shared" ref="G59:M59" ca="1" si="29">G55/G54</f>
        <v>0.43872439605066937</v>
      </c>
      <c r="H59" s="226">
        <f t="shared" ca="1" si="29"/>
        <v>0.4264768945044905</v>
      </c>
      <c r="I59" s="226">
        <f t="shared" ca="1" si="29"/>
        <v>0.42342804536086792</v>
      </c>
      <c r="J59" s="226">
        <f t="shared" ca="1" si="29"/>
        <v>0.42037792862577317</v>
      </c>
      <c r="K59" s="226">
        <f t="shared" ca="1" si="29"/>
        <v>0.41852731114251956</v>
      </c>
      <c r="L59" s="226">
        <f t="shared" ca="1" si="29"/>
        <v>0.4150620778210824</v>
      </c>
      <c r="M59" s="226">
        <f t="shared" ca="1" si="29"/>
        <v>0.41139762440602495</v>
      </c>
    </row>
    <row r="60" spans="2:13" ht="18" customHeight="1">
      <c r="B60" s="212" t="s">
        <v>373</v>
      </c>
      <c r="C60" s="213"/>
      <c r="D60" s="213"/>
      <c r="E60" s="213"/>
      <c r="F60" s="310">
        <f ca="1">AVERAGE(F59:O59)</f>
        <v>0.42694074212745053</v>
      </c>
      <c r="G60" s="310"/>
      <c r="H60" s="310"/>
      <c r="I60" s="310"/>
      <c r="J60" s="310"/>
      <c r="K60" s="310"/>
      <c r="L60" s="310"/>
      <c r="M60" s="310"/>
    </row>
    <row r="61" spans="2:13" ht="18" customHeight="1">
      <c r="B61" s="212" t="s">
        <v>289</v>
      </c>
      <c r="C61" s="213"/>
      <c r="D61" s="213"/>
      <c r="E61" s="213"/>
      <c r="F61" s="226">
        <f ca="1">F56/F54</f>
        <v>0.38373705421815246</v>
      </c>
      <c r="G61" s="226">
        <f t="shared" ref="G61:M61" ca="1" si="30">G56/G54</f>
        <v>0.37945231613446034</v>
      </c>
      <c r="H61" s="226">
        <f t="shared" ca="1" si="30"/>
        <v>0.37018152846385483</v>
      </c>
      <c r="I61" s="226">
        <f t="shared" ca="1" si="30"/>
        <v>0.36966652162734498</v>
      </c>
      <c r="J61" s="226">
        <f t="shared" ca="1" si="30"/>
        <v>0.36917647745098942</v>
      </c>
      <c r="K61" s="226">
        <f t="shared" ca="1" si="30"/>
        <v>0.37061189854173593</v>
      </c>
      <c r="L61" s="226">
        <f t="shared" ca="1" si="30"/>
        <v>0.36955303384687982</v>
      </c>
      <c r="M61" s="226">
        <f t="shared" ca="1" si="30"/>
        <v>0.3679369327046339</v>
      </c>
    </row>
    <row r="62" spans="2:13" ht="18" customHeight="1">
      <c r="B62" s="212" t="s">
        <v>373</v>
      </c>
      <c r="C62" s="213"/>
      <c r="D62" s="213"/>
      <c r="E62" s="213"/>
      <c r="F62" s="310">
        <f ca="1">AVERAGE(F61:O61)</f>
        <v>0.37253947037350643</v>
      </c>
      <c r="G62" s="310"/>
      <c r="H62" s="310"/>
      <c r="I62" s="310"/>
      <c r="J62" s="310"/>
      <c r="K62" s="310"/>
      <c r="L62" s="310"/>
      <c r="M62" s="310"/>
    </row>
    <row r="63" spans="2:13" ht="18" customHeight="1">
      <c r="B63" s="212" t="s">
        <v>290</v>
      </c>
      <c r="C63" s="213"/>
      <c r="D63" s="213"/>
      <c r="E63" s="213"/>
      <c r="F63" s="226">
        <f ca="1">F57/F54</f>
        <v>0.19898276293260217</v>
      </c>
      <c r="G63" s="226">
        <f t="shared" ref="G63:M63" ca="1" si="31">G57/G54</f>
        <v>0.22002298789336044</v>
      </c>
      <c r="H63" s="226">
        <f t="shared" ca="1" si="31"/>
        <v>0.2223303891171827</v>
      </c>
      <c r="I63" s="226">
        <f t="shared" ca="1" si="31"/>
        <v>0.23170942179370321</v>
      </c>
      <c r="J63" s="226">
        <f t="shared" ca="1" si="31"/>
        <v>0.24151153496555861</v>
      </c>
      <c r="K63" s="226">
        <f t="shared" ca="1" si="31"/>
        <v>0.25188791108707692</v>
      </c>
      <c r="L63" s="226">
        <f t="shared" ca="1" si="31"/>
        <v>0.26021955448179579</v>
      </c>
      <c r="M63" s="226">
        <f t="shared" ca="1" si="31"/>
        <v>0.26879475154595656</v>
      </c>
    </row>
    <row r="64" spans="2:13" ht="18" customHeight="1">
      <c r="B64" s="212" t="s">
        <v>373</v>
      </c>
      <c r="C64" s="213"/>
      <c r="D64" s="213"/>
      <c r="E64" s="213"/>
      <c r="F64" s="310">
        <f ca="1">AVERAGE(F63:O63)</f>
        <v>0.23693241422715455</v>
      </c>
      <c r="G64" s="310"/>
      <c r="H64" s="310"/>
      <c r="I64" s="310"/>
      <c r="J64" s="310"/>
      <c r="K64" s="310"/>
      <c r="L64" s="310"/>
      <c r="M64" s="310"/>
    </row>
    <row r="65" spans="2:13" ht="18" customHeight="1">
      <c r="B65" s="212" t="s">
        <v>291</v>
      </c>
      <c r="C65" s="213"/>
      <c r="D65" s="213"/>
      <c r="E65" s="213"/>
      <c r="F65" s="227"/>
      <c r="G65" s="226">
        <f>G54/F54-1</f>
        <v>0.3125</v>
      </c>
      <c r="H65" s="226">
        <f t="shared" ref="H65:M65" si="32">H54/G54-1</f>
        <v>4.9999999999999822E-2</v>
      </c>
      <c r="I65" s="226">
        <f t="shared" si="32"/>
        <v>5.0000000000000044E-2</v>
      </c>
      <c r="J65" s="226">
        <f t="shared" si="32"/>
        <v>5.0000000000000266E-2</v>
      </c>
      <c r="K65" s="226">
        <f t="shared" si="32"/>
        <v>4.9999999999999822E-2</v>
      </c>
      <c r="L65" s="226">
        <f t="shared" si="32"/>
        <v>5.0000000000000044E-2</v>
      </c>
      <c r="M65" s="226">
        <f t="shared" si="32"/>
        <v>5.0000000000000044E-2</v>
      </c>
    </row>
    <row r="66" spans="2:13" ht="18" customHeight="1">
      <c r="B66" s="212" t="s">
        <v>373</v>
      </c>
      <c r="C66" s="213"/>
      <c r="D66" s="213"/>
      <c r="E66" s="213"/>
      <c r="F66" s="310">
        <f>AVERAGE(F65:O65)</f>
        <v>8.7500000000000008E-2</v>
      </c>
      <c r="G66" s="310"/>
      <c r="H66" s="310"/>
      <c r="I66" s="310"/>
      <c r="J66" s="310"/>
      <c r="K66" s="310"/>
      <c r="L66" s="310"/>
      <c r="M66" s="310"/>
    </row>
  </sheetData>
  <mergeCells count="6">
    <mergeCell ref="D8:E8"/>
    <mergeCell ref="F60:M60"/>
    <mergeCell ref="F62:M62"/>
    <mergeCell ref="F64:M64"/>
    <mergeCell ref="F66:M66"/>
    <mergeCell ref="F8:M8"/>
  </mergeCells>
  <dataValidations count="1">
    <dataValidation type="list" allowBlank="1" showInputMessage="1" showErrorMessage="1" sqref="A13 A15">
      <formula1>"0%,5%,10%"</formula1>
    </dataValidation>
  </dataValidations>
  <pageMargins left="0.7" right="0.7" top="0.75" bottom="0.75" header="0.3" footer="0.3"/>
  <pageSetup orientation="portrait" r:id="rId1"/>
  <ignoredErrors>
    <ignoredError sqref="F61 F6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3"/>
  <sheetViews>
    <sheetView showGridLines="0" workbookViewId="0"/>
  </sheetViews>
  <sheetFormatPr defaultColWidth="13.7109375" defaultRowHeight="18" customHeight="1"/>
  <cols>
    <col min="1" max="1" width="4.85546875" style="1" customWidth="1"/>
    <col min="2" max="2" width="50.85546875" style="1" customWidth="1"/>
    <col min="3" max="3" width="7.140625" style="1" customWidth="1"/>
    <col min="4" max="15" width="12.7109375" style="1" customWidth="1"/>
    <col min="16" max="16384" width="13.7109375" style="1"/>
  </cols>
  <sheetData>
    <row r="1" spans="2:16" ht="15.75" customHeight="1"/>
    <row r="2" spans="2:16" s="2" customFormat="1" ht="18" customHeight="1">
      <c r="B2" s="36" t="str">
        <f>"Financial Model of " &amp; B4</f>
        <v>Financial Model of Proposed 6000 KGPD CBG plant set up M/s. SRSBIOX RENEWABLE LLP.</v>
      </c>
      <c r="C2" s="171"/>
      <c r="D2" s="171"/>
      <c r="E2" s="171"/>
      <c r="F2" s="171"/>
      <c r="G2" s="171"/>
      <c r="H2" s="171"/>
      <c r="I2" s="171"/>
      <c r="J2" s="171"/>
      <c r="K2" s="171"/>
      <c r="L2" s="171"/>
      <c r="M2" s="171"/>
      <c r="N2" s="1"/>
      <c r="O2" s="1"/>
      <c r="P2" s="27"/>
    </row>
    <row r="3" spans="2:16" s="2" customFormat="1" ht="12" customHeight="1">
      <c r="C3" s="27"/>
      <c r="D3" s="27"/>
      <c r="E3" s="27"/>
      <c r="F3" s="27"/>
      <c r="G3" s="27"/>
      <c r="H3" s="27"/>
      <c r="I3" s="27"/>
      <c r="J3" s="27"/>
      <c r="K3" s="27"/>
      <c r="L3" s="27"/>
      <c r="M3" s="27"/>
      <c r="N3" s="1"/>
      <c r="O3" s="1"/>
      <c r="P3" s="27"/>
    </row>
    <row r="4" spans="2:16" s="2" customFormat="1" ht="18" customHeight="1">
      <c r="B4" s="28" t="str">
        <f>'Common Assumption'!B4</f>
        <v>Proposed 6000 KGPD CBG plant set up M/s. SRSBIOX RENEWABLE LLP.</v>
      </c>
      <c r="C4" s="28"/>
      <c r="D4" s="29"/>
      <c r="E4" s="29"/>
      <c r="F4" s="29"/>
      <c r="G4" s="29"/>
      <c r="H4" s="29"/>
      <c r="I4" s="29"/>
      <c r="J4" s="29"/>
      <c r="K4" s="29"/>
      <c r="L4" s="29"/>
      <c r="M4" s="29"/>
      <c r="N4" s="1"/>
      <c r="O4" s="1"/>
      <c r="P4" s="27"/>
    </row>
    <row r="5" spans="2:16" s="2" customFormat="1" ht="13.5" customHeight="1">
      <c r="C5" s="27"/>
      <c r="D5" s="27"/>
      <c r="F5" s="30"/>
      <c r="N5" s="1"/>
      <c r="O5" s="1"/>
      <c r="P5" s="27"/>
    </row>
    <row r="6" spans="2:16" s="2" customFormat="1" ht="18" customHeight="1">
      <c r="B6" s="28" t="s">
        <v>292</v>
      </c>
      <c r="C6" s="28"/>
      <c r="D6" s="29"/>
      <c r="E6" s="29"/>
      <c r="F6" s="29"/>
      <c r="G6" s="29"/>
      <c r="H6" s="29"/>
      <c r="I6" s="29"/>
      <c r="J6" s="29"/>
      <c r="K6" s="29"/>
      <c r="L6" s="29"/>
      <c r="M6" s="29"/>
      <c r="N6" s="1"/>
      <c r="O6" s="1"/>
      <c r="P6" s="27"/>
    </row>
    <row r="7" spans="2:16" s="2" customFormat="1" ht="12.75" customHeight="1">
      <c r="C7" s="27"/>
      <c r="D7" s="27"/>
      <c r="F7" s="30"/>
      <c r="N7" s="1"/>
      <c r="O7" s="1"/>
      <c r="P7" s="27"/>
    </row>
    <row r="8" spans="2:16" s="2" customFormat="1" ht="18" customHeight="1">
      <c r="C8" s="27"/>
      <c r="D8" s="308" t="s">
        <v>8</v>
      </c>
      <c r="E8" s="308"/>
      <c r="F8" s="309" t="s">
        <v>50</v>
      </c>
      <c r="G8" s="309"/>
      <c r="H8" s="309"/>
      <c r="I8" s="309"/>
      <c r="J8" s="309"/>
      <c r="K8" s="309"/>
      <c r="L8" s="309"/>
      <c r="M8" s="309"/>
      <c r="N8" s="1"/>
      <c r="O8" s="1"/>
      <c r="P8" s="27"/>
    </row>
    <row r="9" spans="2:16" s="2" customFormat="1" ht="18" customHeight="1">
      <c r="B9" s="31" t="s">
        <v>51</v>
      </c>
      <c r="C9" s="32" t="s">
        <v>52</v>
      </c>
      <c r="D9" s="33"/>
      <c r="E9" s="33">
        <f>'Common Assumption'!E13</f>
        <v>45747</v>
      </c>
      <c r="F9" s="33">
        <f>DATE(YEAR(E9)+1,MONTH(E9),DAY(E9))</f>
        <v>46112</v>
      </c>
      <c r="G9" s="33">
        <f>DATE(YEAR(F9)+1,MONTH(F9),DAY(F9))</f>
        <v>46477</v>
      </c>
      <c r="H9" s="33">
        <f t="shared" ref="H9:M9" si="0">DATE(YEAR(G9)+1,MONTH(G9),DAY(G9))</f>
        <v>46843</v>
      </c>
      <c r="I9" s="33">
        <f t="shared" si="0"/>
        <v>47208</v>
      </c>
      <c r="J9" s="33">
        <f t="shared" si="0"/>
        <v>47573</v>
      </c>
      <c r="K9" s="33">
        <f t="shared" si="0"/>
        <v>47938</v>
      </c>
      <c r="L9" s="33">
        <f t="shared" si="0"/>
        <v>48304</v>
      </c>
      <c r="M9" s="33">
        <f t="shared" si="0"/>
        <v>48669</v>
      </c>
      <c r="N9" s="1"/>
      <c r="O9" s="1"/>
      <c r="P9" s="27"/>
    </row>
    <row r="10" spans="2:16" s="34" customFormat="1" ht="18" customHeight="1">
      <c r="B10" s="39" t="s">
        <v>53</v>
      </c>
      <c r="C10" s="40"/>
      <c r="D10" s="38"/>
      <c r="E10" s="38">
        <v>0</v>
      </c>
      <c r="F10" s="41">
        <v>1</v>
      </c>
      <c r="G10" s="41">
        <f>F10+1</f>
        <v>2</v>
      </c>
      <c r="H10" s="41">
        <f t="shared" ref="H10:M10" si="1">G10+1</f>
        <v>3</v>
      </c>
      <c r="I10" s="41">
        <f t="shared" si="1"/>
        <v>4</v>
      </c>
      <c r="J10" s="41">
        <f t="shared" si="1"/>
        <v>5</v>
      </c>
      <c r="K10" s="41">
        <f t="shared" si="1"/>
        <v>6</v>
      </c>
      <c r="L10" s="41">
        <f t="shared" si="1"/>
        <v>7</v>
      </c>
      <c r="M10" s="41">
        <f t="shared" si="1"/>
        <v>8</v>
      </c>
      <c r="N10" s="1"/>
      <c r="O10" s="1"/>
      <c r="P10" s="35"/>
    </row>
    <row r="11" spans="2:16" s="34" customFormat="1" ht="18" customHeight="1">
      <c r="B11" s="39" t="s">
        <v>54</v>
      </c>
      <c r="C11" s="40">
        <f>'Common Assumption'!E12</f>
        <v>7</v>
      </c>
      <c r="D11" s="38"/>
      <c r="E11" s="38">
        <f>C11</f>
        <v>7</v>
      </c>
      <c r="F11" s="40">
        <f>MONTH(F9-E9)</f>
        <v>12</v>
      </c>
      <c r="G11" s="40">
        <f t="shared" ref="G11:M11" si="2">MONTH(G9-F9)</f>
        <v>12</v>
      </c>
      <c r="H11" s="40">
        <f t="shared" si="2"/>
        <v>12</v>
      </c>
      <c r="I11" s="40">
        <f t="shared" si="2"/>
        <v>12</v>
      </c>
      <c r="J11" s="40">
        <f t="shared" si="2"/>
        <v>12</v>
      </c>
      <c r="K11" s="40">
        <f t="shared" si="2"/>
        <v>12</v>
      </c>
      <c r="L11" s="40">
        <f t="shared" si="2"/>
        <v>12</v>
      </c>
      <c r="M11" s="40">
        <f t="shared" si="2"/>
        <v>12</v>
      </c>
      <c r="N11" s="1"/>
      <c r="O11" s="1"/>
      <c r="P11" s="35"/>
    </row>
    <row r="12" spans="2:16" ht="18" customHeight="1">
      <c r="B12" s="185" t="s">
        <v>295</v>
      </c>
    </row>
    <row r="13" spans="2:16" ht="18" customHeight="1">
      <c r="B13" s="1" t="s">
        <v>436</v>
      </c>
      <c r="D13" s="157"/>
      <c r="E13" s="157">
        <f ca="1">'TPC and MoF'!D24</f>
        <v>8.5841196584850898</v>
      </c>
      <c r="F13" s="157">
        <f t="shared" ref="F13:M13" ca="1" si="3">E13</f>
        <v>8.5841196584850898</v>
      </c>
      <c r="G13" s="157">
        <f t="shared" ca="1" si="3"/>
        <v>8.5841196584850898</v>
      </c>
      <c r="H13" s="157">
        <f t="shared" ca="1" si="3"/>
        <v>8.5841196584850898</v>
      </c>
      <c r="I13" s="157">
        <f t="shared" ca="1" si="3"/>
        <v>8.5841196584850898</v>
      </c>
      <c r="J13" s="157">
        <f t="shared" ca="1" si="3"/>
        <v>8.5841196584850898</v>
      </c>
      <c r="K13" s="157">
        <f t="shared" ca="1" si="3"/>
        <v>8.5841196584850898</v>
      </c>
      <c r="L13" s="157">
        <f t="shared" ca="1" si="3"/>
        <v>8.5841196584850898</v>
      </c>
      <c r="M13" s="157">
        <f t="shared" ca="1" si="3"/>
        <v>8.5841196584850898</v>
      </c>
    </row>
    <row r="14" spans="2:16" ht="18" customHeight="1">
      <c r="B14" s="1" t="s">
        <v>296</v>
      </c>
      <c r="D14" s="158"/>
      <c r="E14" s="158">
        <v>0</v>
      </c>
      <c r="F14" s="157">
        <f ca="1">E14+IS!F41</f>
        <v>2.6858619237918662</v>
      </c>
      <c r="G14" s="157">
        <f ca="1">F14+IS!G41</f>
        <v>6.583805925786594</v>
      </c>
      <c r="H14" s="157">
        <f ca="1">G14+IS!H41</f>
        <v>10.719569128391296</v>
      </c>
      <c r="I14" s="157">
        <f ca="1">H14+IS!I41</f>
        <v>15.245311512795759</v>
      </c>
      <c r="J14" s="157">
        <f ca="1">I14+IS!J41</f>
        <v>20.198368366236181</v>
      </c>
      <c r="K14" s="157">
        <f ca="1">J14+IS!K41</f>
        <v>25.622522958731672</v>
      </c>
      <c r="L14" s="157">
        <f ca="1">K14+IS!L41</f>
        <v>31.506269581102138</v>
      </c>
      <c r="M14" s="157">
        <f ca="1">L14+IS!M41</f>
        <v>37.887789315091126</v>
      </c>
    </row>
    <row r="15" spans="2:16" ht="18" customHeight="1">
      <c r="B15" s="1" t="s">
        <v>297</v>
      </c>
      <c r="D15" s="157"/>
      <c r="E15" s="157">
        <f>D15+CFS!E15-BS!E18</f>
        <v>14</v>
      </c>
      <c r="F15" s="157">
        <f>E15+CFS!F15-BS!F18</f>
        <v>12.6</v>
      </c>
      <c r="G15" s="157">
        <f>F15+CFS!G15-BS!G18</f>
        <v>11.2</v>
      </c>
      <c r="H15" s="157">
        <f>G15+CFS!H15-BS!H18</f>
        <v>9.1993999999999989</v>
      </c>
      <c r="I15" s="157">
        <f>H15+CFS!I15-BS!I18</f>
        <v>7.1987999999999985</v>
      </c>
      <c r="J15" s="157">
        <f>I15+CFS!J15-BS!J18</f>
        <v>5.1981999999999982</v>
      </c>
      <c r="K15" s="157">
        <f>J15+CFS!K15-BS!K18</f>
        <v>2.8545999999999982</v>
      </c>
      <c r="L15" s="157">
        <f>K15+CFS!L15-BS!L18</f>
        <v>0</v>
      </c>
      <c r="M15" s="157">
        <f>L15+CFS!M15-BS!M18</f>
        <v>0</v>
      </c>
    </row>
    <row r="16" spans="2:16" ht="18" customHeight="1">
      <c r="B16" s="185" t="s">
        <v>272</v>
      </c>
    </row>
    <row r="17" spans="2:13" ht="18" customHeight="1">
      <c r="B17" s="1" t="s">
        <v>260</v>
      </c>
      <c r="D17" s="158"/>
      <c r="E17" s="158">
        <v>0</v>
      </c>
      <c r="F17" s="157">
        <f>'Working Capital Assessment'!F57</f>
        <v>0.90918214163090039</v>
      </c>
      <c r="G17" s="157">
        <f>'Working Capital Assessment'!G57</f>
        <v>1.1693019150137163</v>
      </c>
      <c r="H17" s="157">
        <f>'Working Capital Assessment'!H57</f>
        <v>1.2324091468865721</v>
      </c>
      <c r="I17" s="157">
        <f>'Working Capital Assessment'!I57</f>
        <v>1.2991928920564741</v>
      </c>
      <c r="J17" s="157">
        <f>'Working Capital Assessment'!J57</f>
        <v>1.3698886577909872</v>
      </c>
      <c r="K17" s="157">
        <f>'Working Capital Assessment'!K57</f>
        <v>1.4447522406388151</v>
      </c>
      <c r="L17" s="157">
        <f>'Working Capital Assessment'!L57</f>
        <v>1.5240500892564068</v>
      </c>
      <c r="M17" s="157">
        <f>'Working Capital Assessment'!M57</f>
        <v>1.6080705136020796</v>
      </c>
    </row>
    <row r="18" spans="2:13" ht="18" customHeight="1">
      <c r="B18" s="1" t="s">
        <v>298</v>
      </c>
      <c r="D18" s="157"/>
      <c r="E18" s="157">
        <f>'Loan Schedule'!F14</f>
        <v>0</v>
      </c>
      <c r="F18" s="157">
        <f>'Loan Schedule'!G14</f>
        <v>1.4000000000000001</v>
      </c>
      <c r="G18" s="157">
        <f>'Loan Schedule'!H14</f>
        <v>1.4000000000000001</v>
      </c>
      <c r="H18" s="157">
        <f>'Loan Schedule'!I14</f>
        <v>2.0005999999999999</v>
      </c>
      <c r="I18" s="157">
        <f>'Loan Schedule'!J14</f>
        <v>2.0005999999999999</v>
      </c>
      <c r="J18" s="157">
        <f>'Loan Schedule'!K14</f>
        <v>2.0005999999999999</v>
      </c>
      <c r="K18" s="157">
        <f>'Loan Schedule'!L14</f>
        <v>2.3435999999999999</v>
      </c>
      <c r="L18" s="157">
        <f>'Loan Schedule'!M14</f>
        <v>2.8546000000000009</v>
      </c>
      <c r="M18" s="157">
        <f>'Loan Schedule'!N14</f>
        <v>0</v>
      </c>
    </row>
    <row r="19" spans="2:13" ht="18" customHeight="1">
      <c r="B19" s="1" t="s">
        <v>279</v>
      </c>
      <c r="D19" s="158"/>
      <c r="E19" s="158">
        <v>0</v>
      </c>
      <c r="F19" s="157">
        <f>E19+CFS!F16</f>
        <v>0.5</v>
      </c>
      <c r="G19" s="157">
        <f>F19+CFS!G16</f>
        <v>0.5</v>
      </c>
      <c r="H19" s="157">
        <f>G19+CFS!H16</f>
        <v>0.5</v>
      </c>
      <c r="I19" s="157">
        <f>H19+CFS!I16</f>
        <v>0.5</v>
      </c>
      <c r="J19" s="157">
        <f>I19+CFS!J16</f>
        <v>0.5</v>
      </c>
      <c r="K19" s="157">
        <f>J19+CFS!K16</f>
        <v>0.5</v>
      </c>
      <c r="L19" s="157">
        <f>K19+CFS!L16</f>
        <v>0.5</v>
      </c>
      <c r="M19" s="157">
        <f>L19+CFS!M16</f>
        <v>0.5</v>
      </c>
    </row>
    <row r="20" spans="2:13" ht="18" customHeight="1">
      <c r="B20" s="1" t="s">
        <v>299</v>
      </c>
      <c r="D20" s="158"/>
      <c r="E20" s="158">
        <v>0</v>
      </c>
      <c r="F20" s="158">
        <v>0</v>
      </c>
      <c r="G20" s="158">
        <v>0</v>
      </c>
      <c r="H20" s="158">
        <v>0</v>
      </c>
      <c r="I20" s="158">
        <v>0</v>
      </c>
      <c r="J20" s="158">
        <v>0</v>
      </c>
      <c r="K20" s="158">
        <v>0</v>
      </c>
      <c r="L20" s="158">
        <v>0</v>
      </c>
      <c r="M20" s="158">
        <v>0</v>
      </c>
    </row>
    <row r="21" spans="2:13" ht="18" customHeight="1">
      <c r="B21" s="42" t="s">
        <v>103</v>
      </c>
      <c r="C21" s="42"/>
      <c r="D21" s="187"/>
      <c r="E21" s="187">
        <f ca="1">E13+E14+E15+E17+E18+E19+E20</f>
        <v>22.58411965848509</v>
      </c>
      <c r="F21" s="187">
        <f t="shared" ref="F21:M21" ca="1" si="4">F13+F14+F15+F17+F18+F19+F20</f>
        <v>26.679163723907855</v>
      </c>
      <c r="G21" s="187">
        <f t="shared" ca="1" si="4"/>
        <v>29.437227499285395</v>
      </c>
      <c r="H21" s="187">
        <f t="shared" ca="1" si="4"/>
        <v>32.236097933762949</v>
      </c>
      <c r="I21" s="187">
        <f t="shared" ca="1" si="4"/>
        <v>34.828024063337317</v>
      </c>
      <c r="J21" s="187">
        <f t="shared" ca="1" si="4"/>
        <v>37.851176682512254</v>
      </c>
      <c r="K21" s="187">
        <f t="shared" ca="1" si="4"/>
        <v>41.349594857855571</v>
      </c>
      <c r="L21" s="187">
        <f t="shared" ca="1" si="4"/>
        <v>44.969039328843628</v>
      </c>
      <c r="M21" s="187">
        <f t="shared" ca="1" si="4"/>
        <v>48.579979487178299</v>
      </c>
    </row>
    <row r="22" spans="2:13" ht="18" customHeight="1">
      <c r="B22" s="185" t="s">
        <v>326</v>
      </c>
    </row>
    <row r="23" spans="2:13" ht="18" customHeight="1">
      <c r="B23" s="1" t="s">
        <v>100</v>
      </c>
      <c r="D23" s="157"/>
      <c r="E23" s="157">
        <f>'Depreciation Schedule'!E27</f>
        <v>2.1968627999999999</v>
      </c>
      <c r="F23" s="157">
        <f>'Depreciation Schedule'!F27</f>
        <v>2.1968627999999999</v>
      </c>
      <c r="G23" s="157">
        <f>'Depreciation Schedule'!G27</f>
        <v>2.1968627999999999</v>
      </c>
      <c r="H23" s="157">
        <f>'Depreciation Schedule'!H27</f>
        <v>2.1968627999999999</v>
      </c>
      <c r="I23" s="157">
        <f>'Depreciation Schedule'!I27</f>
        <v>2.1968627999999999</v>
      </c>
      <c r="J23" s="157">
        <f>'Depreciation Schedule'!J27</f>
        <v>2.1968627999999999</v>
      </c>
      <c r="K23" s="157">
        <f>'Depreciation Schedule'!K27</f>
        <v>2.1968627999999999</v>
      </c>
      <c r="L23" s="157">
        <f>'Depreciation Schedule'!L27</f>
        <v>2.1968627999999999</v>
      </c>
      <c r="M23" s="157">
        <f>'Depreciation Schedule'!M27</f>
        <v>2.1968627999999999</v>
      </c>
    </row>
    <row r="24" spans="2:13" ht="18" customHeight="1">
      <c r="B24" s="1" t="s">
        <v>419</v>
      </c>
      <c r="D24" s="157"/>
      <c r="E24" s="157">
        <f>'Depreciation Schedule'!E29</f>
        <v>0</v>
      </c>
      <c r="F24" s="157">
        <f>'Depreciation Schedule'!F29</f>
        <v>0</v>
      </c>
      <c r="G24" s="157">
        <f>'Depreciation Schedule'!G29</f>
        <v>0</v>
      </c>
      <c r="H24" s="157">
        <f>'Depreciation Schedule'!H29</f>
        <v>0</v>
      </c>
      <c r="I24" s="157">
        <f>'Depreciation Schedule'!I29</f>
        <v>0</v>
      </c>
      <c r="J24" s="157">
        <f>'Depreciation Schedule'!J29</f>
        <v>0</v>
      </c>
      <c r="K24" s="157">
        <f>'Depreciation Schedule'!K29</f>
        <v>0</v>
      </c>
      <c r="L24" s="157">
        <f>'Depreciation Schedule'!L29</f>
        <v>0</v>
      </c>
      <c r="M24" s="157">
        <f>'Depreciation Schedule'!M29</f>
        <v>0</v>
      </c>
    </row>
    <row r="25" spans="2:13" ht="18" customHeight="1">
      <c r="B25" s="1" t="s">
        <v>387</v>
      </c>
      <c r="D25" s="157"/>
      <c r="E25" s="157">
        <f>'Depreciation Schedule'!E31</f>
        <v>4.193109155348723</v>
      </c>
      <c r="F25" s="157">
        <f>'Depreciation Schedule'!F31</f>
        <v>4.193109155348723</v>
      </c>
      <c r="G25" s="157">
        <f>'Depreciation Schedule'!G31</f>
        <v>4.193109155348723</v>
      </c>
      <c r="H25" s="157">
        <f>'Depreciation Schedule'!H31</f>
        <v>4.193109155348723</v>
      </c>
      <c r="I25" s="157">
        <f>'Depreciation Schedule'!I31</f>
        <v>4.193109155348723</v>
      </c>
      <c r="J25" s="157">
        <f>'Depreciation Schedule'!J31</f>
        <v>4.193109155348723</v>
      </c>
      <c r="K25" s="157">
        <f>'Depreciation Schedule'!K31</f>
        <v>4.193109155348723</v>
      </c>
      <c r="L25" s="157">
        <f>'Depreciation Schedule'!L31</f>
        <v>4.193109155348723</v>
      </c>
      <c r="M25" s="157">
        <f>'Depreciation Schedule'!M31</f>
        <v>4.193109155348723</v>
      </c>
    </row>
    <row r="26" spans="2:13" ht="18" customHeight="1">
      <c r="B26" s="1" t="s">
        <v>421</v>
      </c>
      <c r="D26" s="157"/>
      <c r="E26" s="157">
        <f>'Depreciation Schedule'!E33</f>
        <v>15.575627605364456</v>
      </c>
      <c r="F26" s="157">
        <f>'Depreciation Schedule'!F33</f>
        <v>15.575627605364456</v>
      </c>
      <c r="G26" s="157">
        <f>'Depreciation Schedule'!G33</f>
        <v>15.575627605364456</v>
      </c>
      <c r="H26" s="157">
        <f>'Depreciation Schedule'!H33</f>
        <v>15.575627605364456</v>
      </c>
      <c r="I26" s="157">
        <f>'Depreciation Schedule'!I33</f>
        <v>15.575627605364456</v>
      </c>
      <c r="J26" s="157">
        <f>'Depreciation Schedule'!J33</f>
        <v>15.575627605364456</v>
      </c>
      <c r="K26" s="157">
        <f>'Depreciation Schedule'!K33</f>
        <v>15.575627605364456</v>
      </c>
      <c r="L26" s="157">
        <f>'Depreciation Schedule'!L33</f>
        <v>15.575627605364456</v>
      </c>
      <c r="M26" s="157">
        <f>'Depreciation Schedule'!M33</f>
        <v>15.575627605364456</v>
      </c>
    </row>
    <row r="27" spans="2:13" ht="18" customHeight="1">
      <c r="B27" s="1" t="s">
        <v>423</v>
      </c>
      <c r="D27" s="157"/>
      <c r="E27" s="157">
        <f>'Depreciation Schedule'!E35</f>
        <v>5.2350475606718259E-2</v>
      </c>
      <c r="F27" s="157">
        <f>'Depreciation Schedule'!F35</f>
        <v>5.2350475606718259E-2</v>
      </c>
      <c r="G27" s="157">
        <f>'Depreciation Schedule'!G35</f>
        <v>5.2350475606718259E-2</v>
      </c>
      <c r="H27" s="157">
        <f>'Depreciation Schedule'!H35</f>
        <v>5.2350475606718259E-2</v>
      </c>
      <c r="I27" s="157">
        <f>'Depreciation Schedule'!I35</f>
        <v>5.2350475606718259E-2</v>
      </c>
      <c r="J27" s="157">
        <f>'Depreciation Schedule'!J35</f>
        <v>5.2350475606718259E-2</v>
      </c>
      <c r="K27" s="157">
        <f>'Depreciation Schedule'!K35</f>
        <v>5.2350475606718259E-2</v>
      </c>
      <c r="L27" s="157">
        <f>'Depreciation Schedule'!L35</f>
        <v>5.2350475606718259E-2</v>
      </c>
      <c r="M27" s="157">
        <f>'Depreciation Schedule'!M35</f>
        <v>5.2350475606718259E-2</v>
      </c>
    </row>
    <row r="28" spans="2:13" ht="18" customHeight="1">
      <c r="B28" s="1" t="s">
        <v>420</v>
      </c>
      <c r="D28" s="157"/>
      <c r="E28" s="157">
        <f>'Depreciation Schedule'!E37</f>
        <v>0.10470095121343652</v>
      </c>
      <c r="F28" s="157">
        <f>'Depreciation Schedule'!F37</f>
        <v>0.10470095121343652</v>
      </c>
      <c r="G28" s="157">
        <f>'Depreciation Schedule'!G37</f>
        <v>0.10470095121343652</v>
      </c>
      <c r="H28" s="157">
        <f>'Depreciation Schedule'!H37</f>
        <v>0.10470095121343652</v>
      </c>
      <c r="I28" s="157">
        <f>'Depreciation Schedule'!I37</f>
        <v>0.10470095121343652</v>
      </c>
      <c r="J28" s="157">
        <f>'Depreciation Schedule'!J37</f>
        <v>0.10470095121343652</v>
      </c>
      <c r="K28" s="157">
        <f>'Depreciation Schedule'!K37</f>
        <v>0.10470095121343652</v>
      </c>
      <c r="L28" s="157">
        <f>'Depreciation Schedule'!L37</f>
        <v>0.10470095121343652</v>
      </c>
      <c r="M28" s="157">
        <f>'Depreciation Schedule'!M37</f>
        <v>0.10470095121343652</v>
      </c>
    </row>
    <row r="29" spans="2:13" ht="18" customHeight="1">
      <c r="B29" s="179" t="s">
        <v>301</v>
      </c>
      <c r="C29" s="179"/>
      <c r="D29" s="180"/>
      <c r="E29" s="180">
        <f>SUM(E23:E28)</f>
        <v>22.122650987533337</v>
      </c>
      <c r="F29" s="180">
        <f t="shared" ref="F29:M29" si="5">SUM(F23:F28)</f>
        <v>22.122650987533337</v>
      </c>
      <c r="G29" s="180">
        <f t="shared" si="5"/>
        <v>22.122650987533337</v>
      </c>
      <c r="H29" s="180">
        <f t="shared" si="5"/>
        <v>22.122650987533337</v>
      </c>
      <c r="I29" s="180">
        <f t="shared" si="5"/>
        <v>22.122650987533337</v>
      </c>
      <c r="J29" s="180">
        <f t="shared" si="5"/>
        <v>22.122650987533337</v>
      </c>
      <c r="K29" s="180">
        <f t="shared" si="5"/>
        <v>22.122650987533337</v>
      </c>
      <c r="L29" s="180">
        <f t="shared" si="5"/>
        <v>22.122650987533337</v>
      </c>
      <c r="M29" s="180">
        <f t="shared" si="5"/>
        <v>22.122650987533337</v>
      </c>
    </row>
    <row r="30" spans="2:13" ht="18" customHeight="1">
      <c r="B30" s="1" t="s">
        <v>176</v>
      </c>
      <c r="D30" s="157"/>
      <c r="E30" s="157">
        <f>IS!E20</f>
        <v>0</v>
      </c>
      <c r="F30" s="157">
        <f>E30+IS!F20</f>
        <v>1.0500686796741352</v>
      </c>
      <c r="G30" s="157">
        <f>F30+IS!G20</f>
        <v>2.1001373593482704</v>
      </c>
      <c r="H30" s="157">
        <f>G30+IS!H20</f>
        <v>3.1473369989140059</v>
      </c>
      <c r="I30" s="157">
        <f>H30+IS!I20</f>
        <v>4.1974056785881411</v>
      </c>
      <c r="J30" s="157">
        <f>I30+IS!J20</f>
        <v>5.2474743582622763</v>
      </c>
      <c r="K30" s="157">
        <f>J30+IS!K20</f>
        <v>6.2792849131563147</v>
      </c>
      <c r="L30" s="157">
        <f>K30+IS!L20</f>
        <v>7.3082763135287845</v>
      </c>
      <c r="M30" s="157">
        <f>L30+IS!M20</f>
        <v>8.3400868684228229</v>
      </c>
    </row>
    <row r="31" spans="2:13" ht="18" customHeight="1">
      <c r="B31" s="45" t="s">
        <v>307</v>
      </c>
      <c r="C31" s="45"/>
      <c r="D31" s="172"/>
      <c r="E31" s="172">
        <f>E29-E30</f>
        <v>22.122650987533337</v>
      </c>
      <c r="F31" s="172">
        <f t="shared" ref="F31:M31" si="6">F29-F30</f>
        <v>21.0725823078592</v>
      </c>
      <c r="G31" s="172">
        <f t="shared" si="6"/>
        <v>20.022513628185067</v>
      </c>
      <c r="H31" s="172">
        <f t="shared" si="6"/>
        <v>18.97531398861933</v>
      </c>
      <c r="I31" s="172">
        <f t="shared" si="6"/>
        <v>17.925245308945197</v>
      </c>
      <c r="J31" s="172">
        <f t="shared" si="6"/>
        <v>16.87517662927106</v>
      </c>
      <c r="K31" s="172">
        <f t="shared" si="6"/>
        <v>15.843366074377023</v>
      </c>
      <c r="L31" s="172">
        <f t="shared" si="6"/>
        <v>14.814374674004553</v>
      </c>
      <c r="M31" s="172">
        <f t="shared" si="6"/>
        <v>13.782564119110514</v>
      </c>
    </row>
    <row r="32" spans="2:13" ht="18" customHeight="1">
      <c r="B32" s="1" t="s">
        <v>306</v>
      </c>
      <c r="D32" s="44"/>
      <c r="E32" s="157">
        <f>D32</f>
        <v>0</v>
      </c>
      <c r="F32" s="157">
        <f t="shared" ref="F32:M32" si="7">E32</f>
        <v>0</v>
      </c>
      <c r="G32" s="157">
        <f t="shared" si="7"/>
        <v>0</v>
      </c>
      <c r="H32" s="157">
        <f t="shared" si="7"/>
        <v>0</v>
      </c>
      <c r="I32" s="157">
        <f t="shared" si="7"/>
        <v>0</v>
      </c>
      <c r="J32" s="157">
        <f t="shared" si="7"/>
        <v>0</v>
      </c>
      <c r="K32" s="157">
        <f t="shared" si="7"/>
        <v>0</v>
      </c>
      <c r="L32" s="157">
        <f t="shared" si="7"/>
        <v>0</v>
      </c>
      <c r="M32" s="157">
        <f t="shared" si="7"/>
        <v>0</v>
      </c>
    </row>
    <row r="33" spans="2:15" ht="18" customHeight="1">
      <c r="B33" s="45" t="s">
        <v>327</v>
      </c>
      <c r="C33" s="45"/>
      <c r="D33" s="172"/>
      <c r="E33" s="172">
        <f t="shared" ref="E33:M33" si="8">E31+E32</f>
        <v>22.122650987533337</v>
      </c>
      <c r="F33" s="172">
        <f t="shared" si="8"/>
        <v>21.0725823078592</v>
      </c>
      <c r="G33" s="172">
        <f t="shared" si="8"/>
        <v>20.022513628185067</v>
      </c>
      <c r="H33" s="172">
        <f t="shared" si="8"/>
        <v>18.97531398861933</v>
      </c>
      <c r="I33" s="172">
        <f t="shared" si="8"/>
        <v>17.925245308945197</v>
      </c>
      <c r="J33" s="172">
        <f t="shared" si="8"/>
        <v>16.87517662927106</v>
      </c>
      <c r="K33" s="172">
        <f t="shared" si="8"/>
        <v>15.843366074377023</v>
      </c>
      <c r="L33" s="172">
        <f t="shared" si="8"/>
        <v>14.814374674004553</v>
      </c>
      <c r="M33" s="172">
        <f t="shared" si="8"/>
        <v>13.782564119110514</v>
      </c>
    </row>
    <row r="34" spans="2:15" ht="20.25" customHeight="1">
      <c r="B34" s="185" t="s">
        <v>302</v>
      </c>
    </row>
    <row r="35" spans="2:15" ht="18" customHeight="1">
      <c r="B35" s="1" t="s">
        <v>303</v>
      </c>
      <c r="D35" s="157"/>
      <c r="E35" s="157">
        <f>'Working Capital Assessment'!E62</f>
        <v>0</v>
      </c>
      <c r="F35" s="157">
        <f>'Working Capital Assessment'!F62</f>
        <v>0.80584852293877751</v>
      </c>
      <c r="G35" s="157">
        <f>'Working Capital Assessment'!G62</f>
        <v>1.0576761863571456</v>
      </c>
      <c r="H35" s="157">
        <f>'Working Capital Assessment'!H62</f>
        <v>1.1105599956750027</v>
      </c>
      <c r="I35" s="157">
        <f>'Working Capital Assessment'!I62</f>
        <v>1.1660879954587531</v>
      </c>
      <c r="J35" s="157">
        <f>'Working Capital Assessment'!J62</f>
        <v>1.2243923952316909</v>
      </c>
      <c r="K35" s="157">
        <f>'Working Capital Assessment'!K62</f>
        <v>1.2856120149932755</v>
      </c>
      <c r="L35" s="157">
        <f>'Working Capital Assessment'!L62</f>
        <v>1.349892615742939</v>
      </c>
      <c r="M35" s="157">
        <f>'Working Capital Assessment'!M62</f>
        <v>1.4173872465300861</v>
      </c>
    </row>
    <row r="36" spans="2:15" ht="18" customHeight="1">
      <c r="B36" s="1" t="s">
        <v>304</v>
      </c>
      <c r="D36" s="157"/>
      <c r="E36" s="157">
        <f>'Working Capital Assessment'!E48</f>
        <v>0</v>
      </c>
      <c r="F36" s="157">
        <f ca="1">'Working Capital Assessment'!F48</f>
        <v>1.3492083024991433</v>
      </c>
      <c r="G36" s="157">
        <f ca="1">'Working Capital Assessment'!G48</f>
        <v>1.7726179454550777</v>
      </c>
      <c r="H36" s="157">
        <f ca="1">'Working Capital Assessment'!H48</f>
        <v>1.8648837040817945</v>
      </c>
      <c r="I36" s="157">
        <f ca="1">'Working Capital Assessment'!I48</f>
        <v>1.9583694227208375</v>
      </c>
      <c r="J36" s="157">
        <f ca="1">'Working Capital Assessment'!J48</f>
        <v>2.0565292393674621</v>
      </c>
      <c r="K36" s="157">
        <f ca="1">'Working Capital Assessment'!K48</f>
        <v>2.1593680221807658</v>
      </c>
      <c r="L36" s="157">
        <f ca="1">'Working Capital Assessment'!L48</f>
        <v>2.267836697061234</v>
      </c>
      <c r="M36" s="157">
        <f ca="1">'Working Capital Assessment'!M48</f>
        <v>2.3820302563161388</v>
      </c>
    </row>
    <row r="37" spans="2:15" ht="18" customHeight="1">
      <c r="B37" s="1" t="s">
        <v>308</v>
      </c>
      <c r="D37" s="157"/>
      <c r="E37" s="157">
        <f ca="1">CFS!E33</f>
        <v>0.31146867095175423</v>
      </c>
      <c r="F37" s="157">
        <f ca="1">CFS!F33</f>
        <v>3.3315245906107354</v>
      </c>
      <c r="G37" s="157">
        <f ca="1">CFS!G33</f>
        <v>6.4944197392881122</v>
      </c>
      <c r="H37" s="157">
        <f ca="1">CFS!H33</f>
        <v>10.225340245386832</v>
      </c>
      <c r="I37" s="157">
        <f ca="1">CFS!I33</f>
        <v>13.748321336212538</v>
      </c>
      <c r="J37" s="157">
        <f ca="1">CFS!J33</f>
        <v>17.695078418642048</v>
      </c>
      <c r="K37" s="157">
        <f ca="1">CFS!K33</f>
        <v>22.061248746304518</v>
      </c>
      <c r="L37" s="157">
        <f ca="1">CFS!L33</f>
        <v>26.536935342034916</v>
      </c>
      <c r="M37" s="157">
        <f ca="1">CFS!M33</f>
        <v>30.997997865221564</v>
      </c>
    </row>
    <row r="38" spans="2:15" ht="18" customHeight="1">
      <c r="B38" s="1" t="s">
        <v>305</v>
      </c>
      <c r="D38" s="188"/>
      <c r="E38" s="188">
        <f>D38</f>
        <v>0</v>
      </c>
      <c r="F38" s="188">
        <f t="shared" ref="F38:M38" si="9">E38</f>
        <v>0</v>
      </c>
      <c r="G38" s="188">
        <f t="shared" si="9"/>
        <v>0</v>
      </c>
      <c r="H38" s="188">
        <f t="shared" si="9"/>
        <v>0</v>
      </c>
      <c r="I38" s="188">
        <f t="shared" si="9"/>
        <v>0</v>
      </c>
      <c r="J38" s="188">
        <f t="shared" si="9"/>
        <v>0</v>
      </c>
      <c r="K38" s="188">
        <f t="shared" si="9"/>
        <v>0</v>
      </c>
      <c r="L38" s="188">
        <f t="shared" si="9"/>
        <v>0</v>
      </c>
      <c r="M38" s="188">
        <f t="shared" si="9"/>
        <v>0</v>
      </c>
    </row>
    <row r="39" spans="2:15" ht="18" customHeight="1">
      <c r="B39" s="45" t="s">
        <v>325</v>
      </c>
      <c r="C39" s="45"/>
      <c r="D39" s="172"/>
      <c r="E39" s="172">
        <f t="shared" ref="E39:M39" ca="1" si="10">E35+E36+E37+E38</f>
        <v>0.31146867095175423</v>
      </c>
      <c r="F39" s="172">
        <f t="shared" ca="1" si="10"/>
        <v>5.4865814160486561</v>
      </c>
      <c r="G39" s="172">
        <f t="shared" ca="1" si="10"/>
        <v>9.3247138711003359</v>
      </c>
      <c r="H39" s="172">
        <f t="shared" ca="1" si="10"/>
        <v>13.200783945143629</v>
      </c>
      <c r="I39" s="172">
        <f t="shared" ca="1" si="10"/>
        <v>16.872778754392129</v>
      </c>
      <c r="J39" s="172">
        <f t="shared" ca="1" si="10"/>
        <v>20.976000053241201</v>
      </c>
      <c r="K39" s="172">
        <f t="shared" ca="1" si="10"/>
        <v>25.506228783478559</v>
      </c>
      <c r="L39" s="172">
        <f t="shared" ca="1" si="10"/>
        <v>30.154664654839088</v>
      </c>
      <c r="M39" s="172">
        <f t="shared" ca="1" si="10"/>
        <v>34.797415368067789</v>
      </c>
    </row>
    <row r="40" spans="2:15" ht="18" customHeight="1">
      <c r="B40" s="1" t="s">
        <v>330</v>
      </c>
      <c r="D40" s="157"/>
      <c r="E40" s="157">
        <f>D40+CFS!E29</f>
        <v>0.15000000000000002</v>
      </c>
      <c r="F40" s="157">
        <f>E40-IS!F32</f>
        <v>0.12000000000000002</v>
      </c>
      <c r="G40" s="157">
        <f>F40-IS!G32</f>
        <v>9.0000000000000024E-2</v>
      </c>
      <c r="H40" s="157">
        <f>G40-IS!H32</f>
        <v>6.0000000000000019E-2</v>
      </c>
      <c r="I40" s="157">
        <f>H40-IS!I32</f>
        <v>3.0000000000000013E-2</v>
      </c>
      <c r="J40" s="157">
        <f>I40-IS!J32</f>
        <v>0</v>
      </c>
      <c r="K40" s="157">
        <f>J40-IS!K32</f>
        <v>0</v>
      </c>
      <c r="L40" s="157">
        <f>K40-IS!L32</f>
        <v>0</v>
      </c>
      <c r="M40" s="157">
        <f>L40-IS!M32</f>
        <v>0</v>
      </c>
    </row>
    <row r="41" spans="2:15" ht="18" customHeight="1">
      <c r="B41" s="42" t="s">
        <v>300</v>
      </c>
      <c r="C41" s="42"/>
      <c r="D41" s="187"/>
      <c r="E41" s="187">
        <f ca="1">E33+E39+E40</f>
        <v>22.58411965848509</v>
      </c>
      <c r="F41" s="187">
        <f t="shared" ref="F41:M41" ca="1" si="11">F33+F39+F40</f>
        <v>26.679163723907859</v>
      </c>
      <c r="G41" s="187">
        <f t="shared" ca="1" si="11"/>
        <v>29.437227499285402</v>
      </c>
      <c r="H41" s="187">
        <f t="shared" ca="1" si="11"/>
        <v>32.236097933762963</v>
      </c>
      <c r="I41" s="187">
        <f t="shared" ca="1" si="11"/>
        <v>34.828024063337324</v>
      </c>
      <c r="J41" s="187">
        <f t="shared" ca="1" si="11"/>
        <v>37.851176682512261</v>
      </c>
      <c r="K41" s="187">
        <f t="shared" ca="1" si="11"/>
        <v>41.349594857855578</v>
      </c>
      <c r="L41" s="187">
        <f t="shared" ca="1" si="11"/>
        <v>44.969039328843643</v>
      </c>
      <c r="M41" s="187">
        <f t="shared" ca="1" si="11"/>
        <v>48.579979487178306</v>
      </c>
    </row>
    <row r="43" spans="2:15" s="2" customFormat="1" ht="18" customHeight="1">
      <c r="B43" s="189" t="s">
        <v>328</v>
      </c>
      <c r="C43" s="189"/>
      <c r="D43" s="190"/>
      <c r="E43" s="190">
        <f t="shared" ref="E43:M43" ca="1" si="12">E21-E41</f>
        <v>0</v>
      </c>
      <c r="F43" s="190">
        <f t="shared" ca="1" si="12"/>
        <v>0</v>
      </c>
      <c r="G43" s="190">
        <f t="shared" ca="1" si="12"/>
        <v>0</v>
      </c>
      <c r="H43" s="190">
        <f t="shared" ca="1" si="12"/>
        <v>0</v>
      </c>
      <c r="I43" s="190">
        <f t="shared" ca="1" si="12"/>
        <v>0</v>
      </c>
      <c r="J43" s="190">
        <f t="shared" ca="1" si="12"/>
        <v>0</v>
      </c>
      <c r="K43" s="190">
        <f t="shared" ca="1" si="12"/>
        <v>0</v>
      </c>
      <c r="L43" s="190">
        <f t="shared" ca="1" si="12"/>
        <v>0</v>
      </c>
      <c r="M43" s="190">
        <f t="shared" ca="1" si="12"/>
        <v>0</v>
      </c>
      <c r="N43" s="1"/>
      <c r="O43" s="1"/>
    </row>
  </sheetData>
  <mergeCells count="2">
    <mergeCell ref="D8:E8"/>
    <mergeCell ref="F8:M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showGridLines="0" workbookViewId="0"/>
  </sheetViews>
  <sheetFormatPr defaultColWidth="13.7109375" defaultRowHeight="18" customHeight="1"/>
  <cols>
    <col min="1" max="1" width="4.85546875" style="1" customWidth="1"/>
    <col min="2" max="2" width="50.85546875" style="1" customWidth="1"/>
    <col min="3" max="3" width="7.140625" style="1" customWidth="1"/>
    <col min="4" max="15" width="12.7109375" style="1" customWidth="1"/>
    <col min="16" max="16384" width="13.7109375" style="1"/>
  </cols>
  <sheetData>
    <row r="1" spans="2:16" ht="15.75" customHeight="1"/>
    <row r="2" spans="2:16" s="2" customFormat="1" ht="18" customHeight="1">
      <c r="B2" s="36" t="str">
        <f>"Financial Model of " &amp; B4</f>
        <v>Financial Model of Proposed 6000 KGPD CBG plant set up M/s. SRSBIOX RENEWABLE LLP.</v>
      </c>
      <c r="C2" s="171"/>
      <c r="D2" s="171"/>
      <c r="E2" s="171"/>
      <c r="F2" s="171"/>
      <c r="G2" s="171"/>
      <c r="H2" s="171"/>
      <c r="I2" s="171"/>
      <c r="J2" s="171"/>
      <c r="K2" s="171"/>
      <c r="L2" s="171"/>
      <c r="M2" s="171"/>
      <c r="N2" s="1"/>
      <c r="O2" s="1"/>
      <c r="P2" s="27"/>
    </row>
    <row r="3" spans="2:16" s="2" customFormat="1" ht="12" customHeight="1">
      <c r="C3" s="27"/>
      <c r="D3" s="27"/>
      <c r="E3" s="27"/>
      <c r="F3" s="27"/>
      <c r="G3" s="27"/>
      <c r="H3" s="27"/>
      <c r="I3" s="27"/>
      <c r="J3" s="27"/>
      <c r="K3" s="27"/>
      <c r="L3" s="27"/>
      <c r="M3" s="27"/>
      <c r="N3" s="1"/>
      <c r="O3" s="1"/>
      <c r="P3" s="27"/>
    </row>
    <row r="4" spans="2:16" s="2" customFormat="1" ht="18" customHeight="1">
      <c r="B4" s="28" t="str">
        <f>'Common Assumption'!B4</f>
        <v>Proposed 6000 KGPD CBG plant set up M/s. SRSBIOX RENEWABLE LLP.</v>
      </c>
      <c r="C4" s="28"/>
      <c r="D4" s="29"/>
      <c r="E4" s="29"/>
      <c r="F4" s="29"/>
      <c r="G4" s="29"/>
      <c r="H4" s="29"/>
      <c r="I4" s="29"/>
      <c r="J4" s="29"/>
      <c r="K4" s="29"/>
      <c r="L4" s="29"/>
      <c r="M4" s="29"/>
      <c r="N4" s="1"/>
      <c r="O4" s="1"/>
      <c r="P4" s="27"/>
    </row>
    <row r="5" spans="2:16" s="2" customFormat="1" ht="13.5" customHeight="1">
      <c r="C5" s="27"/>
      <c r="D5" s="27"/>
      <c r="F5" s="30"/>
      <c r="N5" s="1"/>
      <c r="O5" s="1"/>
      <c r="P5" s="27"/>
    </row>
    <row r="6" spans="2:16" s="2" customFormat="1" ht="18" customHeight="1">
      <c r="B6" s="28" t="s">
        <v>293</v>
      </c>
      <c r="C6" s="28"/>
      <c r="D6" s="29"/>
      <c r="E6" s="29"/>
      <c r="F6" s="29"/>
      <c r="G6" s="29"/>
      <c r="H6" s="29"/>
      <c r="I6" s="29"/>
      <c r="J6" s="29"/>
      <c r="K6" s="29"/>
      <c r="L6" s="29"/>
      <c r="M6" s="29"/>
      <c r="N6" s="1"/>
      <c r="O6" s="1"/>
      <c r="P6" s="27"/>
    </row>
    <row r="7" spans="2:16" s="2" customFormat="1" ht="12.75" customHeight="1">
      <c r="C7" s="27"/>
      <c r="D7" s="27"/>
      <c r="F7" s="30"/>
      <c r="N7" s="1"/>
      <c r="O7" s="1"/>
      <c r="P7" s="27"/>
    </row>
    <row r="8" spans="2:16" s="2" customFormat="1" ht="18" customHeight="1">
      <c r="C8" s="27"/>
      <c r="D8" s="308" t="s">
        <v>8</v>
      </c>
      <c r="E8" s="308"/>
      <c r="F8" s="309" t="s">
        <v>50</v>
      </c>
      <c r="G8" s="309"/>
      <c r="H8" s="309"/>
      <c r="I8" s="309"/>
      <c r="J8" s="309"/>
      <c r="K8" s="309"/>
      <c r="L8" s="309"/>
      <c r="M8" s="309"/>
      <c r="N8" s="1"/>
      <c r="O8" s="1"/>
      <c r="P8" s="27"/>
    </row>
    <row r="9" spans="2:16" s="2" customFormat="1" ht="18" customHeight="1">
      <c r="B9" s="31" t="s">
        <v>51</v>
      </c>
      <c r="C9" s="32" t="s">
        <v>52</v>
      </c>
      <c r="D9" s="33"/>
      <c r="E9" s="33">
        <f>'Common Assumption'!E13</f>
        <v>45747</v>
      </c>
      <c r="F9" s="33">
        <f>DATE(YEAR(E9)+1,MONTH(E9),DAY(E9))</f>
        <v>46112</v>
      </c>
      <c r="G9" s="33">
        <f>DATE(YEAR(F9)+1,MONTH(F9),DAY(F9))</f>
        <v>46477</v>
      </c>
      <c r="H9" s="33">
        <f t="shared" ref="H9:M9" si="0">DATE(YEAR(G9)+1,MONTH(G9),DAY(G9))</f>
        <v>46843</v>
      </c>
      <c r="I9" s="33">
        <f t="shared" si="0"/>
        <v>47208</v>
      </c>
      <c r="J9" s="33">
        <f t="shared" si="0"/>
        <v>47573</v>
      </c>
      <c r="K9" s="33">
        <f t="shared" si="0"/>
        <v>47938</v>
      </c>
      <c r="L9" s="33">
        <f t="shared" si="0"/>
        <v>48304</v>
      </c>
      <c r="M9" s="33">
        <f t="shared" si="0"/>
        <v>48669</v>
      </c>
      <c r="N9" s="1"/>
      <c r="O9" s="1"/>
      <c r="P9" s="27"/>
    </row>
    <row r="10" spans="2:16" s="34" customFormat="1" ht="18" customHeight="1">
      <c r="B10" s="39" t="s">
        <v>53</v>
      </c>
      <c r="C10" s="40"/>
      <c r="D10" s="38"/>
      <c r="E10" s="38">
        <v>0</v>
      </c>
      <c r="F10" s="41">
        <v>1</v>
      </c>
      <c r="G10" s="41">
        <f>F10+1</f>
        <v>2</v>
      </c>
      <c r="H10" s="41">
        <f t="shared" ref="H10:M10" si="1">G10+1</f>
        <v>3</v>
      </c>
      <c r="I10" s="41">
        <f t="shared" si="1"/>
        <v>4</v>
      </c>
      <c r="J10" s="41">
        <f t="shared" si="1"/>
        <v>5</v>
      </c>
      <c r="K10" s="41">
        <f t="shared" si="1"/>
        <v>6</v>
      </c>
      <c r="L10" s="41">
        <f t="shared" si="1"/>
        <v>7</v>
      </c>
      <c r="M10" s="41">
        <f t="shared" si="1"/>
        <v>8</v>
      </c>
      <c r="N10" s="1"/>
      <c r="O10" s="1"/>
      <c r="P10" s="35"/>
    </row>
    <row r="11" spans="2:16" s="34" customFormat="1" ht="19.5" customHeight="1">
      <c r="B11" s="39" t="s">
        <v>54</v>
      </c>
      <c r="C11" s="40">
        <f>'Common Assumption'!E12</f>
        <v>7</v>
      </c>
      <c r="D11" s="38"/>
      <c r="E11" s="38">
        <f>C11</f>
        <v>7</v>
      </c>
      <c r="F11" s="40">
        <f>MONTH(F9-E9)</f>
        <v>12</v>
      </c>
      <c r="G11" s="40">
        <f t="shared" ref="G11:M11" si="2">MONTH(G9-F9)</f>
        <v>12</v>
      </c>
      <c r="H11" s="40">
        <f t="shared" si="2"/>
        <v>12</v>
      </c>
      <c r="I11" s="40">
        <f t="shared" si="2"/>
        <v>12</v>
      </c>
      <c r="J11" s="40">
        <f t="shared" si="2"/>
        <v>12</v>
      </c>
      <c r="K11" s="40">
        <f t="shared" si="2"/>
        <v>12</v>
      </c>
      <c r="L11" s="40">
        <f t="shared" si="2"/>
        <v>12</v>
      </c>
      <c r="M11" s="40">
        <f t="shared" si="2"/>
        <v>12</v>
      </c>
      <c r="N11" s="1"/>
      <c r="O11" s="1"/>
      <c r="P11" s="35"/>
    </row>
    <row r="12" spans="2:16" ht="24" customHeight="1">
      <c r="B12" s="185" t="s">
        <v>309</v>
      </c>
    </row>
    <row r="13" spans="2:16" ht="18" customHeight="1">
      <c r="B13" s="1" t="s">
        <v>310</v>
      </c>
      <c r="D13" s="157"/>
      <c r="E13" s="157">
        <f>IS!E41</f>
        <v>0</v>
      </c>
      <c r="F13" s="157">
        <f ca="1">IS!F41</f>
        <v>2.6858619237918662</v>
      </c>
      <c r="G13" s="157">
        <f ca="1">IS!G41</f>
        <v>3.8979440019947278</v>
      </c>
      <c r="H13" s="157">
        <f ca="1">IS!H41</f>
        <v>4.1357632026047018</v>
      </c>
      <c r="I13" s="157">
        <f ca="1">IS!I41</f>
        <v>4.5257423844044622</v>
      </c>
      <c r="J13" s="157">
        <f ca="1">IS!J41</f>
        <v>4.9530568534404233</v>
      </c>
      <c r="K13" s="157">
        <f ca="1">IS!K41</f>
        <v>5.4241545924954915</v>
      </c>
      <c r="L13" s="157">
        <f ca="1">IS!L41</f>
        <v>5.8837466223704675</v>
      </c>
      <c r="M13" s="157">
        <f ca="1">IS!M41</f>
        <v>6.3815197339889886</v>
      </c>
    </row>
    <row r="14" spans="2:16" ht="18" customHeight="1">
      <c r="B14" s="1" t="s">
        <v>311</v>
      </c>
      <c r="D14" s="157"/>
      <c r="E14" s="157">
        <f ca="1">BS!E13-BS!D13</f>
        <v>8.5841196584850898</v>
      </c>
      <c r="F14" s="157">
        <f ca="1">BS!F13-BS!E13</f>
        <v>0</v>
      </c>
      <c r="G14" s="157">
        <f ca="1">BS!G13-BS!F13</f>
        <v>0</v>
      </c>
      <c r="H14" s="157">
        <f ca="1">BS!H13-BS!G13</f>
        <v>0</v>
      </c>
      <c r="I14" s="157">
        <f ca="1">BS!I13-BS!H13</f>
        <v>0</v>
      </c>
      <c r="J14" s="157">
        <f ca="1">BS!J13-BS!I13</f>
        <v>0</v>
      </c>
      <c r="K14" s="157">
        <f ca="1">BS!K13-BS!J13</f>
        <v>0</v>
      </c>
      <c r="L14" s="157">
        <f ca="1">BS!L13-BS!K13</f>
        <v>0</v>
      </c>
      <c r="M14" s="157">
        <f ca="1">BS!M13-BS!L13</f>
        <v>0</v>
      </c>
    </row>
    <row r="15" spans="2:16" ht="18" customHeight="1">
      <c r="B15" s="1" t="s">
        <v>312</v>
      </c>
      <c r="D15" s="157"/>
      <c r="E15" s="157">
        <f>'Loan Schedule'!E13</f>
        <v>14</v>
      </c>
      <c r="F15" s="157">
        <f>'Loan Schedule'!F13</f>
        <v>0</v>
      </c>
      <c r="G15" s="157">
        <f>'Loan Schedule'!G13</f>
        <v>0</v>
      </c>
      <c r="H15" s="157">
        <f>'Loan Schedule'!H13</f>
        <v>0</v>
      </c>
      <c r="I15" s="157">
        <f>'Loan Schedule'!I13</f>
        <v>0</v>
      </c>
      <c r="J15" s="157">
        <f>'Loan Schedule'!J13</f>
        <v>0</v>
      </c>
      <c r="K15" s="157">
        <f>'Loan Schedule'!K13</f>
        <v>0</v>
      </c>
      <c r="L15" s="157">
        <f>'Loan Schedule'!L13</f>
        <v>0</v>
      </c>
      <c r="M15" s="157">
        <f>'Loan Schedule'!M13</f>
        <v>0</v>
      </c>
    </row>
    <row r="16" spans="2:16" ht="18" customHeight="1">
      <c r="B16" s="1" t="s">
        <v>313</v>
      </c>
      <c r="D16" s="158"/>
      <c r="E16" s="158">
        <v>0</v>
      </c>
      <c r="F16" s="157">
        <f>'TPC and MoF'!D28</f>
        <v>0.5</v>
      </c>
      <c r="G16" s="157">
        <v>0</v>
      </c>
      <c r="H16" s="157">
        <v>0</v>
      </c>
      <c r="I16" s="157">
        <v>0</v>
      </c>
      <c r="J16" s="157">
        <v>0</v>
      </c>
      <c r="K16" s="157">
        <v>0</v>
      </c>
      <c r="L16" s="157">
        <v>0</v>
      </c>
      <c r="M16" s="157">
        <v>0</v>
      </c>
    </row>
    <row r="17" spans="2:13" ht="18" customHeight="1">
      <c r="B17" s="1" t="s">
        <v>314</v>
      </c>
      <c r="D17" s="157"/>
      <c r="E17" s="157">
        <f>IS!E20</f>
        <v>0</v>
      </c>
      <c r="F17" s="157">
        <f>IS!F20</f>
        <v>1.0500686796741352</v>
      </c>
      <c r="G17" s="157">
        <f>IS!G20</f>
        <v>1.0500686796741352</v>
      </c>
      <c r="H17" s="157">
        <f>IS!H20</f>
        <v>1.0471996395657357</v>
      </c>
      <c r="I17" s="157">
        <f>IS!I20</f>
        <v>1.0500686796741352</v>
      </c>
      <c r="J17" s="157">
        <f>IS!J20</f>
        <v>1.0500686796741352</v>
      </c>
      <c r="K17" s="157">
        <f>IS!K20</f>
        <v>1.0318105548940386</v>
      </c>
      <c r="L17" s="157">
        <f>IS!L20</f>
        <v>1.0289914003724701</v>
      </c>
      <c r="M17" s="157">
        <f>IS!M20</f>
        <v>1.0318105548940386</v>
      </c>
    </row>
    <row r="18" spans="2:13" ht="18" customHeight="1">
      <c r="B18" s="1" t="s">
        <v>315</v>
      </c>
      <c r="D18" s="157"/>
      <c r="E18" s="157">
        <f>IS!E32</f>
        <v>0</v>
      </c>
      <c r="F18" s="157">
        <f>IS!F32</f>
        <v>3.0000000000000006E-2</v>
      </c>
      <c r="G18" s="157">
        <f>IS!G32</f>
        <v>3.0000000000000006E-2</v>
      </c>
      <c r="H18" s="157">
        <f>IS!H32</f>
        <v>3.0000000000000006E-2</v>
      </c>
      <c r="I18" s="157">
        <f>IS!I32</f>
        <v>3.0000000000000006E-2</v>
      </c>
      <c r="J18" s="157">
        <f>IS!J32</f>
        <v>3.0000000000000006E-2</v>
      </c>
      <c r="K18" s="157">
        <f>IS!K32</f>
        <v>0</v>
      </c>
      <c r="L18" s="157">
        <f>IS!L32</f>
        <v>0</v>
      </c>
      <c r="M18" s="157">
        <f>IS!M32</f>
        <v>0</v>
      </c>
    </row>
    <row r="19" spans="2:13" ht="18" customHeight="1">
      <c r="B19" s="1" t="s">
        <v>316</v>
      </c>
      <c r="F19" s="157">
        <f>BS!F17-BS!E17</f>
        <v>0.90918214163090039</v>
      </c>
      <c r="G19" s="157">
        <f>BS!G17-BS!F17</f>
        <v>0.26011977338281589</v>
      </c>
      <c r="H19" s="157">
        <f>BS!H17-BS!G17</f>
        <v>6.3107231872855829E-2</v>
      </c>
      <c r="I19" s="157">
        <f>BS!I17-BS!H17</f>
        <v>6.6783745169902042E-2</v>
      </c>
      <c r="J19" s="157">
        <f>BS!J17-BS!I17</f>
        <v>7.0695765734513083E-2</v>
      </c>
      <c r="K19" s="157">
        <f>BS!K17-BS!J17</f>
        <v>7.4863582847827903E-2</v>
      </c>
      <c r="L19" s="157">
        <f>BS!L17-BS!K17</f>
        <v>7.9297848617591704E-2</v>
      </c>
      <c r="M19" s="157">
        <f>BS!M17-BS!L17</f>
        <v>8.4020424345672806E-2</v>
      </c>
    </row>
    <row r="20" spans="2:13" ht="18.75" customHeight="1">
      <c r="B20" s="186" t="s">
        <v>103</v>
      </c>
      <c r="C20" s="186"/>
      <c r="D20" s="191"/>
      <c r="E20" s="191">
        <f t="shared" ref="E20:M20" ca="1" si="3">SUM(E13:E19)</f>
        <v>22.58411965848509</v>
      </c>
      <c r="F20" s="191">
        <f t="shared" ca="1" si="3"/>
        <v>5.1751127450969019</v>
      </c>
      <c r="G20" s="191">
        <f t="shared" ca="1" si="3"/>
        <v>5.2381324550516792</v>
      </c>
      <c r="H20" s="191">
        <f t="shared" ca="1" si="3"/>
        <v>5.2760700740432931</v>
      </c>
      <c r="I20" s="191">
        <f t="shared" ca="1" si="3"/>
        <v>5.6725948092484995</v>
      </c>
      <c r="J20" s="191">
        <f t="shared" ca="1" si="3"/>
        <v>6.1038212988490717</v>
      </c>
      <c r="K20" s="191">
        <f t="shared" ca="1" si="3"/>
        <v>6.5308287302373582</v>
      </c>
      <c r="L20" s="191">
        <f t="shared" ca="1" si="3"/>
        <v>6.9920358713605291</v>
      </c>
      <c r="M20" s="191">
        <f t="shared" ca="1" si="3"/>
        <v>7.4973507132287001</v>
      </c>
    </row>
    <row r="21" spans="2:13" ht="10.5" customHeight="1"/>
    <row r="22" spans="2:13" ht="21.75" customHeight="1">
      <c r="B22" s="185" t="s">
        <v>317</v>
      </c>
    </row>
    <row r="23" spans="2:13" ht="18" customHeight="1">
      <c r="B23" s="1" t="s">
        <v>318</v>
      </c>
      <c r="D23" s="157"/>
      <c r="E23" s="157">
        <f>BS!E29-BS!D29</f>
        <v>22.122650987533337</v>
      </c>
      <c r="F23" s="157">
        <f>BS!F29-BS!E29</f>
        <v>0</v>
      </c>
      <c r="G23" s="157">
        <v>0</v>
      </c>
      <c r="H23" s="157">
        <f>BS!H29-BS!G29</f>
        <v>0</v>
      </c>
      <c r="I23" s="157">
        <f>BS!I29-BS!H29</f>
        <v>0</v>
      </c>
      <c r="J23" s="157">
        <f>BS!J29-BS!I29</f>
        <v>0</v>
      </c>
      <c r="K23" s="157">
        <f>BS!K29-BS!J29</f>
        <v>0</v>
      </c>
      <c r="L23" s="157">
        <f>BS!L29-BS!K29</f>
        <v>0</v>
      </c>
      <c r="M23" s="157">
        <f>BS!M29-BS!L29</f>
        <v>0</v>
      </c>
    </row>
    <row r="24" spans="2:13" ht="18" customHeight="1">
      <c r="B24" s="1" t="s">
        <v>319</v>
      </c>
      <c r="D24" s="157"/>
      <c r="E24" s="157">
        <f>'Loan Schedule'!E14</f>
        <v>0</v>
      </c>
      <c r="F24" s="157">
        <f>'Loan Schedule'!F14</f>
        <v>0</v>
      </c>
      <c r="G24" s="157">
        <f>'Loan Schedule'!G14</f>
        <v>1.4000000000000001</v>
      </c>
      <c r="H24" s="157">
        <f>'Loan Schedule'!H14</f>
        <v>1.4000000000000001</v>
      </c>
      <c r="I24" s="157">
        <f>'Loan Schedule'!I14</f>
        <v>2.0005999999999999</v>
      </c>
      <c r="J24" s="157">
        <f>'Loan Schedule'!J14</f>
        <v>2.0005999999999999</v>
      </c>
      <c r="K24" s="157">
        <f>'Loan Schedule'!K14</f>
        <v>2.0005999999999999</v>
      </c>
      <c r="L24" s="157">
        <f>'Loan Schedule'!L14</f>
        <v>2.3435999999999999</v>
      </c>
      <c r="M24" s="157">
        <f>'Loan Schedule'!M14</f>
        <v>2.8546000000000009</v>
      </c>
    </row>
    <row r="25" spans="2:13" ht="18" customHeight="1">
      <c r="B25" s="1" t="s">
        <v>320</v>
      </c>
      <c r="D25" s="157"/>
      <c r="E25" s="157">
        <f>BS!E35-BS!D35</f>
        <v>0</v>
      </c>
      <c r="F25" s="157">
        <f>BS!F35-BS!E35</f>
        <v>0.80584852293877751</v>
      </c>
      <c r="G25" s="157">
        <f>BS!G35-BS!F35</f>
        <v>0.25182766341836804</v>
      </c>
      <c r="H25" s="157">
        <f>BS!H35-BS!G35</f>
        <v>5.2883809317857189E-2</v>
      </c>
      <c r="I25" s="157">
        <f>BS!I35-BS!H35</f>
        <v>5.5527999783750337E-2</v>
      </c>
      <c r="J25" s="157">
        <f>BS!J35-BS!I35</f>
        <v>5.8304399772937776E-2</v>
      </c>
      <c r="K25" s="157">
        <f>BS!K35-BS!J35</f>
        <v>6.1219619761584632E-2</v>
      </c>
      <c r="L25" s="157">
        <f>BS!L35-BS!K35</f>
        <v>6.4280600749663463E-2</v>
      </c>
      <c r="M25" s="157">
        <f>BS!M35-BS!L35</f>
        <v>6.7494630787147125E-2</v>
      </c>
    </row>
    <row r="26" spans="2:13" ht="18" customHeight="1">
      <c r="B26" s="1" t="s">
        <v>321</v>
      </c>
      <c r="D26" s="157"/>
      <c r="E26" s="157">
        <f>BS!E36-BS!D36</f>
        <v>0</v>
      </c>
      <c r="F26" s="157">
        <f ca="1">BS!F36-BS!E36</f>
        <v>1.3492083024991433</v>
      </c>
      <c r="G26" s="157">
        <f ca="1">BS!G36-BS!F36</f>
        <v>0.42340964295593442</v>
      </c>
      <c r="H26" s="157">
        <f ca="1">BS!H36-BS!G36</f>
        <v>9.2265758626716821E-2</v>
      </c>
      <c r="I26" s="157">
        <f ca="1">BS!I36-BS!H36</f>
        <v>9.3485718639042981E-2</v>
      </c>
      <c r="J26" s="157">
        <f ca="1">BS!J36-BS!I36</f>
        <v>9.8159816646624654E-2</v>
      </c>
      <c r="K26" s="157">
        <f ca="1">BS!K36-BS!J36</f>
        <v>0.10283878281330372</v>
      </c>
      <c r="L26" s="157">
        <f ca="1">BS!L36-BS!K36</f>
        <v>0.10846867488046819</v>
      </c>
      <c r="M26" s="157">
        <f ca="1">BS!M36-BS!L36</f>
        <v>0.11419355925490482</v>
      </c>
    </row>
    <row r="27" spans="2:13" ht="18" customHeight="1">
      <c r="B27" s="1" t="s">
        <v>305</v>
      </c>
      <c r="D27" s="188"/>
      <c r="E27" s="188">
        <v>0</v>
      </c>
      <c r="F27" s="188">
        <f>BS!F38-BS!E38</f>
        <v>0</v>
      </c>
      <c r="G27" s="188">
        <f>BS!G38-BS!F38</f>
        <v>0</v>
      </c>
      <c r="H27" s="188">
        <f>BS!H38-BS!G38</f>
        <v>0</v>
      </c>
      <c r="I27" s="188">
        <f>BS!I38-BS!H38</f>
        <v>0</v>
      </c>
      <c r="J27" s="188">
        <f>BS!J38-BS!I38</f>
        <v>0</v>
      </c>
      <c r="K27" s="188">
        <f>BS!K38-BS!J38</f>
        <v>0</v>
      </c>
      <c r="L27" s="188">
        <f>BS!L38-BS!K38</f>
        <v>0</v>
      </c>
      <c r="M27" s="188">
        <f>BS!M38-BS!L38</f>
        <v>0</v>
      </c>
    </row>
    <row r="28" spans="2:13" ht="18" customHeight="1">
      <c r="B28" s="1" t="s">
        <v>306</v>
      </c>
      <c r="D28" s="157"/>
      <c r="E28" s="157">
        <f>BS!E32-BS!D32</f>
        <v>0</v>
      </c>
      <c r="F28" s="157">
        <f>BS!F32-BS!E32</f>
        <v>0</v>
      </c>
      <c r="G28" s="157">
        <f>BS!G32-BS!F32</f>
        <v>0</v>
      </c>
      <c r="H28" s="157">
        <f>BS!H32-BS!G32</f>
        <v>0</v>
      </c>
      <c r="I28" s="157">
        <f>BS!I32-BS!H32</f>
        <v>0</v>
      </c>
      <c r="J28" s="157">
        <f>BS!J32-BS!I32</f>
        <v>0</v>
      </c>
      <c r="K28" s="157">
        <f>BS!K32-BS!J32</f>
        <v>0</v>
      </c>
      <c r="L28" s="157">
        <f>BS!L32-BS!K32</f>
        <v>0</v>
      </c>
      <c r="M28" s="157">
        <f>BS!M32-BS!L32</f>
        <v>0</v>
      </c>
    </row>
    <row r="29" spans="2:13" ht="18" customHeight="1">
      <c r="B29" s="1" t="s">
        <v>329</v>
      </c>
      <c r="D29" s="157"/>
      <c r="E29" s="157">
        <f>'TPC and MoF'!$D$16</f>
        <v>0.15000000000000002</v>
      </c>
      <c r="F29" s="158">
        <v>0</v>
      </c>
      <c r="G29" s="158">
        <v>0</v>
      </c>
      <c r="H29" s="158">
        <v>0</v>
      </c>
      <c r="I29" s="158">
        <v>0</v>
      </c>
      <c r="J29" s="158">
        <v>0</v>
      </c>
      <c r="K29" s="158">
        <v>0</v>
      </c>
      <c r="L29" s="158">
        <v>0</v>
      </c>
      <c r="M29" s="158">
        <v>0</v>
      </c>
    </row>
    <row r="30" spans="2:13" ht="18.75" customHeight="1">
      <c r="B30" s="186" t="s">
        <v>103</v>
      </c>
      <c r="C30" s="186"/>
      <c r="D30" s="191"/>
      <c r="E30" s="191">
        <f>SUM(E23:E29)</f>
        <v>22.272650987533336</v>
      </c>
      <c r="F30" s="191">
        <f t="shared" ref="F30:M30" ca="1" si="4">SUM(F23:F29)</f>
        <v>2.1550568254379208</v>
      </c>
      <c r="G30" s="191">
        <f t="shared" ca="1" si="4"/>
        <v>2.0752373063743024</v>
      </c>
      <c r="H30" s="191">
        <f t="shared" ca="1" si="4"/>
        <v>1.5451495679445741</v>
      </c>
      <c r="I30" s="191">
        <f t="shared" ca="1" si="4"/>
        <v>2.1496137184227928</v>
      </c>
      <c r="J30" s="191">
        <f t="shared" ca="1" si="4"/>
        <v>2.1570642164195624</v>
      </c>
      <c r="K30" s="191">
        <f t="shared" ca="1" si="4"/>
        <v>2.1646584025748883</v>
      </c>
      <c r="L30" s="191">
        <f t="shared" ca="1" si="4"/>
        <v>2.5163492756301316</v>
      </c>
      <c r="M30" s="191">
        <f t="shared" ca="1" si="4"/>
        <v>3.0362881900420531</v>
      </c>
    </row>
    <row r="31" spans="2:13" ht="19.5" customHeight="1">
      <c r="B31" s="1" t="s">
        <v>322</v>
      </c>
      <c r="D31" s="157"/>
      <c r="E31" s="157">
        <f t="shared" ref="E31:M31" si="5">D33</f>
        <v>0</v>
      </c>
      <c r="F31" s="157">
        <f t="shared" ca="1" si="5"/>
        <v>0.31146867095175423</v>
      </c>
      <c r="G31" s="157">
        <f t="shared" ca="1" si="5"/>
        <v>3.3315245906107354</v>
      </c>
      <c r="H31" s="157">
        <f t="shared" ca="1" si="5"/>
        <v>6.4944197392881122</v>
      </c>
      <c r="I31" s="157">
        <f t="shared" ca="1" si="5"/>
        <v>10.225340245386832</v>
      </c>
      <c r="J31" s="157">
        <f t="shared" ca="1" si="5"/>
        <v>13.748321336212538</v>
      </c>
      <c r="K31" s="157">
        <f t="shared" ca="1" si="5"/>
        <v>17.695078418642048</v>
      </c>
      <c r="L31" s="157">
        <f t="shared" ca="1" si="5"/>
        <v>22.061248746304518</v>
      </c>
      <c r="M31" s="157">
        <f t="shared" ca="1" si="5"/>
        <v>26.536935342034916</v>
      </c>
    </row>
    <row r="32" spans="2:13" ht="21" customHeight="1">
      <c r="B32" s="1" t="s">
        <v>323</v>
      </c>
      <c r="D32" s="157"/>
      <c r="E32" s="157">
        <f t="shared" ref="E32:M32" ca="1" si="6">E20-E30</f>
        <v>0.31146867095175423</v>
      </c>
      <c r="F32" s="157">
        <f t="shared" ca="1" si="6"/>
        <v>3.0200559196589811</v>
      </c>
      <c r="G32" s="157">
        <f t="shared" ca="1" si="6"/>
        <v>3.1628951486773769</v>
      </c>
      <c r="H32" s="157">
        <f t="shared" ca="1" si="6"/>
        <v>3.7309205060987187</v>
      </c>
      <c r="I32" s="157">
        <f t="shared" ca="1" si="6"/>
        <v>3.5229810908257067</v>
      </c>
      <c r="J32" s="157">
        <f t="shared" ca="1" si="6"/>
        <v>3.9467570824295093</v>
      </c>
      <c r="K32" s="157">
        <f t="shared" ca="1" si="6"/>
        <v>4.3661703276624699</v>
      </c>
      <c r="L32" s="157">
        <f t="shared" ca="1" si="6"/>
        <v>4.475686595730398</v>
      </c>
      <c r="M32" s="157">
        <f t="shared" ca="1" si="6"/>
        <v>4.461062523186647</v>
      </c>
    </row>
    <row r="33" spans="2:13" ht="22.5" customHeight="1">
      <c r="B33" s="1" t="s">
        <v>324</v>
      </c>
      <c r="D33" s="157"/>
      <c r="E33" s="157">
        <f t="shared" ref="E33:M33" ca="1" si="7">E31+E32</f>
        <v>0.31146867095175423</v>
      </c>
      <c r="F33" s="157">
        <f t="shared" ca="1" si="7"/>
        <v>3.3315245906107354</v>
      </c>
      <c r="G33" s="157">
        <f t="shared" ca="1" si="7"/>
        <v>6.4944197392881122</v>
      </c>
      <c r="H33" s="157">
        <f t="shared" ca="1" si="7"/>
        <v>10.225340245386832</v>
      </c>
      <c r="I33" s="157">
        <f t="shared" ca="1" si="7"/>
        <v>13.748321336212538</v>
      </c>
      <c r="J33" s="157">
        <f t="shared" ca="1" si="7"/>
        <v>17.695078418642048</v>
      </c>
      <c r="K33" s="157">
        <f t="shared" ca="1" si="7"/>
        <v>22.061248746304518</v>
      </c>
      <c r="L33" s="157">
        <f t="shared" ca="1" si="7"/>
        <v>26.536935342034916</v>
      </c>
      <c r="M33" s="157">
        <f t="shared" ca="1" si="7"/>
        <v>30.997997865221564</v>
      </c>
    </row>
  </sheetData>
  <mergeCells count="2">
    <mergeCell ref="D8:E8"/>
    <mergeCell ref="F8:M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showGridLines="0" workbookViewId="0"/>
  </sheetViews>
  <sheetFormatPr defaultColWidth="32.28515625" defaultRowHeight="15"/>
  <cols>
    <col min="1" max="1" width="4.7109375" style="12" customWidth="1"/>
    <col min="2" max="2" width="41.85546875" style="3" customWidth="1"/>
    <col min="3" max="3" width="16.5703125" style="27" customWidth="1"/>
    <col min="4" max="4" width="25.7109375" style="27" customWidth="1"/>
    <col min="5" max="5" width="22.42578125" style="27" customWidth="1"/>
    <col min="6" max="6" width="25" style="27" customWidth="1"/>
    <col min="7" max="14" width="14" style="12" customWidth="1"/>
    <col min="15" max="16384" width="32.28515625" style="12"/>
  </cols>
  <sheetData>
    <row r="1" spans="2:6" ht="16.5" customHeight="1"/>
    <row r="2" spans="2:6" s="2" customFormat="1" ht="16.5" customHeight="1">
      <c r="B2" s="311" t="s">
        <v>117</v>
      </c>
      <c r="C2" s="311"/>
      <c r="D2" s="311"/>
      <c r="E2" s="311"/>
      <c r="F2" s="312"/>
    </row>
    <row r="3" spans="2:6" s="2" customFormat="1" ht="15" customHeight="1"/>
    <row r="4" spans="2:6" s="96" customFormat="1" ht="18.75" customHeight="1">
      <c r="B4" s="313" t="s">
        <v>118</v>
      </c>
      <c r="C4" s="314"/>
      <c r="D4" s="314"/>
      <c r="E4" s="314"/>
      <c r="F4" s="314"/>
    </row>
    <row r="5" spans="2:6" s="2" customFormat="1" ht="18.75" customHeight="1">
      <c r="B5" s="97" t="s">
        <v>119</v>
      </c>
      <c r="C5" s="98"/>
      <c r="D5" s="98" t="s">
        <v>120</v>
      </c>
      <c r="E5" s="98"/>
      <c r="F5" s="98" t="s">
        <v>120</v>
      </c>
    </row>
    <row r="6" spans="2:6" s="101" customFormat="1" ht="18.75" customHeight="1">
      <c r="B6" s="99" t="s">
        <v>121</v>
      </c>
      <c r="C6" s="100" t="s">
        <v>122</v>
      </c>
      <c r="D6" s="100" t="s">
        <v>123</v>
      </c>
      <c r="E6" s="100" t="s">
        <v>124</v>
      </c>
      <c r="F6" s="100" t="s">
        <v>125</v>
      </c>
    </row>
    <row r="7" spans="2:6" s="2" customFormat="1" ht="18.75" customHeight="1">
      <c r="B7" s="3" t="s">
        <v>126</v>
      </c>
      <c r="C7" s="27">
        <v>4</v>
      </c>
      <c r="D7" s="64">
        <v>25000</v>
      </c>
      <c r="E7" s="27">
        <v>12</v>
      </c>
      <c r="F7" s="64">
        <f>(D7*C7*E7)</f>
        <v>1200000</v>
      </c>
    </row>
    <row r="8" spans="2:6" s="2" customFormat="1" ht="18.75" customHeight="1">
      <c r="B8" s="3" t="s">
        <v>127</v>
      </c>
      <c r="C8" s="27">
        <v>4</v>
      </c>
      <c r="D8" s="64">
        <v>20000</v>
      </c>
      <c r="E8" s="27">
        <v>12</v>
      </c>
      <c r="F8" s="64">
        <f>(D8*C8*E8)</f>
        <v>960000</v>
      </c>
    </row>
    <row r="9" spans="2:6" s="2" customFormat="1" ht="18.75" customHeight="1">
      <c r="B9" s="3" t="s">
        <v>128</v>
      </c>
      <c r="C9" s="27">
        <v>7</v>
      </c>
      <c r="D9" s="64">
        <v>12000</v>
      </c>
      <c r="E9" s="27">
        <v>12</v>
      </c>
      <c r="F9" s="64">
        <f>(D9*C9*E9)</f>
        <v>1008000</v>
      </c>
    </row>
    <row r="10" spans="2:6" s="101" customFormat="1" ht="18.75" customHeight="1">
      <c r="B10" s="97" t="s">
        <v>129</v>
      </c>
      <c r="C10" s="98">
        <f>SUM(C7:C9)</f>
        <v>15</v>
      </c>
      <c r="D10" s="102"/>
      <c r="E10" s="98">
        <v>12</v>
      </c>
      <c r="F10" s="102">
        <f>SUM(F7:F9)</f>
        <v>3168000</v>
      </c>
    </row>
    <row r="11" spans="2:6" s="101" customFormat="1" ht="18.75" customHeight="1">
      <c r="B11" s="97" t="s">
        <v>130</v>
      </c>
      <c r="C11" s="98"/>
      <c r="D11" s="103"/>
      <c r="E11" s="98"/>
      <c r="F11" s="103"/>
    </row>
    <row r="12" spans="2:6" s="101" customFormat="1" ht="18.75" customHeight="1">
      <c r="B12" s="99" t="s">
        <v>121</v>
      </c>
      <c r="C12" s="100" t="s">
        <v>122</v>
      </c>
      <c r="D12" s="100" t="s">
        <v>123</v>
      </c>
      <c r="E12" s="100" t="s">
        <v>124</v>
      </c>
      <c r="F12" s="100" t="s">
        <v>125</v>
      </c>
    </row>
    <row r="13" spans="2:6" s="2" customFormat="1" ht="18.75" customHeight="1">
      <c r="B13" s="3" t="s">
        <v>415</v>
      </c>
      <c r="C13" s="27">
        <v>1</v>
      </c>
      <c r="D13" s="64">
        <v>45000</v>
      </c>
      <c r="E13" s="27">
        <v>12</v>
      </c>
      <c r="F13" s="64">
        <f>(D13*C13*E13)</f>
        <v>540000</v>
      </c>
    </row>
    <row r="14" spans="2:6" s="2" customFormat="1" ht="18.75" customHeight="1">
      <c r="B14" s="3" t="s">
        <v>416</v>
      </c>
      <c r="C14" s="27">
        <v>4</v>
      </c>
      <c r="D14" s="64">
        <v>35000</v>
      </c>
      <c r="E14" s="27">
        <v>12</v>
      </c>
      <c r="F14" s="64">
        <f t="shared" ref="F14:F18" si="0">(D14*C14*E14)</f>
        <v>1680000</v>
      </c>
    </row>
    <row r="15" spans="2:6" s="2" customFormat="1" ht="18.75" customHeight="1">
      <c r="B15" s="3" t="s">
        <v>131</v>
      </c>
      <c r="C15" s="27">
        <v>1</v>
      </c>
      <c r="D15" s="64">
        <v>22000</v>
      </c>
      <c r="E15" s="27">
        <v>12</v>
      </c>
      <c r="F15" s="64">
        <f t="shared" si="0"/>
        <v>264000</v>
      </c>
    </row>
    <row r="16" spans="2:6" s="2" customFormat="1" ht="18.75" customHeight="1">
      <c r="B16" s="3" t="s">
        <v>132</v>
      </c>
      <c r="C16" s="27">
        <v>1</v>
      </c>
      <c r="D16" s="64">
        <v>20000</v>
      </c>
      <c r="E16" s="27">
        <v>12</v>
      </c>
      <c r="F16" s="64">
        <f t="shared" si="0"/>
        <v>240000</v>
      </c>
    </row>
    <row r="17" spans="2:14" s="2" customFormat="1" ht="18.75" customHeight="1">
      <c r="B17" s="3" t="s">
        <v>417</v>
      </c>
      <c r="C17" s="27">
        <v>2</v>
      </c>
      <c r="D17" s="64">
        <v>18500</v>
      </c>
      <c r="E17" s="27">
        <v>12</v>
      </c>
      <c r="F17" s="64">
        <f t="shared" si="0"/>
        <v>444000</v>
      </c>
    </row>
    <row r="18" spans="2:14" s="2" customFormat="1" ht="18.75" customHeight="1">
      <c r="B18" s="3" t="s">
        <v>418</v>
      </c>
      <c r="C18" s="27">
        <v>6</v>
      </c>
      <c r="D18" s="64">
        <v>15000</v>
      </c>
      <c r="E18" s="27">
        <v>12</v>
      </c>
      <c r="F18" s="64">
        <f t="shared" si="0"/>
        <v>1080000</v>
      </c>
    </row>
    <row r="19" spans="2:14" s="101" customFormat="1" ht="18.75" customHeight="1">
      <c r="B19" s="97" t="s">
        <v>129</v>
      </c>
      <c r="C19" s="98">
        <f>SUM(C13:C18)</f>
        <v>15</v>
      </c>
      <c r="D19" s="102"/>
      <c r="E19" s="98"/>
      <c r="F19" s="102">
        <f>SUM(F13:F18)</f>
        <v>4248000</v>
      </c>
    </row>
    <row r="20" spans="2:14" s="101" customFormat="1" ht="18.75" customHeight="1">
      <c r="B20" s="97" t="s">
        <v>133</v>
      </c>
      <c r="C20" s="98">
        <f>C19+C10</f>
        <v>30</v>
      </c>
      <c r="D20" s="98"/>
      <c r="E20" s="98"/>
      <c r="F20" s="102">
        <f>(F10+F19)</f>
        <v>7416000</v>
      </c>
      <c r="G20" s="104"/>
      <c r="H20" s="104"/>
      <c r="I20" s="104"/>
      <c r="J20" s="104"/>
      <c r="K20" s="104"/>
      <c r="L20" s="104"/>
      <c r="M20" s="104"/>
      <c r="N20" s="104"/>
    </row>
    <row r="21" spans="2:14" s="2" customFormat="1" ht="18.75" customHeight="1">
      <c r="B21" s="315" t="s">
        <v>134</v>
      </c>
      <c r="C21" s="316"/>
      <c r="D21" s="316"/>
      <c r="E21" s="316"/>
      <c r="F21" s="316"/>
    </row>
    <row r="22" spans="2:14" s="2" customFormat="1" ht="18.75" customHeight="1">
      <c r="B22" s="3" t="s">
        <v>135</v>
      </c>
      <c r="C22" s="27">
        <v>1</v>
      </c>
      <c r="D22" s="64">
        <v>80000</v>
      </c>
      <c r="E22" s="27">
        <v>12</v>
      </c>
      <c r="F22" s="64">
        <f>(D22*C22*E22)</f>
        <v>960000</v>
      </c>
    </row>
    <row r="23" spans="2:14" s="2" customFormat="1" ht="18.75" customHeight="1">
      <c r="B23" s="3" t="s">
        <v>136</v>
      </c>
      <c r="C23" s="27">
        <v>1</v>
      </c>
      <c r="D23" s="64">
        <v>50000</v>
      </c>
      <c r="E23" s="27">
        <v>12</v>
      </c>
      <c r="F23" s="64">
        <f>(D23*C23*E23)</f>
        <v>600000</v>
      </c>
    </row>
    <row r="24" spans="2:14" s="2" customFormat="1" ht="18.75" customHeight="1">
      <c r="B24" s="3" t="s">
        <v>137</v>
      </c>
      <c r="C24" s="27">
        <v>2</v>
      </c>
      <c r="D24" s="64">
        <v>35000</v>
      </c>
      <c r="E24" s="27">
        <v>12</v>
      </c>
      <c r="F24" s="64">
        <f>(D24*C24*E24)</f>
        <v>840000</v>
      </c>
    </row>
    <row r="25" spans="2:14" s="2" customFormat="1" ht="18.75" customHeight="1">
      <c r="B25" s="3" t="s">
        <v>138</v>
      </c>
      <c r="C25" s="27">
        <v>1</v>
      </c>
      <c r="D25" s="64">
        <v>25000</v>
      </c>
      <c r="E25" s="27">
        <v>12</v>
      </c>
      <c r="F25" s="64">
        <f>(D25*C25*E25)</f>
        <v>300000</v>
      </c>
    </row>
    <row r="26" spans="2:14" s="2" customFormat="1" ht="18.75" customHeight="1">
      <c r="B26" s="3" t="s">
        <v>139</v>
      </c>
      <c r="C26" s="27">
        <v>2</v>
      </c>
      <c r="D26" s="64">
        <v>10000</v>
      </c>
      <c r="E26" s="27">
        <v>12</v>
      </c>
      <c r="F26" s="64">
        <f>(D26*C26*E26)</f>
        <v>240000</v>
      </c>
    </row>
    <row r="27" spans="2:14" s="101" customFormat="1" ht="18.75" customHeight="1">
      <c r="B27" s="97" t="s">
        <v>140</v>
      </c>
      <c r="C27" s="98">
        <f>SUM(C22:C26)</f>
        <v>7</v>
      </c>
      <c r="D27" s="98"/>
      <c r="E27" s="98"/>
      <c r="F27" s="102">
        <f>SUM(F22:F26)</f>
        <v>2940000</v>
      </c>
      <c r="G27" s="104"/>
      <c r="H27" s="104"/>
      <c r="I27" s="104"/>
      <c r="J27" s="104"/>
      <c r="K27" s="104"/>
      <c r="L27" s="104"/>
      <c r="M27" s="104"/>
      <c r="N27" s="104"/>
    </row>
    <row r="28" spans="2:14" ht="17.25" customHeight="1"/>
    <row r="29" spans="2:14" ht="17.25" customHeight="1">
      <c r="B29" s="105" t="s">
        <v>141</v>
      </c>
      <c r="C29" s="32"/>
      <c r="D29" s="32"/>
      <c r="E29" s="32"/>
      <c r="F29" s="106">
        <f>+F20+F27</f>
        <v>10356000</v>
      </c>
    </row>
    <row r="30" spans="2:14" ht="17.25" customHeight="1"/>
    <row r="31" spans="2:14" ht="17.25" customHeight="1">
      <c r="C31" s="27">
        <v>37</v>
      </c>
      <c r="D31" s="27">
        <v>6</v>
      </c>
      <c r="E31" s="48">
        <f>C31/6</f>
        <v>6.166666666666667</v>
      </c>
    </row>
    <row r="33" spans="3:5">
      <c r="C33" s="27">
        <v>390</v>
      </c>
      <c r="D33" s="27">
        <v>33</v>
      </c>
      <c r="E33" s="27">
        <f>C33/D33</f>
        <v>11.818181818181818</v>
      </c>
    </row>
  </sheetData>
  <mergeCells count="3">
    <mergeCell ref="B2:F2"/>
    <mergeCell ref="B4:F4"/>
    <mergeCell ref="B21:F21"/>
  </mergeCells>
  <pageMargins left="0.7" right="0.7" top="0.75" bottom="0.75" header="0.3" footer="0.3"/>
  <pageSetup paperSize="9"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42"/>
  <sheetViews>
    <sheetView showGridLines="0" workbookViewId="0"/>
  </sheetViews>
  <sheetFormatPr defaultColWidth="13.7109375" defaultRowHeight="18" customHeight="1"/>
  <cols>
    <col min="1" max="1" width="4.140625" style="1" customWidth="1"/>
    <col min="2" max="2" width="38.7109375" style="1" customWidth="1"/>
    <col min="3" max="3" width="7.140625" style="1" customWidth="1"/>
    <col min="4" max="4" width="9.42578125" style="1" bestFit="1" customWidth="1"/>
    <col min="5" max="5" width="14" style="1" customWidth="1"/>
    <col min="6" max="6" width="12.7109375" style="1" customWidth="1"/>
    <col min="7" max="7" width="17.5703125" style="1" customWidth="1"/>
    <col min="8" max="8" width="15.7109375" style="44" customWidth="1"/>
    <col min="9" max="9" width="13" style="1" customWidth="1"/>
    <col min="10" max="15" width="12.7109375" style="1" customWidth="1"/>
    <col min="16" max="16384" width="13.7109375" style="1"/>
  </cols>
  <sheetData>
    <row r="1" spans="2:16" ht="15.75" customHeight="1"/>
    <row r="2" spans="2:16" s="2" customFormat="1" ht="18" customHeight="1">
      <c r="B2" s="36" t="str">
        <f>"Financial Model of " &amp; B4</f>
        <v>Financial Model of Proposed 6000 KGPD CBG plant set up M/s. SRSBIOX RENEWABLE LLP.</v>
      </c>
      <c r="C2" s="37"/>
      <c r="D2" s="37"/>
      <c r="E2" s="37"/>
      <c r="F2" s="37"/>
      <c r="G2" s="37"/>
      <c r="H2" s="37"/>
      <c r="I2" s="37"/>
      <c r="J2" s="37"/>
      <c r="K2" s="37"/>
      <c r="L2" s="37"/>
      <c r="M2" s="37"/>
      <c r="N2" s="1"/>
      <c r="O2" s="1"/>
      <c r="P2" s="27"/>
    </row>
    <row r="3" spans="2:16" s="2" customFormat="1" ht="12" customHeight="1">
      <c r="C3" s="27"/>
      <c r="D3" s="27"/>
      <c r="E3" s="27"/>
      <c r="F3" s="27"/>
      <c r="G3" s="27"/>
      <c r="H3" s="27"/>
      <c r="I3" s="27"/>
      <c r="J3" s="27"/>
      <c r="K3" s="27"/>
      <c r="L3" s="27"/>
      <c r="M3" s="27"/>
      <c r="N3" s="1"/>
      <c r="O3" s="1"/>
      <c r="P3" s="27"/>
    </row>
    <row r="4" spans="2:16" s="2" customFormat="1" ht="18" customHeight="1">
      <c r="B4" s="28" t="str">
        <f>'Common Assumption'!B4</f>
        <v>Proposed 6000 KGPD CBG plant set up M/s. SRSBIOX RENEWABLE LLP.</v>
      </c>
      <c r="C4" s="28"/>
      <c r="D4" s="29"/>
      <c r="E4" s="29"/>
      <c r="F4" s="29"/>
      <c r="G4" s="29"/>
      <c r="H4" s="29"/>
      <c r="I4" s="29"/>
      <c r="J4" s="29"/>
      <c r="K4" s="29"/>
      <c r="L4" s="29"/>
      <c r="M4" s="29"/>
      <c r="N4" s="1"/>
      <c r="O4" s="1"/>
      <c r="P4" s="27"/>
    </row>
    <row r="5" spans="2:16" s="2" customFormat="1" ht="13.5" customHeight="1">
      <c r="C5" s="27"/>
      <c r="D5" s="27"/>
      <c r="F5" s="30"/>
      <c r="H5" s="27"/>
      <c r="N5" s="1"/>
      <c r="O5" s="1"/>
      <c r="P5" s="27"/>
    </row>
    <row r="6" spans="2:16" s="2" customFormat="1" ht="18" customHeight="1">
      <c r="B6" s="28" t="s">
        <v>194</v>
      </c>
      <c r="C6" s="28"/>
      <c r="D6" s="29"/>
      <c r="E6" s="29"/>
      <c r="F6" s="29"/>
      <c r="G6" s="29"/>
      <c r="H6" s="29"/>
      <c r="I6" s="29"/>
      <c r="J6" s="29"/>
      <c r="K6" s="29"/>
      <c r="L6" s="29"/>
      <c r="M6" s="29"/>
      <c r="N6" s="1"/>
      <c r="O6" s="1"/>
      <c r="P6" s="27"/>
    </row>
    <row r="7" spans="2:16" s="2" customFormat="1" ht="12.75" customHeight="1">
      <c r="C7" s="27"/>
      <c r="D7" s="27"/>
      <c r="F7" s="30"/>
      <c r="H7" s="27"/>
      <c r="N7" s="1"/>
      <c r="O7" s="1"/>
      <c r="P7" s="27"/>
    </row>
    <row r="8" spans="2:16" s="2" customFormat="1" ht="15.75">
      <c r="C8" s="27"/>
      <c r="D8" s="308" t="s">
        <v>8</v>
      </c>
      <c r="E8" s="308"/>
      <c r="F8" s="309" t="s">
        <v>50</v>
      </c>
      <c r="G8" s="309"/>
      <c r="H8" s="309"/>
      <c r="I8" s="309"/>
      <c r="J8" s="309"/>
      <c r="K8" s="309"/>
      <c r="L8" s="309"/>
      <c r="M8" s="309"/>
      <c r="N8" s="1"/>
      <c r="O8" s="1"/>
      <c r="P8" s="51">
        <f>100/7</f>
        <v>14.285714285714286</v>
      </c>
    </row>
    <row r="9" spans="2:16" s="2" customFormat="1" ht="18" customHeight="1">
      <c r="B9" s="31" t="s">
        <v>51</v>
      </c>
      <c r="C9" s="32" t="s">
        <v>52</v>
      </c>
      <c r="D9" s="33"/>
      <c r="E9" s="33">
        <f>'Common Assumption'!E13</f>
        <v>45747</v>
      </c>
      <c r="F9" s="33">
        <f>DATE(YEAR(E9)+1,MONTH(E9),DAY(E9))</f>
        <v>46112</v>
      </c>
      <c r="G9" s="33">
        <f>DATE(YEAR(F9)+1,MONTH(F9),DAY(F9))</f>
        <v>46477</v>
      </c>
      <c r="H9" s="33">
        <f t="shared" ref="H9:M9" si="0">DATE(YEAR(G9)+1,MONTH(G9),DAY(G9))</f>
        <v>46843</v>
      </c>
      <c r="I9" s="33">
        <f t="shared" si="0"/>
        <v>47208</v>
      </c>
      <c r="J9" s="33">
        <f t="shared" si="0"/>
        <v>47573</v>
      </c>
      <c r="K9" s="33">
        <f t="shared" si="0"/>
        <v>47938</v>
      </c>
      <c r="L9" s="33">
        <f t="shared" si="0"/>
        <v>48304</v>
      </c>
      <c r="M9" s="33">
        <f t="shared" si="0"/>
        <v>48669</v>
      </c>
      <c r="N9" s="1"/>
      <c r="O9" s="1"/>
      <c r="P9" s="27"/>
    </row>
    <row r="10" spans="2:16" s="34" customFormat="1" ht="18" customHeight="1">
      <c r="B10" s="39" t="s">
        <v>53</v>
      </c>
      <c r="C10" s="40"/>
      <c r="D10" s="38"/>
      <c r="E10" s="38">
        <v>0</v>
      </c>
      <c r="F10" s="41">
        <v>1</v>
      </c>
      <c r="G10" s="41">
        <f>F10+1</f>
        <v>2</v>
      </c>
      <c r="H10" s="41">
        <f t="shared" ref="H10:M10" si="1">G10+1</f>
        <v>3</v>
      </c>
      <c r="I10" s="41">
        <f t="shared" si="1"/>
        <v>4</v>
      </c>
      <c r="J10" s="41">
        <f t="shared" si="1"/>
        <v>5</v>
      </c>
      <c r="K10" s="41">
        <f t="shared" si="1"/>
        <v>6</v>
      </c>
      <c r="L10" s="41">
        <f t="shared" si="1"/>
        <v>7</v>
      </c>
      <c r="M10" s="41">
        <f t="shared" si="1"/>
        <v>8</v>
      </c>
      <c r="N10" s="1"/>
      <c r="O10" s="1"/>
      <c r="P10" s="35"/>
    </row>
    <row r="11" spans="2:16" s="34" customFormat="1" ht="18" customHeight="1">
      <c r="B11" s="39" t="s">
        <v>54</v>
      </c>
      <c r="C11" s="40">
        <f>'Common Assumption'!E12</f>
        <v>7</v>
      </c>
      <c r="D11" s="38"/>
      <c r="E11" s="38">
        <f>C11</f>
        <v>7</v>
      </c>
      <c r="F11" s="40">
        <f>MONTH(F9-E9)</f>
        <v>12</v>
      </c>
      <c r="G11" s="40">
        <f t="shared" ref="G11:M11" si="2">MONTH(G9-F9)</f>
        <v>12</v>
      </c>
      <c r="H11" s="40">
        <f t="shared" si="2"/>
        <v>12</v>
      </c>
      <c r="I11" s="40">
        <f t="shared" si="2"/>
        <v>12</v>
      </c>
      <c r="J11" s="40">
        <f t="shared" si="2"/>
        <v>12</v>
      </c>
      <c r="K11" s="40">
        <f t="shared" si="2"/>
        <v>12</v>
      </c>
      <c r="L11" s="40">
        <f t="shared" si="2"/>
        <v>12</v>
      </c>
      <c r="M11" s="40">
        <f t="shared" si="2"/>
        <v>12</v>
      </c>
      <c r="N11" s="1"/>
      <c r="O11" s="1"/>
      <c r="P11" s="35"/>
    </row>
    <row r="12" spans="2:16" ht="18" customHeight="1">
      <c r="B12" s="2" t="s">
        <v>195</v>
      </c>
      <c r="D12" s="157"/>
      <c r="E12" s="157">
        <f t="shared" ref="E12" si="3">D15</f>
        <v>0</v>
      </c>
      <c r="F12" s="157">
        <f t="shared" ref="F12" si="4">E15</f>
        <v>14</v>
      </c>
      <c r="G12" s="157">
        <f t="shared" ref="G12" si="5">F15</f>
        <v>14</v>
      </c>
      <c r="H12" s="157">
        <f t="shared" ref="H12" si="6">G15</f>
        <v>12.6</v>
      </c>
      <c r="I12" s="157">
        <f t="shared" ref="I12" si="7">H15</f>
        <v>11.2</v>
      </c>
      <c r="J12" s="157">
        <f t="shared" ref="J12" si="8">I15</f>
        <v>9.1993999999999989</v>
      </c>
      <c r="K12" s="157">
        <f t="shared" ref="K12" si="9">J15</f>
        <v>7.1987999999999985</v>
      </c>
      <c r="L12" s="157">
        <f t="shared" ref="L12" si="10">K15</f>
        <v>5.1981999999999982</v>
      </c>
      <c r="M12" s="157">
        <f t="shared" ref="M12" si="11">L15</f>
        <v>2.8545999999999982</v>
      </c>
    </row>
    <row r="13" spans="2:16" ht="18" customHeight="1">
      <c r="B13" s="2" t="s">
        <v>196</v>
      </c>
      <c r="D13" s="157"/>
      <c r="E13" s="157">
        <f>C37</f>
        <v>14</v>
      </c>
      <c r="F13" s="157">
        <v>0</v>
      </c>
      <c r="G13" s="157">
        <v>0</v>
      </c>
      <c r="H13" s="157">
        <v>0</v>
      </c>
      <c r="I13" s="157">
        <v>0</v>
      </c>
      <c r="J13" s="157">
        <v>0</v>
      </c>
      <c r="K13" s="157">
        <v>0</v>
      </c>
      <c r="L13" s="157">
        <v>0</v>
      </c>
      <c r="M13" s="157">
        <v>0</v>
      </c>
    </row>
    <row r="14" spans="2:16" ht="18" customHeight="1">
      <c r="B14" s="2" t="s">
        <v>197</v>
      </c>
      <c r="D14" s="157"/>
      <c r="E14" s="157">
        <f>SUM(D31:D37)</f>
        <v>0</v>
      </c>
      <c r="F14" s="157">
        <f>SUM(D39:D50)</f>
        <v>0</v>
      </c>
      <c r="G14" s="157">
        <f>SUM(D52:D63)</f>
        <v>1.4000000000000001</v>
      </c>
      <c r="H14" s="157">
        <f>SUM(D65:D76)</f>
        <v>1.4000000000000001</v>
      </c>
      <c r="I14" s="157">
        <f>SUM(D78:D89)</f>
        <v>2.0005999999999999</v>
      </c>
      <c r="J14" s="157">
        <f>SUM(D91:D102)</f>
        <v>2.0005999999999999</v>
      </c>
      <c r="K14" s="157">
        <f>SUM(D104:D115)</f>
        <v>2.0005999999999999</v>
      </c>
      <c r="L14" s="157">
        <f>SUM(D117:D128)</f>
        <v>2.3435999999999999</v>
      </c>
      <c r="M14" s="157">
        <f>SUM(D130:D141)</f>
        <v>2.8546000000000009</v>
      </c>
    </row>
    <row r="15" spans="2:16" ht="18" customHeight="1">
      <c r="B15" s="2" t="s">
        <v>198</v>
      </c>
      <c r="C15" s="158"/>
      <c r="D15" s="158">
        <f>SUM(D12:D14)</f>
        <v>0</v>
      </c>
      <c r="E15" s="157">
        <f t="shared" ref="E15:M15" si="12">E12+E13-E14</f>
        <v>14</v>
      </c>
      <c r="F15" s="157">
        <f t="shared" si="12"/>
        <v>14</v>
      </c>
      <c r="G15" s="157">
        <f t="shared" si="12"/>
        <v>12.6</v>
      </c>
      <c r="H15" s="157">
        <f>H12+H13-H14</f>
        <v>11.2</v>
      </c>
      <c r="I15" s="157">
        <f t="shared" si="12"/>
        <v>9.1993999999999989</v>
      </c>
      <c r="J15" s="157">
        <f t="shared" si="12"/>
        <v>7.1987999999999985</v>
      </c>
      <c r="K15" s="157">
        <f t="shared" si="12"/>
        <v>5.1981999999999982</v>
      </c>
      <c r="L15" s="157">
        <f t="shared" si="12"/>
        <v>2.8545999999999982</v>
      </c>
      <c r="M15" s="157">
        <f t="shared" si="12"/>
        <v>0</v>
      </c>
    </row>
    <row r="16" spans="2:16" ht="18" customHeight="1">
      <c r="B16" s="2" t="s">
        <v>199</v>
      </c>
      <c r="D16" s="157"/>
      <c r="E16" s="157">
        <f>SUM(F31:F37)</f>
        <v>0.7058333333333332</v>
      </c>
      <c r="F16" s="157">
        <f>SUM(F39:F50)</f>
        <v>1.5400000000000003</v>
      </c>
      <c r="G16" s="157">
        <f>SUM(F52:F63)</f>
        <v>1.4629999999999996</v>
      </c>
      <c r="H16" s="157">
        <f>SUM(F65:F76)</f>
        <v>1.3089999999999991</v>
      </c>
      <c r="I16" s="157">
        <f>SUM(F78:F89)</f>
        <v>1.1219669999999993</v>
      </c>
      <c r="J16" s="157">
        <f>SUM(F91:F102)</f>
        <v>0.90190100000000006</v>
      </c>
      <c r="K16" s="157">
        <f>SUM(F104:F115)</f>
        <v>0.68183499999999997</v>
      </c>
      <c r="L16" s="157">
        <f>SUM(F117:F128)</f>
        <v>0.44290400000000013</v>
      </c>
      <c r="M16" s="157">
        <f>SUM(F130:F141)</f>
        <v>0.15700300000000009</v>
      </c>
    </row>
    <row r="17" spans="2:14" ht="18" customHeight="1">
      <c r="B17" s="60" t="s">
        <v>101</v>
      </c>
      <c r="D17" s="159"/>
      <c r="E17" s="159">
        <f>E16</f>
        <v>0.7058333333333332</v>
      </c>
      <c r="F17" s="157">
        <v>0</v>
      </c>
      <c r="G17" s="157">
        <v>0</v>
      </c>
      <c r="H17" s="157">
        <v>0</v>
      </c>
      <c r="I17" s="157">
        <v>0</v>
      </c>
      <c r="J17" s="157">
        <v>0</v>
      </c>
      <c r="K17" s="157">
        <v>0</v>
      </c>
      <c r="L17" s="157">
        <v>0</v>
      </c>
      <c r="M17" s="157">
        <v>0</v>
      </c>
    </row>
    <row r="18" spans="2:14" ht="18" customHeight="1">
      <c r="B18" s="117" t="s">
        <v>200</v>
      </c>
      <c r="C18" s="32"/>
      <c r="D18" s="116"/>
      <c r="E18" s="116">
        <f t="shared" ref="E18:M18" si="13">E16-E17</f>
        <v>0</v>
      </c>
      <c r="F18" s="116">
        <f t="shared" si="13"/>
        <v>1.5400000000000003</v>
      </c>
      <c r="G18" s="116">
        <f t="shared" si="13"/>
        <v>1.4629999999999996</v>
      </c>
      <c r="H18" s="116">
        <f t="shared" si="13"/>
        <v>1.3089999999999991</v>
      </c>
      <c r="I18" s="116">
        <f t="shared" si="13"/>
        <v>1.1219669999999993</v>
      </c>
      <c r="J18" s="116">
        <f t="shared" si="13"/>
        <v>0.90190100000000006</v>
      </c>
      <c r="K18" s="116">
        <f t="shared" si="13"/>
        <v>0.68183499999999997</v>
      </c>
      <c r="L18" s="116">
        <f t="shared" si="13"/>
        <v>0.44290400000000013</v>
      </c>
      <c r="M18" s="116">
        <f t="shared" si="13"/>
        <v>0.15700300000000009</v>
      </c>
    </row>
    <row r="20" spans="2:14" ht="18" customHeight="1">
      <c r="B20" s="117" t="s">
        <v>43</v>
      </c>
      <c r="C20" s="32"/>
      <c r="D20" s="118"/>
      <c r="E20" s="118"/>
      <c r="F20" s="118"/>
      <c r="G20" s="32"/>
      <c r="H20" s="32"/>
      <c r="I20" s="32"/>
      <c r="J20" s="32"/>
      <c r="K20" s="32"/>
      <c r="L20" s="32"/>
      <c r="M20" s="32"/>
      <c r="N20" s="32"/>
    </row>
    <row r="22" spans="2:14" ht="18" customHeight="1">
      <c r="B22" s="31" t="s">
        <v>201</v>
      </c>
      <c r="C22" s="116">
        <f>'TPC and MoF'!D25</f>
        <v>14</v>
      </c>
      <c r="D22" s="32" t="s">
        <v>202</v>
      </c>
      <c r="E22" s="32" t="s">
        <v>203</v>
      </c>
      <c r="F22" s="32" t="s">
        <v>213</v>
      </c>
      <c r="G22" s="32"/>
      <c r="H22" s="32"/>
      <c r="I22" s="32"/>
    </row>
    <row r="23" spans="2:14" ht="18" customHeight="1">
      <c r="B23" s="31" t="s">
        <v>204</v>
      </c>
      <c r="C23" s="118">
        <f>'Common Assumption'!D103</f>
        <v>0.11</v>
      </c>
      <c r="D23" s="206">
        <f>'Common Assumption'!D104</f>
        <v>0.11</v>
      </c>
      <c r="E23" s="32" t="s">
        <v>205</v>
      </c>
      <c r="F23" s="32" t="s">
        <v>206</v>
      </c>
      <c r="G23" s="32"/>
      <c r="H23" s="32" t="s">
        <v>210</v>
      </c>
      <c r="I23" s="32" t="s">
        <v>210</v>
      </c>
    </row>
    <row r="24" spans="2:14" ht="30">
      <c r="B24" s="119" t="s">
        <v>2</v>
      </c>
      <c r="C24" s="8" t="s">
        <v>207</v>
      </c>
      <c r="D24" s="8" t="s">
        <v>208</v>
      </c>
      <c r="E24" s="8" t="s">
        <v>209</v>
      </c>
      <c r="F24" s="8" t="s">
        <v>199</v>
      </c>
      <c r="G24" s="8"/>
      <c r="H24" s="120" t="s">
        <v>211</v>
      </c>
      <c r="I24" s="120" t="s">
        <v>212</v>
      </c>
    </row>
    <row r="25" spans="2:14" ht="18" customHeight="1">
      <c r="B25" s="121" t="s">
        <v>214</v>
      </c>
      <c r="C25" s="121"/>
      <c r="D25" s="121"/>
      <c r="E25" s="121"/>
      <c r="F25" s="121"/>
      <c r="G25" s="2"/>
      <c r="H25" s="27"/>
      <c r="I25" s="2"/>
    </row>
    <row r="26" spans="2:14" ht="18" customHeight="1">
      <c r="B26" s="122" t="s">
        <v>215</v>
      </c>
      <c r="C26" s="123">
        <v>0</v>
      </c>
      <c r="D26" s="123">
        <v>0</v>
      </c>
      <c r="E26" s="123">
        <v>0</v>
      </c>
      <c r="F26" s="123">
        <v>0</v>
      </c>
      <c r="G26" s="2"/>
      <c r="H26" s="27"/>
      <c r="I26" s="2"/>
    </row>
    <row r="27" spans="2:14" ht="18" customHeight="1">
      <c r="B27" s="122" t="s">
        <v>216</v>
      </c>
      <c r="C27" s="123">
        <v>0</v>
      </c>
      <c r="D27" s="123">
        <v>0</v>
      </c>
      <c r="E27" s="123">
        <v>0</v>
      </c>
      <c r="F27" s="123">
        <v>0</v>
      </c>
      <c r="G27" s="2"/>
      <c r="H27" s="27"/>
      <c r="I27" s="2"/>
    </row>
    <row r="28" spans="2:14" ht="18" customHeight="1">
      <c r="B28" s="122" t="s">
        <v>217</v>
      </c>
      <c r="C28" s="123">
        <v>0</v>
      </c>
      <c r="D28" s="123">
        <v>0</v>
      </c>
      <c r="E28" s="123">
        <v>0</v>
      </c>
      <c r="F28" s="123">
        <v>0</v>
      </c>
      <c r="G28" s="2"/>
      <c r="H28" s="27"/>
      <c r="I28" s="2"/>
    </row>
    <row r="29" spans="2:14" ht="18" customHeight="1">
      <c r="B29" s="122" t="s">
        <v>218</v>
      </c>
      <c r="C29" s="123">
        <f>E28+$C$22*H29</f>
        <v>0</v>
      </c>
      <c r="D29" s="123">
        <v>0</v>
      </c>
      <c r="E29" s="123">
        <f>C29-D29</f>
        <v>0</v>
      </c>
      <c r="F29" s="123">
        <f>AVERAGE(C29,E29)*$D$23/12</f>
        <v>0</v>
      </c>
      <c r="H29" s="15"/>
      <c r="I29" s="2"/>
    </row>
    <row r="30" spans="2:14" ht="18" customHeight="1">
      <c r="B30" s="122" t="s">
        <v>219</v>
      </c>
      <c r="C30" s="123">
        <f t="shared" ref="C30:C37" si="14">E29+$C$22*H30</f>
        <v>0</v>
      </c>
      <c r="D30" s="123">
        <v>0</v>
      </c>
      <c r="E30" s="123">
        <f>C30-D30</f>
        <v>0</v>
      </c>
      <c r="F30" s="123">
        <f t="shared" ref="F30:F37" si="15">AVERAGE(C30,E30)*$D$23/12</f>
        <v>0</v>
      </c>
      <c r="H30" s="15"/>
      <c r="I30" s="2"/>
    </row>
    <row r="31" spans="2:14" ht="18" customHeight="1">
      <c r="B31" s="124" t="s">
        <v>221</v>
      </c>
      <c r="C31" s="125">
        <f t="shared" si="14"/>
        <v>3.5</v>
      </c>
      <c r="D31" s="125">
        <v>0</v>
      </c>
      <c r="E31" s="125">
        <f t="shared" ref="E31:E94" si="16">C31-D31</f>
        <v>3.5</v>
      </c>
      <c r="F31" s="125">
        <f t="shared" si="15"/>
        <v>3.2083333333333332E-2</v>
      </c>
      <c r="G31" s="126" t="s">
        <v>220</v>
      </c>
      <c r="H31" s="15">
        <v>0.25</v>
      </c>
      <c r="I31" s="2"/>
    </row>
    <row r="32" spans="2:14" ht="18" customHeight="1">
      <c r="B32" s="127" t="s">
        <v>222</v>
      </c>
      <c r="C32" s="128">
        <f t="shared" si="14"/>
        <v>7</v>
      </c>
      <c r="D32" s="128">
        <v>0</v>
      </c>
      <c r="E32" s="128">
        <f t="shared" si="16"/>
        <v>7</v>
      </c>
      <c r="F32" s="128">
        <f t="shared" si="15"/>
        <v>6.4166666666666664E-2</v>
      </c>
      <c r="G32" s="2"/>
      <c r="H32" s="15">
        <v>0.25</v>
      </c>
      <c r="I32" s="2"/>
    </row>
    <row r="33" spans="2:9" ht="18" customHeight="1">
      <c r="B33" s="127" t="s">
        <v>223</v>
      </c>
      <c r="C33" s="128">
        <f t="shared" si="14"/>
        <v>10.5</v>
      </c>
      <c r="D33" s="128">
        <v>0</v>
      </c>
      <c r="E33" s="128">
        <f t="shared" si="16"/>
        <v>10.5</v>
      </c>
      <c r="F33" s="128">
        <f t="shared" si="15"/>
        <v>9.6250000000000002E-2</v>
      </c>
      <c r="G33" s="2"/>
      <c r="H33" s="15">
        <v>0.25</v>
      </c>
      <c r="I33" s="2"/>
    </row>
    <row r="34" spans="2:9" ht="18" customHeight="1">
      <c r="B34" s="127" t="s">
        <v>224</v>
      </c>
      <c r="C34" s="128">
        <f t="shared" si="14"/>
        <v>14</v>
      </c>
      <c r="D34" s="128">
        <v>0</v>
      </c>
      <c r="E34" s="128">
        <f t="shared" si="16"/>
        <v>14</v>
      </c>
      <c r="F34" s="128">
        <f t="shared" si="15"/>
        <v>0.12833333333333333</v>
      </c>
      <c r="G34" s="2"/>
      <c r="H34" s="15">
        <v>0.25</v>
      </c>
      <c r="I34" s="2"/>
    </row>
    <row r="35" spans="2:9" ht="18" customHeight="1">
      <c r="B35" s="127" t="s">
        <v>225</v>
      </c>
      <c r="C35" s="128">
        <f t="shared" si="14"/>
        <v>14</v>
      </c>
      <c r="D35" s="128">
        <v>0</v>
      </c>
      <c r="E35" s="128">
        <f t="shared" si="16"/>
        <v>14</v>
      </c>
      <c r="F35" s="128">
        <f t="shared" si="15"/>
        <v>0.12833333333333333</v>
      </c>
      <c r="G35" s="2"/>
      <c r="H35" s="15"/>
      <c r="I35" s="2"/>
    </row>
    <row r="36" spans="2:9" ht="18" customHeight="1">
      <c r="B36" s="127" t="s">
        <v>226</v>
      </c>
      <c r="C36" s="128">
        <f t="shared" si="14"/>
        <v>14</v>
      </c>
      <c r="D36" s="128">
        <v>0</v>
      </c>
      <c r="E36" s="128">
        <f t="shared" si="16"/>
        <v>14</v>
      </c>
      <c r="F36" s="128">
        <f t="shared" si="15"/>
        <v>0.12833333333333333</v>
      </c>
      <c r="G36" s="2"/>
      <c r="H36" s="15"/>
      <c r="I36" s="2"/>
    </row>
    <row r="37" spans="2:9" ht="18" customHeight="1">
      <c r="B37" s="127" t="s">
        <v>227</v>
      </c>
      <c r="C37" s="128">
        <f t="shared" si="14"/>
        <v>14</v>
      </c>
      <c r="D37" s="128">
        <v>0</v>
      </c>
      <c r="E37" s="128">
        <f t="shared" si="16"/>
        <v>14</v>
      </c>
      <c r="F37" s="128">
        <f t="shared" si="15"/>
        <v>0.12833333333333333</v>
      </c>
      <c r="G37" s="2"/>
      <c r="H37" s="15"/>
      <c r="I37" s="2"/>
    </row>
    <row r="38" spans="2:9" ht="18" customHeight="1">
      <c r="B38" s="93" t="s">
        <v>228</v>
      </c>
      <c r="C38" s="93"/>
      <c r="D38" s="93"/>
      <c r="E38" s="93"/>
      <c r="F38" s="93"/>
      <c r="G38" s="2"/>
      <c r="H38" s="15"/>
      <c r="I38" s="2"/>
    </row>
    <row r="39" spans="2:9" ht="18" customHeight="1">
      <c r="B39" s="124" t="s">
        <v>215</v>
      </c>
      <c r="C39" s="125">
        <f>E37+$C$20*H39</f>
        <v>14</v>
      </c>
      <c r="D39" s="125">
        <v>0</v>
      </c>
      <c r="E39" s="125">
        <f t="shared" si="16"/>
        <v>14</v>
      </c>
      <c r="F39" s="125">
        <f t="shared" ref="F39:F44" si="17">AVERAGE(C39,E39)*$D$23/12</f>
        <v>0.12833333333333333</v>
      </c>
      <c r="G39" s="126" t="s">
        <v>229</v>
      </c>
      <c r="H39" s="15">
        <v>0</v>
      </c>
      <c r="I39" s="2"/>
    </row>
    <row r="40" spans="2:9" ht="18" customHeight="1">
      <c r="B40" s="129" t="s">
        <v>216</v>
      </c>
      <c r="C40" s="130">
        <f t="shared" ref="C40:C50" si="18">E39+$C$20*H40</f>
        <v>14</v>
      </c>
      <c r="D40" s="130">
        <v>0</v>
      </c>
      <c r="E40" s="130">
        <f t="shared" si="16"/>
        <v>14</v>
      </c>
      <c r="F40" s="130">
        <f t="shared" si="17"/>
        <v>0.12833333333333333</v>
      </c>
      <c r="G40" s="2"/>
      <c r="H40" s="15">
        <v>0</v>
      </c>
      <c r="I40" s="2"/>
    </row>
    <row r="41" spans="2:9" ht="18" customHeight="1">
      <c r="B41" s="129" t="s">
        <v>217</v>
      </c>
      <c r="C41" s="130">
        <f t="shared" si="18"/>
        <v>14</v>
      </c>
      <c r="D41" s="130">
        <v>0</v>
      </c>
      <c r="E41" s="130">
        <f t="shared" si="16"/>
        <v>14</v>
      </c>
      <c r="F41" s="130">
        <f t="shared" si="17"/>
        <v>0.12833333333333333</v>
      </c>
      <c r="G41" s="2"/>
      <c r="H41" s="15">
        <v>0</v>
      </c>
      <c r="I41" s="2"/>
    </row>
    <row r="42" spans="2:9" ht="18" customHeight="1">
      <c r="B42" s="129" t="s">
        <v>218</v>
      </c>
      <c r="C42" s="130">
        <f t="shared" si="18"/>
        <v>14</v>
      </c>
      <c r="D42" s="130">
        <v>0</v>
      </c>
      <c r="E42" s="130">
        <f t="shared" si="16"/>
        <v>14</v>
      </c>
      <c r="F42" s="130">
        <f t="shared" si="17"/>
        <v>0.12833333333333333</v>
      </c>
      <c r="G42" s="2"/>
      <c r="H42" s="15">
        <v>0</v>
      </c>
      <c r="I42" s="2"/>
    </row>
    <row r="43" spans="2:9" ht="18" customHeight="1">
      <c r="B43" s="129" t="s">
        <v>219</v>
      </c>
      <c r="C43" s="130">
        <f t="shared" si="18"/>
        <v>14</v>
      </c>
      <c r="D43" s="130">
        <v>0</v>
      </c>
      <c r="E43" s="130">
        <f t="shared" si="16"/>
        <v>14</v>
      </c>
      <c r="F43" s="130">
        <f t="shared" si="17"/>
        <v>0.12833333333333333</v>
      </c>
      <c r="G43" s="2"/>
      <c r="H43" s="15">
        <v>0</v>
      </c>
      <c r="I43" s="2"/>
    </row>
    <row r="44" spans="2:9" ht="18" customHeight="1">
      <c r="B44" s="129" t="s">
        <v>221</v>
      </c>
      <c r="C44" s="130">
        <f t="shared" si="18"/>
        <v>14</v>
      </c>
      <c r="D44" s="130">
        <v>0</v>
      </c>
      <c r="E44" s="130">
        <f t="shared" si="16"/>
        <v>14</v>
      </c>
      <c r="F44" s="130">
        <f t="shared" si="17"/>
        <v>0.12833333333333333</v>
      </c>
      <c r="H44" s="15">
        <v>0</v>
      </c>
      <c r="I44" s="2"/>
    </row>
    <row r="45" spans="2:9" ht="18" customHeight="1">
      <c r="B45" s="129" t="s">
        <v>222</v>
      </c>
      <c r="C45" s="130">
        <f t="shared" si="18"/>
        <v>14</v>
      </c>
      <c r="D45" s="130">
        <v>0</v>
      </c>
      <c r="E45" s="130">
        <f t="shared" si="16"/>
        <v>14</v>
      </c>
      <c r="F45" s="130">
        <f t="shared" ref="F45:F95" si="19">AVERAGE(C45,E45)*$C$23/12</f>
        <v>0.12833333333333333</v>
      </c>
      <c r="H45" s="15">
        <v>0</v>
      </c>
      <c r="I45" s="2"/>
    </row>
    <row r="46" spans="2:9" ht="18" customHeight="1">
      <c r="B46" s="129" t="s">
        <v>223</v>
      </c>
      <c r="C46" s="130">
        <f t="shared" si="18"/>
        <v>14</v>
      </c>
      <c r="D46" s="130">
        <v>0</v>
      </c>
      <c r="E46" s="130">
        <f t="shared" si="16"/>
        <v>14</v>
      </c>
      <c r="F46" s="130">
        <f t="shared" si="19"/>
        <v>0.12833333333333333</v>
      </c>
      <c r="H46" s="15">
        <v>0</v>
      </c>
      <c r="I46" s="2"/>
    </row>
    <row r="47" spans="2:9" ht="18" customHeight="1">
      <c r="B47" s="129" t="s">
        <v>224</v>
      </c>
      <c r="C47" s="130">
        <f t="shared" si="18"/>
        <v>14</v>
      </c>
      <c r="D47" s="130">
        <v>0</v>
      </c>
      <c r="E47" s="130">
        <f t="shared" si="16"/>
        <v>14</v>
      </c>
      <c r="F47" s="130">
        <f t="shared" si="19"/>
        <v>0.12833333333333333</v>
      </c>
      <c r="G47" s="2"/>
      <c r="H47" s="15">
        <v>0</v>
      </c>
      <c r="I47" s="2"/>
    </row>
    <row r="48" spans="2:9" ht="18" customHeight="1">
      <c r="B48" s="129" t="s">
        <v>225</v>
      </c>
      <c r="C48" s="130">
        <f t="shared" si="18"/>
        <v>14</v>
      </c>
      <c r="D48" s="130">
        <v>0</v>
      </c>
      <c r="E48" s="130">
        <f t="shared" si="16"/>
        <v>14</v>
      </c>
      <c r="F48" s="130">
        <f t="shared" si="19"/>
        <v>0.12833333333333333</v>
      </c>
      <c r="G48" s="2"/>
      <c r="H48" s="15">
        <v>0</v>
      </c>
      <c r="I48" s="2"/>
    </row>
    <row r="49" spans="2:12" ht="18" customHeight="1">
      <c r="B49" s="129" t="s">
        <v>226</v>
      </c>
      <c r="C49" s="130">
        <f t="shared" si="18"/>
        <v>14</v>
      </c>
      <c r="D49" s="130">
        <v>0</v>
      </c>
      <c r="E49" s="130">
        <f t="shared" si="16"/>
        <v>14</v>
      </c>
      <c r="F49" s="130">
        <f t="shared" si="19"/>
        <v>0.12833333333333333</v>
      </c>
      <c r="G49" s="2"/>
      <c r="H49" s="15">
        <v>0</v>
      </c>
      <c r="I49" s="2"/>
    </row>
    <row r="50" spans="2:12" ht="18" customHeight="1">
      <c r="B50" s="124" t="s">
        <v>227</v>
      </c>
      <c r="C50" s="125">
        <f t="shared" si="18"/>
        <v>14</v>
      </c>
      <c r="D50" s="125">
        <v>0</v>
      </c>
      <c r="E50" s="125">
        <f t="shared" si="16"/>
        <v>14</v>
      </c>
      <c r="F50" s="125">
        <f t="shared" si="19"/>
        <v>0.12833333333333333</v>
      </c>
      <c r="G50" s="126" t="s">
        <v>231</v>
      </c>
      <c r="H50" s="15">
        <v>0</v>
      </c>
      <c r="I50" s="2"/>
      <c r="L50" s="194"/>
    </row>
    <row r="51" spans="2:12" ht="18" customHeight="1">
      <c r="B51" s="131" t="s">
        <v>230</v>
      </c>
      <c r="C51" s="131"/>
      <c r="D51" s="131"/>
      <c r="E51" s="132"/>
      <c r="F51" s="132"/>
      <c r="G51" s="2"/>
      <c r="H51" s="15"/>
      <c r="I51" s="255">
        <v>0.1</v>
      </c>
    </row>
    <row r="52" spans="2:12" ht="18" customHeight="1">
      <c r="B52" s="124" t="s">
        <v>215</v>
      </c>
      <c r="C52" s="125">
        <f>E50</f>
        <v>14</v>
      </c>
      <c r="D52" s="125">
        <f>$C$22*$I$51/12</f>
        <v>0.11666666666666668</v>
      </c>
      <c r="E52" s="125">
        <f t="shared" si="16"/>
        <v>13.883333333333333</v>
      </c>
      <c r="F52" s="125">
        <f t="shared" si="19"/>
        <v>0.1277986111111111</v>
      </c>
      <c r="G52" s="126" t="s">
        <v>238</v>
      </c>
      <c r="H52" s="15"/>
      <c r="I52" s="2"/>
    </row>
    <row r="53" spans="2:12" ht="18" customHeight="1">
      <c r="B53" s="133" t="s">
        <v>216</v>
      </c>
      <c r="C53" s="134">
        <f>E52</f>
        <v>13.883333333333333</v>
      </c>
      <c r="D53" s="134">
        <f t="shared" ref="D53:D63" si="20">$C$22*$I$51/12</f>
        <v>0.11666666666666668</v>
      </c>
      <c r="E53" s="134">
        <f t="shared" si="16"/>
        <v>13.766666666666666</v>
      </c>
      <c r="F53" s="134">
        <f t="shared" si="19"/>
        <v>0.12672916666666664</v>
      </c>
      <c r="G53" s="2"/>
      <c r="H53" s="27"/>
      <c r="I53" s="2"/>
    </row>
    <row r="54" spans="2:12" ht="18" customHeight="1">
      <c r="B54" s="133" t="s">
        <v>217</v>
      </c>
      <c r="C54" s="134">
        <f t="shared" ref="C54:C63" si="21">E53</f>
        <v>13.766666666666666</v>
      </c>
      <c r="D54" s="134">
        <f t="shared" si="20"/>
        <v>0.11666666666666668</v>
      </c>
      <c r="E54" s="134">
        <f t="shared" si="16"/>
        <v>13.649999999999999</v>
      </c>
      <c r="F54" s="134">
        <f t="shared" si="19"/>
        <v>0.12565972222222221</v>
      </c>
      <c r="G54" s="2"/>
      <c r="H54" s="27"/>
      <c r="I54" s="2"/>
    </row>
    <row r="55" spans="2:12" ht="18" customHeight="1">
      <c r="B55" s="133" t="s">
        <v>218</v>
      </c>
      <c r="C55" s="134">
        <f t="shared" si="21"/>
        <v>13.649999999999999</v>
      </c>
      <c r="D55" s="134">
        <f t="shared" si="20"/>
        <v>0.11666666666666668</v>
      </c>
      <c r="E55" s="134">
        <f t="shared" si="16"/>
        <v>13.533333333333331</v>
      </c>
      <c r="F55" s="134">
        <f t="shared" si="19"/>
        <v>0.12459027777777776</v>
      </c>
      <c r="G55" s="2"/>
      <c r="H55" s="27"/>
      <c r="I55" s="2"/>
    </row>
    <row r="56" spans="2:12" ht="18" customHeight="1">
      <c r="B56" s="133" t="s">
        <v>219</v>
      </c>
      <c r="C56" s="134">
        <f t="shared" si="21"/>
        <v>13.533333333333331</v>
      </c>
      <c r="D56" s="134">
        <f t="shared" si="20"/>
        <v>0.11666666666666668</v>
      </c>
      <c r="E56" s="134">
        <f t="shared" si="16"/>
        <v>13.416666666666664</v>
      </c>
      <c r="F56" s="134">
        <f t="shared" si="19"/>
        <v>0.12352083333333332</v>
      </c>
      <c r="G56" s="2"/>
      <c r="H56" s="27"/>
      <c r="I56" s="2"/>
    </row>
    <row r="57" spans="2:12" ht="18" customHeight="1">
      <c r="B57" s="133" t="s">
        <v>221</v>
      </c>
      <c r="C57" s="134">
        <f t="shared" si="21"/>
        <v>13.416666666666664</v>
      </c>
      <c r="D57" s="134">
        <f t="shared" si="20"/>
        <v>0.11666666666666668</v>
      </c>
      <c r="E57" s="134">
        <f t="shared" si="16"/>
        <v>13.299999999999997</v>
      </c>
      <c r="F57" s="134">
        <f t="shared" si="19"/>
        <v>0.12245138888888886</v>
      </c>
      <c r="G57" s="2"/>
      <c r="H57" s="27"/>
      <c r="I57" s="2"/>
    </row>
    <row r="58" spans="2:12" ht="18" customHeight="1">
      <c r="B58" s="133" t="s">
        <v>222</v>
      </c>
      <c r="C58" s="134">
        <f t="shared" si="21"/>
        <v>13.299999999999997</v>
      </c>
      <c r="D58" s="134">
        <f t="shared" si="20"/>
        <v>0.11666666666666668</v>
      </c>
      <c r="E58" s="134">
        <f t="shared" si="16"/>
        <v>13.18333333333333</v>
      </c>
      <c r="F58" s="134">
        <f t="shared" si="19"/>
        <v>0.1213819444444444</v>
      </c>
      <c r="G58" s="2"/>
      <c r="H58" s="27"/>
      <c r="I58" s="2"/>
    </row>
    <row r="59" spans="2:12" ht="18" customHeight="1">
      <c r="B59" s="133" t="s">
        <v>223</v>
      </c>
      <c r="C59" s="134">
        <f t="shared" si="21"/>
        <v>13.18333333333333</v>
      </c>
      <c r="D59" s="134">
        <f t="shared" si="20"/>
        <v>0.11666666666666668</v>
      </c>
      <c r="E59" s="134">
        <f t="shared" si="16"/>
        <v>13.066666666666663</v>
      </c>
      <c r="F59" s="134">
        <f t="shared" si="19"/>
        <v>0.12031249999999998</v>
      </c>
      <c r="G59" s="2"/>
      <c r="H59" s="27"/>
      <c r="I59" s="2"/>
    </row>
    <row r="60" spans="2:12" ht="18" customHeight="1">
      <c r="B60" s="133" t="s">
        <v>224</v>
      </c>
      <c r="C60" s="134">
        <f t="shared" si="21"/>
        <v>13.066666666666663</v>
      </c>
      <c r="D60" s="134">
        <f t="shared" si="20"/>
        <v>0.11666666666666668</v>
      </c>
      <c r="E60" s="134">
        <f t="shared" si="16"/>
        <v>12.949999999999996</v>
      </c>
      <c r="F60" s="134">
        <f t="shared" si="19"/>
        <v>0.11924305555555552</v>
      </c>
      <c r="G60" s="2"/>
      <c r="H60" s="27"/>
      <c r="I60" s="2"/>
    </row>
    <row r="61" spans="2:12" ht="18" customHeight="1">
      <c r="B61" s="133" t="s">
        <v>225</v>
      </c>
      <c r="C61" s="134">
        <f t="shared" si="21"/>
        <v>12.949999999999996</v>
      </c>
      <c r="D61" s="134">
        <f t="shared" si="20"/>
        <v>0.11666666666666668</v>
      </c>
      <c r="E61" s="134">
        <f t="shared" si="16"/>
        <v>12.833333333333329</v>
      </c>
      <c r="F61" s="134">
        <f t="shared" si="19"/>
        <v>0.11817361111111108</v>
      </c>
      <c r="G61" s="2"/>
      <c r="H61" s="27"/>
      <c r="I61" s="2"/>
    </row>
    <row r="62" spans="2:12" ht="18" customHeight="1">
      <c r="B62" s="133" t="s">
        <v>226</v>
      </c>
      <c r="C62" s="134">
        <f t="shared" si="21"/>
        <v>12.833333333333329</v>
      </c>
      <c r="D62" s="134">
        <f t="shared" si="20"/>
        <v>0.11666666666666668</v>
      </c>
      <c r="E62" s="134">
        <f t="shared" si="16"/>
        <v>12.716666666666661</v>
      </c>
      <c r="F62" s="134">
        <f t="shared" si="19"/>
        <v>0.11710416666666662</v>
      </c>
      <c r="G62" s="2"/>
      <c r="H62" s="27"/>
      <c r="I62" s="2"/>
    </row>
    <row r="63" spans="2:12" ht="18" customHeight="1">
      <c r="B63" s="133" t="s">
        <v>227</v>
      </c>
      <c r="C63" s="134">
        <f t="shared" si="21"/>
        <v>12.716666666666661</v>
      </c>
      <c r="D63" s="134">
        <f t="shared" si="20"/>
        <v>0.11666666666666668</v>
      </c>
      <c r="E63" s="134">
        <f t="shared" si="16"/>
        <v>12.599999999999994</v>
      </c>
      <c r="F63" s="134">
        <f t="shared" si="19"/>
        <v>0.11603472222222216</v>
      </c>
      <c r="G63" s="2"/>
      <c r="H63" s="27"/>
      <c r="I63" s="2"/>
    </row>
    <row r="64" spans="2:12" ht="18" customHeight="1">
      <c r="B64" s="135" t="s">
        <v>232</v>
      </c>
      <c r="C64" s="136"/>
      <c r="D64" s="136"/>
      <c r="E64" s="137"/>
      <c r="F64" s="137"/>
      <c r="G64" s="2"/>
      <c r="H64" s="27"/>
      <c r="I64" s="255">
        <v>0.1</v>
      </c>
    </row>
    <row r="65" spans="2:9" ht="18" customHeight="1">
      <c r="B65" s="138" t="s">
        <v>215</v>
      </c>
      <c r="C65" s="139">
        <f>E63</f>
        <v>12.599999999999994</v>
      </c>
      <c r="D65" s="139">
        <f>$C$22*$I$64/12</f>
        <v>0.11666666666666668</v>
      </c>
      <c r="E65" s="139">
        <f t="shared" si="16"/>
        <v>12.483333333333327</v>
      </c>
      <c r="F65" s="139">
        <f t="shared" si="19"/>
        <v>0.11496527777777772</v>
      </c>
      <c r="G65" s="2"/>
      <c r="H65" s="27"/>
      <c r="I65" s="2"/>
    </row>
    <row r="66" spans="2:9" ht="18" customHeight="1">
      <c r="B66" s="138" t="s">
        <v>216</v>
      </c>
      <c r="C66" s="139">
        <f>E65</f>
        <v>12.483333333333327</v>
      </c>
      <c r="D66" s="139">
        <f t="shared" ref="D66:D76" si="22">$C$22*$I$64/12</f>
        <v>0.11666666666666668</v>
      </c>
      <c r="E66" s="139">
        <f t="shared" si="16"/>
        <v>12.36666666666666</v>
      </c>
      <c r="F66" s="139">
        <f t="shared" si="19"/>
        <v>0.11389583333333327</v>
      </c>
      <c r="G66" s="2"/>
      <c r="H66" s="27"/>
      <c r="I66" s="2"/>
    </row>
    <row r="67" spans="2:9" ht="18" customHeight="1">
      <c r="B67" s="138" t="s">
        <v>217</v>
      </c>
      <c r="C67" s="139">
        <f t="shared" ref="C67:C76" si="23">E66</f>
        <v>12.36666666666666</v>
      </c>
      <c r="D67" s="139">
        <f t="shared" si="22"/>
        <v>0.11666666666666668</v>
      </c>
      <c r="E67" s="139">
        <f t="shared" si="16"/>
        <v>12.249999999999993</v>
      </c>
      <c r="F67" s="139">
        <f t="shared" si="19"/>
        <v>0.11282638888888884</v>
      </c>
      <c r="G67" s="2"/>
      <c r="H67" s="27"/>
      <c r="I67" s="2"/>
    </row>
    <row r="68" spans="2:9" ht="18" customHeight="1">
      <c r="B68" s="138" t="s">
        <v>218</v>
      </c>
      <c r="C68" s="139">
        <f t="shared" si="23"/>
        <v>12.249999999999993</v>
      </c>
      <c r="D68" s="139">
        <f t="shared" si="22"/>
        <v>0.11666666666666668</v>
      </c>
      <c r="E68" s="139">
        <f t="shared" si="16"/>
        <v>12.133333333333326</v>
      </c>
      <c r="F68" s="139">
        <f t="shared" si="19"/>
        <v>0.11175694444444438</v>
      </c>
      <c r="G68" s="2"/>
      <c r="H68" s="27"/>
      <c r="I68" s="2"/>
    </row>
    <row r="69" spans="2:9" ht="18" customHeight="1">
      <c r="B69" s="138" t="s">
        <v>219</v>
      </c>
      <c r="C69" s="139">
        <f t="shared" si="23"/>
        <v>12.133333333333326</v>
      </c>
      <c r="D69" s="139">
        <f t="shared" si="22"/>
        <v>0.11666666666666668</v>
      </c>
      <c r="E69" s="139">
        <f t="shared" si="16"/>
        <v>12.016666666666659</v>
      </c>
      <c r="F69" s="139">
        <f t="shared" si="19"/>
        <v>0.11068749999999992</v>
      </c>
      <c r="G69" s="2"/>
      <c r="H69" s="27"/>
      <c r="I69" s="2"/>
    </row>
    <row r="70" spans="2:9" ht="18" customHeight="1">
      <c r="B70" s="138" t="s">
        <v>221</v>
      </c>
      <c r="C70" s="139">
        <f t="shared" si="23"/>
        <v>12.016666666666659</v>
      </c>
      <c r="D70" s="139">
        <f t="shared" si="22"/>
        <v>0.11666666666666668</v>
      </c>
      <c r="E70" s="139">
        <f t="shared" si="16"/>
        <v>11.899999999999991</v>
      </c>
      <c r="F70" s="139">
        <f t="shared" si="19"/>
        <v>0.10961805555555548</v>
      </c>
      <c r="G70" s="2"/>
      <c r="H70" s="27"/>
      <c r="I70" s="2"/>
    </row>
    <row r="71" spans="2:9" ht="18" customHeight="1">
      <c r="B71" s="138" t="s">
        <v>222</v>
      </c>
      <c r="C71" s="139">
        <f t="shared" si="23"/>
        <v>11.899999999999991</v>
      </c>
      <c r="D71" s="139">
        <f t="shared" si="22"/>
        <v>0.11666666666666668</v>
      </c>
      <c r="E71" s="139">
        <f t="shared" si="16"/>
        <v>11.783333333333324</v>
      </c>
      <c r="F71" s="139">
        <f t="shared" si="19"/>
        <v>0.10854861111111103</v>
      </c>
      <c r="G71" s="2"/>
      <c r="H71" s="27"/>
      <c r="I71" s="2"/>
    </row>
    <row r="72" spans="2:9" ht="18" customHeight="1">
      <c r="B72" s="138" t="s">
        <v>223</v>
      </c>
      <c r="C72" s="139">
        <f t="shared" si="23"/>
        <v>11.783333333333324</v>
      </c>
      <c r="D72" s="139">
        <f t="shared" si="22"/>
        <v>0.11666666666666668</v>
      </c>
      <c r="E72" s="139">
        <f t="shared" si="16"/>
        <v>11.666666666666657</v>
      </c>
      <c r="F72" s="139">
        <f t="shared" si="19"/>
        <v>0.10747916666666658</v>
      </c>
      <c r="G72" s="2"/>
      <c r="H72" s="27"/>
      <c r="I72" s="2"/>
    </row>
    <row r="73" spans="2:9" ht="18" customHeight="1">
      <c r="B73" s="138" t="s">
        <v>224</v>
      </c>
      <c r="C73" s="139">
        <f t="shared" si="23"/>
        <v>11.666666666666657</v>
      </c>
      <c r="D73" s="139">
        <f t="shared" si="22"/>
        <v>0.11666666666666668</v>
      </c>
      <c r="E73" s="139">
        <f t="shared" si="16"/>
        <v>11.54999999999999</v>
      </c>
      <c r="F73" s="139">
        <f t="shared" si="19"/>
        <v>0.10640972222222213</v>
      </c>
      <c r="G73" s="2"/>
      <c r="H73" s="27"/>
      <c r="I73" s="2"/>
    </row>
    <row r="74" spans="2:9" ht="18" customHeight="1">
      <c r="B74" s="138" t="s">
        <v>225</v>
      </c>
      <c r="C74" s="139">
        <f t="shared" si="23"/>
        <v>11.54999999999999</v>
      </c>
      <c r="D74" s="139">
        <f t="shared" si="22"/>
        <v>0.11666666666666668</v>
      </c>
      <c r="E74" s="139">
        <f t="shared" si="16"/>
        <v>11.433333333333323</v>
      </c>
      <c r="F74" s="139">
        <f t="shared" si="19"/>
        <v>0.10534027777777767</v>
      </c>
      <c r="G74" s="2"/>
      <c r="H74" s="27"/>
      <c r="I74" s="2"/>
    </row>
    <row r="75" spans="2:9" ht="18" customHeight="1">
      <c r="B75" s="138" t="s">
        <v>226</v>
      </c>
      <c r="C75" s="139">
        <f t="shared" si="23"/>
        <v>11.433333333333323</v>
      </c>
      <c r="D75" s="139">
        <f t="shared" si="22"/>
        <v>0.11666666666666668</v>
      </c>
      <c r="E75" s="139">
        <f t="shared" si="16"/>
        <v>11.316666666666656</v>
      </c>
      <c r="F75" s="139">
        <f t="shared" si="19"/>
        <v>0.10427083333333324</v>
      </c>
      <c r="G75" s="2"/>
      <c r="H75" s="27"/>
      <c r="I75" s="2"/>
    </row>
    <row r="76" spans="2:9" ht="18" customHeight="1">
      <c r="B76" s="138" t="s">
        <v>227</v>
      </c>
      <c r="C76" s="139">
        <f t="shared" si="23"/>
        <v>11.316666666666656</v>
      </c>
      <c r="D76" s="139">
        <f t="shared" si="22"/>
        <v>0.11666666666666668</v>
      </c>
      <c r="E76" s="139">
        <f t="shared" si="16"/>
        <v>11.199999999999989</v>
      </c>
      <c r="F76" s="139">
        <f t="shared" si="19"/>
        <v>0.10320138888888879</v>
      </c>
      <c r="G76" s="2"/>
      <c r="H76" s="27"/>
      <c r="I76" s="2"/>
    </row>
    <row r="77" spans="2:9" ht="18" customHeight="1">
      <c r="B77" s="140" t="s">
        <v>233</v>
      </c>
      <c r="C77" s="140"/>
      <c r="D77" s="140"/>
      <c r="E77" s="141"/>
      <c r="F77" s="141"/>
      <c r="G77" s="2"/>
      <c r="H77" s="27"/>
      <c r="I77" s="255">
        <v>0.1429</v>
      </c>
    </row>
    <row r="78" spans="2:9" ht="18" customHeight="1">
      <c r="B78" s="142" t="s">
        <v>215</v>
      </c>
      <c r="C78" s="143">
        <f>E76</f>
        <v>11.199999999999989</v>
      </c>
      <c r="D78" s="143">
        <f>$C$22*$I$77/12</f>
        <v>0.16671666666666665</v>
      </c>
      <c r="E78" s="143">
        <f t="shared" si="16"/>
        <v>11.033283333333323</v>
      </c>
      <c r="F78" s="143">
        <f t="shared" si="19"/>
        <v>0.10190254861111102</v>
      </c>
      <c r="G78" s="2"/>
      <c r="H78" s="27"/>
      <c r="I78" s="2"/>
    </row>
    <row r="79" spans="2:9" ht="18" customHeight="1">
      <c r="B79" s="142" t="s">
        <v>216</v>
      </c>
      <c r="C79" s="143">
        <f t="shared" ref="C79:C115" si="24">E78</f>
        <v>11.033283333333323</v>
      </c>
      <c r="D79" s="143">
        <f t="shared" ref="D79:D89" si="25">$C$22*$I$77/12</f>
        <v>0.16671666666666665</v>
      </c>
      <c r="E79" s="143">
        <f t="shared" si="16"/>
        <v>10.866566666666657</v>
      </c>
      <c r="F79" s="143">
        <f t="shared" si="19"/>
        <v>0.10037431249999991</v>
      </c>
      <c r="G79" s="2"/>
      <c r="H79" s="27"/>
      <c r="I79" s="2"/>
    </row>
    <row r="80" spans="2:9" ht="18" customHeight="1">
      <c r="B80" s="142" t="s">
        <v>217</v>
      </c>
      <c r="C80" s="143">
        <f t="shared" si="24"/>
        <v>10.866566666666657</v>
      </c>
      <c r="D80" s="143">
        <f t="shared" si="25"/>
        <v>0.16671666666666665</v>
      </c>
      <c r="E80" s="143">
        <f t="shared" si="16"/>
        <v>10.699849999999991</v>
      </c>
      <c r="F80" s="143">
        <f t="shared" si="19"/>
        <v>9.8846076388888801E-2</v>
      </c>
      <c r="G80" s="2"/>
      <c r="H80" s="27"/>
      <c r="I80" s="2"/>
    </row>
    <row r="81" spans="2:9" ht="18" customHeight="1">
      <c r="B81" s="142" t="s">
        <v>218</v>
      </c>
      <c r="C81" s="143">
        <f t="shared" si="24"/>
        <v>10.699849999999991</v>
      </c>
      <c r="D81" s="143">
        <f t="shared" si="25"/>
        <v>0.16671666666666665</v>
      </c>
      <c r="E81" s="143">
        <f t="shared" si="16"/>
        <v>10.533133333333325</v>
      </c>
      <c r="F81" s="143">
        <f t="shared" si="19"/>
        <v>9.7317840277777692E-2</v>
      </c>
      <c r="G81" s="2"/>
      <c r="H81" s="27"/>
      <c r="I81" s="2"/>
    </row>
    <row r="82" spans="2:9" ht="18" customHeight="1">
      <c r="B82" s="142" t="s">
        <v>219</v>
      </c>
      <c r="C82" s="143">
        <f t="shared" si="24"/>
        <v>10.533133333333325</v>
      </c>
      <c r="D82" s="143">
        <f t="shared" si="25"/>
        <v>0.16671666666666665</v>
      </c>
      <c r="E82" s="143">
        <f t="shared" si="16"/>
        <v>10.366416666666659</v>
      </c>
      <c r="F82" s="143">
        <f t="shared" si="19"/>
        <v>9.5789604166666598E-2</v>
      </c>
      <c r="G82" s="2"/>
      <c r="H82" s="27"/>
      <c r="I82" s="2"/>
    </row>
    <row r="83" spans="2:9" ht="18" customHeight="1">
      <c r="B83" s="142" t="s">
        <v>221</v>
      </c>
      <c r="C83" s="143">
        <f t="shared" si="24"/>
        <v>10.366416666666659</v>
      </c>
      <c r="D83" s="143">
        <f t="shared" si="25"/>
        <v>0.16671666666666665</v>
      </c>
      <c r="E83" s="143">
        <f t="shared" si="16"/>
        <v>10.199699999999993</v>
      </c>
      <c r="F83" s="143">
        <f t="shared" si="19"/>
        <v>9.4261368055555475E-2</v>
      </c>
      <c r="G83" s="2"/>
      <c r="H83" s="27"/>
      <c r="I83" s="2"/>
    </row>
    <row r="84" spans="2:9" ht="18" customHeight="1">
      <c r="B84" s="142" t="s">
        <v>222</v>
      </c>
      <c r="C84" s="143">
        <f t="shared" si="24"/>
        <v>10.199699999999993</v>
      </c>
      <c r="D84" s="143">
        <f t="shared" si="25"/>
        <v>0.16671666666666665</v>
      </c>
      <c r="E84" s="143">
        <f t="shared" si="16"/>
        <v>10.032983333333327</v>
      </c>
      <c r="F84" s="143">
        <f t="shared" si="19"/>
        <v>9.273313194444438E-2</v>
      </c>
      <c r="G84" s="2"/>
      <c r="H84" s="27"/>
      <c r="I84" s="2"/>
    </row>
    <row r="85" spans="2:9" ht="18" customHeight="1">
      <c r="B85" s="142" t="s">
        <v>223</v>
      </c>
      <c r="C85" s="143">
        <f t="shared" si="24"/>
        <v>10.032983333333327</v>
      </c>
      <c r="D85" s="143">
        <f t="shared" si="25"/>
        <v>0.16671666666666665</v>
      </c>
      <c r="E85" s="143">
        <f t="shared" si="16"/>
        <v>9.866266666666661</v>
      </c>
      <c r="F85" s="143">
        <f t="shared" si="19"/>
        <v>9.1204895833333285E-2</v>
      </c>
      <c r="G85" s="2"/>
      <c r="H85" s="27"/>
      <c r="I85" s="2"/>
    </row>
    <row r="86" spans="2:9" ht="18" customHeight="1">
      <c r="B86" s="142" t="s">
        <v>224</v>
      </c>
      <c r="C86" s="143">
        <f t="shared" si="24"/>
        <v>9.866266666666661</v>
      </c>
      <c r="D86" s="143">
        <f t="shared" si="25"/>
        <v>0.16671666666666665</v>
      </c>
      <c r="E86" s="143">
        <f t="shared" si="16"/>
        <v>9.699549999999995</v>
      </c>
      <c r="F86" s="143">
        <f t="shared" si="19"/>
        <v>8.9676659722222177E-2</v>
      </c>
      <c r="G86" s="2"/>
      <c r="H86" s="27"/>
      <c r="I86" s="2"/>
    </row>
    <row r="87" spans="2:9" ht="18" customHeight="1">
      <c r="B87" s="142" t="s">
        <v>225</v>
      </c>
      <c r="C87" s="143">
        <f t="shared" si="24"/>
        <v>9.699549999999995</v>
      </c>
      <c r="D87" s="143">
        <f t="shared" si="25"/>
        <v>0.16671666666666665</v>
      </c>
      <c r="E87" s="143">
        <f t="shared" si="16"/>
        <v>9.5328333333333291</v>
      </c>
      <c r="F87" s="143">
        <f t="shared" si="19"/>
        <v>8.8148423611111068E-2</v>
      </c>
      <c r="G87" s="2"/>
      <c r="H87" s="27"/>
      <c r="I87" s="2"/>
    </row>
    <row r="88" spans="2:9" ht="18" customHeight="1">
      <c r="B88" s="142" t="s">
        <v>226</v>
      </c>
      <c r="C88" s="143">
        <f t="shared" si="24"/>
        <v>9.5328333333333291</v>
      </c>
      <c r="D88" s="143">
        <f t="shared" si="25"/>
        <v>0.16671666666666665</v>
      </c>
      <c r="E88" s="143">
        <f t="shared" si="16"/>
        <v>9.3661166666666631</v>
      </c>
      <c r="F88" s="143">
        <f t="shared" si="19"/>
        <v>8.6620187499999959E-2</v>
      </c>
      <c r="G88" s="2"/>
      <c r="H88" s="27"/>
      <c r="I88" s="2"/>
    </row>
    <row r="89" spans="2:9" ht="18" customHeight="1">
      <c r="B89" s="142" t="s">
        <v>227</v>
      </c>
      <c r="C89" s="143">
        <f t="shared" si="24"/>
        <v>9.3661166666666631</v>
      </c>
      <c r="D89" s="143">
        <f t="shared" si="25"/>
        <v>0.16671666666666665</v>
      </c>
      <c r="E89" s="143">
        <f t="shared" si="16"/>
        <v>9.1993999999999971</v>
      </c>
      <c r="F89" s="143">
        <f t="shared" si="19"/>
        <v>8.5091951388888865E-2</v>
      </c>
      <c r="G89" s="2"/>
      <c r="H89" s="27"/>
      <c r="I89" s="2"/>
    </row>
    <row r="90" spans="2:9" ht="18" customHeight="1">
      <c r="B90" s="144" t="s">
        <v>234</v>
      </c>
      <c r="C90" s="145"/>
      <c r="D90" s="144"/>
      <c r="E90" s="145"/>
      <c r="F90" s="145"/>
      <c r="G90" s="2"/>
      <c r="H90" s="27"/>
      <c r="I90" s="255">
        <v>0.1429</v>
      </c>
    </row>
    <row r="91" spans="2:9" ht="18" customHeight="1">
      <c r="B91" s="146" t="s">
        <v>215</v>
      </c>
      <c r="C91" s="147">
        <f>E89</f>
        <v>9.1993999999999971</v>
      </c>
      <c r="D91" s="147">
        <f>$C$22*$I$90/12</f>
        <v>0.16671666666666665</v>
      </c>
      <c r="E91" s="147">
        <f t="shared" si="16"/>
        <v>9.0326833333333312</v>
      </c>
      <c r="F91" s="147">
        <f t="shared" si="19"/>
        <v>8.3563715277777742E-2</v>
      </c>
      <c r="G91" s="2"/>
      <c r="H91" s="27"/>
      <c r="I91" s="2"/>
    </row>
    <row r="92" spans="2:9" ht="18" customHeight="1">
      <c r="B92" s="146" t="s">
        <v>216</v>
      </c>
      <c r="C92" s="147">
        <f t="shared" si="24"/>
        <v>9.0326833333333312</v>
      </c>
      <c r="D92" s="147">
        <f t="shared" ref="D92:D102" si="26">$C$22*$I$90/12</f>
        <v>0.16671666666666665</v>
      </c>
      <c r="E92" s="147">
        <f t="shared" si="16"/>
        <v>8.8659666666666652</v>
      </c>
      <c r="F92" s="147">
        <f t="shared" si="19"/>
        <v>8.2035479166666647E-2</v>
      </c>
      <c r="G92" s="2"/>
      <c r="H92" s="27"/>
      <c r="I92" s="2"/>
    </row>
    <row r="93" spans="2:9" ht="18" customHeight="1">
      <c r="B93" s="146" t="s">
        <v>217</v>
      </c>
      <c r="C93" s="147">
        <f t="shared" si="24"/>
        <v>8.8659666666666652</v>
      </c>
      <c r="D93" s="147">
        <f t="shared" si="26"/>
        <v>0.16671666666666665</v>
      </c>
      <c r="E93" s="147">
        <f t="shared" si="16"/>
        <v>8.6992499999999993</v>
      </c>
      <c r="F93" s="147">
        <f t="shared" si="19"/>
        <v>8.0507243055555552E-2</v>
      </c>
      <c r="G93" s="2"/>
      <c r="H93" s="27"/>
      <c r="I93" s="2"/>
    </row>
    <row r="94" spans="2:9" ht="18" customHeight="1">
      <c r="B94" s="146" t="s">
        <v>218</v>
      </c>
      <c r="C94" s="147">
        <f t="shared" si="24"/>
        <v>8.6992499999999993</v>
      </c>
      <c r="D94" s="147">
        <f t="shared" si="26"/>
        <v>0.16671666666666665</v>
      </c>
      <c r="E94" s="147">
        <f t="shared" si="16"/>
        <v>8.5325333333333333</v>
      </c>
      <c r="F94" s="147">
        <f t="shared" si="19"/>
        <v>7.8979006944444444E-2</v>
      </c>
      <c r="G94" s="2"/>
      <c r="H94" s="27"/>
      <c r="I94" s="2"/>
    </row>
    <row r="95" spans="2:9" ht="18" customHeight="1">
      <c r="B95" s="146" t="s">
        <v>219</v>
      </c>
      <c r="C95" s="147">
        <f t="shared" si="24"/>
        <v>8.5325333333333333</v>
      </c>
      <c r="D95" s="147">
        <f t="shared" si="26"/>
        <v>0.16671666666666665</v>
      </c>
      <c r="E95" s="147">
        <f t="shared" ref="E95:E141" si="27">C95-D95</f>
        <v>8.3658166666666673</v>
      </c>
      <c r="F95" s="147">
        <f t="shared" si="19"/>
        <v>7.7450770833333335E-2</v>
      </c>
      <c r="G95" s="2"/>
      <c r="H95" s="27"/>
      <c r="I95" s="2"/>
    </row>
    <row r="96" spans="2:9" ht="18" customHeight="1">
      <c r="B96" s="146" t="s">
        <v>221</v>
      </c>
      <c r="C96" s="147">
        <f t="shared" si="24"/>
        <v>8.3658166666666673</v>
      </c>
      <c r="D96" s="147">
        <f t="shared" si="26"/>
        <v>0.16671666666666665</v>
      </c>
      <c r="E96" s="147">
        <f t="shared" si="27"/>
        <v>8.1991000000000014</v>
      </c>
      <c r="F96" s="147">
        <f t="shared" ref="F96:F141" si="28">AVERAGE(C96,E96)*$C$23/12</f>
        <v>7.5922534722222226E-2</v>
      </c>
      <c r="G96" s="2"/>
      <c r="H96" s="27"/>
      <c r="I96" s="2"/>
    </row>
    <row r="97" spans="2:9" ht="18" customHeight="1">
      <c r="B97" s="146" t="s">
        <v>222</v>
      </c>
      <c r="C97" s="147">
        <f t="shared" si="24"/>
        <v>8.1991000000000014</v>
      </c>
      <c r="D97" s="147">
        <f t="shared" si="26"/>
        <v>0.16671666666666665</v>
      </c>
      <c r="E97" s="147">
        <f t="shared" si="27"/>
        <v>8.0323833333333354</v>
      </c>
      <c r="F97" s="147">
        <f t="shared" si="28"/>
        <v>7.4394298611111132E-2</v>
      </c>
      <c r="G97" s="2"/>
      <c r="H97" s="27"/>
      <c r="I97" s="2"/>
    </row>
    <row r="98" spans="2:9" ht="18" customHeight="1">
      <c r="B98" s="146" t="s">
        <v>223</v>
      </c>
      <c r="C98" s="147">
        <f t="shared" si="24"/>
        <v>8.0323833333333354</v>
      </c>
      <c r="D98" s="147">
        <f t="shared" si="26"/>
        <v>0.16671666666666665</v>
      </c>
      <c r="E98" s="147">
        <f t="shared" si="27"/>
        <v>7.8656666666666686</v>
      </c>
      <c r="F98" s="147">
        <f t="shared" si="28"/>
        <v>7.2866062500000023E-2</v>
      </c>
      <c r="G98" s="2"/>
      <c r="H98" s="27"/>
      <c r="I98" s="2"/>
    </row>
    <row r="99" spans="2:9" ht="18" customHeight="1">
      <c r="B99" s="146" t="s">
        <v>224</v>
      </c>
      <c r="C99" s="147">
        <f t="shared" si="24"/>
        <v>7.8656666666666686</v>
      </c>
      <c r="D99" s="147">
        <f t="shared" si="26"/>
        <v>0.16671666666666665</v>
      </c>
      <c r="E99" s="147">
        <f t="shared" si="27"/>
        <v>7.6989500000000017</v>
      </c>
      <c r="F99" s="147">
        <f t="shared" si="28"/>
        <v>7.13378263888889E-2</v>
      </c>
      <c r="G99" s="2"/>
      <c r="H99" s="27"/>
      <c r="I99" s="2"/>
    </row>
    <row r="100" spans="2:9" ht="18" customHeight="1">
      <c r="B100" s="146" t="s">
        <v>225</v>
      </c>
      <c r="C100" s="147">
        <f t="shared" si="24"/>
        <v>7.6989500000000017</v>
      </c>
      <c r="D100" s="147">
        <f t="shared" si="26"/>
        <v>0.16671666666666665</v>
      </c>
      <c r="E100" s="147">
        <f t="shared" si="27"/>
        <v>7.5322333333333349</v>
      </c>
      <c r="F100" s="147">
        <f t="shared" si="28"/>
        <v>6.9809590277777792E-2</v>
      </c>
      <c r="G100" s="2"/>
      <c r="H100" s="27"/>
      <c r="I100" s="2"/>
    </row>
    <row r="101" spans="2:9" ht="18" customHeight="1">
      <c r="B101" s="146" t="s">
        <v>226</v>
      </c>
      <c r="C101" s="147">
        <f t="shared" si="24"/>
        <v>7.5322333333333349</v>
      </c>
      <c r="D101" s="147">
        <f t="shared" si="26"/>
        <v>0.16671666666666665</v>
      </c>
      <c r="E101" s="147">
        <f t="shared" si="27"/>
        <v>7.365516666666668</v>
      </c>
      <c r="F101" s="147">
        <f t="shared" si="28"/>
        <v>6.8281354166666683E-2</v>
      </c>
      <c r="G101" s="2"/>
      <c r="H101" s="27"/>
      <c r="I101" s="2"/>
    </row>
    <row r="102" spans="2:9" ht="18" customHeight="1">
      <c r="B102" s="146" t="s">
        <v>227</v>
      </c>
      <c r="C102" s="147">
        <f t="shared" si="24"/>
        <v>7.365516666666668</v>
      </c>
      <c r="D102" s="147">
        <f t="shared" si="26"/>
        <v>0.16671666666666665</v>
      </c>
      <c r="E102" s="147">
        <f t="shared" si="27"/>
        <v>7.1988000000000012</v>
      </c>
      <c r="F102" s="147">
        <f t="shared" si="28"/>
        <v>6.6753118055555574E-2</v>
      </c>
      <c r="G102" s="2"/>
      <c r="H102" s="27"/>
      <c r="I102" s="2"/>
    </row>
    <row r="103" spans="2:9" ht="18" customHeight="1">
      <c r="B103" s="148" t="s">
        <v>235</v>
      </c>
      <c r="C103" s="149"/>
      <c r="D103" s="148"/>
      <c r="E103" s="149"/>
      <c r="F103" s="149"/>
      <c r="G103" s="2"/>
      <c r="H103" s="27"/>
      <c r="I103" s="255">
        <v>0.1429</v>
      </c>
    </row>
    <row r="104" spans="2:9" ht="18" customHeight="1">
      <c r="B104" s="150" t="s">
        <v>215</v>
      </c>
      <c r="C104" s="151">
        <f>E102</f>
        <v>7.1988000000000012</v>
      </c>
      <c r="D104" s="151">
        <f>$C$22*$I$103/12</f>
        <v>0.16671666666666665</v>
      </c>
      <c r="E104" s="151">
        <f t="shared" si="27"/>
        <v>7.0320833333333344</v>
      </c>
      <c r="F104" s="151">
        <f t="shared" si="28"/>
        <v>6.5224881944444452E-2</v>
      </c>
      <c r="G104" s="2"/>
      <c r="H104" s="27"/>
      <c r="I104" s="2"/>
    </row>
    <row r="105" spans="2:9" ht="18" customHeight="1">
      <c r="B105" s="150" t="s">
        <v>216</v>
      </c>
      <c r="C105" s="151">
        <f t="shared" si="24"/>
        <v>7.0320833333333344</v>
      </c>
      <c r="D105" s="151">
        <f t="shared" ref="D105:D115" si="29">$C$22*$I$103/12</f>
        <v>0.16671666666666665</v>
      </c>
      <c r="E105" s="151">
        <f t="shared" si="27"/>
        <v>6.8653666666666675</v>
      </c>
      <c r="F105" s="151">
        <f t="shared" si="28"/>
        <v>6.3696645833333343E-2</v>
      </c>
      <c r="G105" s="2"/>
      <c r="H105" s="27"/>
      <c r="I105" s="2"/>
    </row>
    <row r="106" spans="2:9" ht="18" customHeight="1">
      <c r="B106" s="150" t="s">
        <v>217</v>
      </c>
      <c r="C106" s="151">
        <f t="shared" si="24"/>
        <v>6.8653666666666675</v>
      </c>
      <c r="D106" s="151">
        <f t="shared" si="29"/>
        <v>0.16671666666666665</v>
      </c>
      <c r="E106" s="151">
        <f t="shared" si="27"/>
        <v>6.6986500000000007</v>
      </c>
      <c r="F106" s="151">
        <f t="shared" si="28"/>
        <v>6.2168409722222227E-2</v>
      </c>
      <c r="G106" s="2"/>
      <c r="H106" s="27"/>
      <c r="I106" s="2"/>
    </row>
    <row r="107" spans="2:9" ht="18" customHeight="1">
      <c r="B107" s="150" t="s">
        <v>218</v>
      </c>
      <c r="C107" s="151">
        <f t="shared" si="24"/>
        <v>6.6986500000000007</v>
      </c>
      <c r="D107" s="151">
        <f t="shared" si="29"/>
        <v>0.16671666666666665</v>
      </c>
      <c r="E107" s="151">
        <f t="shared" si="27"/>
        <v>6.5319333333333338</v>
      </c>
      <c r="F107" s="151">
        <f t="shared" si="28"/>
        <v>6.0640173611111119E-2</v>
      </c>
      <c r="G107" s="2"/>
      <c r="H107" s="27"/>
      <c r="I107" s="2"/>
    </row>
    <row r="108" spans="2:9" ht="18" customHeight="1">
      <c r="B108" s="150" t="s">
        <v>219</v>
      </c>
      <c r="C108" s="151">
        <f t="shared" si="24"/>
        <v>6.5319333333333338</v>
      </c>
      <c r="D108" s="151">
        <f t="shared" si="29"/>
        <v>0.16671666666666665</v>
      </c>
      <c r="E108" s="151">
        <f t="shared" si="27"/>
        <v>6.365216666666667</v>
      </c>
      <c r="F108" s="151">
        <f t="shared" si="28"/>
        <v>5.9111937499999996E-2</v>
      </c>
      <c r="G108" s="2"/>
      <c r="H108" s="27"/>
      <c r="I108" s="2"/>
    </row>
    <row r="109" spans="2:9" ht="18" customHeight="1">
      <c r="B109" s="150" t="s">
        <v>221</v>
      </c>
      <c r="C109" s="151">
        <f t="shared" si="24"/>
        <v>6.365216666666667</v>
      </c>
      <c r="D109" s="151">
        <f t="shared" si="29"/>
        <v>0.16671666666666665</v>
      </c>
      <c r="E109" s="151">
        <f t="shared" si="27"/>
        <v>6.1985000000000001</v>
      </c>
      <c r="F109" s="151">
        <f t="shared" si="28"/>
        <v>5.7583701388888901E-2</v>
      </c>
      <c r="G109" s="2"/>
      <c r="H109" s="27"/>
      <c r="I109" s="2"/>
    </row>
    <row r="110" spans="2:9" ht="18" customHeight="1">
      <c r="B110" s="150" t="s">
        <v>222</v>
      </c>
      <c r="C110" s="151">
        <f t="shared" si="24"/>
        <v>6.1985000000000001</v>
      </c>
      <c r="D110" s="151">
        <f t="shared" si="29"/>
        <v>0.16671666666666665</v>
      </c>
      <c r="E110" s="151">
        <f t="shared" si="27"/>
        <v>6.0317833333333333</v>
      </c>
      <c r="F110" s="151">
        <f t="shared" si="28"/>
        <v>5.6055465277777772E-2</v>
      </c>
      <c r="G110" s="2"/>
      <c r="H110" s="27"/>
      <c r="I110" s="2"/>
    </row>
    <row r="111" spans="2:9" ht="18" customHeight="1">
      <c r="B111" s="150" t="s">
        <v>223</v>
      </c>
      <c r="C111" s="151">
        <f t="shared" si="24"/>
        <v>6.0317833333333333</v>
      </c>
      <c r="D111" s="151">
        <f t="shared" si="29"/>
        <v>0.16671666666666665</v>
      </c>
      <c r="E111" s="151">
        <f t="shared" si="27"/>
        <v>5.8650666666666664</v>
      </c>
      <c r="F111" s="151">
        <f t="shared" si="28"/>
        <v>5.452722916666667E-2</v>
      </c>
      <c r="G111" s="2"/>
      <c r="H111" s="27"/>
      <c r="I111" s="2"/>
    </row>
    <row r="112" spans="2:9" ht="18" customHeight="1">
      <c r="B112" s="150" t="s">
        <v>224</v>
      </c>
      <c r="C112" s="151">
        <f t="shared" si="24"/>
        <v>5.8650666666666664</v>
      </c>
      <c r="D112" s="151">
        <f t="shared" si="29"/>
        <v>0.16671666666666665</v>
      </c>
      <c r="E112" s="151">
        <f t="shared" si="27"/>
        <v>5.6983499999999996</v>
      </c>
      <c r="F112" s="151">
        <f t="shared" si="28"/>
        <v>5.2998993055555547E-2</v>
      </c>
      <c r="G112" s="2"/>
      <c r="H112" s="27"/>
      <c r="I112" s="2"/>
    </row>
    <row r="113" spans="2:9" ht="18" customHeight="1">
      <c r="B113" s="150" t="s">
        <v>225</v>
      </c>
      <c r="C113" s="151">
        <f t="shared" si="24"/>
        <v>5.6983499999999996</v>
      </c>
      <c r="D113" s="151">
        <f t="shared" si="29"/>
        <v>0.16671666666666665</v>
      </c>
      <c r="E113" s="151">
        <f t="shared" si="27"/>
        <v>5.5316333333333327</v>
      </c>
      <c r="F113" s="151">
        <f t="shared" si="28"/>
        <v>5.1470756944444446E-2</v>
      </c>
      <c r="G113" s="2"/>
      <c r="H113" s="27"/>
      <c r="I113" s="2"/>
    </row>
    <row r="114" spans="2:9" ht="18" customHeight="1">
      <c r="B114" s="150" t="s">
        <v>226</v>
      </c>
      <c r="C114" s="151">
        <f t="shared" si="24"/>
        <v>5.5316333333333327</v>
      </c>
      <c r="D114" s="151">
        <f t="shared" si="29"/>
        <v>0.16671666666666665</v>
      </c>
      <c r="E114" s="151">
        <f t="shared" si="27"/>
        <v>5.3649166666666659</v>
      </c>
      <c r="F114" s="151">
        <f t="shared" si="28"/>
        <v>4.994252083333333E-2</v>
      </c>
      <c r="G114" s="2"/>
      <c r="H114" s="27"/>
      <c r="I114" s="2"/>
    </row>
    <row r="115" spans="2:9" ht="18" customHeight="1">
      <c r="B115" s="150" t="s">
        <v>227</v>
      </c>
      <c r="C115" s="151">
        <f t="shared" si="24"/>
        <v>5.3649166666666659</v>
      </c>
      <c r="D115" s="151">
        <f t="shared" si="29"/>
        <v>0.16671666666666665</v>
      </c>
      <c r="E115" s="151">
        <f t="shared" si="27"/>
        <v>5.198199999999999</v>
      </c>
      <c r="F115" s="151">
        <f t="shared" si="28"/>
        <v>4.8414284722222221E-2</v>
      </c>
      <c r="G115" s="2"/>
      <c r="H115" s="27"/>
      <c r="I115" s="2"/>
    </row>
    <row r="116" spans="2:9" ht="18" customHeight="1">
      <c r="B116" s="152" t="s">
        <v>236</v>
      </c>
      <c r="C116" s="153"/>
      <c r="D116" s="152"/>
      <c r="E116" s="153"/>
      <c r="F116" s="153"/>
      <c r="G116" s="2"/>
      <c r="H116" s="27"/>
      <c r="I116" s="255">
        <f>14.29%+2.45%</f>
        <v>0.16739999999999999</v>
      </c>
    </row>
    <row r="117" spans="2:9" ht="18" customHeight="1">
      <c r="B117" s="154" t="s">
        <v>215</v>
      </c>
      <c r="C117" s="155">
        <f>E115</f>
        <v>5.198199999999999</v>
      </c>
      <c r="D117" s="155">
        <f>$C$22*$I$116/12</f>
        <v>0.1953</v>
      </c>
      <c r="E117" s="155">
        <f t="shared" si="27"/>
        <v>5.0028999999999995</v>
      </c>
      <c r="F117" s="155">
        <f t="shared" si="28"/>
        <v>4.6755041666666664E-2</v>
      </c>
      <c r="G117" s="2"/>
      <c r="H117" s="27"/>
      <c r="I117" s="2"/>
    </row>
    <row r="118" spans="2:9" ht="18" customHeight="1">
      <c r="B118" s="154" t="s">
        <v>216</v>
      </c>
      <c r="C118" s="155">
        <f t="shared" ref="C118:C141" si="30">E117</f>
        <v>5.0028999999999995</v>
      </c>
      <c r="D118" s="155">
        <f t="shared" ref="D118:D128" si="31">$C$22*$I$116/12</f>
        <v>0.1953</v>
      </c>
      <c r="E118" s="155">
        <f t="shared" si="27"/>
        <v>4.8075999999999999</v>
      </c>
      <c r="F118" s="155">
        <f t="shared" si="28"/>
        <v>4.4964791666666663E-2</v>
      </c>
      <c r="G118" s="2"/>
      <c r="H118" s="27"/>
      <c r="I118" s="2"/>
    </row>
    <row r="119" spans="2:9" ht="18" customHeight="1">
      <c r="B119" s="154" t="s">
        <v>217</v>
      </c>
      <c r="C119" s="155">
        <f t="shared" si="30"/>
        <v>4.8075999999999999</v>
      </c>
      <c r="D119" s="155">
        <f t="shared" si="31"/>
        <v>0.1953</v>
      </c>
      <c r="E119" s="155">
        <f t="shared" si="27"/>
        <v>4.6123000000000003</v>
      </c>
      <c r="F119" s="155">
        <f t="shared" si="28"/>
        <v>4.317454166666667E-2</v>
      </c>
      <c r="G119" s="2"/>
      <c r="H119" s="27"/>
      <c r="I119" s="2"/>
    </row>
    <row r="120" spans="2:9" ht="18" customHeight="1">
      <c r="B120" s="154" t="s">
        <v>218</v>
      </c>
      <c r="C120" s="155">
        <f t="shared" si="30"/>
        <v>4.6123000000000003</v>
      </c>
      <c r="D120" s="155">
        <f t="shared" si="31"/>
        <v>0.1953</v>
      </c>
      <c r="E120" s="155">
        <f t="shared" si="27"/>
        <v>4.4170000000000007</v>
      </c>
      <c r="F120" s="155">
        <f t="shared" si="28"/>
        <v>4.138429166666667E-2</v>
      </c>
      <c r="G120" s="2"/>
      <c r="H120" s="27"/>
      <c r="I120" s="2"/>
    </row>
    <row r="121" spans="2:9" ht="18" customHeight="1">
      <c r="B121" s="154" t="s">
        <v>219</v>
      </c>
      <c r="C121" s="155">
        <f t="shared" si="30"/>
        <v>4.4170000000000007</v>
      </c>
      <c r="D121" s="155">
        <f t="shared" si="31"/>
        <v>0.1953</v>
      </c>
      <c r="E121" s="155">
        <f t="shared" si="27"/>
        <v>4.2217000000000011</v>
      </c>
      <c r="F121" s="155">
        <f t="shared" si="28"/>
        <v>3.9594041666666677E-2</v>
      </c>
      <c r="G121" s="2"/>
      <c r="H121" s="27"/>
      <c r="I121" s="2"/>
    </row>
    <row r="122" spans="2:9" ht="18" customHeight="1">
      <c r="B122" s="154" t="s">
        <v>221</v>
      </c>
      <c r="C122" s="155">
        <f t="shared" si="30"/>
        <v>4.2217000000000011</v>
      </c>
      <c r="D122" s="155">
        <f t="shared" si="31"/>
        <v>0.1953</v>
      </c>
      <c r="E122" s="155">
        <f t="shared" si="27"/>
        <v>4.0264000000000015</v>
      </c>
      <c r="F122" s="155">
        <f t="shared" si="28"/>
        <v>3.7803791666666677E-2</v>
      </c>
      <c r="G122" s="2"/>
      <c r="H122" s="27"/>
      <c r="I122" s="2"/>
    </row>
    <row r="123" spans="2:9" ht="18" customHeight="1">
      <c r="B123" s="154" t="s">
        <v>222</v>
      </c>
      <c r="C123" s="155">
        <f t="shared" si="30"/>
        <v>4.0264000000000015</v>
      </c>
      <c r="D123" s="155">
        <f t="shared" si="31"/>
        <v>0.1953</v>
      </c>
      <c r="E123" s="155">
        <f t="shared" si="27"/>
        <v>3.8311000000000015</v>
      </c>
      <c r="F123" s="155">
        <f t="shared" si="28"/>
        <v>3.6013541666666683E-2</v>
      </c>
      <c r="G123" s="2"/>
      <c r="H123" s="27"/>
      <c r="I123" s="2"/>
    </row>
    <row r="124" spans="2:9" ht="18" customHeight="1">
      <c r="B124" s="154" t="s">
        <v>223</v>
      </c>
      <c r="C124" s="155">
        <f t="shared" si="30"/>
        <v>3.8311000000000015</v>
      </c>
      <c r="D124" s="155">
        <f t="shared" si="31"/>
        <v>0.1953</v>
      </c>
      <c r="E124" s="155">
        <f t="shared" si="27"/>
        <v>3.6358000000000015</v>
      </c>
      <c r="F124" s="155">
        <f t="shared" si="28"/>
        <v>3.4223291666666676E-2</v>
      </c>
      <c r="G124" s="2"/>
      <c r="H124" s="27"/>
      <c r="I124" s="2"/>
    </row>
    <row r="125" spans="2:9" ht="18" customHeight="1">
      <c r="B125" s="154" t="s">
        <v>224</v>
      </c>
      <c r="C125" s="155">
        <f t="shared" si="30"/>
        <v>3.6358000000000015</v>
      </c>
      <c r="D125" s="155">
        <f t="shared" si="31"/>
        <v>0.1953</v>
      </c>
      <c r="E125" s="155">
        <f t="shared" si="27"/>
        <v>3.4405000000000014</v>
      </c>
      <c r="F125" s="155">
        <f t="shared" si="28"/>
        <v>3.2433041666666683E-2</v>
      </c>
      <c r="G125" s="2"/>
      <c r="H125" s="27"/>
      <c r="I125" s="2"/>
    </row>
    <row r="126" spans="2:9" ht="18" customHeight="1">
      <c r="B126" s="154" t="s">
        <v>225</v>
      </c>
      <c r="C126" s="155">
        <f t="shared" si="30"/>
        <v>3.4405000000000014</v>
      </c>
      <c r="D126" s="155">
        <f t="shared" si="31"/>
        <v>0.1953</v>
      </c>
      <c r="E126" s="155">
        <f t="shared" si="27"/>
        <v>3.2452000000000014</v>
      </c>
      <c r="F126" s="155">
        <f t="shared" si="28"/>
        <v>3.0642791666666679E-2</v>
      </c>
      <c r="G126" s="2"/>
      <c r="H126" s="27"/>
      <c r="I126" s="2"/>
    </row>
    <row r="127" spans="2:9" ht="18" customHeight="1">
      <c r="B127" s="154" t="s">
        <v>226</v>
      </c>
      <c r="C127" s="155">
        <f t="shared" si="30"/>
        <v>3.2452000000000014</v>
      </c>
      <c r="D127" s="155">
        <f t="shared" si="31"/>
        <v>0.1953</v>
      </c>
      <c r="E127" s="155">
        <f t="shared" si="27"/>
        <v>3.0499000000000014</v>
      </c>
      <c r="F127" s="155">
        <f t="shared" si="28"/>
        <v>2.8852541666666679E-2</v>
      </c>
      <c r="G127" s="2"/>
      <c r="H127" s="27"/>
      <c r="I127" s="2"/>
    </row>
    <row r="128" spans="2:9" ht="18" customHeight="1">
      <c r="B128" s="154" t="s">
        <v>227</v>
      </c>
      <c r="C128" s="155">
        <f t="shared" si="30"/>
        <v>3.0499000000000014</v>
      </c>
      <c r="D128" s="155">
        <f t="shared" si="31"/>
        <v>0.1953</v>
      </c>
      <c r="E128" s="155">
        <f t="shared" si="27"/>
        <v>2.8546000000000014</v>
      </c>
      <c r="F128" s="155">
        <f t="shared" si="28"/>
        <v>2.7062291666666679E-2</v>
      </c>
      <c r="G128" s="2"/>
      <c r="H128" s="27"/>
      <c r="I128" s="2"/>
    </row>
    <row r="129" spans="2:9" ht="18" customHeight="1">
      <c r="B129" s="144" t="s">
        <v>237</v>
      </c>
      <c r="C129" s="145"/>
      <c r="D129" s="144"/>
      <c r="E129" s="145"/>
      <c r="F129" s="145"/>
      <c r="G129" s="2"/>
      <c r="H129" s="27"/>
      <c r="I129" s="255">
        <f>14.29%+6.1%</f>
        <v>0.2039</v>
      </c>
    </row>
    <row r="130" spans="2:9" ht="18" customHeight="1">
      <c r="B130" s="146" t="s">
        <v>215</v>
      </c>
      <c r="C130" s="147">
        <f>E128</f>
        <v>2.8546000000000014</v>
      </c>
      <c r="D130" s="147">
        <f>$C$22*$I$129/12</f>
        <v>0.23788333333333334</v>
      </c>
      <c r="E130" s="147">
        <f t="shared" si="27"/>
        <v>2.6167166666666679</v>
      </c>
      <c r="F130" s="147">
        <f t="shared" si="28"/>
        <v>2.5076868055555566E-2</v>
      </c>
      <c r="G130" s="2"/>
      <c r="H130" s="27"/>
      <c r="I130" s="2"/>
    </row>
    <row r="131" spans="2:9" ht="18" customHeight="1">
      <c r="B131" s="146" t="s">
        <v>216</v>
      </c>
      <c r="C131" s="147">
        <f t="shared" si="30"/>
        <v>2.6167166666666679</v>
      </c>
      <c r="D131" s="147">
        <f t="shared" ref="D131:D141" si="32">$C$22*$I$129/12</f>
        <v>0.23788333333333334</v>
      </c>
      <c r="E131" s="147">
        <f t="shared" si="27"/>
        <v>2.3788333333333345</v>
      </c>
      <c r="F131" s="147">
        <f t="shared" si="28"/>
        <v>2.2896270833333343E-2</v>
      </c>
      <c r="G131" s="2"/>
      <c r="H131" s="27"/>
      <c r="I131" s="2"/>
    </row>
    <row r="132" spans="2:9" ht="18" customHeight="1">
      <c r="B132" s="146" t="s">
        <v>217</v>
      </c>
      <c r="C132" s="147">
        <f t="shared" si="30"/>
        <v>2.3788333333333345</v>
      </c>
      <c r="D132" s="147">
        <f t="shared" si="32"/>
        <v>0.23788333333333334</v>
      </c>
      <c r="E132" s="147">
        <f t="shared" si="27"/>
        <v>2.140950000000001</v>
      </c>
      <c r="F132" s="147">
        <f t="shared" si="28"/>
        <v>2.071567361111112E-2</v>
      </c>
      <c r="G132" s="2"/>
      <c r="H132" s="27"/>
      <c r="I132" s="2"/>
    </row>
    <row r="133" spans="2:9" ht="18" customHeight="1">
      <c r="B133" s="146" t="s">
        <v>218</v>
      </c>
      <c r="C133" s="147">
        <f t="shared" si="30"/>
        <v>2.140950000000001</v>
      </c>
      <c r="D133" s="147">
        <f t="shared" si="32"/>
        <v>0.23788333333333334</v>
      </c>
      <c r="E133" s="147">
        <f t="shared" si="27"/>
        <v>1.9030666666666676</v>
      </c>
      <c r="F133" s="147">
        <f t="shared" si="28"/>
        <v>1.8535076388888898E-2</v>
      </c>
      <c r="G133" s="2"/>
      <c r="H133" s="27"/>
      <c r="I133" s="2"/>
    </row>
    <row r="134" spans="2:9" ht="18" customHeight="1">
      <c r="B134" s="146" t="s">
        <v>219</v>
      </c>
      <c r="C134" s="147">
        <f t="shared" si="30"/>
        <v>1.9030666666666676</v>
      </c>
      <c r="D134" s="147">
        <f t="shared" si="32"/>
        <v>0.23788333333333334</v>
      </c>
      <c r="E134" s="147">
        <f t="shared" si="27"/>
        <v>1.6651833333333341</v>
      </c>
      <c r="F134" s="147">
        <f t="shared" si="28"/>
        <v>1.6354479166666675E-2</v>
      </c>
      <c r="G134" s="2"/>
      <c r="H134" s="27"/>
      <c r="I134" s="2"/>
    </row>
    <row r="135" spans="2:9" ht="18" customHeight="1">
      <c r="B135" s="146" t="s">
        <v>221</v>
      </c>
      <c r="C135" s="147">
        <f t="shared" si="30"/>
        <v>1.6651833333333341</v>
      </c>
      <c r="D135" s="147">
        <f t="shared" si="32"/>
        <v>0.23788333333333334</v>
      </c>
      <c r="E135" s="147">
        <f t="shared" si="27"/>
        <v>1.4273000000000007</v>
      </c>
      <c r="F135" s="147">
        <f t="shared" si="28"/>
        <v>1.4173881944444451E-2</v>
      </c>
      <c r="G135" s="2"/>
      <c r="H135" s="27"/>
      <c r="I135" s="2"/>
    </row>
    <row r="136" spans="2:9" ht="18" customHeight="1">
      <c r="B136" s="146" t="s">
        <v>222</v>
      </c>
      <c r="C136" s="147">
        <f t="shared" si="30"/>
        <v>1.4273000000000007</v>
      </c>
      <c r="D136" s="147">
        <f t="shared" si="32"/>
        <v>0.23788333333333334</v>
      </c>
      <c r="E136" s="147">
        <f t="shared" si="27"/>
        <v>1.1894166666666672</v>
      </c>
      <c r="F136" s="147">
        <f t="shared" si="28"/>
        <v>1.1993284722222228E-2</v>
      </c>
      <c r="G136" s="2"/>
      <c r="H136" s="27"/>
      <c r="I136" s="2"/>
    </row>
    <row r="137" spans="2:9" ht="18" customHeight="1">
      <c r="B137" s="146" t="s">
        <v>223</v>
      </c>
      <c r="C137" s="147">
        <f t="shared" si="30"/>
        <v>1.1894166666666672</v>
      </c>
      <c r="D137" s="147">
        <f t="shared" si="32"/>
        <v>0.23788333333333334</v>
      </c>
      <c r="E137" s="147">
        <f t="shared" si="27"/>
        <v>0.9515333333333339</v>
      </c>
      <c r="F137" s="147">
        <f t="shared" si="28"/>
        <v>9.8126875000000054E-3</v>
      </c>
      <c r="G137" s="2"/>
      <c r="H137" s="27"/>
      <c r="I137" s="2"/>
    </row>
    <row r="138" spans="2:9" ht="18" customHeight="1">
      <c r="B138" s="146" t="s">
        <v>224</v>
      </c>
      <c r="C138" s="147">
        <f t="shared" si="30"/>
        <v>0.9515333333333339</v>
      </c>
      <c r="D138" s="147">
        <f t="shared" si="32"/>
        <v>0.23788333333333334</v>
      </c>
      <c r="E138" s="147">
        <f t="shared" si="27"/>
        <v>0.71365000000000056</v>
      </c>
      <c r="F138" s="147">
        <f t="shared" si="28"/>
        <v>7.6320902777777836E-3</v>
      </c>
      <c r="G138" s="2"/>
      <c r="H138" s="27"/>
      <c r="I138" s="2"/>
    </row>
    <row r="139" spans="2:9" ht="18" customHeight="1">
      <c r="B139" s="146" t="s">
        <v>225</v>
      </c>
      <c r="C139" s="147">
        <f t="shared" si="30"/>
        <v>0.71365000000000056</v>
      </c>
      <c r="D139" s="147">
        <f t="shared" si="32"/>
        <v>0.23788333333333334</v>
      </c>
      <c r="E139" s="147">
        <f t="shared" si="27"/>
        <v>0.47576666666666723</v>
      </c>
      <c r="F139" s="147">
        <f t="shared" si="28"/>
        <v>5.451493055555561E-3</v>
      </c>
      <c r="G139" s="2"/>
      <c r="H139" s="27"/>
      <c r="I139" s="2"/>
    </row>
    <row r="140" spans="2:9" ht="18" customHeight="1">
      <c r="B140" s="146" t="s">
        <v>226</v>
      </c>
      <c r="C140" s="147">
        <f t="shared" si="30"/>
        <v>0.47576666666666723</v>
      </c>
      <c r="D140" s="147">
        <f t="shared" si="32"/>
        <v>0.23788333333333334</v>
      </c>
      <c r="E140" s="147">
        <f t="shared" si="27"/>
        <v>0.23788333333333389</v>
      </c>
      <c r="F140" s="147">
        <f t="shared" si="28"/>
        <v>3.2708958333333388E-3</v>
      </c>
      <c r="G140" s="2"/>
      <c r="H140" s="27"/>
      <c r="I140" s="2"/>
    </row>
    <row r="141" spans="2:9" ht="18" customHeight="1">
      <c r="B141" s="146" t="s">
        <v>227</v>
      </c>
      <c r="C141" s="147">
        <f t="shared" si="30"/>
        <v>0.23788333333333389</v>
      </c>
      <c r="D141" s="147">
        <f t="shared" si="32"/>
        <v>0.23788333333333334</v>
      </c>
      <c r="E141" s="147">
        <f t="shared" si="27"/>
        <v>5.5511151231257827E-16</v>
      </c>
      <c r="F141" s="147">
        <f t="shared" si="28"/>
        <v>1.0902986111111163E-3</v>
      </c>
      <c r="G141" s="2"/>
      <c r="H141" s="27"/>
      <c r="I141" s="2"/>
    </row>
    <row r="142" spans="2:9" ht="18" customHeight="1">
      <c r="B142" s="61" t="s">
        <v>103</v>
      </c>
      <c r="C142" s="156"/>
      <c r="D142" s="62">
        <f>SUM(D26:D141)</f>
        <v>13.999999999999988</v>
      </c>
      <c r="E142" s="62"/>
      <c r="F142" s="62">
        <f>SUM(F26:F141)</f>
        <v>8.3234433333333282</v>
      </c>
      <c r="G142" s="2"/>
      <c r="H142" s="27"/>
      <c r="I142" s="2"/>
    </row>
  </sheetData>
  <mergeCells count="2">
    <mergeCell ref="D8:E8"/>
    <mergeCell ref="F8:M8"/>
  </mergeCells>
  <pageMargins left="0.7" right="0.7" top="0.75" bottom="0.75" header="0.3" footer="0.3"/>
  <pageSetup orientation="portrait" r:id="rId1"/>
  <ignoredErrors>
    <ignoredError sqref="C53"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152"/>
  <sheetViews>
    <sheetView showGridLines="0" workbookViewId="0"/>
  </sheetViews>
  <sheetFormatPr defaultColWidth="13.7109375" defaultRowHeight="18" customHeight="1"/>
  <cols>
    <col min="1" max="1" width="4.42578125" style="1" customWidth="1"/>
    <col min="2" max="2" width="38.7109375" style="1" customWidth="1"/>
    <col min="3" max="3" width="7.140625" style="1" customWidth="1"/>
    <col min="4" max="4" width="12.7109375" style="1" customWidth="1"/>
    <col min="5" max="5" width="14.85546875" style="1" customWidth="1"/>
    <col min="6" max="6" width="12.7109375" style="1" customWidth="1"/>
    <col min="7" max="7" width="17.5703125" style="1" customWidth="1"/>
    <col min="8" max="8" width="15.7109375" style="44" customWidth="1"/>
    <col min="9" max="9" width="13" style="1" customWidth="1"/>
    <col min="10" max="15" width="12.7109375" style="1" customWidth="1"/>
    <col min="16" max="16384" width="13.7109375" style="1"/>
  </cols>
  <sheetData>
    <row r="1" spans="2:16" ht="15.75" customHeight="1"/>
    <row r="2" spans="2:16" s="2" customFormat="1" ht="18" customHeight="1">
      <c r="B2" s="36" t="str">
        <f>"Financial Model of " &amp; B4</f>
        <v>Financial Model of Proposed 6000 KGPD CBG plant set up M/s. SRSBIOX RENEWABLE LLP.</v>
      </c>
      <c r="C2" s="95"/>
      <c r="D2" s="95"/>
      <c r="E2" s="95"/>
      <c r="F2" s="95"/>
      <c r="G2" s="95"/>
      <c r="H2" s="95"/>
      <c r="I2" s="95"/>
      <c r="J2" s="95"/>
      <c r="K2" s="95"/>
      <c r="L2" s="95"/>
      <c r="M2" s="95"/>
      <c r="N2" s="1"/>
      <c r="O2" s="1"/>
      <c r="P2" s="27"/>
    </row>
    <row r="3" spans="2:16" s="2" customFormat="1" ht="12" customHeight="1">
      <c r="C3" s="27"/>
      <c r="D3" s="27"/>
      <c r="E3" s="27"/>
      <c r="F3" s="27"/>
      <c r="G3" s="27"/>
      <c r="H3" s="27"/>
      <c r="I3" s="27"/>
      <c r="J3" s="27"/>
      <c r="K3" s="27"/>
      <c r="L3" s="27"/>
      <c r="M3" s="27"/>
      <c r="N3" s="1"/>
      <c r="O3" s="1"/>
      <c r="P3" s="27"/>
    </row>
    <row r="4" spans="2:16" s="2" customFormat="1" ht="18" customHeight="1">
      <c r="B4" s="28" t="str">
        <f>'Common Assumption'!B4</f>
        <v>Proposed 6000 KGPD CBG plant set up M/s. SRSBIOX RENEWABLE LLP.</v>
      </c>
      <c r="C4" s="28"/>
      <c r="D4" s="29"/>
      <c r="E4" s="29"/>
      <c r="F4" s="29"/>
      <c r="G4" s="29"/>
      <c r="H4" s="29"/>
      <c r="I4" s="29"/>
      <c r="J4" s="29"/>
      <c r="K4" s="29"/>
      <c r="L4" s="29"/>
      <c r="M4" s="29"/>
      <c r="N4" s="1"/>
      <c r="O4" s="1"/>
      <c r="P4" s="27"/>
    </row>
    <row r="5" spans="2:16" s="2" customFormat="1" ht="13.5" customHeight="1">
      <c r="C5" s="27"/>
      <c r="D5" s="27"/>
      <c r="F5" s="30"/>
      <c r="H5" s="27"/>
      <c r="N5" s="1"/>
      <c r="O5" s="1"/>
      <c r="P5" s="27"/>
    </row>
    <row r="6" spans="2:16" s="2" customFormat="1" ht="18" customHeight="1">
      <c r="B6" s="28" t="s">
        <v>239</v>
      </c>
      <c r="C6" s="28"/>
      <c r="D6" s="29"/>
      <c r="E6" s="29"/>
      <c r="F6" s="29"/>
      <c r="G6" s="29"/>
      <c r="H6" s="29"/>
      <c r="I6" s="29"/>
      <c r="J6" s="29"/>
      <c r="K6" s="29"/>
      <c r="L6" s="29"/>
      <c r="M6" s="29"/>
      <c r="N6" s="1"/>
      <c r="O6" s="1"/>
      <c r="P6" s="27"/>
    </row>
    <row r="7" spans="2:16" s="2" customFormat="1" ht="12.75" customHeight="1">
      <c r="C7" s="27"/>
      <c r="D7" s="27"/>
      <c r="F7" s="30"/>
      <c r="H7" s="27"/>
      <c r="N7" s="1"/>
      <c r="O7" s="1"/>
      <c r="P7" s="27"/>
    </row>
    <row r="8" spans="2:16" s="2" customFormat="1" ht="18" customHeight="1">
      <c r="C8" s="27"/>
      <c r="D8" s="308" t="s">
        <v>8</v>
      </c>
      <c r="E8" s="308"/>
      <c r="F8" s="309" t="s">
        <v>50</v>
      </c>
      <c r="G8" s="309"/>
      <c r="H8" s="309"/>
      <c r="I8" s="309"/>
      <c r="J8" s="309"/>
      <c r="K8" s="309"/>
      <c r="L8" s="309"/>
      <c r="M8" s="309"/>
      <c r="N8" s="1"/>
      <c r="O8" s="1"/>
      <c r="P8" s="27"/>
    </row>
    <row r="9" spans="2:16" s="2" customFormat="1" ht="18" customHeight="1">
      <c r="B9" s="31" t="s">
        <v>51</v>
      </c>
      <c r="C9" s="32" t="s">
        <v>52</v>
      </c>
      <c r="D9" s="33"/>
      <c r="E9" s="33">
        <f>'Common Assumption'!E13</f>
        <v>45747</v>
      </c>
      <c r="F9" s="33">
        <f>DATE(YEAR(E9)+1,MONTH(E9),DAY(E9))</f>
        <v>46112</v>
      </c>
      <c r="G9" s="33">
        <f>DATE(YEAR(F9)+1,MONTH(F9),DAY(F9))</f>
        <v>46477</v>
      </c>
      <c r="H9" s="33">
        <f t="shared" ref="H9:M9" si="0">DATE(YEAR(G9)+1,MONTH(G9),DAY(G9))</f>
        <v>46843</v>
      </c>
      <c r="I9" s="33">
        <f t="shared" si="0"/>
        <v>47208</v>
      </c>
      <c r="J9" s="33">
        <f t="shared" si="0"/>
        <v>47573</v>
      </c>
      <c r="K9" s="33">
        <f t="shared" si="0"/>
        <v>47938</v>
      </c>
      <c r="L9" s="33">
        <f t="shared" si="0"/>
        <v>48304</v>
      </c>
      <c r="M9" s="33">
        <f t="shared" si="0"/>
        <v>48669</v>
      </c>
      <c r="N9" s="1"/>
      <c r="O9" s="1"/>
      <c r="P9" s="27"/>
    </row>
    <row r="10" spans="2:16" s="34" customFormat="1" ht="18" customHeight="1">
      <c r="B10" s="39" t="s">
        <v>53</v>
      </c>
      <c r="C10" s="40"/>
      <c r="D10" s="38"/>
      <c r="E10" s="38">
        <v>0</v>
      </c>
      <c r="F10" s="41">
        <v>1</v>
      </c>
      <c r="G10" s="41">
        <f>F10+1</f>
        <v>2</v>
      </c>
      <c r="H10" s="41">
        <f t="shared" ref="H10:M10" si="1">G10+1</f>
        <v>3</v>
      </c>
      <c r="I10" s="41">
        <f t="shared" si="1"/>
        <v>4</v>
      </c>
      <c r="J10" s="41">
        <f t="shared" si="1"/>
        <v>5</v>
      </c>
      <c r="K10" s="41">
        <f t="shared" si="1"/>
        <v>6</v>
      </c>
      <c r="L10" s="41">
        <f t="shared" si="1"/>
        <v>7</v>
      </c>
      <c r="M10" s="41">
        <f t="shared" si="1"/>
        <v>8</v>
      </c>
      <c r="N10" s="1"/>
      <c r="O10" s="1"/>
      <c r="P10" s="35"/>
    </row>
    <row r="11" spans="2:16" s="34" customFormat="1" ht="18" customHeight="1">
      <c r="B11" s="39" t="s">
        <v>54</v>
      </c>
      <c r="C11" s="40">
        <f>'Common Assumption'!E12</f>
        <v>7</v>
      </c>
      <c r="D11" s="38"/>
      <c r="E11" s="38">
        <f>C11</f>
        <v>7</v>
      </c>
      <c r="F11" s="40">
        <f>MONTH(F9-E9)</f>
        <v>12</v>
      </c>
      <c r="G11" s="40">
        <f t="shared" ref="G11:M11" si="2">MONTH(G9-F9)</f>
        <v>12</v>
      </c>
      <c r="H11" s="40">
        <f t="shared" si="2"/>
        <v>12</v>
      </c>
      <c r="I11" s="40">
        <f t="shared" si="2"/>
        <v>12</v>
      </c>
      <c r="J11" s="40">
        <f t="shared" si="2"/>
        <v>12</v>
      </c>
      <c r="K11" s="40">
        <f t="shared" si="2"/>
        <v>12</v>
      </c>
      <c r="L11" s="40">
        <f t="shared" si="2"/>
        <v>12</v>
      </c>
      <c r="M11" s="40">
        <f t="shared" si="2"/>
        <v>12</v>
      </c>
      <c r="N11" s="1"/>
      <c r="O11" s="1"/>
      <c r="P11" s="35"/>
    </row>
    <row r="12" spans="2:16" ht="18" customHeight="1">
      <c r="B12" s="2" t="s">
        <v>240</v>
      </c>
      <c r="F12" s="161">
        <f>'Revenue &amp; Expense Modelling'!F19</f>
        <v>365</v>
      </c>
      <c r="G12" s="161">
        <f>'Revenue &amp; Expense Modelling'!G19</f>
        <v>365</v>
      </c>
      <c r="H12" s="161">
        <f>'Revenue &amp; Expense Modelling'!H19</f>
        <v>366</v>
      </c>
      <c r="I12" s="161">
        <f>'Revenue &amp; Expense Modelling'!I19</f>
        <v>365</v>
      </c>
      <c r="J12" s="161">
        <f>'Revenue &amp; Expense Modelling'!J19</f>
        <v>365</v>
      </c>
      <c r="K12" s="161">
        <f>'Revenue &amp; Expense Modelling'!K19</f>
        <v>365</v>
      </c>
      <c r="L12" s="161">
        <f>'Revenue &amp; Expense Modelling'!L19</f>
        <v>366</v>
      </c>
      <c r="M12" s="161">
        <f>'Revenue &amp; Expense Modelling'!M19</f>
        <v>365</v>
      </c>
    </row>
    <row r="13" spans="2:16" ht="18" customHeight="1">
      <c r="B13" s="2" t="str">
        <f>'Revenue &amp; Expense Modelling'!B20</f>
        <v>No. of operating days</v>
      </c>
      <c r="F13" s="161">
        <f>'Revenue &amp; Expense Modelling'!F20</f>
        <v>335</v>
      </c>
      <c r="G13" s="161">
        <f>'Revenue &amp; Expense Modelling'!G20</f>
        <v>335</v>
      </c>
      <c r="H13" s="161">
        <f>'Revenue &amp; Expense Modelling'!H20</f>
        <v>335</v>
      </c>
      <c r="I13" s="161">
        <f>'Revenue &amp; Expense Modelling'!I20</f>
        <v>335</v>
      </c>
      <c r="J13" s="161">
        <f>'Revenue &amp; Expense Modelling'!J20</f>
        <v>335</v>
      </c>
      <c r="K13" s="161">
        <f>'Revenue &amp; Expense Modelling'!K20</f>
        <v>335</v>
      </c>
      <c r="L13" s="161">
        <f>'Revenue &amp; Expense Modelling'!L20</f>
        <v>335</v>
      </c>
      <c r="M13" s="161">
        <f>'Revenue &amp; Expense Modelling'!M20</f>
        <v>335</v>
      </c>
    </row>
    <row r="14" spans="2:16" ht="18" customHeight="1">
      <c r="H14" s="1"/>
    </row>
    <row r="15" spans="2:16" ht="34.5" customHeight="1">
      <c r="B15" s="31" t="s">
        <v>241</v>
      </c>
      <c r="C15" s="162" t="s">
        <v>247</v>
      </c>
      <c r="D15" s="32" t="s">
        <v>242</v>
      </c>
      <c r="E15" s="162" t="s">
        <v>440</v>
      </c>
      <c r="F15" s="32" t="s">
        <v>243</v>
      </c>
      <c r="G15" s="32" t="s">
        <v>244</v>
      </c>
      <c r="H15" s="1"/>
    </row>
    <row r="16" spans="2:16" ht="18" customHeight="1">
      <c r="B16" s="2" t="s">
        <v>100</v>
      </c>
      <c r="C16" s="2"/>
      <c r="D16" s="49">
        <f>'TPC and MoF'!D8</f>
        <v>2.1968627999999999</v>
      </c>
      <c r="E16" s="48">
        <v>0</v>
      </c>
      <c r="F16" s="48">
        <f>D16+E16</f>
        <v>2.1968627999999999</v>
      </c>
      <c r="G16" s="164">
        <v>0</v>
      </c>
      <c r="H16" s="1"/>
    </row>
    <row r="17" spans="2:13" ht="18" customHeight="1">
      <c r="B17" s="253" t="s">
        <v>419</v>
      </c>
      <c r="C17" s="51">
        <v>10</v>
      </c>
      <c r="D17" s="49">
        <f>'TPC and MoF'!D9</f>
        <v>0</v>
      </c>
      <c r="E17" s="48">
        <f>('TPC and MoF'!$D$14+'TPC and MoF'!$D$17)*'Depreciation Schedule'!D17/SUM($D$17:$D$21)</f>
        <v>0</v>
      </c>
      <c r="F17" s="48">
        <f t="shared" ref="F17:F21" si="3">D17+E17</f>
        <v>0</v>
      </c>
      <c r="G17" s="164">
        <v>9.5000000000000001E-2</v>
      </c>
      <c r="H17" s="1"/>
    </row>
    <row r="18" spans="2:13" ht="18" customHeight="1">
      <c r="B18" s="2" t="str">
        <f>'TPC and MoF'!B10</f>
        <v>Civil &amp; M.S. Work including Land development &amp; Boundary wall</v>
      </c>
      <c r="C18" s="51">
        <v>30</v>
      </c>
      <c r="D18" s="49">
        <f>'TPC and MoF'!D10</f>
        <v>4.0048434200000003</v>
      </c>
      <c r="E18" s="48">
        <f>('TPC and MoF'!$D$14+'TPC and MoF'!$D$17)*'Depreciation Schedule'!D18/SUM($D$17:$D$21)</f>
        <v>0.18826573534872237</v>
      </c>
      <c r="F18" s="48">
        <f t="shared" si="3"/>
        <v>4.193109155348723</v>
      </c>
      <c r="G18" s="164">
        <v>3.1699999999999999E-2</v>
      </c>
      <c r="H18" s="1"/>
      <c r="L18" s="48"/>
    </row>
    <row r="19" spans="2:13" ht="18" customHeight="1">
      <c r="B19" s="2" t="str">
        <f>'TPC and MoF'!B11</f>
        <v>P&amp; M including other equipment</v>
      </c>
      <c r="C19" s="51">
        <v>15</v>
      </c>
      <c r="D19" s="49">
        <f>'TPC and MoF'!D11</f>
        <v>14.876300000000001</v>
      </c>
      <c r="E19" s="48">
        <f>('TPC and MoF'!$D$14+'TPC and MoF'!$D$17)*'Depreciation Schedule'!D19/SUM($D$17:$D$21)</f>
        <v>0.69932760536445604</v>
      </c>
      <c r="F19" s="48">
        <f t="shared" si="3"/>
        <v>15.575627605364456</v>
      </c>
      <c r="G19" s="164">
        <v>6.3299999999999995E-2</v>
      </c>
      <c r="H19" s="1"/>
      <c r="L19" s="48"/>
    </row>
    <row r="20" spans="2:13" ht="18" customHeight="1">
      <c r="B20" s="253" t="str">
        <f>'TPC and MoF'!B12</f>
        <v>Furniture &amp; Fixtures</v>
      </c>
      <c r="C20" s="51">
        <v>10</v>
      </c>
      <c r="D20" s="49">
        <f>'TPC and MoF'!D12</f>
        <v>0.05</v>
      </c>
      <c r="E20" s="48">
        <f>('TPC and MoF'!$D$14+'TPC and MoF'!$D$17)*'Depreciation Schedule'!D20/SUM($D$17:$D$21)</f>
        <v>2.3504756067182567E-3</v>
      </c>
      <c r="F20" s="48">
        <f t="shared" si="3"/>
        <v>5.2350475606718259E-2</v>
      </c>
      <c r="G20" s="164">
        <v>9.5000000000000001E-2</v>
      </c>
      <c r="H20" s="1"/>
      <c r="L20" s="48"/>
    </row>
    <row r="21" spans="2:13" ht="18" customHeight="1">
      <c r="B21" s="2" t="str">
        <f>'TPC and MoF'!B13</f>
        <v>Office Equipment</v>
      </c>
      <c r="C21" s="51">
        <v>5</v>
      </c>
      <c r="D21" s="49">
        <f>'TPC and MoF'!D13</f>
        <v>0.1</v>
      </c>
      <c r="E21" s="48">
        <f>('TPC and MoF'!$D$14+'TPC and MoF'!$D$17)*'Depreciation Schedule'!D21/SUM($D$17:$D$21)</f>
        <v>4.7009512134365133E-3</v>
      </c>
      <c r="F21" s="48">
        <f t="shared" si="3"/>
        <v>0.10470095121343652</v>
      </c>
      <c r="G21" s="164">
        <v>0.19</v>
      </c>
      <c r="H21" s="1"/>
      <c r="L21" s="48"/>
    </row>
    <row r="22" spans="2:13" ht="18" customHeight="1">
      <c r="B22" s="55" t="s">
        <v>243</v>
      </c>
      <c r="C22" s="56"/>
      <c r="D22" s="56">
        <f>SUM(D16:D21)</f>
        <v>21.228006220000001</v>
      </c>
      <c r="E22" s="56">
        <f>SUM(E16:E21)</f>
        <v>0.89464476753333322</v>
      </c>
      <c r="F22" s="56">
        <f>SUM(F16:F21)</f>
        <v>22.122650987533337</v>
      </c>
      <c r="G22" s="167"/>
      <c r="H22" s="1"/>
    </row>
    <row r="23" spans="2:13" ht="18" customHeight="1">
      <c r="G23" s="194"/>
      <c r="H23" s="1"/>
    </row>
    <row r="24" spans="2:13" ht="18" customHeight="1">
      <c r="H24" s="1"/>
    </row>
    <row r="25" spans="2:13" ht="18" customHeight="1">
      <c r="B25" s="117" t="s">
        <v>432</v>
      </c>
      <c r="C25" s="117"/>
      <c r="D25" s="117"/>
      <c r="E25" s="117"/>
      <c r="F25" s="117"/>
      <c r="G25" s="117"/>
      <c r="H25" s="117"/>
      <c r="I25" s="117"/>
      <c r="J25" s="117"/>
      <c r="K25" s="117"/>
      <c r="L25" s="117"/>
      <c r="M25" s="117"/>
    </row>
    <row r="26" spans="2:13" ht="18" customHeight="1">
      <c r="B26" s="168" t="s">
        <v>2</v>
      </c>
      <c r="C26" s="169"/>
      <c r="D26" s="170"/>
      <c r="E26" s="170">
        <f>E9</f>
        <v>45747</v>
      </c>
      <c r="F26" s="33">
        <f t="shared" ref="F26:M26" si="4">F9</f>
        <v>46112</v>
      </c>
      <c r="G26" s="33">
        <f t="shared" si="4"/>
        <v>46477</v>
      </c>
      <c r="H26" s="33">
        <f t="shared" si="4"/>
        <v>46843</v>
      </c>
      <c r="I26" s="33">
        <f t="shared" si="4"/>
        <v>47208</v>
      </c>
      <c r="J26" s="33">
        <f t="shared" si="4"/>
        <v>47573</v>
      </c>
      <c r="K26" s="33">
        <f t="shared" si="4"/>
        <v>47938</v>
      </c>
      <c r="L26" s="33">
        <f t="shared" si="4"/>
        <v>48304</v>
      </c>
      <c r="M26" s="33">
        <f t="shared" si="4"/>
        <v>48669</v>
      </c>
    </row>
    <row r="27" spans="2:13" ht="18" customHeight="1">
      <c r="B27" s="2" t="s">
        <v>100</v>
      </c>
      <c r="C27" s="2"/>
      <c r="D27" s="48"/>
      <c r="E27" s="48">
        <f>F27</f>
        <v>2.1968627999999999</v>
      </c>
      <c r="F27" s="48">
        <f>F16</f>
        <v>2.1968627999999999</v>
      </c>
      <c r="G27" s="48">
        <f>F27</f>
        <v>2.1968627999999999</v>
      </c>
      <c r="H27" s="48">
        <f t="shared" ref="H27:M27" si="5">G27</f>
        <v>2.1968627999999999</v>
      </c>
      <c r="I27" s="48">
        <f t="shared" si="5"/>
        <v>2.1968627999999999</v>
      </c>
      <c r="J27" s="48">
        <f t="shared" si="5"/>
        <v>2.1968627999999999</v>
      </c>
      <c r="K27" s="48">
        <f t="shared" si="5"/>
        <v>2.1968627999999999</v>
      </c>
      <c r="L27" s="48">
        <f t="shared" si="5"/>
        <v>2.1968627999999999</v>
      </c>
      <c r="M27" s="48">
        <f t="shared" si="5"/>
        <v>2.1968627999999999</v>
      </c>
    </row>
    <row r="28" spans="2:13" ht="18" customHeight="1">
      <c r="B28" s="165" t="s">
        <v>245</v>
      </c>
      <c r="C28" s="165"/>
      <c r="D28" s="166"/>
      <c r="E28" s="166"/>
      <c r="F28" s="166">
        <v>0</v>
      </c>
      <c r="G28" s="166">
        <f>F28</f>
        <v>0</v>
      </c>
      <c r="H28" s="166">
        <f t="shared" ref="H28:M28" si="6">G28</f>
        <v>0</v>
      </c>
      <c r="I28" s="166">
        <f t="shared" si="6"/>
        <v>0</v>
      </c>
      <c r="J28" s="166">
        <f t="shared" si="6"/>
        <v>0</v>
      </c>
      <c r="K28" s="166">
        <f t="shared" si="6"/>
        <v>0</v>
      </c>
      <c r="L28" s="166">
        <f t="shared" si="6"/>
        <v>0</v>
      </c>
      <c r="M28" s="166">
        <f t="shared" si="6"/>
        <v>0</v>
      </c>
    </row>
    <row r="29" spans="2:13" ht="18" customHeight="1">
      <c r="B29" s="2" t="s">
        <v>93</v>
      </c>
      <c r="C29" s="2"/>
      <c r="D29" s="48"/>
      <c r="E29" s="48">
        <f>F17</f>
        <v>0</v>
      </c>
      <c r="F29" s="48">
        <f>F17</f>
        <v>0</v>
      </c>
      <c r="G29" s="48">
        <f>F29</f>
        <v>0</v>
      </c>
      <c r="H29" s="48">
        <f t="shared" ref="H29:M29" si="7">G29</f>
        <v>0</v>
      </c>
      <c r="I29" s="48">
        <f t="shared" si="7"/>
        <v>0</v>
      </c>
      <c r="J29" s="48">
        <f t="shared" si="7"/>
        <v>0</v>
      </c>
      <c r="K29" s="48">
        <f t="shared" si="7"/>
        <v>0</v>
      </c>
      <c r="L29" s="48">
        <f t="shared" si="7"/>
        <v>0</v>
      </c>
      <c r="M29" s="48">
        <f t="shared" si="7"/>
        <v>0</v>
      </c>
    </row>
    <row r="30" spans="2:13" ht="18" customHeight="1">
      <c r="B30" s="165" t="str">
        <f>"SLM Depreciation " &amp; B29</f>
        <v>SLM Depreciation Electricity Connection &amp; Infrastructure</v>
      </c>
      <c r="C30" s="165"/>
      <c r="D30" s="165"/>
      <c r="E30" s="166"/>
      <c r="F30" s="166">
        <f>(F29-F29*5%)/$C$17/F12*F13</f>
        <v>0</v>
      </c>
      <c r="G30" s="166">
        <f t="shared" ref="G30:M30" si="8">(G29-G29*5%)/$C$17/G12*G13</f>
        <v>0</v>
      </c>
      <c r="H30" s="166">
        <f t="shared" si="8"/>
        <v>0</v>
      </c>
      <c r="I30" s="166">
        <f t="shared" si="8"/>
        <v>0</v>
      </c>
      <c r="J30" s="166">
        <f t="shared" si="8"/>
        <v>0</v>
      </c>
      <c r="K30" s="166">
        <f t="shared" si="8"/>
        <v>0</v>
      </c>
      <c r="L30" s="166">
        <f t="shared" si="8"/>
        <v>0</v>
      </c>
      <c r="M30" s="166">
        <f t="shared" si="8"/>
        <v>0</v>
      </c>
    </row>
    <row r="31" spans="2:13" ht="18" customHeight="1">
      <c r="B31" s="2" t="s">
        <v>91</v>
      </c>
      <c r="C31" s="2"/>
      <c r="D31" s="48"/>
      <c r="E31" s="48">
        <f>F18</f>
        <v>4.193109155348723</v>
      </c>
      <c r="F31" s="48">
        <f>F18</f>
        <v>4.193109155348723</v>
      </c>
      <c r="G31" s="48">
        <f>F31</f>
        <v>4.193109155348723</v>
      </c>
      <c r="H31" s="48">
        <f t="shared" ref="H31:M31" si="9">G31</f>
        <v>4.193109155348723</v>
      </c>
      <c r="I31" s="48">
        <f t="shared" si="9"/>
        <v>4.193109155348723</v>
      </c>
      <c r="J31" s="48">
        <f t="shared" si="9"/>
        <v>4.193109155348723</v>
      </c>
      <c r="K31" s="48">
        <f t="shared" si="9"/>
        <v>4.193109155348723</v>
      </c>
      <c r="L31" s="48">
        <f t="shared" si="9"/>
        <v>4.193109155348723</v>
      </c>
      <c r="M31" s="48">
        <f t="shared" si="9"/>
        <v>4.193109155348723</v>
      </c>
    </row>
    <row r="32" spans="2:13" ht="18" customHeight="1">
      <c r="B32" s="165" t="str">
        <f>"SLM Depreciation " &amp; B31</f>
        <v>SLM Depreciation Building &amp; Civil Works</v>
      </c>
      <c r="C32" s="165"/>
      <c r="D32" s="166"/>
      <c r="E32" s="166"/>
      <c r="F32" s="166">
        <f>(F31-F31*5%)/$C$18/F12*F13</f>
        <v>0.12186821814518092</v>
      </c>
      <c r="G32" s="166">
        <f t="shared" ref="G32:M32" si="10">(G31-G31*5%)/$C$18/G12*G13</f>
        <v>0.12186821814518092</v>
      </c>
      <c r="H32" s="166">
        <f t="shared" si="10"/>
        <v>0.1215352448715602</v>
      </c>
      <c r="I32" s="166">
        <f t="shared" si="10"/>
        <v>0.12186821814518092</v>
      </c>
      <c r="J32" s="166">
        <f t="shared" si="10"/>
        <v>0.12186821814518092</v>
      </c>
      <c r="K32" s="166">
        <f t="shared" si="10"/>
        <v>0.12186821814518092</v>
      </c>
      <c r="L32" s="166">
        <f t="shared" si="10"/>
        <v>0.1215352448715602</v>
      </c>
      <c r="M32" s="166">
        <f t="shared" si="10"/>
        <v>0.12186821814518092</v>
      </c>
    </row>
    <row r="33" spans="2:13" ht="18" customHeight="1">
      <c r="B33" s="2" t="s">
        <v>92</v>
      </c>
      <c r="C33" s="2"/>
      <c r="D33" s="48"/>
      <c r="E33" s="48">
        <f>F19</f>
        <v>15.575627605364456</v>
      </c>
      <c r="F33" s="48">
        <f>F19</f>
        <v>15.575627605364456</v>
      </c>
      <c r="G33" s="48">
        <f>F33</f>
        <v>15.575627605364456</v>
      </c>
      <c r="H33" s="48">
        <f t="shared" ref="H33:M33" si="11">G33</f>
        <v>15.575627605364456</v>
      </c>
      <c r="I33" s="48">
        <f t="shared" si="11"/>
        <v>15.575627605364456</v>
      </c>
      <c r="J33" s="48">
        <f t="shared" si="11"/>
        <v>15.575627605364456</v>
      </c>
      <c r="K33" s="48">
        <f t="shared" si="11"/>
        <v>15.575627605364456</v>
      </c>
      <c r="L33" s="48">
        <f t="shared" si="11"/>
        <v>15.575627605364456</v>
      </c>
      <c r="M33" s="48">
        <f t="shared" si="11"/>
        <v>15.575627605364456</v>
      </c>
    </row>
    <row r="34" spans="2:13" ht="18" customHeight="1">
      <c r="B34" s="165" t="str">
        <f>"SLM Depreciation " &amp; B33</f>
        <v>SLM Depreciation Plant &amp; Machinery</v>
      </c>
      <c r="C34" s="165"/>
      <c r="D34" s="165"/>
      <c r="E34" s="165"/>
      <c r="F34" s="166">
        <f>(F33-F33*5%)/$C$19/F12*F13</f>
        <v>0.9053778055538334</v>
      </c>
      <c r="G34" s="166">
        <f t="shared" ref="G34:M34" si="12">(G33-G33*5%)/$C$19/G12*G13</f>
        <v>0.9053778055538334</v>
      </c>
      <c r="H34" s="166">
        <f t="shared" si="12"/>
        <v>0.90290409570259345</v>
      </c>
      <c r="I34" s="166">
        <f t="shared" si="12"/>
        <v>0.9053778055538334</v>
      </c>
      <c r="J34" s="166">
        <f t="shared" si="12"/>
        <v>0.9053778055538334</v>
      </c>
      <c r="K34" s="166">
        <f t="shared" si="12"/>
        <v>0.9053778055538334</v>
      </c>
      <c r="L34" s="166">
        <f t="shared" si="12"/>
        <v>0.90290409570259345</v>
      </c>
      <c r="M34" s="166">
        <f t="shared" si="12"/>
        <v>0.9053778055538334</v>
      </c>
    </row>
    <row r="35" spans="2:13" ht="18" customHeight="1">
      <c r="B35" s="2" t="s">
        <v>423</v>
      </c>
      <c r="C35" s="2"/>
      <c r="D35" s="48"/>
      <c r="E35" s="48">
        <f>F20</f>
        <v>5.2350475606718259E-2</v>
      </c>
      <c r="F35" s="48">
        <f>F20</f>
        <v>5.2350475606718259E-2</v>
      </c>
      <c r="G35" s="48">
        <f>F35</f>
        <v>5.2350475606718259E-2</v>
      </c>
      <c r="H35" s="48">
        <f t="shared" ref="H35:M35" si="13">G35</f>
        <v>5.2350475606718259E-2</v>
      </c>
      <c r="I35" s="48">
        <f t="shared" si="13"/>
        <v>5.2350475606718259E-2</v>
      </c>
      <c r="J35" s="48">
        <f t="shared" si="13"/>
        <v>5.2350475606718259E-2</v>
      </c>
      <c r="K35" s="48">
        <f t="shared" si="13"/>
        <v>5.2350475606718259E-2</v>
      </c>
      <c r="L35" s="48">
        <f t="shared" si="13"/>
        <v>5.2350475606718259E-2</v>
      </c>
      <c r="M35" s="48">
        <f t="shared" si="13"/>
        <v>5.2350475606718259E-2</v>
      </c>
    </row>
    <row r="36" spans="2:13" ht="18" customHeight="1">
      <c r="B36" s="165" t="str">
        <f>"SLM Depreciation " &amp; B35</f>
        <v>SLM Depreciation Furniture &amp; Fixtures</v>
      </c>
      <c r="C36" s="165"/>
      <c r="D36" s="165"/>
      <c r="E36" s="165"/>
      <c r="F36" s="166">
        <f>(F35-F35*5%)/$C$20/F12*F13</f>
        <v>4.5645311950241333E-3</v>
      </c>
      <c r="G36" s="166">
        <f t="shared" ref="G36:M36" si="14">(G35-G35*5%)/$C$20/G12*G13</f>
        <v>4.5645311950241333E-3</v>
      </c>
      <c r="H36" s="166">
        <f t="shared" si="14"/>
        <v>4.552059798316418E-3</v>
      </c>
      <c r="I36" s="166">
        <f t="shared" si="14"/>
        <v>4.5645311950241333E-3</v>
      </c>
      <c r="J36" s="166">
        <f t="shared" si="14"/>
        <v>4.5645311950241333E-3</v>
      </c>
      <c r="K36" s="166">
        <f t="shared" si="14"/>
        <v>4.5645311950241333E-3</v>
      </c>
      <c r="L36" s="166">
        <f t="shared" si="14"/>
        <v>4.552059798316418E-3</v>
      </c>
      <c r="M36" s="166">
        <f t="shared" si="14"/>
        <v>4.5645311950241333E-3</v>
      </c>
    </row>
    <row r="37" spans="2:13" ht="18" customHeight="1">
      <c r="B37" s="2" t="s">
        <v>94</v>
      </c>
      <c r="C37" s="2"/>
      <c r="D37" s="48"/>
      <c r="E37" s="48">
        <f>F21</f>
        <v>0.10470095121343652</v>
      </c>
      <c r="F37" s="48">
        <f>F21</f>
        <v>0.10470095121343652</v>
      </c>
      <c r="G37" s="48">
        <f>F37</f>
        <v>0.10470095121343652</v>
      </c>
      <c r="H37" s="48">
        <f t="shared" ref="H37:M37" si="15">G37</f>
        <v>0.10470095121343652</v>
      </c>
      <c r="I37" s="48">
        <f t="shared" si="15"/>
        <v>0.10470095121343652</v>
      </c>
      <c r="J37" s="48">
        <f t="shared" si="15"/>
        <v>0.10470095121343652</v>
      </c>
      <c r="K37" s="48">
        <f t="shared" si="15"/>
        <v>0.10470095121343652</v>
      </c>
      <c r="L37" s="48">
        <f t="shared" si="15"/>
        <v>0.10470095121343652</v>
      </c>
      <c r="M37" s="48">
        <f t="shared" si="15"/>
        <v>0.10470095121343652</v>
      </c>
    </row>
    <row r="38" spans="2:13" ht="18" customHeight="1">
      <c r="B38" s="165" t="str">
        <f>"SLM Depreciation " &amp; B37</f>
        <v>SLM Depreciation Office equipment</v>
      </c>
      <c r="C38" s="165"/>
      <c r="D38" s="165"/>
      <c r="E38" s="165"/>
      <c r="F38" s="166">
        <f>(F37-F37*5%)/$C$21/F12*F13</f>
        <v>1.8258124780096533E-2</v>
      </c>
      <c r="G38" s="166">
        <f t="shared" ref="G38:J38" si="16">(G37-G37*5%)/$C$21/G12*G13</f>
        <v>1.8258124780096533E-2</v>
      </c>
      <c r="H38" s="166">
        <f t="shared" si="16"/>
        <v>1.8208239193265672E-2</v>
      </c>
      <c r="I38" s="166">
        <f t="shared" si="16"/>
        <v>1.8258124780096533E-2</v>
      </c>
      <c r="J38" s="166">
        <f t="shared" si="16"/>
        <v>1.8258124780096533E-2</v>
      </c>
      <c r="K38" s="166">
        <v>0</v>
      </c>
      <c r="L38" s="166">
        <f>K38</f>
        <v>0</v>
      </c>
      <c r="M38" s="166">
        <f>L38</f>
        <v>0</v>
      </c>
    </row>
    <row r="39" spans="2:13" ht="18" customHeight="1">
      <c r="B39" s="55" t="s">
        <v>246</v>
      </c>
      <c r="C39" s="55"/>
      <c r="D39" s="55"/>
      <c r="E39" s="55"/>
      <c r="F39" s="56">
        <f>F28+F30+F32+F34+F36+F38</f>
        <v>1.0500686796741352</v>
      </c>
      <c r="G39" s="56">
        <f t="shared" ref="G39:M39" si="17">G28+G30+G32+G34+G36+G38</f>
        <v>1.0500686796741352</v>
      </c>
      <c r="H39" s="56">
        <f t="shared" si="17"/>
        <v>1.0471996395657357</v>
      </c>
      <c r="I39" s="56">
        <f t="shared" si="17"/>
        <v>1.0500686796741352</v>
      </c>
      <c r="J39" s="56">
        <f t="shared" si="17"/>
        <v>1.0500686796741352</v>
      </c>
      <c r="K39" s="56">
        <f t="shared" si="17"/>
        <v>1.0318105548940386</v>
      </c>
      <c r="L39" s="56">
        <f t="shared" si="17"/>
        <v>1.0289914003724701</v>
      </c>
      <c r="M39" s="56">
        <f t="shared" si="17"/>
        <v>1.0318105548940386</v>
      </c>
    </row>
    <row r="40" spans="2:13" ht="18" customHeight="1">
      <c r="H40" s="1"/>
    </row>
    <row r="41" spans="2:13" ht="18" customHeight="1">
      <c r="H41" s="1"/>
    </row>
    <row r="42" spans="2:13" ht="18" customHeight="1">
      <c r="H42" s="1"/>
    </row>
    <row r="43" spans="2:13" ht="18" customHeight="1">
      <c r="H43" s="1"/>
    </row>
    <row r="44" spans="2:13" ht="18" customHeight="1">
      <c r="H44" s="1"/>
    </row>
    <row r="45" spans="2:13" ht="18" customHeight="1">
      <c r="H45" s="1"/>
    </row>
    <row r="46" spans="2:13" ht="18" customHeight="1">
      <c r="H46" s="1"/>
    </row>
    <row r="47" spans="2:13" ht="18" customHeight="1">
      <c r="H47" s="1"/>
    </row>
    <row r="48" spans="2:13" ht="18" customHeight="1">
      <c r="H48" s="1"/>
    </row>
    <row r="49" spans="8:8" ht="18" customHeight="1">
      <c r="H49" s="1"/>
    </row>
    <row r="50" spans="8:8" ht="18" customHeight="1">
      <c r="H50" s="1"/>
    </row>
    <row r="51" spans="8:8" ht="18" customHeight="1">
      <c r="H51" s="1"/>
    </row>
    <row r="52" spans="8:8" ht="18" customHeight="1">
      <c r="H52" s="1"/>
    </row>
    <row r="53" spans="8:8" ht="18" customHeight="1">
      <c r="H53" s="1"/>
    </row>
    <row r="54" spans="8:8" ht="18" customHeight="1">
      <c r="H54" s="1"/>
    </row>
    <row r="55" spans="8:8" ht="18" customHeight="1">
      <c r="H55" s="1"/>
    </row>
    <row r="56" spans="8:8" ht="18" customHeight="1">
      <c r="H56" s="1"/>
    </row>
    <row r="57" spans="8:8" ht="18" customHeight="1">
      <c r="H57" s="1"/>
    </row>
    <row r="58" spans="8:8" ht="18" customHeight="1">
      <c r="H58" s="1"/>
    </row>
    <row r="59" spans="8:8" ht="18" customHeight="1">
      <c r="H59" s="1"/>
    </row>
    <row r="60" spans="8:8" ht="18" customHeight="1">
      <c r="H60" s="1"/>
    </row>
    <row r="61" spans="8:8" ht="18" customHeight="1">
      <c r="H61" s="1"/>
    </row>
    <row r="62" spans="8:8" ht="18" customHeight="1">
      <c r="H62" s="1"/>
    </row>
    <row r="63" spans="8:8" ht="18" customHeight="1">
      <c r="H63" s="1"/>
    </row>
    <row r="64" spans="8:8" ht="18" customHeight="1">
      <c r="H64" s="1"/>
    </row>
    <row r="65" spans="8:8" ht="18" customHeight="1">
      <c r="H65" s="1"/>
    </row>
    <row r="66" spans="8:8" ht="18" customHeight="1">
      <c r="H66" s="1"/>
    </row>
    <row r="67" spans="8:8" ht="18" customHeight="1">
      <c r="H67" s="1"/>
    </row>
    <row r="68" spans="8:8" ht="18" customHeight="1">
      <c r="H68" s="1"/>
    </row>
    <row r="69" spans="8:8" ht="18" customHeight="1">
      <c r="H69" s="1"/>
    </row>
    <row r="70" spans="8:8" ht="18" customHeight="1">
      <c r="H70" s="1"/>
    </row>
    <row r="71" spans="8:8" ht="18" customHeight="1">
      <c r="H71" s="1"/>
    </row>
    <row r="72" spans="8:8" ht="18" customHeight="1">
      <c r="H72" s="1"/>
    </row>
    <row r="73" spans="8:8" ht="18" customHeight="1">
      <c r="H73" s="1"/>
    </row>
    <row r="74" spans="8:8" ht="18" customHeight="1">
      <c r="H74" s="1"/>
    </row>
    <row r="75" spans="8:8" ht="18" customHeight="1">
      <c r="H75" s="1"/>
    </row>
    <row r="76" spans="8:8" ht="18" customHeight="1">
      <c r="H76" s="1"/>
    </row>
    <row r="77" spans="8:8" ht="18" customHeight="1">
      <c r="H77" s="1"/>
    </row>
    <row r="78" spans="8:8" ht="18" customHeight="1">
      <c r="H78" s="1"/>
    </row>
    <row r="79" spans="8:8" ht="18" customHeight="1">
      <c r="H79" s="1"/>
    </row>
    <row r="80" spans="8:8" ht="18" customHeight="1">
      <c r="H80" s="1"/>
    </row>
    <row r="81" spans="8:8" ht="18" customHeight="1">
      <c r="H81" s="1"/>
    </row>
    <row r="82" spans="8:8" ht="18" customHeight="1">
      <c r="H82" s="1"/>
    </row>
    <row r="83" spans="8:8" ht="18" customHeight="1">
      <c r="H83" s="1"/>
    </row>
    <row r="84" spans="8:8" ht="18" customHeight="1">
      <c r="H84" s="1"/>
    </row>
    <row r="85" spans="8:8" ht="18" customHeight="1">
      <c r="H85" s="1"/>
    </row>
    <row r="86" spans="8:8" ht="18" customHeight="1">
      <c r="H86" s="1"/>
    </row>
    <row r="87" spans="8:8" ht="18" customHeight="1">
      <c r="H87" s="1"/>
    </row>
    <row r="88" spans="8:8" ht="18" customHeight="1">
      <c r="H88" s="1"/>
    </row>
    <row r="89" spans="8:8" ht="18" customHeight="1">
      <c r="H89" s="1"/>
    </row>
    <row r="90" spans="8:8" ht="18" customHeight="1">
      <c r="H90" s="1"/>
    </row>
    <row r="91" spans="8:8" ht="18" customHeight="1">
      <c r="H91" s="1"/>
    </row>
    <row r="92" spans="8:8" ht="18" customHeight="1">
      <c r="H92" s="1"/>
    </row>
    <row r="93" spans="8:8" ht="18" customHeight="1">
      <c r="H93" s="1"/>
    </row>
    <row r="94" spans="8:8" ht="18" customHeight="1">
      <c r="H94" s="1"/>
    </row>
    <row r="95" spans="8:8" ht="18" customHeight="1">
      <c r="H95" s="1"/>
    </row>
    <row r="96" spans="8:8" ht="18" customHeight="1">
      <c r="H96" s="1"/>
    </row>
    <row r="97" spans="8:8" ht="18" customHeight="1">
      <c r="H97" s="1"/>
    </row>
    <row r="98" spans="8:8" ht="18" customHeight="1">
      <c r="H98" s="1"/>
    </row>
    <row r="99" spans="8:8" ht="18" customHeight="1">
      <c r="H99" s="1"/>
    </row>
    <row r="100" spans="8:8" ht="18" customHeight="1">
      <c r="H100" s="1"/>
    </row>
    <row r="101" spans="8:8" ht="18" customHeight="1">
      <c r="H101" s="1"/>
    </row>
    <row r="102" spans="8:8" ht="18" customHeight="1">
      <c r="H102" s="1"/>
    </row>
    <row r="103" spans="8:8" ht="18" customHeight="1">
      <c r="H103" s="1"/>
    </row>
    <row r="104" spans="8:8" ht="18" customHeight="1">
      <c r="H104" s="1"/>
    </row>
    <row r="105" spans="8:8" ht="18" customHeight="1">
      <c r="H105" s="1"/>
    </row>
    <row r="106" spans="8:8" ht="18" customHeight="1">
      <c r="H106" s="1"/>
    </row>
    <row r="107" spans="8:8" ht="18" customHeight="1">
      <c r="H107" s="1"/>
    </row>
    <row r="108" spans="8:8" ht="18" customHeight="1">
      <c r="H108" s="1"/>
    </row>
    <row r="109" spans="8:8" ht="18" customHeight="1">
      <c r="H109" s="1"/>
    </row>
    <row r="110" spans="8:8" ht="18" customHeight="1">
      <c r="H110" s="1"/>
    </row>
    <row r="111" spans="8:8" ht="18" customHeight="1">
      <c r="H111" s="1"/>
    </row>
    <row r="112" spans="8:8" ht="18" customHeight="1">
      <c r="H112" s="1"/>
    </row>
    <row r="113" spans="8:8" ht="18" customHeight="1">
      <c r="H113" s="1"/>
    </row>
    <row r="114" spans="8:8" ht="18" customHeight="1">
      <c r="H114" s="1"/>
    </row>
    <row r="115" spans="8:8" ht="18" customHeight="1">
      <c r="H115" s="1"/>
    </row>
    <row r="116" spans="8:8" ht="18" customHeight="1">
      <c r="H116" s="1"/>
    </row>
    <row r="117" spans="8:8" ht="18" customHeight="1">
      <c r="H117" s="1"/>
    </row>
    <row r="118" spans="8:8" ht="18" customHeight="1">
      <c r="H118" s="1"/>
    </row>
    <row r="119" spans="8:8" ht="18" customHeight="1">
      <c r="H119" s="1"/>
    </row>
    <row r="120" spans="8:8" ht="18" customHeight="1">
      <c r="H120" s="1"/>
    </row>
    <row r="121" spans="8:8" ht="18" customHeight="1">
      <c r="H121" s="1"/>
    </row>
    <row r="122" spans="8:8" ht="18" customHeight="1">
      <c r="H122" s="1"/>
    </row>
    <row r="123" spans="8:8" ht="18" customHeight="1">
      <c r="H123" s="1"/>
    </row>
    <row r="124" spans="8:8" ht="18" customHeight="1">
      <c r="H124" s="1"/>
    </row>
    <row r="125" spans="8:8" ht="18" customHeight="1">
      <c r="H125" s="1"/>
    </row>
    <row r="126" spans="8:8" ht="18" customHeight="1">
      <c r="H126" s="1"/>
    </row>
    <row r="127" spans="8:8" ht="18" customHeight="1">
      <c r="H127" s="1"/>
    </row>
    <row r="128" spans="8:8" ht="18" customHeight="1">
      <c r="H128" s="1"/>
    </row>
    <row r="129" spans="8:8" ht="18" customHeight="1">
      <c r="H129" s="1"/>
    </row>
    <row r="130" spans="8:8" ht="18" customHeight="1">
      <c r="H130" s="1"/>
    </row>
    <row r="131" spans="8:8" ht="18" customHeight="1">
      <c r="H131" s="1"/>
    </row>
    <row r="132" spans="8:8" ht="18" customHeight="1">
      <c r="H132" s="1"/>
    </row>
    <row r="133" spans="8:8" ht="18" customHeight="1">
      <c r="H133" s="1"/>
    </row>
    <row r="134" spans="8:8" ht="18" customHeight="1">
      <c r="H134" s="1"/>
    </row>
    <row r="135" spans="8:8" ht="18" customHeight="1">
      <c r="H135" s="1"/>
    </row>
    <row r="136" spans="8:8" ht="18" customHeight="1">
      <c r="H136" s="1"/>
    </row>
    <row r="137" spans="8:8" ht="18" customHeight="1">
      <c r="H137" s="1"/>
    </row>
    <row r="138" spans="8:8" ht="18" customHeight="1">
      <c r="H138" s="1"/>
    </row>
    <row r="139" spans="8:8" ht="18" customHeight="1">
      <c r="H139" s="1"/>
    </row>
    <row r="140" spans="8:8" ht="18" customHeight="1">
      <c r="H140" s="1"/>
    </row>
    <row r="141" spans="8:8" ht="18" customHeight="1">
      <c r="H141" s="1"/>
    </row>
    <row r="142" spans="8:8" ht="18" customHeight="1">
      <c r="H142" s="1"/>
    </row>
    <row r="143" spans="8:8" ht="18" customHeight="1">
      <c r="H143" s="1"/>
    </row>
    <row r="144" spans="8:8" ht="18" customHeight="1">
      <c r="H144" s="1"/>
    </row>
    <row r="145" spans="8:8" ht="18" customHeight="1">
      <c r="H145" s="1"/>
    </row>
    <row r="146" spans="8:8" ht="18" customHeight="1">
      <c r="H146" s="1"/>
    </row>
    <row r="147" spans="8:8" ht="18" customHeight="1">
      <c r="H147" s="1"/>
    </row>
    <row r="148" spans="8:8" ht="18" customHeight="1">
      <c r="H148" s="1"/>
    </row>
    <row r="149" spans="8:8" ht="18" customHeight="1">
      <c r="H149" s="1"/>
    </row>
    <row r="150" spans="8:8" ht="18" customHeight="1">
      <c r="H150" s="1"/>
    </row>
    <row r="151" spans="8:8" ht="18" customHeight="1">
      <c r="H151" s="1"/>
    </row>
    <row r="152" spans="8:8" ht="18" customHeight="1">
      <c r="H152" s="1"/>
    </row>
  </sheetData>
  <mergeCells count="2">
    <mergeCell ref="D8:E8"/>
    <mergeCell ref="F8:M8"/>
  </mergeCells>
  <pageMargins left="0.7" right="0.7" top="0.75" bottom="0.75" header="0.3" footer="0.3"/>
  <pageSetup orientation="portrait" r:id="rId1"/>
  <ignoredErrors>
    <ignoredError sqref="G30:M36"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88"/>
  <sheetViews>
    <sheetView showGridLines="0" workbookViewId="0"/>
  </sheetViews>
  <sheetFormatPr defaultColWidth="13.7109375" defaultRowHeight="18" customHeight="1"/>
  <cols>
    <col min="1" max="1" width="4.5703125" style="1" customWidth="1"/>
    <col min="2" max="2" width="38.7109375" style="1" customWidth="1"/>
    <col min="3" max="3" width="7.140625" style="1" customWidth="1"/>
    <col min="4" max="6" width="12.7109375" style="1" customWidth="1"/>
    <col min="7" max="7" width="17.5703125" style="1" customWidth="1"/>
    <col min="8" max="8" width="15.7109375" style="44" customWidth="1"/>
    <col min="9" max="9" width="13" style="1" customWidth="1"/>
    <col min="10" max="15" width="12.7109375" style="1" customWidth="1"/>
    <col min="16" max="16384" width="13.7109375" style="1"/>
  </cols>
  <sheetData>
    <row r="1" spans="2:16" ht="15.75" customHeight="1"/>
    <row r="2" spans="2:16" s="2" customFormat="1" ht="18" customHeight="1">
      <c r="B2" s="36" t="str">
        <f>"Financial Model of " &amp; B4</f>
        <v>Financial Model of Proposed 6000 KGPD CBG plant set up M/s. SRSBIOX RENEWABLE LLP.</v>
      </c>
      <c r="C2" s="160"/>
      <c r="D2" s="160"/>
      <c r="E2" s="160"/>
      <c r="F2" s="160"/>
      <c r="G2" s="160"/>
      <c r="H2" s="160"/>
      <c r="I2" s="160"/>
      <c r="J2" s="160"/>
      <c r="K2" s="160"/>
      <c r="L2" s="160"/>
      <c r="M2" s="160"/>
      <c r="N2" s="1"/>
      <c r="O2" s="1"/>
      <c r="P2" s="27"/>
    </row>
    <row r="3" spans="2:16" s="2" customFormat="1" ht="12" customHeight="1">
      <c r="C3" s="27"/>
      <c r="D3" s="27"/>
      <c r="E3" s="27"/>
      <c r="F3" s="27"/>
      <c r="G3" s="27"/>
      <c r="H3" s="27"/>
      <c r="I3" s="27"/>
      <c r="J3" s="27"/>
      <c r="K3" s="27"/>
      <c r="L3" s="27"/>
      <c r="M3" s="27"/>
      <c r="N3" s="1"/>
      <c r="O3" s="1"/>
      <c r="P3" s="27"/>
    </row>
    <row r="4" spans="2:16" s="2" customFormat="1" ht="18" customHeight="1">
      <c r="B4" s="28" t="str">
        <f>'Common Assumption'!B4</f>
        <v>Proposed 6000 KGPD CBG plant set up M/s. SRSBIOX RENEWABLE LLP.</v>
      </c>
      <c r="C4" s="28"/>
      <c r="D4" s="29"/>
      <c r="E4" s="29"/>
      <c r="F4" s="29"/>
      <c r="G4" s="29"/>
      <c r="H4" s="29"/>
      <c r="I4" s="29"/>
      <c r="J4" s="29"/>
      <c r="K4" s="29"/>
      <c r="L4" s="29"/>
      <c r="M4" s="29"/>
      <c r="N4" s="1"/>
      <c r="O4" s="1"/>
      <c r="P4" s="27"/>
    </row>
    <row r="5" spans="2:16" s="2" customFormat="1" ht="13.5" customHeight="1">
      <c r="C5" s="27"/>
      <c r="D5" s="27"/>
      <c r="F5" s="30"/>
      <c r="H5" s="27"/>
      <c r="N5" s="1"/>
      <c r="O5" s="1"/>
      <c r="P5" s="27"/>
    </row>
    <row r="6" spans="2:16" s="2" customFormat="1" ht="18" customHeight="1">
      <c r="B6" s="28" t="s">
        <v>248</v>
      </c>
      <c r="C6" s="28"/>
      <c r="D6" s="29"/>
      <c r="E6" s="29"/>
      <c r="F6" s="29"/>
      <c r="G6" s="29"/>
      <c r="H6" s="29"/>
      <c r="I6" s="29"/>
      <c r="J6" s="29"/>
      <c r="K6" s="29"/>
      <c r="L6" s="29"/>
      <c r="M6" s="29"/>
      <c r="N6" s="1"/>
      <c r="O6" s="1"/>
      <c r="P6" s="27"/>
    </row>
    <row r="7" spans="2:16" s="2" customFormat="1" ht="12.75" customHeight="1">
      <c r="C7" s="27"/>
      <c r="D7" s="27"/>
      <c r="F7" s="30"/>
      <c r="H7" s="27"/>
      <c r="N7" s="1"/>
      <c r="O7" s="1"/>
      <c r="P7" s="27"/>
    </row>
    <row r="8" spans="2:16" s="2" customFormat="1" ht="18" customHeight="1">
      <c r="C8" s="27"/>
      <c r="D8" s="308" t="s">
        <v>8</v>
      </c>
      <c r="E8" s="308"/>
      <c r="F8" s="309" t="s">
        <v>50</v>
      </c>
      <c r="G8" s="309"/>
      <c r="H8" s="309"/>
      <c r="I8" s="309"/>
      <c r="J8" s="309"/>
      <c r="K8" s="309"/>
      <c r="L8" s="309"/>
      <c r="M8" s="309"/>
      <c r="N8" s="1"/>
      <c r="O8" s="1"/>
      <c r="P8" s="27"/>
    </row>
    <row r="9" spans="2:16" s="2" customFormat="1" ht="18" customHeight="1">
      <c r="B9" s="31" t="s">
        <v>51</v>
      </c>
      <c r="C9" s="32" t="s">
        <v>52</v>
      </c>
      <c r="D9" s="33"/>
      <c r="E9" s="33">
        <f>'Common Assumption'!E13</f>
        <v>45747</v>
      </c>
      <c r="F9" s="33">
        <f>DATE(YEAR(E9)+1,MONTH(E9),DAY(E9))</f>
        <v>46112</v>
      </c>
      <c r="G9" s="33">
        <f>DATE(YEAR(F9)+1,MONTH(F9),DAY(F9))</f>
        <v>46477</v>
      </c>
      <c r="H9" s="33">
        <f t="shared" ref="H9:M9" si="0">DATE(YEAR(G9)+1,MONTH(G9),DAY(G9))</f>
        <v>46843</v>
      </c>
      <c r="I9" s="33">
        <f t="shared" si="0"/>
        <v>47208</v>
      </c>
      <c r="J9" s="33">
        <f t="shared" si="0"/>
        <v>47573</v>
      </c>
      <c r="K9" s="33">
        <f t="shared" si="0"/>
        <v>47938</v>
      </c>
      <c r="L9" s="33">
        <f t="shared" si="0"/>
        <v>48304</v>
      </c>
      <c r="M9" s="33">
        <f t="shared" si="0"/>
        <v>48669</v>
      </c>
      <c r="N9" s="1"/>
      <c r="O9" s="1"/>
      <c r="P9" s="27"/>
    </row>
    <row r="10" spans="2:16" s="34" customFormat="1" ht="18" customHeight="1">
      <c r="B10" s="39" t="s">
        <v>53</v>
      </c>
      <c r="C10" s="40"/>
      <c r="D10" s="38"/>
      <c r="E10" s="38">
        <v>0</v>
      </c>
      <c r="F10" s="41">
        <v>1</v>
      </c>
      <c r="G10" s="41">
        <f>F10+1</f>
        <v>2</v>
      </c>
      <c r="H10" s="41">
        <f t="shared" ref="H10:M10" si="1">G10+1</f>
        <v>3</v>
      </c>
      <c r="I10" s="41">
        <f t="shared" si="1"/>
        <v>4</v>
      </c>
      <c r="J10" s="41">
        <f t="shared" si="1"/>
        <v>5</v>
      </c>
      <c r="K10" s="41">
        <f t="shared" si="1"/>
        <v>6</v>
      </c>
      <c r="L10" s="41">
        <f t="shared" si="1"/>
        <v>7</v>
      </c>
      <c r="M10" s="41">
        <f t="shared" si="1"/>
        <v>8</v>
      </c>
      <c r="N10" s="1"/>
      <c r="O10" s="1"/>
      <c r="P10" s="35"/>
    </row>
    <row r="11" spans="2:16" s="34" customFormat="1" ht="18" customHeight="1">
      <c r="B11" s="39" t="s">
        <v>54</v>
      </c>
      <c r="C11" s="40">
        <f>'Common Assumption'!E12</f>
        <v>7</v>
      </c>
      <c r="D11" s="38"/>
      <c r="E11" s="38">
        <f>C11</f>
        <v>7</v>
      </c>
      <c r="F11" s="40">
        <f>MONTH(F9-E9)</f>
        <v>12</v>
      </c>
      <c r="G11" s="40">
        <f t="shared" ref="G11:M11" si="2">MONTH(G9-F9)</f>
        <v>12</v>
      </c>
      <c r="H11" s="40">
        <f t="shared" si="2"/>
        <v>12</v>
      </c>
      <c r="I11" s="40">
        <f t="shared" si="2"/>
        <v>12</v>
      </c>
      <c r="J11" s="40">
        <f t="shared" si="2"/>
        <v>12</v>
      </c>
      <c r="K11" s="40">
        <f t="shared" si="2"/>
        <v>12</v>
      </c>
      <c r="L11" s="40">
        <f t="shared" si="2"/>
        <v>12</v>
      </c>
      <c r="M11" s="40">
        <f t="shared" si="2"/>
        <v>12</v>
      </c>
      <c r="N11" s="1"/>
      <c r="O11" s="1"/>
      <c r="P11" s="35"/>
    </row>
    <row r="12" spans="2:16" ht="18" customHeight="1">
      <c r="B12" s="1" t="s">
        <v>250</v>
      </c>
      <c r="F12" s="44">
        <f>'Common Assumption'!D21</f>
        <v>365</v>
      </c>
      <c r="G12" s="44">
        <f>F12</f>
        <v>365</v>
      </c>
      <c r="H12" s="44">
        <f t="shared" ref="H12:M12" si="3">G12</f>
        <v>365</v>
      </c>
      <c r="I12" s="44">
        <f t="shared" si="3"/>
        <v>365</v>
      </c>
      <c r="J12" s="44">
        <f t="shared" si="3"/>
        <v>365</v>
      </c>
      <c r="K12" s="44">
        <f t="shared" si="3"/>
        <v>365</v>
      </c>
      <c r="L12" s="44">
        <f t="shared" si="3"/>
        <v>365</v>
      </c>
      <c r="M12" s="44">
        <f t="shared" si="3"/>
        <v>365</v>
      </c>
    </row>
    <row r="13" spans="2:16" ht="18" customHeight="1">
      <c r="B13" s="2" t="s">
        <v>249</v>
      </c>
      <c r="F13" s="161">
        <f>'Revenue &amp; Expense Modelling'!F19</f>
        <v>365</v>
      </c>
      <c r="G13" s="161">
        <f>'Revenue &amp; Expense Modelling'!G19</f>
        <v>365</v>
      </c>
      <c r="H13" s="161">
        <f>'Revenue &amp; Expense Modelling'!H19</f>
        <v>366</v>
      </c>
      <c r="I13" s="161">
        <f>'Revenue &amp; Expense Modelling'!I19</f>
        <v>365</v>
      </c>
      <c r="J13" s="161">
        <f>'Revenue &amp; Expense Modelling'!J19</f>
        <v>365</v>
      </c>
      <c r="K13" s="161">
        <f>'Revenue &amp; Expense Modelling'!K19</f>
        <v>365</v>
      </c>
      <c r="L13" s="161">
        <f>'Revenue &amp; Expense Modelling'!L19</f>
        <v>366</v>
      </c>
      <c r="M13" s="161">
        <f>'Revenue &amp; Expense Modelling'!M19</f>
        <v>365</v>
      </c>
    </row>
    <row r="14" spans="2:16" ht="18" customHeight="1">
      <c r="B14" s="2" t="s">
        <v>60</v>
      </c>
      <c r="F14" s="161">
        <f>'Revenue &amp; Expense Modelling'!F20</f>
        <v>335</v>
      </c>
      <c r="G14" s="161">
        <f>'Revenue &amp; Expense Modelling'!G20</f>
        <v>335</v>
      </c>
      <c r="H14" s="161">
        <f>'Revenue &amp; Expense Modelling'!H20</f>
        <v>335</v>
      </c>
      <c r="I14" s="161">
        <f>'Revenue &amp; Expense Modelling'!I20</f>
        <v>335</v>
      </c>
      <c r="J14" s="161">
        <f>'Revenue &amp; Expense Modelling'!J20</f>
        <v>335</v>
      </c>
      <c r="K14" s="161">
        <f>'Revenue &amp; Expense Modelling'!K20</f>
        <v>335</v>
      </c>
      <c r="L14" s="161">
        <f>'Revenue &amp; Expense Modelling'!L20</f>
        <v>335</v>
      </c>
      <c r="M14" s="161">
        <f>'Revenue &amp; Expense Modelling'!M20</f>
        <v>335</v>
      </c>
    </row>
    <row r="15" spans="2:16" ht="18" customHeight="1">
      <c r="H15" s="1"/>
    </row>
    <row r="16" spans="2:16" ht="18" customHeight="1">
      <c r="B16" s="168" t="s">
        <v>251</v>
      </c>
      <c r="C16" s="168"/>
      <c r="D16" s="168"/>
      <c r="E16" s="168"/>
      <c r="H16" s="1"/>
    </row>
    <row r="17" spans="2:15" ht="18" customHeight="1">
      <c r="B17" s="2" t="s">
        <v>40</v>
      </c>
      <c r="C17" s="2"/>
      <c r="D17" s="163">
        <f>'Common Assumption'!D93</f>
        <v>50</v>
      </c>
      <c r="E17" s="163" t="str">
        <f>'Common Assumption'!E93</f>
        <v>Days</v>
      </c>
      <c r="H17" s="1"/>
    </row>
    <row r="18" spans="2:15" ht="18" customHeight="1">
      <c r="B18" s="2" t="s">
        <v>41</v>
      </c>
      <c r="C18" s="2"/>
      <c r="D18" s="163">
        <f>'Common Assumption'!D94</f>
        <v>40</v>
      </c>
      <c r="E18" s="163" t="str">
        <f>'Common Assumption'!E94</f>
        <v>Days</v>
      </c>
      <c r="H18" s="1"/>
    </row>
    <row r="19" spans="2:15" ht="18" customHeight="1">
      <c r="B19" s="2" t="s">
        <v>42</v>
      </c>
      <c r="C19" s="2"/>
      <c r="D19" s="163">
        <f>'Common Assumption'!D95</f>
        <v>7</v>
      </c>
      <c r="E19" s="163" t="str">
        <f>'Common Assumption'!E95</f>
        <v>Days</v>
      </c>
      <c r="H19" s="1"/>
    </row>
    <row r="20" spans="2:15" ht="18" customHeight="1">
      <c r="B20" s="2" t="s">
        <v>110</v>
      </c>
      <c r="C20" s="2"/>
      <c r="D20" s="163">
        <f>'Common Assumption'!D96</f>
        <v>30</v>
      </c>
      <c r="E20" s="163" t="str">
        <f>'Common Assumption'!E96</f>
        <v>Days</v>
      </c>
      <c r="H20" s="1"/>
    </row>
    <row r="21" spans="2:15" ht="18" customHeight="1">
      <c r="B21" s="2" t="s">
        <v>256</v>
      </c>
      <c r="C21" s="2"/>
      <c r="D21" s="163">
        <f>'Common Assumption'!D97</f>
        <v>30</v>
      </c>
      <c r="E21" s="163" t="str">
        <f>'Common Assumption'!E97</f>
        <v>Days</v>
      </c>
      <c r="H21" s="1"/>
    </row>
    <row r="22" spans="2:15" ht="18" customHeight="1">
      <c r="B22" s="2" t="s">
        <v>262</v>
      </c>
      <c r="C22" s="2"/>
      <c r="D22" s="163">
        <f>'Common Assumption'!D98</f>
        <v>45</v>
      </c>
      <c r="E22" s="163" t="str">
        <f>'Common Assumption'!E98</f>
        <v>Days</v>
      </c>
      <c r="H22" s="1"/>
    </row>
    <row r="23" spans="2:15" ht="18" customHeight="1">
      <c r="B23" s="2" t="s">
        <v>263</v>
      </c>
      <c r="C23" s="2"/>
      <c r="D23" s="163">
        <f>'Common Assumption'!D99</f>
        <v>20</v>
      </c>
      <c r="E23" s="163" t="str">
        <f>'Common Assumption'!E99</f>
        <v>Days</v>
      </c>
      <c r="H23" s="1"/>
    </row>
    <row r="24" spans="2:15" ht="18" customHeight="1">
      <c r="B24" s="2"/>
      <c r="C24" s="2"/>
      <c r="D24" s="163"/>
      <c r="E24" s="163"/>
      <c r="H24" s="1"/>
    </row>
    <row r="25" spans="2:15" ht="18" customHeight="1">
      <c r="H25" s="1"/>
    </row>
    <row r="26" spans="2:15" ht="18" customHeight="1">
      <c r="B26" s="1" t="s">
        <v>252</v>
      </c>
      <c r="F26" s="157">
        <f>IS!F13</f>
        <v>13.497962759224524</v>
      </c>
      <c r="G26" s="157">
        <f>IS!G13</f>
        <v>17.716076121482189</v>
      </c>
      <c r="H26" s="157">
        <f>IS!H13</f>
        <v>18.601879927556297</v>
      </c>
      <c r="I26" s="157">
        <f>IS!I13</f>
        <v>19.531973923934114</v>
      </c>
      <c r="J26" s="157">
        <f>IS!J13</f>
        <v>20.508572620130824</v>
      </c>
      <c r="K26" s="157">
        <f>IS!K13</f>
        <v>21.534001251137362</v>
      </c>
      <c r="L26" s="157">
        <f>IS!L13</f>
        <v>22.610701313694229</v>
      </c>
      <c r="M26" s="157">
        <f>IS!M13</f>
        <v>23.741236379378943</v>
      </c>
    </row>
    <row r="27" spans="2:15" ht="18" customHeight="1">
      <c r="B27" s="1" t="s">
        <v>174</v>
      </c>
      <c r="F27" s="157">
        <f>IS!F15</f>
        <v>4.4622000000000002</v>
      </c>
      <c r="G27" s="157">
        <f>IS!G15</f>
        <v>5.8566374999999997</v>
      </c>
      <c r="H27" s="157">
        <f>IS!H15</f>
        <v>6.1494693750000016</v>
      </c>
      <c r="I27" s="157">
        <f>IS!I15</f>
        <v>6.4569428437500012</v>
      </c>
      <c r="J27" s="157">
        <f>IS!J15</f>
        <v>6.7797899859375015</v>
      </c>
      <c r="K27" s="157">
        <f>IS!K15</f>
        <v>7.118779485234378</v>
      </c>
      <c r="L27" s="157">
        <f>IS!L15</f>
        <v>7.4747184594960974</v>
      </c>
      <c r="M27" s="157">
        <f>IS!M15</f>
        <v>7.8484543824709023</v>
      </c>
    </row>
    <row r="28" spans="2:15" ht="18" customHeight="1">
      <c r="B28" s="1" t="s">
        <v>110</v>
      </c>
      <c r="F28" s="157">
        <f>IS!F16</f>
        <v>1.1816120000000001</v>
      </c>
      <c r="G28" s="157">
        <f>IS!G16</f>
        <v>1.5480517499999999</v>
      </c>
      <c r="H28" s="157">
        <f>IS!H16</f>
        <v>1.6254543374999999</v>
      </c>
      <c r="I28" s="157">
        <f>IS!I16</f>
        <v>1.7067270543750002</v>
      </c>
      <c r="J28" s="157">
        <f>IS!J16</f>
        <v>1.7920634070937504</v>
      </c>
      <c r="K28" s="157">
        <f>IS!K16</f>
        <v>1.881666577448438</v>
      </c>
      <c r="L28" s="157">
        <f>IS!L16</f>
        <v>1.9757499063208599</v>
      </c>
      <c r="M28" s="157">
        <f>IS!M16</f>
        <v>2.0745374016369027</v>
      </c>
    </row>
    <row r="29" spans="2:15" ht="18" customHeight="1">
      <c r="B29" s="1" t="s">
        <v>253</v>
      </c>
      <c r="F29" s="157">
        <f>'Revenue &amp; Expense Modelling'!F78+'Revenue &amp; Expense Modelling'!F84+'Revenue &amp; Expense Modelling'!F89+'Revenue &amp; Expense Modelling'!F92+'Revenue &amp; Expense Modelling'!F102+'Revenue &amp; Expense Modelling'!F106+'Revenue &amp; Expense Modelling'!F110+'Revenue &amp; Expense Modelling'!F114</f>
        <v>2.2776219148783872</v>
      </c>
      <c r="G29" s="157">
        <f>'Revenue &amp; Expense Modelling'!G78+'Revenue &amp; Expense Modelling'!G84+'Revenue &amp; Expense Modelling'!G89+'Revenue &amp; Expense Modelling'!G92+'Revenue &amp; Expense Modelling'!G102+'Revenue &amp; Expense Modelling'!G106+'Revenue &amp; Expense Modelling'!G110+'Revenue &amp; Expense Modelling'!G114</f>
        <v>2.7241967176531658</v>
      </c>
      <c r="H29" s="157">
        <f>'Revenue &amp; Expense Modelling'!H78+'Revenue &amp; Expense Modelling'!H84+'Revenue &amp; Expense Modelling'!H89+'Revenue &amp; Expense Modelling'!H92+'Revenue &amp; Expense Modelling'!H102+'Revenue &amp; Expense Modelling'!H106+'Revenue &amp; Expense Modelling'!H110+'Revenue &amp; Expense Modelling'!H114</f>
        <v>2.9122437402333867</v>
      </c>
      <c r="I29" s="157">
        <f>'Revenue &amp; Expense Modelling'!I78+'Revenue &amp; Expense Modelling'!I84+'Revenue &amp; Expense Modelling'!I89+'Revenue &amp; Expense Modelling'!I92+'Revenue &amp; Expense Modelling'!I102+'Revenue &amp; Expense Modelling'!I106+'Revenue &amp; Expense Modelling'!I110+'Revenue &amp; Expense Modelling'!I114</f>
        <v>3.1155126412972933</v>
      </c>
      <c r="J29" s="157">
        <f>'Revenue &amp; Expense Modelling'!J78+'Revenue &amp; Expense Modelling'!J84+'Revenue &amp; Expense Modelling'!J89+'Revenue &amp; Expense Modelling'!J92+'Revenue &amp; Expense Modelling'!J102+'Revenue &amp; Expense Modelling'!J106+'Revenue &amp; Expense Modelling'!J110+'Revenue &amp; Expense Modelling'!J114</f>
        <v>3.3353416259993551</v>
      </c>
      <c r="K29" s="157">
        <f>'Revenue &amp; Expense Modelling'!K78+'Revenue &amp; Expense Modelling'!K84+'Revenue &amp; Expense Modelling'!K89+'Revenue &amp; Expense Modelling'!K92+'Revenue &amp; Expense Modelling'!K102+'Revenue &amp; Expense Modelling'!K106+'Revenue &amp; Expense Modelling'!K110+'Revenue &amp; Expense Modelling'!K114</f>
        <v>3.5732308818334295</v>
      </c>
      <c r="L29" s="157">
        <f>'Revenue &amp; Expense Modelling'!L78+'Revenue &amp; Expense Modelling'!L84+'Revenue &amp; Expense Modelling'!L89+'Revenue &amp; Expense Modelling'!L92+'Revenue &amp; Expense Modelling'!L102+'Revenue &amp; Expense Modelling'!L106+'Revenue &amp; Expense Modelling'!L110+'Revenue &amp; Expense Modelling'!L114</f>
        <v>3.8307317344648726</v>
      </c>
      <c r="M29" s="157">
        <f>'Revenue &amp; Expense Modelling'!M78+'Revenue &amp; Expense Modelling'!M84+'Revenue &amp; Expense Modelling'!M89+'Revenue &amp; Expense Modelling'!M92+'Revenue &amp; Expense Modelling'!M102+'Revenue &amp; Expense Modelling'!M106+'Revenue &amp; Expense Modelling'!M110+'Revenue &amp; Expense Modelling'!M114</f>
        <v>4.1095684265466312</v>
      </c>
    </row>
    <row r="30" spans="2:15" ht="18" customHeight="1">
      <c r="H30" s="1"/>
    </row>
    <row r="31" spans="2:15" s="173" customFormat="1" ht="18" customHeight="1">
      <c r="B31" s="176" t="s">
        <v>254</v>
      </c>
      <c r="C31" s="176"/>
      <c r="D31" s="176"/>
      <c r="E31" s="176"/>
      <c r="F31" s="177"/>
      <c r="G31" s="177"/>
      <c r="H31" s="177"/>
      <c r="I31" s="177"/>
      <c r="J31" s="177"/>
      <c r="K31" s="177"/>
      <c r="L31" s="177"/>
      <c r="M31" s="177"/>
      <c r="N31" s="1"/>
      <c r="O31" s="1"/>
    </row>
    <row r="32" spans="2:15" ht="18" customHeight="1">
      <c r="F32" s="157"/>
      <c r="G32" s="157"/>
      <c r="H32" s="157"/>
      <c r="I32" s="157"/>
      <c r="J32" s="157"/>
      <c r="K32" s="157"/>
      <c r="L32" s="157"/>
      <c r="M32" s="157"/>
    </row>
    <row r="33" spans="2:13" ht="18" customHeight="1">
      <c r="B33" s="174" t="s">
        <v>174</v>
      </c>
      <c r="C33" s="27"/>
      <c r="D33" s="15"/>
      <c r="E33" s="15"/>
      <c r="F33" s="15"/>
      <c r="G33" s="27"/>
      <c r="H33" s="157"/>
      <c r="I33" s="157"/>
      <c r="J33" s="157"/>
      <c r="K33" s="157"/>
      <c r="L33" s="157"/>
      <c r="M33" s="157"/>
    </row>
    <row r="34" spans="2:13" ht="18" customHeight="1">
      <c r="B34" s="60" t="s">
        <v>174</v>
      </c>
      <c r="C34" s="27"/>
      <c r="D34" s="15"/>
      <c r="E34" s="15"/>
      <c r="F34" s="48">
        <f>F27</f>
        <v>4.4622000000000002</v>
      </c>
      <c r="G34" s="48">
        <f t="shared" ref="G34:M34" si="4">G27</f>
        <v>5.8566374999999997</v>
      </c>
      <c r="H34" s="48">
        <f t="shared" si="4"/>
        <v>6.1494693750000016</v>
      </c>
      <c r="I34" s="48">
        <f t="shared" si="4"/>
        <v>6.4569428437500012</v>
      </c>
      <c r="J34" s="48">
        <f t="shared" si="4"/>
        <v>6.7797899859375015</v>
      </c>
      <c r="K34" s="48">
        <f t="shared" si="4"/>
        <v>7.118779485234378</v>
      </c>
      <c r="L34" s="48">
        <f t="shared" si="4"/>
        <v>7.4747184594960974</v>
      </c>
      <c r="M34" s="48">
        <f t="shared" si="4"/>
        <v>7.8484543824709023</v>
      </c>
    </row>
    <row r="35" spans="2:13" ht="18" customHeight="1">
      <c r="B35" s="2" t="s">
        <v>145</v>
      </c>
      <c r="C35" s="27"/>
      <c r="D35" s="15"/>
      <c r="E35" s="15"/>
      <c r="F35" s="51">
        <f>D17</f>
        <v>50</v>
      </c>
      <c r="G35" s="51">
        <f>F35</f>
        <v>50</v>
      </c>
      <c r="H35" s="51">
        <f t="shared" ref="H35:M35" si="5">G35</f>
        <v>50</v>
      </c>
      <c r="I35" s="51">
        <f t="shared" si="5"/>
        <v>50</v>
      </c>
      <c r="J35" s="51">
        <f t="shared" si="5"/>
        <v>50</v>
      </c>
      <c r="K35" s="51">
        <f t="shared" si="5"/>
        <v>50</v>
      </c>
      <c r="L35" s="51">
        <f t="shared" si="5"/>
        <v>50</v>
      </c>
      <c r="M35" s="51">
        <f t="shared" si="5"/>
        <v>50</v>
      </c>
    </row>
    <row r="36" spans="2:13" ht="18" customHeight="1">
      <c r="B36" s="113" t="s">
        <v>174</v>
      </c>
      <c r="C36" s="175"/>
      <c r="D36" s="175"/>
      <c r="E36" s="175"/>
      <c r="F36" s="115">
        <f>F34/F14*F35</f>
        <v>0.66600000000000004</v>
      </c>
      <c r="G36" s="115">
        <f t="shared" ref="G36:M36" si="6">G34/G14*G35</f>
        <v>0.87412499999999993</v>
      </c>
      <c r="H36" s="115">
        <f t="shared" si="6"/>
        <v>0.91783125000000021</v>
      </c>
      <c r="I36" s="115">
        <f t="shared" si="6"/>
        <v>0.96372281250000014</v>
      </c>
      <c r="J36" s="115">
        <f t="shared" si="6"/>
        <v>1.0119089531250003</v>
      </c>
      <c r="K36" s="115">
        <f t="shared" si="6"/>
        <v>1.0625044007812505</v>
      </c>
      <c r="L36" s="115">
        <f t="shared" si="6"/>
        <v>1.1156296208203129</v>
      </c>
      <c r="M36" s="115">
        <f t="shared" si="6"/>
        <v>1.1714111018613287</v>
      </c>
    </row>
    <row r="37" spans="2:13" ht="18" customHeight="1">
      <c r="F37" s="157"/>
      <c r="G37" s="157"/>
      <c r="H37" s="157"/>
      <c r="I37" s="157"/>
      <c r="J37" s="157"/>
      <c r="K37" s="157"/>
      <c r="L37" s="157"/>
      <c r="M37" s="157"/>
    </row>
    <row r="38" spans="2:13" ht="18" customHeight="1">
      <c r="B38" s="174" t="s">
        <v>41</v>
      </c>
      <c r="C38" s="2"/>
      <c r="D38" s="2"/>
      <c r="E38" s="2"/>
      <c r="F38" s="2"/>
      <c r="G38" s="2"/>
      <c r="H38" s="2"/>
      <c r="I38" s="157"/>
      <c r="J38" s="157"/>
      <c r="K38" s="157"/>
      <c r="L38" s="157"/>
      <c r="M38" s="157"/>
    </row>
    <row r="39" spans="2:13" ht="18" customHeight="1">
      <c r="B39" s="2" t="s">
        <v>266</v>
      </c>
      <c r="C39" s="2"/>
      <c r="D39" s="2"/>
      <c r="E39" s="2"/>
      <c r="F39" s="48">
        <f>F27</f>
        <v>4.4622000000000002</v>
      </c>
      <c r="G39" s="48">
        <f t="shared" ref="G39:M39" si="7">G27</f>
        <v>5.8566374999999997</v>
      </c>
      <c r="H39" s="48">
        <f t="shared" si="7"/>
        <v>6.1494693750000016</v>
      </c>
      <c r="I39" s="48">
        <f t="shared" si="7"/>
        <v>6.4569428437500012</v>
      </c>
      <c r="J39" s="48">
        <f t="shared" si="7"/>
        <v>6.7797899859375015</v>
      </c>
      <c r="K39" s="48">
        <f t="shared" si="7"/>
        <v>7.118779485234378</v>
      </c>
      <c r="L39" s="48">
        <f t="shared" si="7"/>
        <v>7.4747184594960974</v>
      </c>
      <c r="M39" s="48">
        <f t="shared" si="7"/>
        <v>7.8484543824709023</v>
      </c>
    </row>
    <row r="40" spans="2:13" ht="18" customHeight="1">
      <c r="B40" s="2" t="s">
        <v>145</v>
      </c>
      <c r="C40" s="2"/>
      <c r="D40" s="2"/>
      <c r="E40" s="2"/>
      <c r="F40" s="51">
        <f>D18</f>
        <v>40</v>
      </c>
      <c r="G40" s="51">
        <f>F40</f>
        <v>40</v>
      </c>
      <c r="H40" s="51">
        <f t="shared" ref="H40:M40" si="8">G40</f>
        <v>40</v>
      </c>
      <c r="I40" s="51">
        <f t="shared" si="8"/>
        <v>40</v>
      </c>
      <c r="J40" s="51">
        <f t="shared" si="8"/>
        <v>40</v>
      </c>
      <c r="K40" s="51">
        <f t="shared" si="8"/>
        <v>40</v>
      </c>
      <c r="L40" s="51">
        <f t="shared" si="8"/>
        <v>40</v>
      </c>
      <c r="M40" s="51">
        <f t="shared" si="8"/>
        <v>40</v>
      </c>
    </row>
    <row r="41" spans="2:13" ht="18" customHeight="1">
      <c r="B41" s="113" t="s">
        <v>41</v>
      </c>
      <c r="C41" s="175"/>
      <c r="D41" s="175"/>
      <c r="E41" s="175"/>
      <c r="F41" s="115">
        <f>F39/F14*F40</f>
        <v>0.53280000000000005</v>
      </c>
      <c r="G41" s="115">
        <f t="shared" ref="G41:M41" si="9">G39/G14*G40</f>
        <v>0.69929999999999992</v>
      </c>
      <c r="H41" s="115">
        <f t="shared" si="9"/>
        <v>0.73426500000000017</v>
      </c>
      <c r="I41" s="115">
        <f t="shared" si="9"/>
        <v>0.77097825000000009</v>
      </c>
      <c r="J41" s="115">
        <f t="shared" si="9"/>
        <v>0.80952716250000012</v>
      </c>
      <c r="K41" s="115">
        <f t="shared" si="9"/>
        <v>0.85000352062500029</v>
      </c>
      <c r="L41" s="115">
        <f t="shared" si="9"/>
        <v>0.8925036966562504</v>
      </c>
      <c r="M41" s="115">
        <f t="shared" si="9"/>
        <v>0.93712888148906304</v>
      </c>
    </row>
    <row r="42" spans="2:13" ht="18" customHeight="1">
      <c r="F42" s="157"/>
      <c r="G42" s="157"/>
      <c r="H42" s="157"/>
      <c r="I42" s="157"/>
      <c r="J42" s="157"/>
      <c r="K42" s="157"/>
      <c r="L42" s="157"/>
      <c r="M42" s="157"/>
    </row>
    <row r="43" spans="2:13" ht="18" customHeight="1">
      <c r="B43" s="174" t="s">
        <v>42</v>
      </c>
      <c r="C43" s="2"/>
      <c r="D43" s="2"/>
      <c r="E43" s="2"/>
      <c r="F43" s="2"/>
      <c r="G43" s="2"/>
      <c r="H43" s="157"/>
      <c r="I43" s="157"/>
      <c r="J43" s="157"/>
      <c r="K43" s="157"/>
      <c r="L43" s="157"/>
      <c r="M43" s="157"/>
    </row>
    <row r="44" spans="2:13" ht="18" customHeight="1">
      <c r="B44" s="2" t="s">
        <v>267</v>
      </c>
      <c r="C44" s="2"/>
      <c r="D44" s="2"/>
      <c r="E44" s="2"/>
      <c r="F44" s="48">
        <f ca="1">IS!F30</f>
        <v>7.198111619601848</v>
      </c>
      <c r="G44" s="48">
        <f ca="1">IS!G30</f>
        <v>9.5328052467787288</v>
      </c>
      <c r="H44" s="48">
        <f ca="1">IS!H30</f>
        <v>10.183399588200139</v>
      </c>
      <c r="I44" s="48">
        <f ca="1">IS!I30</f>
        <v>10.704128667711503</v>
      </c>
      <c r="J44" s="48">
        <f ca="1">IS!J30</f>
        <v>11.250885207674942</v>
      </c>
      <c r="K44" s="48">
        <f ca="1">IS!K30</f>
        <v>11.814019108494643</v>
      </c>
      <c r="L44" s="48">
        <f ca="1">IS!L30</f>
        <v>12.428661737266381</v>
      </c>
      <c r="M44" s="48">
        <f ca="1">IS!M30</f>
        <v>13.088463063360747</v>
      </c>
    </row>
    <row r="45" spans="2:13" ht="18" customHeight="1">
      <c r="B45" s="2" t="s">
        <v>145</v>
      </c>
      <c r="C45" s="2"/>
      <c r="D45" s="2"/>
      <c r="E45" s="2"/>
      <c r="F45" s="48">
        <f>D19</f>
        <v>7</v>
      </c>
      <c r="G45" s="48">
        <f>F45</f>
        <v>7</v>
      </c>
      <c r="H45" s="48">
        <f t="shared" ref="H45:M45" si="10">G45</f>
        <v>7</v>
      </c>
      <c r="I45" s="48">
        <f t="shared" si="10"/>
        <v>7</v>
      </c>
      <c r="J45" s="48">
        <f t="shared" si="10"/>
        <v>7</v>
      </c>
      <c r="K45" s="48">
        <f t="shared" si="10"/>
        <v>7</v>
      </c>
      <c r="L45" s="48">
        <f t="shared" si="10"/>
        <v>7</v>
      </c>
      <c r="M45" s="48">
        <f t="shared" si="10"/>
        <v>7</v>
      </c>
    </row>
    <row r="46" spans="2:13" ht="18" customHeight="1">
      <c r="B46" s="113" t="s">
        <v>268</v>
      </c>
      <c r="C46" s="175"/>
      <c r="D46" s="175"/>
      <c r="E46" s="175"/>
      <c r="F46" s="115">
        <f ca="1">F44/F14*F45</f>
        <v>0.15040830249914308</v>
      </c>
      <c r="G46" s="115">
        <f t="shared" ref="G46:M46" ca="1" si="11">G44/G14*G45</f>
        <v>0.19919294545507793</v>
      </c>
      <c r="H46" s="115">
        <f t="shared" ca="1" si="11"/>
        <v>0.21278745408179395</v>
      </c>
      <c r="I46" s="115">
        <f t="shared" ca="1" si="11"/>
        <v>0.22366836022083736</v>
      </c>
      <c r="J46" s="115">
        <f t="shared" ca="1" si="11"/>
        <v>0.2350931237424615</v>
      </c>
      <c r="K46" s="115">
        <f t="shared" ca="1" si="11"/>
        <v>0.24686010077451492</v>
      </c>
      <c r="L46" s="115">
        <f t="shared" ca="1" si="11"/>
        <v>0.25970337958467066</v>
      </c>
      <c r="M46" s="115">
        <f t="shared" ca="1" si="11"/>
        <v>0.27349027296574696</v>
      </c>
    </row>
    <row r="47" spans="2:13" ht="18" customHeight="1">
      <c r="F47" s="157"/>
      <c r="G47" s="157"/>
      <c r="H47" s="157"/>
      <c r="I47" s="157"/>
      <c r="J47" s="157"/>
      <c r="K47" s="157"/>
      <c r="L47" s="157"/>
      <c r="M47" s="157"/>
    </row>
    <row r="48" spans="2:13" ht="18" customHeight="1">
      <c r="B48" s="45" t="s">
        <v>254</v>
      </c>
      <c r="C48" s="45"/>
      <c r="D48" s="45"/>
      <c r="E48" s="45"/>
      <c r="F48" s="172">
        <f ca="1">F36+F41+F46</f>
        <v>1.3492083024991433</v>
      </c>
      <c r="G48" s="172">
        <f t="shared" ref="G48:M48" ca="1" si="12">G36+G41+G46</f>
        <v>1.7726179454550777</v>
      </c>
      <c r="H48" s="172">
        <f t="shared" ca="1" si="12"/>
        <v>1.8648837040817945</v>
      </c>
      <c r="I48" s="172">
        <f t="shared" ca="1" si="12"/>
        <v>1.9583694227208375</v>
      </c>
      <c r="J48" s="172">
        <f t="shared" ca="1" si="12"/>
        <v>2.0565292393674621</v>
      </c>
      <c r="K48" s="172">
        <f t="shared" ca="1" si="12"/>
        <v>2.1593680221807658</v>
      </c>
      <c r="L48" s="172">
        <f t="shared" ca="1" si="12"/>
        <v>2.267836697061234</v>
      </c>
      <c r="M48" s="172">
        <f t="shared" ca="1" si="12"/>
        <v>2.3820302563161388</v>
      </c>
    </row>
    <row r="49" spans="2:15" ht="18" customHeight="1">
      <c r="F49" s="157"/>
      <c r="G49" s="157"/>
      <c r="H49" s="157"/>
      <c r="I49" s="157"/>
      <c r="J49" s="157"/>
      <c r="K49" s="157"/>
      <c r="L49" s="157"/>
      <c r="M49" s="157"/>
    </row>
    <row r="50" spans="2:15" s="173" customFormat="1" ht="18" customHeight="1">
      <c r="B50" s="176" t="s">
        <v>260</v>
      </c>
      <c r="C50" s="176"/>
      <c r="D50" s="176"/>
      <c r="E50" s="176"/>
      <c r="F50" s="177"/>
      <c r="G50" s="177"/>
      <c r="H50" s="177"/>
      <c r="I50" s="177"/>
      <c r="J50" s="177"/>
      <c r="K50" s="177"/>
      <c r="L50" s="177"/>
      <c r="M50" s="177"/>
      <c r="N50" s="1"/>
      <c r="O50" s="1"/>
    </row>
    <row r="51" spans="2:15" ht="20.25" customHeight="1">
      <c r="B51" s="1" t="s">
        <v>260</v>
      </c>
      <c r="F51" s="157">
        <f t="shared" ref="F51:M51" si="13">F27/F14*F52</f>
        <v>0.59940000000000004</v>
      </c>
      <c r="G51" s="157">
        <f t="shared" si="13"/>
        <v>0.78671249999999993</v>
      </c>
      <c r="H51" s="157">
        <f t="shared" si="13"/>
        <v>0.82604812500000024</v>
      </c>
      <c r="I51" s="157">
        <f t="shared" si="13"/>
        <v>0.86735053125000006</v>
      </c>
      <c r="J51" s="157">
        <f t="shared" si="13"/>
        <v>0.91071805781250015</v>
      </c>
      <c r="K51" s="157">
        <f t="shared" si="13"/>
        <v>0.95625396070312541</v>
      </c>
      <c r="L51" s="157">
        <f t="shared" si="13"/>
        <v>1.0040666587382816</v>
      </c>
      <c r="M51" s="157">
        <f t="shared" si="13"/>
        <v>1.0542699916751959</v>
      </c>
    </row>
    <row r="52" spans="2:15" ht="18" customHeight="1">
      <c r="B52" s="1" t="s">
        <v>261</v>
      </c>
      <c r="F52" s="44">
        <f>D22</f>
        <v>45</v>
      </c>
      <c r="G52" s="44">
        <f>F52</f>
        <v>45</v>
      </c>
      <c r="H52" s="44">
        <f t="shared" ref="H52:M52" si="14">G52</f>
        <v>45</v>
      </c>
      <c r="I52" s="44">
        <f t="shared" si="14"/>
        <v>45</v>
      </c>
      <c r="J52" s="44">
        <f t="shared" si="14"/>
        <v>45</v>
      </c>
      <c r="K52" s="44">
        <f t="shared" si="14"/>
        <v>45</v>
      </c>
      <c r="L52" s="44">
        <f t="shared" si="14"/>
        <v>45</v>
      </c>
      <c r="M52" s="44">
        <f t="shared" si="14"/>
        <v>45</v>
      </c>
    </row>
    <row r="53" spans="2:15" ht="18" customHeight="1">
      <c r="B53" s="1" t="s">
        <v>110</v>
      </c>
      <c r="F53" s="157">
        <f t="shared" ref="F53:M53" si="15">F28/F14*F54</f>
        <v>0.10581600000000001</v>
      </c>
      <c r="G53" s="157">
        <f t="shared" si="15"/>
        <v>0.13863149999999999</v>
      </c>
      <c r="H53" s="157">
        <f t="shared" si="15"/>
        <v>0.14556307499999999</v>
      </c>
      <c r="I53" s="157">
        <f t="shared" si="15"/>
        <v>0.15284122875</v>
      </c>
      <c r="J53" s="157">
        <f t="shared" si="15"/>
        <v>0.16048329018750004</v>
      </c>
      <c r="K53" s="157">
        <f t="shared" si="15"/>
        <v>0.16850745469687506</v>
      </c>
      <c r="L53" s="157">
        <f t="shared" si="15"/>
        <v>0.17693282743171881</v>
      </c>
      <c r="M53" s="157">
        <f t="shared" si="15"/>
        <v>0.18577946880330473</v>
      </c>
    </row>
    <row r="54" spans="2:15" ht="18" customHeight="1">
      <c r="B54" s="1" t="s">
        <v>261</v>
      </c>
      <c r="F54" s="44">
        <f>D20</f>
        <v>30</v>
      </c>
      <c r="G54" s="44">
        <f>F54</f>
        <v>30</v>
      </c>
      <c r="H54" s="44">
        <f t="shared" ref="H54:M54" si="16">G54</f>
        <v>30</v>
      </c>
      <c r="I54" s="44">
        <f t="shared" si="16"/>
        <v>30</v>
      </c>
      <c r="J54" s="44">
        <f t="shared" si="16"/>
        <v>30</v>
      </c>
      <c r="K54" s="44">
        <f t="shared" si="16"/>
        <v>30</v>
      </c>
      <c r="L54" s="44">
        <f t="shared" si="16"/>
        <v>30</v>
      </c>
      <c r="M54" s="44">
        <f t="shared" si="16"/>
        <v>30</v>
      </c>
    </row>
    <row r="55" spans="2:15" ht="18" customHeight="1">
      <c r="B55" s="1" t="s">
        <v>256</v>
      </c>
      <c r="F55" s="157">
        <f t="shared" ref="F55:M55" si="17">F29/F14*F56</f>
        <v>0.20396614163090035</v>
      </c>
      <c r="G55" s="157">
        <f t="shared" si="17"/>
        <v>0.24395791501371633</v>
      </c>
      <c r="H55" s="157">
        <f t="shared" si="17"/>
        <v>0.26079794688657193</v>
      </c>
      <c r="I55" s="157">
        <f t="shared" si="17"/>
        <v>0.27900113205647403</v>
      </c>
      <c r="J55" s="157">
        <f t="shared" si="17"/>
        <v>0.29868730979098701</v>
      </c>
      <c r="K55" s="157">
        <f t="shared" si="17"/>
        <v>0.31999082523881456</v>
      </c>
      <c r="L55" s="157">
        <f t="shared" si="17"/>
        <v>0.3430506030864065</v>
      </c>
      <c r="M55" s="157">
        <f t="shared" si="17"/>
        <v>0.36802105312357891</v>
      </c>
    </row>
    <row r="56" spans="2:15" ht="18" customHeight="1">
      <c r="B56" s="1" t="s">
        <v>261</v>
      </c>
      <c r="F56" s="44">
        <f>D21</f>
        <v>30</v>
      </c>
      <c r="G56" s="44">
        <f>F56</f>
        <v>30</v>
      </c>
      <c r="H56" s="44">
        <f t="shared" ref="H56:M56" si="18">G56</f>
        <v>30</v>
      </c>
      <c r="I56" s="44">
        <f t="shared" si="18"/>
        <v>30</v>
      </c>
      <c r="J56" s="44">
        <f t="shared" si="18"/>
        <v>30</v>
      </c>
      <c r="K56" s="44">
        <f t="shared" si="18"/>
        <v>30</v>
      </c>
      <c r="L56" s="44">
        <f t="shared" si="18"/>
        <v>30</v>
      </c>
      <c r="M56" s="44">
        <f t="shared" si="18"/>
        <v>30</v>
      </c>
    </row>
    <row r="57" spans="2:15" ht="18" customHeight="1">
      <c r="B57" s="45" t="s">
        <v>264</v>
      </c>
      <c r="C57" s="45"/>
      <c r="D57" s="45"/>
      <c r="E57" s="45"/>
      <c r="F57" s="172">
        <f>F51+F53+F55</f>
        <v>0.90918214163090039</v>
      </c>
      <c r="G57" s="172">
        <f t="shared" ref="G57:M57" si="19">G51+G53+G55</f>
        <v>1.1693019150137163</v>
      </c>
      <c r="H57" s="172">
        <f t="shared" si="19"/>
        <v>1.2324091468865721</v>
      </c>
      <c r="I57" s="172">
        <f t="shared" si="19"/>
        <v>1.2991928920564741</v>
      </c>
      <c r="J57" s="172">
        <f t="shared" si="19"/>
        <v>1.3698886577909872</v>
      </c>
      <c r="K57" s="172">
        <f t="shared" si="19"/>
        <v>1.4447522406388151</v>
      </c>
      <c r="L57" s="172">
        <f t="shared" si="19"/>
        <v>1.5240500892564068</v>
      </c>
      <c r="M57" s="172">
        <f t="shared" si="19"/>
        <v>1.6080705136020796</v>
      </c>
    </row>
    <row r="58" spans="2:15" ht="18" customHeight="1">
      <c r="H58" s="1"/>
    </row>
    <row r="59" spans="2:15" s="173" customFormat="1" ht="18" customHeight="1">
      <c r="B59" s="176" t="s">
        <v>265</v>
      </c>
      <c r="C59" s="176"/>
      <c r="D59" s="176"/>
      <c r="E59" s="176"/>
      <c r="F59" s="177"/>
      <c r="G59" s="177"/>
      <c r="H59" s="177"/>
      <c r="I59" s="177"/>
      <c r="J59" s="177"/>
      <c r="K59" s="177"/>
      <c r="L59" s="177"/>
      <c r="M59" s="177"/>
      <c r="N59" s="1"/>
      <c r="O59" s="1"/>
    </row>
    <row r="60" spans="2:15" ht="18" customHeight="1">
      <c r="B60" s="1" t="str">
        <f>B59</f>
        <v>Trade Recievables</v>
      </c>
      <c r="F60" s="157">
        <f t="shared" ref="F60:M60" si="20">F26/F14*F61</f>
        <v>0.80584852293877751</v>
      </c>
      <c r="G60" s="157">
        <f t="shared" si="20"/>
        <v>1.0576761863571456</v>
      </c>
      <c r="H60" s="157">
        <f t="shared" si="20"/>
        <v>1.1105599956750027</v>
      </c>
      <c r="I60" s="157">
        <f t="shared" si="20"/>
        <v>1.1660879954587531</v>
      </c>
      <c r="J60" s="157">
        <f t="shared" si="20"/>
        <v>1.2243923952316909</v>
      </c>
      <c r="K60" s="157">
        <f t="shared" si="20"/>
        <v>1.2856120149932755</v>
      </c>
      <c r="L60" s="157">
        <f t="shared" si="20"/>
        <v>1.349892615742939</v>
      </c>
      <c r="M60" s="157">
        <f t="shared" si="20"/>
        <v>1.4173872465300861</v>
      </c>
    </row>
    <row r="61" spans="2:15" ht="18" customHeight="1">
      <c r="B61" s="1" t="s">
        <v>261</v>
      </c>
      <c r="F61" s="44">
        <f>D23</f>
        <v>20</v>
      </c>
      <c r="G61" s="44">
        <f>F61</f>
        <v>20</v>
      </c>
      <c r="H61" s="44">
        <f t="shared" ref="H61:M61" si="21">G61</f>
        <v>20</v>
      </c>
      <c r="I61" s="44">
        <f t="shared" si="21"/>
        <v>20</v>
      </c>
      <c r="J61" s="44">
        <f t="shared" si="21"/>
        <v>20</v>
      </c>
      <c r="K61" s="44">
        <f t="shared" si="21"/>
        <v>20</v>
      </c>
      <c r="L61" s="44">
        <f t="shared" si="21"/>
        <v>20</v>
      </c>
      <c r="M61" s="44">
        <f t="shared" si="21"/>
        <v>20</v>
      </c>
    </row>
    <row r="62" spans="2:15" ht="18" customHeight="1">
      <c r="B62" s="45" t="s">
        <v>270</v>
      </c>
      <c r="C62" s="45"/>
      <c r="D62" s="45"/>
      <c r="E62" s="45"/>
      <c r="F62" s="172">
        <f>F60</f>
        <v>0.80584852293877751</v>
      </c>
      <c r="G62" s="172">
        <f t="shared" ref="G62:M62" si="22">G60</f>
        <v>1.0576761863571456</v>
      </c>
      <c r="H62" s="172">
        <f t="shared" si="22"/>
        <v>1.1105599956750027</v>
      </c>
      <c r="I62" s="172">
        <f t="shared" si="22"/>
        <v>1.1660879954587531</v>
      </c>
      <c r="J62" s="172">
        <f t="shared" si="22"/>
        <v>1.2243923952316909</v>
      </c>
      <c r="K62" s="172">
        <f t="shared" si="22"/>
        <v>1.2856120149932755</v>
      </c>
      <c r="L62" s="172">
        <f t="shared" si="22"/>
        <v>1.349892615742939</v>
      </c>
      <c r="M62" s="172">
        <f t="shared" si="22"/>
        <v>1.4173872465300861</v>
      </c>
    </row>
    <row r="63" spans="2:15" ht="18" customHeight="1">
      <c r="H63" s="1"/>
    </row>
    <row r="64" spans="2:15" ht="18" customHeight="1">
      <c r="H64" s="1"/>
    </row>
    <row r="65" spans="2:15" s="173" customFormat="1" ht="18" customHeight="1">
      <c r="B65" s="176" t="s">
        <v>99</v>
      </c>
      <c r="C65" s="176"/>
      <c r="D65" s="176"/>
      <c r="E65" s="176"/>
      <c r="F65" s="177"/>
      <c r="G65" s="177"/>
      <c r="H65" s="177"/>
      <c r="I65" s="177"/>
      <c r="J65" s="177"/>
      <c r="K65" s="177"/>
      <c r="L65" s="177"/>
      <c r="M65" s="177"/>
      <c r="N65" s="1"/>
      <c r="O65" s="1"/>
    </row>
    <row r="66" spans="2:15" ht="18" customHeight="1">
      <c r="B66" s="2" t="s">
        <v>271</v>
      </c>
      <c r="C66" s="27"/>
      <c r="D66" s="27"/>
      <c r="E66" s="27"/>
      <c r="F66" s="48">
        <f ca="1">F48+F62</f>
        <v>2.1550568254379208</v>
      </c>
      <c r="G66" s="48">
        <f t="shared" ref="G66:M66" ca="1" si="23">G48+G62</f>
        <v>2.8302941318122232</v>
      </c>
      <c r="H66" s="48">
        <f t="shared" ca="1" si="23"/>
        <v>2.9754436997567972</v>
      </c>
      <c r="I66" s="48">
        <f t="shared" ca="1" si="23"/>
        <v>3.1244574181795906</v>
      </c>
      <c r="J66" s="48">
        <f t="shared" ca="1" si="23"/>
        <v>3.280921634599153</v>
      </c>
      <c r="K66" s="48">
        <f t="shared" ca="1" si="23"/>
        <v>3.4449800371740413</v>
      </c>
      <c r="L66" s="48">
        <f t="shared" ca="1" si="23"/>
        <v>3.617729312804173</v>
      </c>
      <c r="M66" s="48">
        <f t="shared" ca="1" si="23"/>
        <v>3.7994175028462251</v>
      </c>
    </row>
    <row r="67" spans="2:15" ht="18" customHeight="1">
      <c r="B67" s="2" t="s">
        <v>272</v>
      </c>
      <c r="C67" s="27"/>
      <c r="D67" s="27"/>
      <c r="E67" s="27"/>
      <c r="F67" s="48">
        <f>F57</f>
        <v>0.90918214163090039</v>
      </c>
      <c r="G67" s="48">
        <f t="shared" ref="G67:M67" si="24">G57</f>
        <v>1.1693019150137163</v>
      </c>
      <c r="H67" s="48">
        <f t="shared" si="24"/>
        <v>1.2324091468865721</v>
      </c>
      <c r="I67" s="48">
        <f t="shared" si="24"/>
        <v>1.2991928920564741</v>
      </c>
      <c r="J67" s="48">
        <f t="shared" si="24"/>
        <v>1.3698886577909872</v>
      </c>
      <c r="K67" s="48">
        <f t="shared" si="24"/>
        <v>1.4447522406388151</v>
      </c>
      <c r="L67" s="48">
        <f t="shared" si="24"/>
        <v>1.5240500892564068</v>
      </c>
      <c r="M67" s="48">
        <f t="shared" si="24"/>
        <v>1.6080705136020796</v>
      </c>
    </row>
    <row r="68" spans="2:15" ht="18" customHeight="1">
      <c r="B68" s="113" t="s">
        <v>99</v>
      </c>
      <c r="C68" s="175"/>
      <c r="D68" s="175"/>
      <c r="E68" s="175"/>
      <c r="F68" s="115">
        <f ca="1">F66-F67</f>
        <v>1.2458746838070205</v>
      </c>
      <c r="G68" s="115">
        <f t="shared" ref="G68:M68" ca="1" si="25">G66-G67</f>
        <v>1.6609922167985069</v>
      </c>
      <c r="H68" s="115">
        <f t="shared" ca="1" si="25"/>
        <v>1.7430345528702251</v>
      </c>
      <c r="I68" s="115">
        <f t="shared" ca="1" si="25"/>
        <v>1.8252645261231164</v>
      </c>
      <c r="J68" s="115">
        <f t="shared" ca="1" si="25"/>
        <v>1.9110329768081658</v>
      </c>
      <c r="K68" s="115">
        <f t="shared" ca="1" si="25"/>
        <v>2.000227796535226</v>
      </c>
      <c r="L68" s="115">
        <f t="shared" ca="1" si="25"/>
        <v>2.0936792235477659</v>
      </c>
      <c r="M68" s="115">
        <f t="shared" ca="1" si="25"/>
        <v>2.1913469892441455</v>
      </c>
    </row>
    <row r="69" spans="2:15" ht="18" customHeight="1">
      <c r="H69" s="1"/>
    </row>
    <row r="70" spans="2:15" ht="18" customHeight="1">
      <c r="B70" s="1" t="s">
        <v>273</v>
      </c>
      <c r="C70" s="178">
        <v>0.25</v>
      </c>
      <c r="F70" s="48">
        <f ca="1">$C$70*F68</f>
        <v>0.31146867095175512</v>
      </c>
      <c r="G70" s="48">
        <f t="shared" ref="G70:M70" ca="1" si="26">$C$70*G68</f>
        <v>0.41524805419962674</v>
      </c>
      <c r="H70" s="48">
        <f t="shared" ca="1" si="26"/>
        <v>0.43575863821755628</v>
      </c>
      <c r="I70" s="48">
        <f t="shared" ca="1" si="26"/>
        <v>0.4563161315307791</v>
      </c>
      <c r="J70" s="48">
        <f t="shared" ca="1" si="26"/>
        <v>0.47775824420204144</v>
      </c>
      <c r="K70" s="48">
        <f t="shared" ca="1" si="26"/>
        <v>0.50005694913380649</v>
      </c>
      <c r="L70" s="48">
        <f t="shared" ca="1" si="26"/>
        <v>0.52341980588694148</v>
      </c>
      <c r="M70" s="48">
        <f t="shared" ca="1" si="26"/>
        <v>0.54783674731103638</v>
      </c>
    </row>
    <row r="71" spans="2:15" ht="18" customHeight="1">
      <c r="B71" s="1" t="s">
        <v>274</v>
      </c>
      <c r="F71" s="48">
        <f ca="1">F68-F70</f>
        <v>0.93440601285526537</v>
      </c>
      <c r="G71" s="48">
        <f t="shared" ref="G71:M71" ca="1" si="27">G68-G70</f>
        <v>1.2457441625988803</v>
      </c>
      <c r="H71" s="48">
        <f t="shared" ca="1" si="27"/>
        <v>1.3072759146526689</v>
      </c>
      <c r="I71" s="48">
        <f t="shared" ca="1" si="27"/>
        <v>1.3689483945923373</v>
      </c>
      <c r="J71" s="48">
        <f t="shared" ca="1" si="27"/>
        <v>1.4332747326061244</v>
      </c>
      <c r="K71" s="48">
        <f t="shared" ca="1" si="27"/>
        <v>1.5001708474014195</v>
      </c>
      <c r="L71" s="48">
        <f t="shared" ca="1" si="27"/>
        <v>1.5702594176608244</v>
      </c>
      <c r="M71" s="48">
        <f t="shared" ca="1" si="27"/>
        <v>1.6435102419331091</v>
      </c>
    </row>
    <row r="72" spans="2:15" ht="18" customHeight="1">
      <c r="B72" s="45" t="s">
        <v>279</v>
      </c>
      <c r="C72" s="45"/>
      <c r="D72" s="45"/>
      <c r="E72" s="45"/>
      <c r="F72" s="172">
        <v>0.5</v>
      </c>
      <c r="G72" s="172">
        <f>F72</f>
        <v>0.5</v>
      </c>
      <c r="H72" s="172">
        <f t="shared" ref="H72:M73" si="28">G72</f>
        <v>0.5</v>
      </c>
      <c r="I72" s="172">
        <f t="shared" si="28"/>
        <v>0.5</v>
      </c>
      <c r="J72" s="172">
        <f t="shared" si="28"/>
        <v>0.5</v>
      </c>
      <c r="K72" s="172">
        <f t="shared" si="28"/>
        <v>0.5</v>
      </c>
      <c r="L72" s="172">
        <f t="shared" si="28"/>
        <v>0.5</v>
      </c>
      <c r="M72" s="172">
        <f t="shared" si="28"/>
        <v>0.5</v>
      </c>
    </row>
    <row r="73" spans="2:15" ht="18" customHeight="1">
      <c r="B73" s="1" t="s">
        <v>204</v>
      </c>
      <c r="F73" s="178">
        <f>'Common Assumption'!D102</f>
        <v>0.11</v>
      </c>
      <c r="G73" s="178">
        <f>F73</f>
        <v>0.11</v>
      </c>
      <c r="H73" s="178">
        <f t="shared" si="28"/>
        <v>0.11</v>
      </c>
      <c r="I73" s="178">
        <f t="shared" si="28"/>
        <v>0.11</v>
      </c>
      <c r="J73" s="178">
        <f t="shared" si="28"/>
        <v>0.11</v>
      </c>
      <c r="K73" s="178">
        <f t="shared" si="28"/>
        <v>0.11</v>
      </c>
      <c r="L73" s="178">
        <f t="shared" si="28"/>
        <v>0.11</v>
      </c>
      <c r="M73" s="178">
        <f t="shared" si="28"/>
        <v>0.11</v>
      </c>
    </row>
    <row r="74" spans="2:15" ht="18" customHeight="1">
      <c r="B74" s="179" t="s">
        <v>275</v>
      </c>
      <c r="C74" s="179"/>
      <c r="D74" s="179"/>
      <c r="E74" s="179"/>
      <c r="F74" s="180">
        <f t="shared" ref="F74:M74" si="29">F72*F73/F13*F14</f>
        <v>5.0479452054794524E-2</v>
      </c>
      <c r="G74" s="180">
        <f t="shared" si="29"/>
        <v>5.0479452054794524E-2</v>
      </c>
      <c r="H74" s="180">
        <f t="shared" si="29"/>
        <v>5.0341530054644812E-2</v>
      </c>
      <c r="I74" s="180">
        <f t="shared" si="29"/>
        <v>5.0479452054794524E-2</v>
      </c>
      <c r="J74" s="180">
        <f t="shared" si="29"/>
        <v>5.0479452054794524E-2</v>
      </c>
      <c r="K74" s="180">
        <f t="shared" si="29"/>
        <v>5.0479452054794524E-2</v>
      </c>
      <c r="L74" s="180">
        <f t="shared" si="29"/>
        <v>5.0341530054644812E-2</v>
      </c>
      <c r="M74" s="180">
        <f t="shared" si="29"/>
        <v>5.0479452054794524E-2</v>
      </c>
    </row>
    <row r="75" spans="2:15" ht="18" customHeight="1">
      <c r="H75" s="1"/>
    </row>
    <row r="76" spans="2:15" ht="18" customHeight="1">
      <c r="B76" s="1" t="s">
        <v>345</v>
      </c>
      <c r="D76" s="157"/>
      <c r="E76" s="157"/>
      <c r="F76" s="157">
        <f t="shared" ref="F76:M76" ca="1" si="30">F68-E68</f>
        <v>1.2458746838070205</v>
      </c>
      <c r="G76" s="157">
        <f t="shared" ca="1" si="30"/>
        <v>0.41511753299148646</v>
      </c>
      <c r="H76" s="157">
        <f t="shared" ca="1" si="30"/>
        <v>8.204233607171818E-2</v>
      </c>
      <c r="I76" s="157">
        <f t="shared" ca="1" si="30"/>
        <v>8.2229973252891275E-2</v>
      </c>
      <c r="J76" s="157">
        <f t="shared" ca="1" si="30"/>
        <v>8.5768450685049347E-2</v>
      </c>
      <c r="K76" s="157">
        <f t="shared" ca="1" si="30"/>
        <v>8.9194819727060226E-2</v>
      </c>
      <c r="L76" s="157">
        <f t="shared" ca="1" si="30"/>
        <v>9.3451427012539945E-2</v>
      </c>
      <c r="M76" s="157">
        <f t="shared" ca="1" si="30"/>
        <v>9.7667765696379583E-2</v>
      </c>
    </row>
    <row r="77" spans="2:15" ht="18" customHeight="1">
      <c r="F77" s="157"/>
      <c r="H77" s="1"/>
    </row>
    <row r="78" spans="2:15" ht="18" customHeight="1">
      <c r="H78" s="1"/>
    </row>
    <row r="79" spans="2:15" ht="18" customHeight="1">
      <c r="H79" s="1"/>
    </row>
    <row r="80" spans="2:15" ht="18" customHeight="1">
      <c r="H80" s="1"/>
    </row>
    <row r="81" spans="8:8" ht="18" customHeight="1">
      <c r="H81" s="1"/>
    </row>
    <row r="82" spans="8:8" ht="18" customHeight="1">
      <c r="H82" s="1"/>
    </row>
    <row r="83" spans="8:8" ht="18" customHeight="1">
      <c r="H83" s="1"/>
    </row>
    <row r="84" spans="8:8" ht="18" customHeight="1">
      <c r="H84" s="1"/>
    </row>
    <row r="85" spans="8:8" ht="18" customHeight="1">
      <c r="H85" s="1"/>
    </row>
    <row r="86" spans="8:8" ht="18" customHeight="1">
      <c r="H86" s="1"/>
    </row>
    <row r="87" spans="8:8" ht="18" customHeight="1">
      <c r="H87" s="1"/>
    </row>
    <row r="88" spans="8:8" ht="18" customHeight="1">
      <c r="H88" s="1"/>
    </row>
    <row r="89" spans="8:8" ht="18" customHeight="1">
      <c r="H89" s="1"/>
    </row>
    <row r="90" spans="8:8" ht="18" customHeight="1">
      <c r="H90" s="1"/>
    </row>
    <row r="91" spans="8:8" ht="18" customHeight="1">
      <c r="H91" s="1"/>
    </row>
    <row r="92" spans="8:8" ht="18" customHeight="1">
      <c r="H92" s="1"/>
    </row>
    <row r="93" spans="8:8" ht="18" customHeight="1">
      <c r="H93" s="1"/>
    </row>
    <row r="94" spans="8:8" ht="18" customHeight="1">
      <c r="H94" s="1"/>
    </row>
    <row r="95" spans="8:8" ht="18" customHeight="1">
      <c r="H95" s="1"/>
    </row>
    <row r="96" spans="8:8" ht="18" customHeight="1">
      <c r="H96" s="1"/>
    </row>
    <row r="97" spans="8:8" ht="18" customHeight="1">
      <c r="H97" s="1"/>
    </row>
    <row r="98" spans="8:8" ht="18" customHeight="1">
      <c r="H98" s="1"/>
    </row>
    <row r="99" spans="8:8" ht="18" customHeight="1">
      <c r="H99" s="1"/>
    </row>
    <row r="100" spans="8:8" ht="18" customHeight="1">
      <c r="H100" s="1"/>
    </row>
    <row r="101" spans="8:8" ht="18" customHeight="1">
      <c r="H101" s="1"/>
    </row>
    <row r="102" spans="8:8" ht="18" customHeight="1">
      <c r="H102" s="1"/>
    </row>
    <row r="103" spans="8:8" ht="18" customHeight="1">
      <c r="H103" s="1"/>
    </row>
    <row r="104" spans="8:8" ht="18" customHeight="1">
      <c r="H104" s="1"/>
    </row>
    <row r="105" spans="8:8" ht="18" customHeight="1">
      <c r="H105" s="1"/>
    </row>
    <row r="106" spans="8:8" ht="18" customHeight="1">
      <c r="H106" s="1"/>
    </row>
    <row r="107" spans="8:8" ht="18" customHeight="1">
      <c r="H107" s="1"/>
    </row>
    <row r="108" spans="8:8" ht="18" customHeight="1">
      <c r="H108" s="1"/>
    </row>
    <row r="109" spans="8:8" ht="18" customHeight="1">
      <c r="H109" s="1"/>
    </row>
    <row r="110" spans="8:8" ht="18" customHeight="1">
      <c r="H110" s="1"/>
    </row>
    <row r="111" spans="8:8" ht="18" customHeight="1">
      <c r="H111" s="1"/>
    </row>
    <row r="112" spans="8:8" ht="18" customHeight="1">
      <c r="H112" s="1"/>
    </row>
    <row r="113" spans="8:8" ht="18" customHeight="1">
      <c r="H113" s="1"/>
    </row>
    <row r="114" spans="8:8" ht="18" customHeight="1">
      <c r="H114" s="1"/>
    </row>
    <row r="115" spans="8:8" ht="18" customHeight="1">
      <c r="H115" s="1"/>
    </row>
    <row r="116" spans="8:8" ht="18" customHeight="1">
      <c r="H116" s="1"/>
    </row>
    <row r="117" spans="8:8" ht="18" customHeight="1">
      <c r="H117" s="1"/>
    </row>
    <row r="118" spans="8:8" ht="18" customHeight="1">
      <c r="H118" s="1"/>
    </row>
    <row r="119" spans="8:8" ht="18" customHeight="1">
      <c r="H119" s="1"/>
    </row>
    <row r="120" spans="8:8" ht="18" customHeight="1">
      <c r="H120" s="1"/>
    </row>
    <row r="121" spans="8:8" ht="18" customHeight="1">
      <c r="H121" s="1"/>
    </row>
    <row r="122" spans="8:8" ht="18" customHeight="1">
      <c r="H122" s="1"/>
    </row>
    <row r="123" spans="8:8" ht="18" customHeight="1">
      <c r="H123" s="1"/>
    </row>
    <row r="124" spans="8:8" ht="18" customHeight="1">
      <c r="H124" s="1"/>
    </row>
    <row r="125" spans="8:8" ht="18" customHeight="1">
      <c r="H125" s="1"/>
    </row>
    <row r="126" spans="8:8" ht="18" customHeight="1">
      <c r="H126" s="1"/>
    </row>
    <row r="127" spans="8:8" ht="18" customHeight="1">
      <c r="H127" s="1"/>
    </row>
    <row r="128" spans="8:8" ht="18" customHeight="1">
      <c r="H128" s="1"/>
    </row>
    <row r="129" spans="8:8" ht="18" customHeight="1">
      <c r="H129" s="1"/>
    </row>
    <row r="130" spans="8:8" ht="18" customHeight="1">
      <c r="H130" s="1"/>
    </row>
    <row r="131" spans="8:8" ht="18" customHeight="1">
      <c r="H131" s="1"/>
    </row>
    <row r="132" spans="8:8" ht="18" customHeight="1">
      <c r="H132" s="1"/>
    </row>
    <row r="133" spans="8:8" ht="18" customHeight="1">
      <c r="H133" s="1"/>
    </row>
    <row r="134" spans="8:8" ht="18" customHeight="1">
      <c r="H134" s="1"/>
    </row>
    <row r="135" spans="8:8" ht="18" customHeight="1">
      <c r="H135" s="1"/>
    </row>
    <row r="136" spans="8:8" ht="18" customHeight="1">
      <c r="H136" s="1"/>
    </row>
    <row r="137" spans="8:8" ht="18" customHeight="1">
      <c r="H137" s="1"/>
    </row>
    <row r="138" spans="8:8" ht="18" customHeight="1">
      <c r="H138" s="1"/>
    </row>
    <row r="139" spans="8:8" ht="18" customHeight="1">
      <c r="H139" s="1"/>
    </row>
    <row r="140" spans="8:8" ht="18" customHeight="1">
      <c r="H140" s="1"/>
    </row>
    <row r="141" spans="8:8" ht="18" customHeight="1">
      <c r="H141" s="1"/>
    </row>
    <row r="142" spans="8:8" ht="18" customHeight="1">
      <c r="H142" s="1"/>
    </row>
    <row r="143" spans="8:8" ht="18" customHeight="1">
      <c r="H143" s="1"/>
    </row>
    <row r="144" spans="8:8" ht="18" customHeight="1">
      <c r="H144" s="1"/>
    </row>
    <row r="145" spans="8:8" ht="18" customHeight="1">
      <c r="H145" s="1"/>
    </row>
    <row r="146" spans="8:8" ht="18" customHeight="1">
      <c r="H146" s="1"/>
    </row>
    <row r="147" spans="8:8" ht="18" customHeight="1">
      <c r="H147" s="1"/>
    </row>
    <row r="148" spans="8:8" ht="18" customHeight="1">
      <c r="H148" s="1"/>
    </row>
    <row r="149" spans="8:8" ht="18" customHeight="1">
      <c r="H149" s="1"/>
    </row>
    <row r="150" spans="8:8" ht="18" customHeight="1">
      <c r="H150" s="1"/>
    </row>
    <row r="151" spans="8:8" ht="18" customHeight="1">
      <c r="H151" s="1"/>
    </row>
    <row r="152" spans="8:8" ht="18" customHeight="1">
      <c r="H152" s="1"/>
    </row>
    <row r="153" spans="8:8" ht="18" customHeight="1">
      <c r="H153" s="1"/>
    </row>
    <row r="154" spans="8:8" ht="18" customHeight="1">
      <c r="H154" s="1"/>
    </row>
    <row r="155" spans="8:8" ht="18" customHeight="1">
      <c r="H155" s="1"/>
    </row>
    <row r="156" spans="8:8" ht="18" customHeight="1">
      <c r="H156" s="1"/>
    </row>
    <row r="157" spans="8:8" ht="18" customHeight="1">
      <c r="H157" s="1"/>
    </row>
    <row r="158" spans="8:8" ht="18" customHeight="1">
      <c r="H158" s="1"/>
    </row>
    <row r="159" spans="8:8" ht="18" customHeight="1">
      <c r="H159" s="1"/>
    </row>
    <row r="160" spans="8:8" ht="18" customHeight="1">
      <c r="H160" s="1"/>
    </row>
    <row r="161" spans="8:8" ht="18" customHeight="1">
      <c r="H161" s="1"/>
    </row>
    <row r="162" spans="8:8" ht="18" customHeight="1">
      <c r="H162" s="1"/>
    </row>
    <row r="163" spans="8:8" ht="18" customHeight="1">
      <c r="H163" s="1"/>
    </row>
    <row r="164" spans="8:8" ht="18" customHeight="1">
      <c r="H164" s="1"/>
    </row>
    <row r="165" spans="8:8" ht="18" customHeight="1">
      <c r="H165" s="1"/>
    </row>
    <row r="166" spans="8:8" ht="18" customHeight="1">
      <c r="H166" s="1"/>
    </row>
    <row r="167" spans="8:8" ht="18" customHeight="1">
      <c r="H167" s="1"/>
    </row>
    <row r="168" spans="8:8" ht="18" customHeight="1">
      <c r="H168" s="1"/>
    </row>
    <row r="169" spans="8:8" ht="18" customHeight="1">
      <c r="H169" s="1"/>
    </row>
    <row r="170" spans="8:8" ht="18" customHeight="1">
      <c r="H170" s="1"/>
    </row>
    <row r="171" spans="8:8" ht="18" customHeight="1">
      <c r="H171" s="1"/>
    </row>
    <row r="172" spans="8:8" ht="18" customHeight="1">
      <c r="H172" s="1"/>
    </row>
    <row r="173" spans="8:8" ht="18" customHeight="1">
      <c r="H173" s="1"/>
    </row>
    <row r="174" spans="8:8" ht="18" customHeight="1">
      <c r="H174" s="1"/>
    </row>
    <row r="175" spans="8:8" ht="18" customHeight="1">
      <c r="H175" s="1"/>
    </row>
    <row r="176" spans="8:8" ht="18" customHeight="1">
      <c r="H176" s="1"/>
    </row>
    <row r="177" spans="8:8" ht="18" customHeight="1">
      <c r="H177" s="1"/>
    </row>
    <row r="178" spans="8:8" ht="18" customHeight="1">
      <c r="H178" s="1"/>
    </row>
    <row r="179" spans="8:8" ht="18" customHeight="1">
      <c r="H179" s="1"/>
    </row>
    <row r="180" spans="8:8" ht="18" customHeight="1">
      <c r="H180" s="1"/>
    </row>
    <row r="181" spans="8:8" ht="18" customHeight="1">
      <c r="H181" s="1"/>
    </row>
    <row r="182" spans="8:8" ht="18" customHeight="1">
      <c r="H182" s="1"/>
    </row>
    <row r="183" spans="8:8" ht="18" customHeight="1">
      <c r="H183" s="1"/>
    </row>
    <row r="184" spans="8:8" ht="18" customHeight="1">
      <c r="H184" s="1"/>
    </row>
    <row r="185" spans="8:8" ht="18" customHeight="1">
      <c r="H185" s="1"/>
    </row>
    <row r="186" spans="8:8" ht="18" customHeight="1">
      <c r="H186" s="1"/>
    </row>
    <row r="187" spans="8:8" ht="18" customHeight="1">
      <c r="H187" s="1"/>
    </row>
    <row r="188" spans="8:8" ht="18" customHeight="1">
      <c r="H188" s="1"/>
    </row>
  </sheetData>
  <mergeCells count="2">
    <mergeCell ref="D8:E8"/>
    <mergeCell ref="F8:M8"/>
  </mergeCells>
  <pageMargins left="0.7" right="0.7" top="0.75" bottom="0.75" header="0.3" footer="0.3"/>
  <pageSetup orientation="portrait" r:id="rId1"/>
  <ignoredErrors>
    <ignoredError sqref="G53:M55"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
  <sheetViews>
    <sheetView showGridLines="0" topLeftCell="A13" workbookViewId="0"/>
  </sheetViews>
  <sheetFormatPr defaultColWidth="13.7109375" defaultRowHeight="18" customHeight="1"/>
  <cols>
    <col min="1" max="1" width="4.85546875" style="1" customWidth="1"/>
    <col min="2" max="2" width="43.42578125" style="1" customWidth="1"/>
    <col min="3" max="3" width="7.140625" style="1" customWidth="1"/>
    <col min="4" max="15" width="12.7109375" style="1" customWidth="1"/>
    <col min="16" max="16384" width="13.7109375" style="1"/>
  </cols>
  <sheetData>
    <row r="1" spans="2:16" ht="15.75" customHeight="1"/>
    <row r="2" spans="2:16" s="2" customFormat="1" ht="18" customHeight="1">
      <c r="B2" s="36" t="str">
        <f>"Financial Model of " &amp; B4</f>
        <v>Financial Model of Proposed 6000 KGPD CBG plant set up M/s. SRSBIOX RENEWABLE LLP.</v>
      </c>
      <c r="C2" s="192"/>
      <c r="D2" s="192"/>
      <c r="E2" s="192"/>
      <c r="F2" s="192"/>
      <c r="G2" s="192"/>
      <c r="H2" s="192"/>
      <c r="I2" s="192"/>
      <c r="J2" s="192"/>
      <c r="K2" s="192"/>
      <c r="L2" s="192"/>
      <c r="M2" s="192"/>
      <c r="N2" s="1"/>
      <c r="O2" s="1"/>
      <c r="P2" s="27"/>
    </row>
    <row r="3" spans="2:16" s="2" customFormat="1" ht="12" customHeight="1">
      <c r="C3" s="27"/>
      <c r="D3" s="27"/>
      <c r="E3" s="27"/>
      <c r="F3" s="27"/>
      <c r="G3" s="27"/>
      <c r="H3" s="27"/>
      <c r="I3" s="27"/>
      <c r="J3" s="27"/>
      <c r="K3" s="27"/>
      <c r="L3" s="27"/>
      <c r="M3" s="27"/>
      <c r="N3" s="1"/>
      <c r="O3" s="1"/>
      <c r="P3" s="27"/>
    </row>
    <row r="4" spans="2:16" s="2" customFormat="1" ht="18" customHeight="1">
      <c r="B4" s="28" t="str">
        <f>'Common Assumption'!B4</f>
        <v>Proposed 6000 KGPD CBG plant set up M/s. SRSBIOX RENEWABLE LLP.</v>
      </c>
      <c r="C4" s="28"/>
      <c r="D4" s="29"/>
      <c r="E4" s="29"/>
      <c r="F4" s="29"/>
      <c r="G4" s="29"/>
      <c r="H4" s="29"/>
      <c r="I4" s="29"/>
      <c r="J4" s="29"/>
      <c r="K4" s="29"/>
      <c r="L4" s="29"/>
      <c r="M4" s="29"/>
      <c r="N4" s="1"/>
      <c r="O4" s="1"/>
      <c r="P4" s="27"/>
    </row>
    <row r="5" spans="2:16" s="2" customFormat="1" ht="13.5" customHeight="1">
      <c r="C5" s="27"/>
      <c r="D5" s="27"/>
      <c r="F5" s="30"/>
      <c r="N5" s="1"/>
      <c r="O5" s="1"/>
      <c r="P5" s="27"/>
    </row>
    <row r="6" spans="2:16" s="2" customFormat="1" ht="18" customHeight="1">
      <c r="B6" s="28" t="s">
        <v>331</v>
      </c>
      <c r="C6" s="28"/>
      <c r="D6" s="29"/>
      <c r="E6" s="29"/>
      <c r="F6" s="29"/>
      <c r="G6" s="29"/>
      <c r="H6" s="29"/>
      <c r="I6" s="29"/>
      <c r="J6" s="29"/>
      <c r="K6" s="29"/>
      <c r="L6" s="29"/>
      <c r="M6" s="29"/>
      <c r="N6" s="1"/>
      <c r="O6" s="1"/>
      <c r="P6" s="27"/>
    </row>
    <row r="7" spans="2:16" s="2" customFormat="1" ht="12.75" customHeight="1">
      <c r="C7" s="27"/>
      <c r="D7" s="27"/>
      <c r="F7" s="30"/>
      <c r="N7" s="1"/>
      <c r="O7" s="1"/>
      <c r="P7" s="27"/>
    </row>
    <row r="8" spans="2:16" s="2" customFormat="1" ht="18" customHeight="1">
      <c r="C8" s="27"/>
      <c r="D8" s="308" t="s">
        <v>8</v>
      </c>
      <c r="E8" s="308"/>
      <c r="F8" s="309" t="s">
        <v>50</v>
      </c>
      <c r="G8" s="309"/>
      <c r="H8" s="309"/>
      <c r="I8" s="309"/>
      <c r="J8" s="309"/>
      <c r="K8" s="309"/>
      <c r="L8" s="309"/>
      <c r="M8" s="309"/>
      <c r="N8" s="1"/>
      <c r="O8" s="1"/>
      <c r="P8" s="27"/>
    </row>
    <row r="9" spans="2:16" s="2" customFormat="1" ht="18" customHeight="1">
      <c r="B9" s="31" t="s">
        <v>51</v>
      </c>
      <c r="C9" s="32" t="s">
        <v>52</v>
      </c>
      <c r="D9" s="33"/>
      <c r="E9" s="33">
        <f>'Common Assumption'!E13</f>
        <v>45747</v>
      </c>
      <c r="F9" s="33">
        <f>DATE(YEAR(E9)+1,MONTH(E9),DAY(E9))</f>
        <v>46112</v>
      </c>
      <c r="G9" s="33">
        <f>DATE(YEAR(F9)+1,MONTH(F9),DAY(F9))</f>
        <v>46477</v>
      </c>
      <c r="H9" s="33">
        <f t="shared" ref="H9:M9" si="0">DATE(YEAR(G9)+1,MONTH(G9),DAY(G9))</f>
        <v>46843</v>
      </c>
      <c r="I9" s="33">
        <f t="shared" si="0"/>
        <v>47208</v>
      </c>
      <c r="J9" s="33">
        <f t="shared" si="0"/>
        <v>47573</v>
      </c>
      <c r="K9" s="33">
        <f t="shared" si="0"/>
        <v>47938</v>
      </c>
      <c r="L9" s="33">
        <f t="shared" si="0"/>
        <v>48304</v>
      </c>
      <c r="M9" s="33">
        <f t="shared" si="0"/>
        <v>48669</v>
      </c>
      <c r="N9" s="1"/>
      <c r="O9" s="1"/>
      <c r="P9" s="27"/>
    </row>
    <row r="10" spans="2:16" s="34" customFormat="1" ht="18" customHeight="1">
      <c r="B10" s="39" t="s">
        <v>53</v>
      </c>
      <c r="C10" s="40"/>
      <c r="D10" s="38"/>
      <c r="E10" s="38">
        <v>0</v>
      </c>
      <c r="F10" s="41">
        <v>1</v>
      </c>
      <c r="G10" s="41">
        <f>F10+1</f>
        <v>2</v>
      </c>
      <c r="H10" s="41">
        <f t="shared" ref="H10:M10" si="1">G10+1</f>
        <v>3</v>
      </c>
      <c r="I10" s="41">
        <f t="shared" si="1"/>
        <v>4</v>
      </c>
      <c r="J10" s="41">
        <f t="shared" si="1"/>
        <v>5</v>
      </c>
      <c r="K10" s="41">
        <f t="shared" si="1"/>
        <v>6</v>
      </c>
      <c r="L10" s="41">
        <f t="shared" si="1"/>
        <v>7</v>
      </c>
      <c r="M10" s="41">
        <f t="shared" si="1"/>
        <v>8</v>
      </c>
      <c r="N10" s="1"/>
      <c r="O10" s="1"/>
      <c r="P10" s="35"/>
    </row>
    <row r="11" spans="2:16" s="34" customFormat="1" ht="18" customHeight="1">
      <c r="B11" s="39" t="s">
        <v>54</v>
      </c>
      <c r="C11" s="40">
        <f>'Common Assumption'!E12</f>
        <v>7</v>
      </c>
      <c r="D11" s="38"/>
      <c r="E11" s="38">
        <f>C11</f>
        <v>7</v>
      </c>
      <c r="F11" s="40">
        <f>MONTH(F9-E9)</f>
        <v>12</v>
      </c>
      <c r="G11" s="40">
        <f t="shared" ref="G11:M11" si="2">MONTH(G9-F9)</f>
        <v>12</v>
      </c>
      <c r="H11" s="40">
        <f t="shared" si="2"/>
        <v>12</v>
      </c>
      <c r="I11" s="40">
        <f t="shared" si="2"/>
        <v>12</v>
      </c>
      <c r="J11" s="40">
        <f t="shared" si="2"/>
        <v>12</v>
      </c>
      <c r="K11" s="40">
        <f t="shared" si="2"/>
        <v>12</v>
      </c>
      <c r="L11" s="40">
        <f t="shared" si="2"/>
        <v>12</v>
      </c>
      <c r="M11" s="40">
        <f t="shared" si="2"/>
        <v>12</v>
      </c>
      <c r="N11" s="1"/>
      <c r="O11" s="1"/>
      <c r="P11" s="35"/>
    </row>
    <row r="12" spans="2:16" ht="7.5" customHeight="1"/>
    <row r="13" spans="2:16" ht="18" customHeight="1">
      <c r="B13" s="195" t="s">
        <v>332</v>
      </c>
      <c r="C13" s="195"/>
      <c r="D13" s="195"/>
      <c r="E13" s="195"/>
      <c r="F13" s="196">
        <f ca="1">IS!F48</f>
        <v>3.7659306034660012</v>
      </c>
      <c r="G13" s="196">
        <f ca="1">IS!G48</f>
        <v>4.9780126816688632</v>
      </c>
      <c r="H13" s="196">
        <f ca="1">IS!H48</f>
        <v>5.2129628421704375</v>
      </c>
      <c r="I13" s="196">
        <f ca="1">IS!I48</f>
        <v>5.6058110640785976</v>
      </c>
      <c r="J13" s="196">
        <f ca="1">IS!J48</f>
        <v>6.0331255331145588</v>
      </c>
      <c r="K13" s="196">
        <f ca="1">IS!K48</f>
        <v>6.4559651473895299</v>
      </c>
      <c r="L13" s="196">
        <f ca="1">IS!L48</f>
        <v>6.9127380227429374</v>
      </c>
      <c r="M13" s="196">
        <f ca="1">IS!M48</f>
        <v>7.413330288883027</v>
      </c>
    </row>
    <row r="14" spans="2:16" ht="18" customHeight="1">
      <c r="B14" s="2" t="s">
        <v>189</v>
      </c>
      <c r="C14" s="2"/>
      <c r="D14" s="2"/>
      <c r="E14" s="2"/>
      <c r="F14" s="48">
        <f>IS!F36</f>
        <v>1.5400000000000003</v>
      </c>
      <c r="G14" s="48">
        <f>IS!G36</f>
        <v>1.4629999999999996</v>
      </c>
      <c r="H14" s="48">
        <f>IS!H36</f>
        <v>1.3089999999999991</v>
      </c>
      <c r="I14" s="48">
        <f>IS!I36</f>
        <v>1.1219669999999993</v>
      </c>
      <c r="J14" s="48">
        <f>IS!J36</f>
        <v>0.90190100000000006</v>
      </c>
      <c r="K14" s="48">
        <f>IS!K36</f>
        <v>0.68183499999999997</v>
      </c>
      <c r="L14" s="48">
        <f>IS!L36</f>
        <v>0.44290400000000013</v>
      </c>
      <c r="M14" s="48">
        <f>IS!M36</f>
        <v>0.15700300000000009</v>
      </c>
    </row>
    <row r="15" spans="2:16" ht="18" customHeight="1">
      <c r="B15" s="2" t="s">
        <v>333</v>
      </c>
      <c r="C15" s="2"/>
      <c r="D15" s="2"/>
      <c r="E15" s="2"/>
      <c r="F15" s="48">
        <f>IS!F37</f>
        <v>5.0479452054794524E-2</v>
      </c>
      <c r="G15" s="48">
        <f>IS!G37</f>
        <v>5.0479452054794524E-2</v>
      </c>
      <c r="H15" s="48">
        <f>IS!H37</f>
        <v>5.0341530054644812E-2</v>
      </c>
      <c r="I15" s="48">
        <f>IS!I37</f>
        <v>5.0479452054794524E-2</v>
      </c>
      <c r="J15" s="48">
        <f>IS!J37</f>
        <v>5.0479452054794524E-2</v>
      </c>
      <c r="K15" s="48">
        <f>IS!K37</f>
        <v>5.0479452054794524E-2</v>
      </c>
      <c r="L15" s="48">
        <f>IS!L37</f>
        <v>5.0341530054644812E-2</v>
      </c>
      <c r="M15" s="48">
        <f>IS!M37</f>
        <v>5.0479452054794524E-2</v>
      </c>
    </row>
    <row r="16" spans="2:16" ht="18" customHeight="1">
      <c r="B16" s="113" t="s">
        <v>334</v>
      </c>
      <c r="C16" s="113"/>
      <c r="D16" s="113"/>
      <c r="E16" s="113"/>
      <c r="F16" s="115">
        <f ca="1">SUM(F13:F15)</f>
        <v>5.3564100555207963</v>
      </c>
      <c r="G16" s="115">
        <f t="shared" ref="G16:M16" ca="1" si="3">SUM(G13:G15)</f>
        <v>6.4914921337236571</v>
      </c>
      <c r="H16" s="115">
        <f t="shared" ca="1" si="3"/>
        <v>6.5723043722250818</v>
      </c>
      <c r="I16" s="115">
        <f t="shared" ca="1" si="3"/>
        <v>6.778257516133392</v>
      </c>
      <c r="J16" s="115">
        <f t="shared" ca="1" si="3"/>
        <v>6.9855059851693539</v>
      </c>
      <c r="K16" s="115">
        <f t="shared" ca="1" si="3"/>
        <v>7.1882795994443249</v>
      </c>
      <c r="L16" s="115">
        <f t="shared" ca="1" si="3"/>
        <v>7.4059835527975828</v>
      </c>
      <c r="M16" s="115">
        <f t="shared" ca="1" si="3"/>
        <v>7.6208127409378221</v>
      </c>
    </row>
    <row r="17" spans="2:13" ht="18" customHeight="1">
      <c r="B17" s="2" t="s">
        <v>189</v>
      </c>
      <c r="C17" s="2"/>
      <c r="D17" s="2"/>
      <c r="E17" s="2"/>
      <c r="F17" s="48">
        <f>IS!F36</f>
        <v>1.5400000000000003</v>
      </c>
      <c r="G17" s="48">
        <f>IS!G36</f>
        <v>1.4629999999999996</v>
      </c>
      <c r="H17" s="48">
        <f>IS!H36</f>
        <v>1.3089999999999991</v>
      </c>
      <c r="I17" s="48">
        <f>IS!I36</f>
        <v>1.1219669999999993</v>
      </c>
      <c r="J17" s="48">
        <f>IS!J36</f>
        <v>0.90190100000000006</v>
      </c>
      <c r="K17" s="48">
        <f>IS!K36</f>
        <v>0.68183499999999997</v>
      </c>
      <c r="L17" s="48">
        <f>IS!L36</f>
        <v>0.44290400000000013</v>
      </c>
      <c r="M17" s="48">
        <f>IS!M36</f>
        <v>0.15700300000000009</v>
      </c>
    </row>
    <row r="18" spans="2:13" ht="18" customHeight="1">
      <c r="B18" s="2" t="s">
        <v>333</v>
      </c>
      <c r="C18" s="2"/>
      <c r="D18" s="2"/>
      <c r="E18" s="2"/>
      <c r="F18" s="48">
        <f>IS!F37</f>
        <v>5.0479452054794524E-2</v>
      </c>
      <c r="G18" s="48">
        <f>IS!G37</f>
        <v>5.0479452054794524E-2</v>
      </c>
      <c r="H18" s="48">
        <f>IS!H37</f>
        <v>5.0341530054644812E-2</v>
      </c>
      <c r="I18" s="48">
        <f>IS!I37</f>
        <v>5.0479452054794524E-2</v>
      </c>
      <c r="J18" s="48">
        <f>IS!J37</f>
        <v>5.0479452054794524E-2</v>
      </c>
      <c r="K18" s="48">
        <f>IS!K37</f>
        <v>5.0479452054794524E-2</v>
      </c>
      <c r="L18" s="48">
        <f>IS!L37</f>
        <v>5.0341530054644812E-2</v>
      </c>
      <c r="M18" s="48">
        <f>IS!M37</f>
        <v>5.0479452054794524E-2</v>
      </c>
    </row>
    <row r="19" spans="2:13" ht="18" customHeight="1">
      <c r="B19" s="2" t="s">
        <v>335</v>
      </c>
      <c r="C19" s="2"/>
      <c r="D19" s="2"/>
      <c r="E19" s="2"/>
      <c r="F19" s="48">
        <f>'Loan Schedule'!F14</f>
        <v>0</v>
      </c>
      <c r="G19" s="48">
        <f>'Loan Schedule'!G14</f>
        <v>1.4000000000000001</v>
      </c>
      <c r="H19" s="48">
        <f>'Loan Schedule'!H14</f>
        <v>1.4000000000000001</v>
      </c>
      <c r="I19" s="48">
        <f>'Loan Schedule'!I14</f>
        <v>2.0005999999999999</v>
      </c>
      <c r="J19" s="48">
        <f>'Loan Schedule'!J14</f>
        <v>2.0005999999999999</v>
      </c>
      <c r="K19" s="48">
        <f>'Loan Schedule'!K14</f>
        <v>2.0005999999999999</v>
      </c>
      <c r="L19" s="48">
        <f>'Loan Schedule'!L14</f>
        <v>2.3435999999999999</v>
      </c>
      <c r="M19" s="48">
        <f>'Loan Schedule'!M14</f>
        <v>2.8546000000000009</v>
      </c>
    </row>
    <row r="20" spans="2:13" ht="18" customHeight="1">
      <c r="B20" s="113" t="s">
        <v>334</v>
      </c>
      <c r="C20" s="113"/>
      <c r="D20" s="113"/>
      <c r="E20" s="113"/>
      <c r="F20" s="115">
        <f>SUM(F17:F19)</f>
        <v>1.5904794520547947</v>
      </c>
      <c r="G20" s="115">
        <f t="shared" ref="G20:M20" si="4">SUM(G17:G19)</f>
        <v>2.9134794520547942</v>
      </c>
      <c r="H20" s="115">
        <f t="shared" si="4"/>
        <v>2.7593415300546438</v>
      </c>
      <c r="I20" s="115">
        <f t="shared" si="4"/>
        <v>3.1730464520547939</v>
      </c>
      <c r="J20" s="115">
        <f t="shared" si="4"/>
        <v>2.9529804520547946</v>
      </c>
      <c r="K20" s="115">
        <f t="shared" si="4"/>
        <v>2.7329144520547946</v>
      </c>
      <c r="L20" s="115">
        <f t="shared" si="4"/>
        <v>2.8368455300546449</v>
      </c>
      <c r="M20" s="115">
        <f t="shared" si="4"/>
        <v>3.0620824520547956</v>
      </c>
    </row>
    <row r="21" spans="2:13" ht="18" customHeight="1">
      <c r="B21" s="2" t="s">
        <v>336</v>
      </c>
      <c r="C21" s="2"/>
      <c r="D21" s="2"/>
      <c r="E21" s="2"/>
      <c r="F21" s="196">
        <f t="shared" ref="F21:M21" ca="1" si="5">F16/F20</f>
        <v>3.367795823203291</v>
      </c>
      <c r="G21" s="196">
        <f t="shared" ca="1" si="5"/>
        <v>2.2280892110446815</v>
      </c>
      <c r="H21" s="196">
        <f t="shared" ca="1" si="5"/>
        <v>2.3818379496121778</v>
      </c>
      <c r="I21" s="196">
        <f t="shared" ca="1" si="5"/>
        <v>2.1361986401881841</v>
      </c>
      <c r="J21" s="196">
        <f t="shared" ca="1" si="5"/>
        <v>2.3655781332072743</v>
      </c>
      <c r="K21" s="196">
        <f t="shared" ca="1" si="5"/>
        <v>2.630261475634438</v>
      </c>
      <c r="L21" s="196">
        <f t="shared" ca="1" si="5"/>
        <v>2.610640401225838</v>
      </c>
      <c r="M21" s="196">
        <f t="shared" ca="1" si="5"/>
        <v>2.4887679741686619</v>
      </c>
    </row>
    <row r="22" spans="2:13" ht="18" customHeight="1">
      <c r="B22" s="31" t="s">
        <v>337</v>
      </c>
      <c r="C22" s="31"/>
      <c r="D22" s="31"/>
      <c r="E22" s="31"/>
      <c r="F22" s="317">
        <f ca="1">AVERAGE(F21:M21)</f>
        <v>2.5261462010355684</v>
      </c>
      <c r="G22" s="317"/>
      <c r="H22" s="317"/>
      <c r="I22" s="317"/>
      <c r="J22" s="317"/>
      <c r="K22" s="317"/>
      <c r="L22" s="317"/>
      <c r="M22" s="317"/>
    </row>
    <row r="23" spans="2:13" ht="18" customHeight="1">
      <c r="B23" s="31" t="s">
        <v>338</v>
      </c>
      <c r="C23" s="31"/>
      <c r="D23" s="31"/>
      <c r="E23" s="31"/>
      <c r="F23" s="317">
        <f ca="1">MAX(F21:M21)</f>
        <v>3.367795823203291</v>
      </c>
      <c r="G23" s="317"/>
      <c r="H23" s="317"/>
      <c r="I23" s="317"/>
      <c r="J23" s="317"/>
      <c r="K23" s="317"/>
      <c r="L23" s="317"/>
      <c r="M23" s="317"/>
    </row>
  </sheetData>
  <mergeCells count="4">
    <mergeCell ref="D8:E8"/>
    <mergeCell ref="F22:M22"/>
    <mergeCell ref="F23:M23"/>
    <mergeCell ref="F8:M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62"/>
  <sheetViews>
    <sheetView showGridLines="0" topLeftCell="A26" workbookViewId="0"/>
  </sheetViews>
  <sheetFormatPr defaultColWidth="13.7109375" defaultRowHeight="18" customHeight="1"/>
  <cols>
    <col min="1" max="1" width="4.85546875" style="1" customWidth="1"/>
    <col min="2" max="2" width="43.42578125" style="1" customWidth="1"/>
    <col min="3" max="3" width="7.140625" style="1" customWidth="1"/>
    <col min="4" max="4" width="16.42578125" style="1" customWidth="1"/>
    <col min="5" max="15" width="12.7109375" style="1" customWidth="1"/>
    <col min="16" max="16384" width="13.7109375" style="1"/>
  </cols>
  <sheetData>
    <row r="1" spans="2:16" ht="15.75" customHeight="1"/>
    <row r="2" spans="2:16" s="2" customFormat="1" ht="18" customHeight="1">
      <c r="B2" s="36" t="str">
        <f>"Financial Model of " &amp; B4</f>
        <v>Financial Model of Proposed 6000 KGPD CBG plant set up M/s. SRSBIOX RENEWABLE LLP.</v>
      </c>
      <c r="C2" s="192"/>
      <c r="D2" s="192"/>
      <c r="E2" s="192"/>
      <c r="F2" s="192"/>
      <c r="G2" s="192"/>
      <c r="H2" s="192"/>
      <c r="I2" s="192"/>
      <c r="J2" s="192"/>
      <c r="K2" s="192"/>
      <c r="L2" s="192"/>
      <c r="M2" s="192"/>
      <c r="N2" s="1"/>
      <c r="O2" s="1"/>
      <c r="P2" s="27"/>
    </row>
    <row r="3" spans="2:16" s="2" customFormat="1" ht="12" customHeight="1">
      <c r="C3" s="27"/>
      <c r="D3" s="27"/>
      <c r="E3" s="27"/>
      <c r="F3" s="27"/>
      <c r="G3" s="27"/>
      <c r="H3" s="27"/>
      <c r="I3" s="27"/>
      <c r="J3" s="27"/>
      <c r="K3" s="27"/>
      <c r="L3" s="27"/>
      <c r="M3" s="27"/>
      <c r="N3" s="1"/>
      <c r="O3" s="1"/>
      <c r="P3" s="27"/>
    </row>
    <row r="4" spans="2:16" s="2" customFormat="1" ht="18" customHeight="1">
      <c r="B4" s="28" t="str">
        <f>'Common Assumption'!B4</f>
        <v>Proposed 6000 KGPD CBG plant set up M/s. SRSBIOX RENEWABLE LLP.</v>
      </c>
      <c r="C4" s="28"/>
      <c r="D4" s="29"/>
      <c r="E4" s="29"/>
      <c r="F4" s="29"/>
      <c r="G4" s="29"/>
      <c r="H4" s="29"/>
      <c r="I4" s="29"/>
      <c r="J4" s="29"/>
      <c r="K4" s="29"/>
      <c r="L4" s="29"/>
      <c r="M4" s="29"/>
      <c r="N4" s="1"/>
      <c r="O4" s="1"/>
      <c r="P4" s="27"/>
    </row>
    <row r="5" spans="2:16" s="2" customFormat="1" ht="13.5" customHeight="1">
      <c r="C5" s="27"/>
      <c r="D5" s="27"/>
      <c r="F5" s="30"/>
      <c r="N5" s="1"/>
      <c r="O5" s="1"/>
      <c r="P5" s="27"/>
    </row>
    <row r="6" spans="2:16" s="2" customFormat="1" ht="18" customHeight="1">
      <c r="B6" s="28" t="s">
        <v>331</v>
      </c>
      <c r="C6" s="28"/>
      <c r="D6" s="29"/>
      <c r="E6" s="29"/>
      <c r="F6" s="29"/>
      <c r="G6" s="29"/>
      <c r="H6" s="29"/>
      <c r="I6" s="29"/>
      <c r="J6" s="29"/>
      <c r="K6" s="29"/>
      <c r="L6" s="29"/>
      <c r="M6" s="29"/>
      <c r="N6" s="1"/>
      <c r="O6" s="1"/>
      <c r="P6" s="27"/>
    </row>
    <row r="7" spans="2:16" s="2" customFormat="1" ht="12.75" customHeight="1">
      <c r="C7" s="27"/>
      <c r="D7" s="27"/>
      <c r="F7" s="30"/>
      <c r="N7" s="1"/>
      <c r="O7" s="1"/>
      <c r="P7" s="27"/>
    </row>
    <row r="8" spans="2:16" s="2" customFormat="1" ht="18" customHeight="1">
      <c r="C8" s="27"/>
      <c r="D8" s="308" t="s">
        <v>8</v>
      </c>
      <c r="E8" s="308"/>
      <c r="F8" s="309" t="s">
        <v>50</v>
      </c>
      <c r="G8" s="309"/>
      <c r="H8" s="309"/>
      <c r="I8" s="309"/>
      <c r="J8" s="309"/>
      <c r="K8" s="309"/>
      <c r="L8" s="309"/>
      <c r="M8" s="309"/>
      <c r="N8" s="1"/>
      <c r="O8" s="1"/>
      <c r="P8" s="27"/>
    </row>
    <row r="9" spans="2:16" s="2" customFormat="1" ht="18" customHeight="1">
      <c r="B9" s="31" t="s">
        <v>51</v>
      </c>
      <c r="C9" s="32" t="s">
        <v>52</v>
      </c>
      <c r="D9" s="33"/>
      <c r="E9" s="33">
        <f>'Common Assumption'!E13</f>
        <v>45747</v>
      </c>
      <c r="F9" s="33">
        <f>DATE(YEAR(E9)+1,MONTH(E9),DAY(E9))</f>
        <v>46112</v>
      </c>
      <c r="G9" s="33">
        <f>DATE(YEAR(F9)+1,MONTH(F9),DAY(F9))</f>
        <v>46477</v>
      </c>
      <c r="H9" s="33">
        <f t="shared" ref="H9:M9" si="0">DATE(YEAR(G9)+1,MONTH(G9),DAY(G9))</f>
        <v>46843</v>
      </c>
      <c r="I9" s="33">
        <f t="shared" si="0"/>
        <v>47208</v>
      </c>
      <c r="J9" s="33">
        <f t="shared" si="0"/>
        <v>47573</v>
      </c>
      <c r="K9" s="33">
        <f t="shared" si="0"/>
        <v>47938</v>
      </c>
      <c r="L9" s="33">
        <f t="shared" si="0"/>
        <v>48304</v>
      </c>
      <c r="M9" s="33">
        <f t="shared" si="0"/>
        <v>48669</v>
      </c>
      <c r="N9" s="1"/>
      <c r="O9" s="1"/>
      <c r="P9" s="27"/>
    </row>
    <row r="10" spans="2:16" s="34" customFormat="1" ht="18" customHeight="1">
      <c r="B10" s="39" t="s">
        <v>53</v>
      </c>
      <c r="C10" s="40"/>
      <c r="D10" s="38"/>
      <c r="E10" s="38">
        <v>0</v>
      </c>
      <c r="F10" s="41">
        <v>1</v>
      </c>
      <c r="G10" s="41">
        <f>F10+1</f>
        <v>2</v>
      </c>
      <c r="H10" s="41">
        <f t="shared" ref="H10:M10" si="1">G10+1</f>
        <v>3</v>
      </c>
      <c r="I10" s="41">
        <f t="shared" si="1"/>
        <v>4</v>
      </c>
      <c r="J10" s="41">
        <f t="shared" si="1"/>
        <v>5</v>
      </c>
      <c r="K10" s="41">
        <f t="shared" si="1"/>
        <v>6</v>
      </c>
      <c r="L10" s="41">
        <f t="shared" si="1"/>
        <v>7</v>
      </c>
      <c r="M10" s="41">
        <f t="shared" si="1"/>
        <v>8</v>
      </c>
      <c r="N10" s="1"/>
      <c r="O10" s="1"/>
      <c r="P10" s="35"/>
    </row>
    <row r="11" spans="2:16" s="34" customFormat="1" ht="18" customHeight="1">
      <c r="B11" s="39" t="s">
        <v>54</v>
      </c>
      <c r="C11" s="40">
        <f>'Common Assumption'!E12</f>
        <v>7</v>
      </c>
      <c r="D11" s="38"/>
      <c r="E11" s="38">
        <f>C11</f>
        <v>7</v>
      </c>
      <c r="F11" s="40">
        <f>MONTH(F9-E9)</f>
        <v>12</v>
      </c>
      <c r="G11" s="40">
        <f t="shared" ref="G11:M11" si="2">MONTH(G9-F9)</f>
        <v>12</v>
      </c>
      <c r="H11" s="40">
        <f t="shared" si="2"/>
        <v>12</v>
      </c>
      <c r="I11" s="40">
        <f t="shared" si="2"/>
        <v>12</v>
      </c>
      <c r="J11" s="40">
        <f t="shared" si="2"/>
        <v>12</v>
      </c>
      <c r="K11" s="40">
        <f t="shared" si="2"/>
        <v>12</v>
      </c>
      <c r="L11" s="40">
        <f t="shared" si="2"/>
        <v>12</v>
      </c>
      <c r="M11" s="40">
        <f t="shared" si="2"/>
        <v>12</v>
      </c>
      <c r="N11" s="1"/>
      <c r="O11" s="1"/>
      <c r="P11" s="35"/>
    </row>
    <row r="12" spans="2:16" ht="7.5" customHeight="1"/>
    <row r="13" spans="2:16" ht="18" customHeight="1">
      <c r="B13" s="2" t="s">
        <v>187</v>
      </c>
      <c r="C13" s="2"/>
      <c r="D13" s="48"/>
      <c r="E13" s="48">
        <f>IS!E56</f>
        <v>0</v>
      </c>
      <c r="F13" s="48">
        <f ca="1">IS!F56</f>
        <v>5.1796684671711439</v>
      </c>
      <c r="G13" s="48">
        <f ca="1">IS!G56</f>
        <v>6.7224061171108236</v>
      </c>
      <c r="H13" s="48">
        <f ca="1">IS!H56</f>
        <v>6.8860723438838907</v>
      </c>
      <c r="I13" s="48">
        <f ca="1">IS!I56</f>
        <v>7.2203168609767285</v>
      </c>
      <c r="J13" s="48">
        <f ca="1">IS!J56</f>
        <v>7.5712825974477056</v>
      </c>
      <c r="K13" s="48">
        <f ca="1">IS!K56</f>
        <v>7.9807570868841342</v>
      </c>
      <c r="L13" s="48">
        <f ca="1">IS!L56</f>
        <v>8.3558532678813329</v>
      </c>
      <c r="M13" s="48">
        <f ca="1">IS!M56</f>
        <v>8.735277692044356</v>
      </c>
    </row>
    <row r="14" spans="2:16" ht="18" customHeight="1">
      <c r="B14" s="2" t="s">
        <v>339</v>
      </c>
      <c r="C14" s="2"/>
      <c r="D14" s="48"/>
      <c r="E14" s="48">
        <f>IS!E40</f>
        <v>0</v>
      </c>
      <c r="F14" s="48">
        <f ca="1">IS!F40</f>
        <v>0.90332709132448286</v>
      </c>
      <c r="G14" s="48">
        <f ca="1">IS!G40</f>
        <v>1.3109826630613017</v>
      </c>
      <c r="H14" s="48">
        <f ca="1">IS!H40</f>
        <v>1.3909676112245448</v>
      </c>
      <c r="I14" s="48">
        <f ca="1">IS!I40</f>
        <v>1.5221280245174726</v>
      </c>
      <c r="J14" s="48">
        <f ca="1">IS!J40</f>
        <v>1.665845291952488</v>
      </c>
      <c r="K14" s="48">
        <f ca="1">IS!K40</f>
        <v>1.8242880423338483</v>
      </c>
      <c r="L14" s="48">
        <f ca="1">IS!L40</f>
        <v>1.978861115456221</v>
      </c>
      <c r="M14" s="48">
        <f ca="1">IS!M40</f>
        <v>2.1462755060005732</v>
      </c>
    </row>
    <row r="15" spans="2:16" ht="18" customHeight="1">
      <c r="B15" s="2" t="s">
        <v>340</v>
      </c>
      <c r="C15" s="2"/>
      <c r="D15" s="48"/>
      <c r="E15" s="48">
        <f>IS!E20</f>
        <v>0</v>
      </c>
      <c r="F15" s="48">
        <f>IS!F20</f>
        <v>1.0500686796741352</v>
      </c>
      <c r="G15" s="48">
        <f>IS!G20</f>
        <v>1.0500686796741352</v>
      </c>
      <c r="H15" s="48">
        <f>IS!H20</f>
        <v>1.0471996395657357</v>
      </c>
      <c r="I15" s="48">
        <f>IS!I20</f>
        <v>1.0500686796741352</v>
      </c>
      <c r="J15" s="48">
        <f>IS!J20</f>
        <v>1.0500686796741352</v>
      </c>
      <c r="K15" s="48">
        <f>IS!K20</f>
        <v>1.0318105548940386</v>
      </c>
      <c r="L15" s="48">
        <f>IS!L20</f>
        <v>1.0289914003724701</v>
      </c>
      <c r="M15" s="48">
        <f>IS!M20</f>
        <v>1.0318105548940386</v>
      </c>
    </row>
    <row r="16" spans="2:16" ht="18" customHeight="1">
      <c r="B16" s="113" t="s">
        <v>341</v>
      </c>
      <c r="C16" s="113"/>
      <c r="D16" s="115"/>
      <c r="E16" s="115">
        <f t="shared" ref="E16:M16" si="3">E13-E14+E15</f>
        <v>0</v>
      </c>
      <c r="F16" s="115">
        <f t="shared" ca="1" si="3"/>
        <v>5.326410055520796</v>
      </c>
      <c r="G16" s="115">
        <f t="shared" ca="1" si="3"/>
        <v>6.4614921337236568</v>
      </c>
      <c r="H16" s="115">
        <f t="shared" ca="1" si="3"/>
        <v>6.5423043722250815</v>
      </c>
      <c r="I16" s="115">
        <f t="shared" ca="1" si="3"/>
        <v>6.7482575161333909</v>
      </c>
      <c r="J16" s="115">
        <f t="shared" ca="1" si="3"/>
        <v>6.9555059851693528</v>
      </c>
      <c r="K16" s="115">
        <f t="shared" ca="1" si="3"/>
        <v>7.188279599444324</v>
      </c>
      <c r="L16" s="115">
        <f t="shared" ca="1" si="3"/>
        <v>7.4059835527975819</v>
      </c>
      <c r="M16" s="115">
        <f t="shared" ca="1" si="3"/>
        <v>7.6208127409378212</v>
      </c>
    </row>
    <row r="17" spans="2:13" ht="18" customHeight="1">
      <c r="B17" s="2" t="s">
        <v>342</v>
      </c>
      <c r="C17" s="2"/>
      <c r="D17" s="48"/>
      <c r="E17" s="48">
        <f>'Working Capital Assessment'!E76</f>
        <v>0</v>
      </c>
      <c r="F17" s="48">
        <f ca="1">'Working Capital Assessment'!F76</f>
        <v>1.2458746838070205</v>
      </c>
      <c r="G17" s="48">
        <f ca="1">'Working Capital Assessment'!G76</f>
        <v>0.41511753299148646</v>
      </c>
      <c r="H17" s="48">
        <f ca="1">'Working Capital Assessment'!H76</f>
        <v>8.204233607171818E-2</v>
      </c>
      <c r="I17" s="48">
        <f ca="1">'Working Capital Assessment'!I76</f>
        <v>8.2229973252891275E-2</v>
      </c>
      <c r="J17" s="48">
        <f ca="1">'Working Capital Assessment'!J76</f>
        <v>8.5768450685049347E-2</v>
      </c>
      <c r="K17" s="48">
        <f ca="1">'Working Capital Assessment'!K76</f>
        <v>8.9194819727060226E-2</v>
      </c>
      <c r="L17" s="48">
        <f ca="1">'Working Capital Assessment'!L76</f>
        <v>9.3451427012539945E-2</v>
      </c>
      <c r="M17" s="48">
        <f ca="1">'Working Capital Assessment'!M76</f>
        <v>9.7667765696379583E-2</v>
      </c>
    </row>
    <row r="18" spans="2:13" ht="18" customHeight="1">
      <c r="B18" s="2" t="s">
        <v>343</v>
      </c>
      <c r="C18" s="2"/>
      <c r="D18" s="48"/>
      <c r="E18" s="48">
        <f>CFS!E23</f>
        <v>22.122650987533337</v>
      </c>
      <c r="F18" s="48">
        <f>CFS!F23</f>
        <v>0</v>
      </c>
      <c r="G18" s="48">
        <f>CFS!G23</f>
        <v>0</v>
      </c>
      <c r="H18" s="48">
        <f>CFS!H23</f>
        <v>0</v>
      </c>
      <c r="I18" s="48">
        <f>CFS!I23</f>
        <v>0</v>
      </c>
      <c r="J18" s="48">
        <f>CFS!J23</f>
        <v>0</v>
      </c>
      <c r="K18" s="48">
        <f>CFS!K23</f>
        <v>0</v>
      </c>
      <c r="L18" s="48">
        <f>CFS!L23</f>
        <v>0</v>
      </c>
      <c r="M18" s="48">
        <f>CFS!M23</f>
        <v>0</v>
      </c>
    </row>
    <row r="19" spans="2:13" ht="18" customHeight="1">
      <c r="B19" s="93" t="s">
        <v>344</v>
      </c>
      <c r="C19" s="93"/>
      <c r="D19" s="94"/>
      <c r="E19" s="94">
        <f>E16-E17-E18</f>
        <v>-22.122650987533337</v>
      </c>
      <c r="F19" s="94">
        <f t="shared" ref="F19:M19" ca="1" si="4">F16-F17-F18</f>
        <v>4.0805353717137756</v>
      </c>
      <c r="G19" s="94">
        <f t="shared" ca="1" si="4"/>
        <v>6.0463746007321699</v>
      </c>
      <c r="H19" s="94">
        <f t="shared" ca="1" si="4"/>
        <v>6.4602620361533631</v>
      </c>
      <c r="I19" s="94">
        <f t="shared" ca="1" si="4"/>
        <v>6.6660275428804994</v>
      </c>
      <c r="J19" s="94">
        <f t="shared" ca="1" si="4"/>
        <v>6.8697375344843037</v>
      </c>
      <c r="K19" s="94">
        <f t="shared" ca="1" si="4"/>
        <v>7.0990847797172636</v>
      </c>
      <c r="L19" s="94">
        <f t="shared" ca="1" si="4"/>
        <v>7.312532125785042</v>
      </c>
      <c r="M19" s="94">
        <f t="shared" ca="1" si="4"/>
        <v>7.5231449752414417</v>
      </c>
    </row>
    <row r="20" spans="2:13" ht="18" customHeight="1">
      <c r="F20" s="207"/>
    </row>
    <row r="22" spans="2:13" ht="18" customHeight="1">
      <c r="B22" s="2" t="s">
        <v>346</v>
      </c>
      <c r="C22" s="2"/>
      <c r="D22" s="22">
        <v>0.1497</v>
      </c>
    </row>
    <row r="23" spans="2:13" ht="18" customHeight="1">
      <c r="B23" s="2" t="s">
        <v>347</v>
      </c>
      <c r="C23" s="2"/>
      <c r="D23" s="22">
        <v>5.0000000000000001E-3</v>
      </c>
    </row>
    <row r="24" spans="2:13" ht="18" customHeight="1">
      <c r="B24" s="113" t="s">
        <v>348</v>
      </c>
      <c r="C24" s="113"/>
      <c r="D24" s="182">
        <f>SUM(D22:D23)</f>
        <v>0.1547</v>
      </c>
    </row>
    <row r="25" spans="2:13" ht="18" hidden="1" customHeight="1">
      <c r="B25" s="2" t="s">
        <v>349</v>
      </c>
      <c r="C25" s="2"/>
      <c r="D25" s="22">
        <v>0.03</v>
      </c>
    </row>
    <row r="27" spans="2:13" ht="18" hidden="1" customHeight="1">
      <c r="B27" s="197" t="s">
        <v>350</v>
      </c>
      <c r="C27" s="197"/>
      <c r="D27" s="198"/>
      <c r="E27" s="198">
        <v>0</v>
      </c>
      <c r="F27" s="198">
        <f>F11/12</f>
        <v>1</v>
      </c>
      <c r="G27" s="198">
        <f>F27+1</f>
        <v>2</v>
      </c>
      <c r="H27" s="198">
        <f t="shared" ref="H27:M27" si="5">G27+1</f>
        <v>3</v>
      </c>
      <c r="I27" s="198">
        <f t="shared" si="5"/>
        <v>4</v>
      </c>
      <c r="J27" s="198">
        <f t="shared" si="5"/>
        <v>5</v>
      </c>
      <c r="K27" s="198">
        <f t="shared" si="5"/>
        <v>6</v>
      </c>
      <c r="L27" s="198">
        <f t="shared" si="5"/>
        <v>7</v>
      </c>
      <c r="M27" s="198">
        <f t="shared" si="5"/>
        <v>8</v>
      </c>
    </row>
    <row r="28" spans="2:13" ht="18" hidden="1" customHeight="1">
      <c r="B28" s="2" t="s">
        <v>351</v>
      </c>
      <c r="C28" s="2"/>
      <c r="D28" s="48"/>
      <c r="E28" s="48">
        <f t="shared" ref="E28" si="6">1/(1+$D$24)^E27</f>
        <v>1</v>
      </c>
      <c r="F28" s="48">
        <f t="shared" ref="F28:M28" si="7">1/(1+$D$24)^F27</f>
        <v>0.86602580756906555</v>
      </c>
      <c r="G28" s="48">
        <f t="shared" si="7"/>
        <v>0.75000069937565217</v>
      </c>
      <c r="H28" s="48">
        <f t="shared" si="7"/>
        <v>0.64951996135416312</v>
      </c>
      <c r="I28" s="48">
        <f t="shared" si="7"/>
        <v>0.56250104906396725</v>
      </c>
      <c r="J28" s="48">
        <f t="shared" si="7"/>
        <v>0.48714042527406887</v>
      </c>
      <c r="K28" s="48">
        <f t="shared" si="7"/>
        <v>0.4218761801975135</v>
      </c>
      <c r="L28" s="48">
        <f t="shared" si="7"/>
        <v>0.36535565964970423</v>
      </c>
      <c r="M28" s="48">
        <f t="shared" si="7"/>
        <v>0.31640743019806378</v>
      </c>
    </row>
    <row r="29" spans="2:13" ht="18" hidden="1" customHeight="1">
      <c r="B29" s="197" t="s">
        <v>352</v>
      </c>
      <c r="C29" s="197"/>
      <c r="D29" s="198"/>
      <c r="E29" s="198">
        <f t="shared" ref="E29" si="8">E28*E19</f>
        <v>-22.122650987533337</v>
      </c>
      <c r="F29" s="198">
        <f t="shared" ref="F29:M29" ca="1" si="9">F28*F19</f>
        <v>3.5338489406025597</v>
      </c>
      <c r="G29" s="198">
        <f t="shared" ca="1" si="9"/>
        <v>4.534785179236307</v>
      </c>
      <c r="H29" s="198">
        <f t="shared" ca="1" si="9"/>
        <v>4.1960691480600998</v>
      </c>
      <c r="I29" s="198">
        <f t="shared" ca="1" si="9"/>
        <v>3.749647485959581</v>
      </c>
      <c r="J29" s="198">
        <f t="shared" ca="1" si="9"/>
        <v>3.3465268640699168</v>
      </c>
      <c r="K29" s="198">
        <f t="shared" ca="1" si="9"/>
        <v>2.9949347697654258</v>
      </c>
      <c r="L29" s="198">
        <f t="shared" ca="1" si="9"/>
        <v>2.6716749985258481</v>
      </c>
      <c r="M29" s="198">
        <f t="shared" ca="1" si="9"/>
        <v>2.3803789686236208</v>
      </c>
    </row>
    <row r="30" spans="2:13" ht="18" hidden="1" customHeight="1">
      <c r="B30" s="2" t="s">
        <v>353</v>
      </c>
      <c r="C30" s="2"/>
      <c r="D30" s="2"/>
      <c r="E30" s="2"/>
      <c r="F30" s="2"/>
      <c r="G30" s="2"/>
    </row>
    <row r="31" spans="2:13" ht="18" hidden="1" customHeight="1">
      <c r="B31" s="197" t="s">
        <v>354</v>
      </c>
      <c r="C31" s="197"/>
      <c r="D31" s="197"/>
      <c r="E31" s="197"/>
      <c r="F31" s="197"/>
      <c r="G31" s="197"/>
      <c r="H31" s="197"/>
      <c r="I31" s="197"/>
      <c r="J31" s="197"/>
      <c r="K31" s="197"/>
      <c r="L31" s="197"/>
      <c r="M31" s="197"/>
    </row>
    <row r="32" spans="2:13" ht="18" hidden="1" customHeight="1">
      <c r="B32" s="2" t="s">
        <v>385</v>
      </c>
      <c r="C32" s="2"/>
      <c r="D32" s="48"/>
      <c r="E32" s="48">
        <f t="shared" ref="E32" si="10">E19+E30</f>
        <v>-22.122650987533337</v>
      </c>
      <c r="F32" s="48">
        <f t="shared" ref="F32:M32" ca="1" si="11">F19+F30</f>
        <v>4.0805353717137756</v>
      </c>
      <c r="G32" s="48">
        <f t="shared" ca="1" si="11"/>
        <v>6.0463746007321699</v>
      </c>
      <c r="H32" s="48">
        <f t="shared" ca="1" si="11"/>
        <v>6.4602620361533631</v>
      </c>
      <c r="I32" s="48">
        <f t="shared" ca="1" si="11"/>
        <v>6.6660275428804994</v>
      </c>
      <c r="J32" s="48">
        <f t="shared" ca="1" si="11"/>
        <v>6.8697375344843037</v>
      </c>
      <c r="K32" s="48">
        <f t="shared" ca="1" si="11"/>
        <v>7.0990847797172636</v>
      </c>
      <c r="L32" s="48">
        <f t="shared" ca="1" si="11"/>
        <v>7.312532125785042</v>
      </c>
      <c r="M32" s="48">
        <f t="shared" ca="1" si="11"/>
        <v>7.5231449752414417</v>
      </c>
    </row>
    <row r="33" spans="2:13" ht="18" hidden="1" customHeight="1">
      <c r="B33" s="197" t="s">
        <v>355</v>
      </c>
      <c r="C33" s="197"/>
      <c r="D33" s="198"/>
      <c r="E33" s="198">
        <f t="shared" ref="E33" si="12">E29+E31</f>
        <v>-22.122650987533337</v>
      </c>
      <c r="F33" s="198">
        <f t="shared" ref="F33:M33" ca="1" si="13">F29+F31</f>
        <v>3.5338489406025597</v>
      </c>
      <c r="G33" s="198">
        <f t="shared" ca="1" si="13"/>
        <v>4.534785179236307</v>
      </c>
      <c r="H33" s="198">
        <f t="shared" ca="1" si="13"/>
        <v>4.1960691480600998</v>
      </c>
      <c r="I33" s="198">
        <f t="shared" ca="1" si="13"/>
        <v>3.749647485959581</v>
      </c>
      <c r="J33" s="198">
        <f t="shared" ca="1" si="13"/>
        <v>3.3465268640699168</v>
      </c>
      <c r="K33" s="198">
        <f t="shared" ca="1" si="13"/>
        <v>2.9949347697654258</v>
      </c>
      <c r="L33" s="198">
        <f t="shared" ca="1" si="13"/>
        <v>2.6716749985258481</v>
      </c>
      <c r="M33" s="198">
        <f t="shared" ca="1" si="13"/>
        <v>2.3803789686236208</v>
      </c>
    </row>
    <row r="34" spans="2:13" ht="18" hidden="1" customHeight="1">
      <c r="E34" s="157"/>
      <c r="F34" s="157"/>
      <c r="G34" s="157"/>
      <c r="H34" s="157"/>
      <c r="I34" s="157"/>
      <c r="J34" s="157"/>
      <c r="K34" s="157"/>
      <c r="L34" s="157"/>
      <c r="M34" s="157"/>
    </row>
    <row r="35" spans="2:13" ht="18" customHeight="1">
      <c r="B35" s="31" t="s">
        <v>356</v>
      </c>
      <c r="C35" s="31"/>
      <c r="D35" s="223">
        <f ca="1">XNPV(D24,E19:M19,E9:M9)</f>
        <v>5.2756058357382756</v>
      </c>
      <c r="E35" s="199"/>
      <c r="F35" s="222"/>
      <c r="G35" s="199"/>
      <c r="H35" s="222"/>
      <c r="I35" s="199"/>
      <c r="J35" s="199"/>
      <c r="K35" s="199"/>
      <c r="L35" s="199"/>
      <c r="M35" s="199"/>
    </row>
    <row r="36" spans="2:13" ht="18" customHeight="1">
      <c r="B36" s="2"/>
      <c r="C36" s="2"/>
      <c r="D36" s="27"/>
      <c r="E36" s="2"/>
      <c r="F36" s="2"/>
      <c r="G36" s="2"/>
      <c r="H36" s="2"/>
      <c r="I36" s="2"/>
      <c r="J36" s="2"/>
      <c r="K36" s="2"/>
      <c r="L36" s="2"/>
      <c r="M36" s="2"/>
    </row>
    <row r="37" spans="2:13" ht="18" customHeight="1">
      <c r="B37" s="31" t="s">
        <v>357</v>
      </c>
      <c r="C37" s="31"/>
      <c r="D37" s="206">
        <f ca="1">XIRR(E19:M19,E9:M9)</f>
        <v>0.21837889552116396</v>
      </c>
      <c r="E37" s="200"/>
      <c r="F37" s="200"/>
      <c r="G37" s="200"/>
      <c r="H37" s="200"/>
      <c r="I37" s="200"/>
      <c r="J37" s="200"/>
      <c r="K37" s="200"/>
      <c r="L37" s="200"/>
      <c r="M37" s="200"/>
    </row>
    <row r="38" spans="2:13" ht="18" customHeight="1">
      <c r="B38" s="2"/>
      <c r="C38" s="2"/>
      <c r="D38" s="205"/>
      <c r="E38" s="2"/>
      <c r="F38" s="2"/>
      <c r="G38" s="2"/>
      <c r="H38" s="2"/>
      <c r="I38" s="2"/>
      <c r="J38" s="2"/>
      <c r="K38" s="2"/>
      <c r="L38" s="2"/>
      <c r="M38" s="2"/>
    </row>
    <row r="39" spans="2:13" ht="18" customHeight="1">
      <c r="B39" s="193" t="s">
        <v>358</v>
      </c>
      <c r="C39" s="193"/>
      <c r="D39" s="193"/>
      <c r="E39" s="193"/>
      <c r="F39" s="193"/>
      <c r="G39" s="193"/>
      <c r="H39" s="193"/>
      <c r="I39" s="193"/>
      <c r="J39" s="193"/>
      <c r="K39" s="193"/>
      <c r="L39" s="193"/>
      <c r="M39" s="193"/>
    </row>
    <row r="40" spans="2:13" ht="18" hidden="1" customHeight="1"/>
    <row r="41" spans="2:13" ht="18" hidden="1" customHeight="1">
      <c r="B41" s="2" t="s">
        <v>359</v>
      </c>
      <c r="C41" s="2"/>
      <c r="D41" s="51"/>
      <c r="E41" s="51"/>
      <c r="F41" s="51">
        <f t="shared" ref="F41:M41" si="14">F10</f>
        <v>1</v>
      </c>
      <c r="G41" s="51">
        <f t="shared" si="14"/>
        <v>2</v>
      </c>
      <c r="H41" s="51">
        <f t="shared" si="14"/>
        <v>3</v>
      </c>
      <c r="I41" s="51">
        <f t="shared" si="14"/>
        <v>4</v>
      </c>
      <c r="J41" s="51">
        <f t="shared" si="14"/>
        <v>5</v>
      </c>
      <c r="K41" s="51">
        <f t="shared" si="14"/>
        <v>6</v>
      </c>
      <c r="L41" s="51">
        <f t="shared" si="14"/>
        <v>7</v>
      </c>
      <c r="M41" s="51">
        <f t="shared" si="14"/>
        <v>8</v>
      </c>
    </row>
    <row r="42" spans="2:13" ht="18" hidden="1" customHeight="1">
      <c r="B42" s="2" t="s">
        <v>280</v>
      </c>
      <c r="C42" s="2"/>
      <c r="D42" s="48"/>
      <c r="E42" s="48"/>
      <c r="F42" s="48">
        <f ca="1">IS!F48</f>
        <v>3.7659306034660012</v>
      </c>
      <c r="G42" s="48">
        <f ca="1">IS!G48</f>
        <v>4.9780126816688632</v>
      </c>
      <c r="H42" s="48">
        <f ca="1">IS!H48</f>
        <v>5.2129628421704375</v>
      </c>
      <c r="I42" s="48">
        <f ca="1">IS!I48</f>
        <v>5.6058110640785976</v>
      </c>
      <c r="J42" s="48">
        <f ca="1">IS!J48</f>
        <v>6.0331255331145588</v>
      </c>
      <c r="K42" s="48">
        <f ca="1">IS!K48</f>
        <v>6.4559651473895299</v>
      </c>
      <c r="L42" s="48">
        <f ca="1">IS!L48</f>
        <v>6.9127380227429374</v>
      </c>
      <c r="M42" s="48">
        <f ca="1">IS!M48</f>
        <v>7.413330288883027</v>
      </c>
    </row>
    <row r="43" spans="2:13" ht="18" hidden="1" customHeight="1">
      <c r="B43" s="2" t="s">
        <v>360</v>
      </c>
      <c r="C43" s="2"/>
      <c r="D43" s="48"/>
      <c r="E43" s="48"/>
      <c r="F43" s="48">
        <f t="shared" ref="F43:M43" ca="1" si="15">E43+F42</f>
        <v>3.7659306034660012</v>
      </c>
      <c r="G43" s="48">
        <f t="shared" ca="1" si="15"/>
        <v>8.7439432851348649</v>
      </c>
      <c r="H43" s="48">
        <f t="shared" ca="1" si="15"/>
        <v>13.956906127305302</v>
      </c>
      <c r="I43" s="48">
        <f t="shared" ca="1" si="15"/>
        <v>19.5627171913839</v>
      </c>
      <c r="J43" s="48">
        <f t="shared" ca="1" si="15"/>
        <v>25.595842724498461</v>
      </c>
      <c r="K43" s="48">
        <f t="shared" ca="1" si="15"/>
        <v>32.051807871887988</v>
      </c>
      <c r="L43" s="48">
        <f t="shared" ca="1" si="15"/>
        <v>38.964545894630923</v>
      </c>
      <c r="M43" s="48">
        <f t="shared" ca="1" si="15"/>
        <v>46.377876183513948</v>
      </c>
    </row>
    <row r="44" spans="2:13" ht="18" hidden="1" customHeight="1">
      <c r="B44" s="2" t="s">
        <v>361</v>
      </c>
      <c r="C44" s="2"/>
      <c r="E44" s="2"/>
      <c r="F44" s="48">
        <f ca="1">'TPC and MoF'!D20</f>
        <v>22.58411965848509</v>
      </c>
      <c r="G44" s="2"/>
      <c r="H44" s="2"/>
      <c r="I44" s="2"/>
      <c r="J44" s="2"/>
      <c r="K44" s="2"/>
      <c r="L44" s="2"/>
      <c r="M44" s="2"/>
    </row>
    <row r="45" spans="2:13" ht="18" hidden="1" customHeight="1">
      <c r="B45" s="31" t="s">
        <v>362</v>
      </c>
      <c r="C45" s="31"/>
      <c r="D45" s="31"/>
      <c r="E45" s="201"/>
      <c r="F45" s="201">
        <f ca="1">2+((F44-H43)/I42)</f>
        <v>3.5389768639300021</v>
      </c>
      <c r="G45" s="201"/>
      <c r="H45" s="201"/>
      <c r="I45" s="201"/>
      <c r="J45" s="201"/>
      <c r="K45" s="201"/>
      <c r="L45" s="201"/>
      <c r="M45" s="201"/>
    </row>
    <row r="46" spans="2:13" ht="17.25" hidden="1" customHeight="1"/>
    <row r="47" spans="2:13" ht="18" hidden="1" customHeight="1"/>
    <row r="48" spans="2:13" ht="18" hidden="1" customHeight="1"/>
    <row r="49" spans="2:6" ht="18" customHeight="1">
      <c r="B49" s="43" t="s">
        <v>384</v>
      </c>
      <c r="C49" s="42"/>
      <c r="D49" s="43" t="s">
        <v>280</v>
      </c>
      <c r="E49" s="215" t="s">
        <v>360</v>
      </c>
      <c r="F49" s="42"/>
    </row>
    <row r="50" spans="2:6" ht="18" customHeight="1">
      <c r="B50" s="214">
        <f t="array" ref="B50:B59">TRANSPOSE(F9:O9)</f>
        <v>46112</v>
      </c>
      <c r="D50" s="157">
        <f t="array" ref="D50:D59" ca="1">TRANSPOSE(F42:O42)</f>
        <v>3.7659306034660012</v>
      </c>
      <c r="E50" s="194">
        <f ca="1">D50</f>
        <v>3.7659306034660012</v>
      </c>
    </row>
    <row r="51" spans="2:6" ht="18" customHeight="1">
      <c r="B51" s="214">
        <v>46477</v>
      </c>
      <c r="D51" s="157">
        <f ca="1"/>
        <v>4.9780126816688632</v>
      </c>
      <c r="E51" s="194">
        <f ca="1">D51+E50</f>
        <v>8.7439432851348649</v>
      </c>
    </row>
    <row r="52" spans="2:6" ht="18" customHeight="1">
      <c r="B52" s="214">
        <v>46843</v>
      </c>
      <c r="D52" s="157">
        <f ca="1"/>
        <v>5.2129628421704375</v>
      </c>
      <c r="E52" s="194">
        <f t="shared" ref="E52:E59" ca="1" si="16">D52+E51</f>
        <v>13.956906127305302</v>
      </c>
    </row>
    <row r="53" spans="2:6" ht="18" customHeight="1">
      <c r="B53" s="214">
        <v>47208</v>
      </c>
      <c r="D53" s="157">
        <f ca="1"/>
        <v>5.6058110640785976</v>
      </c>
      <c r="E53" s="194">
        <f t="shared" ca="1" si="16"/>
        <v>19.5627171913839</v>
      </c>
    </row>
    <row r="54" spans="2:6" ht="18" customHeight="1">
      <c r="B54" s="214">
        <v>47573</v>
      </c>
      <c r="D54" s="157">
        <f ca="1"/>
        <v>6.0331255331145588</v>
      </c>
      <c r="E54" s="194">
        <f t="shared" ca="1" si="16"/>
        <v>25.595842724498461</v>
      </c>
    </row>
    <row r="55" spans="2:6" ht="18" customHeight="1">
      <c r="B55" s="214">
        <v>47938</v>
      </c>
      <c r="D55" s="157">
        <f ca="1"/>
        <v>6.4559651473895299</v>
      </c>
      <c r="E55" s="194">
        <f t="shared" ca="1" si="16"/>
        <v>32.051807871887988</v>
      </c>
    </row>
    <row r="56" spans="2:6" ht="18" customHeight="1">
      <c r="B56" s="214">
        <v>48304</v>
      </c>
      <c r="D56" s="157">
        <f ca="1"/>
        <v>6.9127380227429374</v>
      </c>
      <c r="E56" s="194">
        <f t="shared" ca="1" si="16"/>
        <v>38.964545894630923</v>
      </c>
    </row>
    <row r="57" spans="2:6" ht="18" customHeight="1">
      <c r="B57" s="214">
        <v>48669</v>
      </c>
      <c r="D57" s="157">
        <f ca="1"/>
        <v>7.413330288883027</v>
      </c>
      <c r="E57" s="194">
        <f t="shared" ca="1" si="16"/>
        <v>46.377876183513948</v>
      </c>
    </row>
    <row r="58" spans="2:6" ht="18" hidden="1" customHeight="1">
      <c r="B58" s="214">
        <v>0</v>
      </c>
      <c r="D58" s="157">
        <v>0</v>
      </c>
      <c r="E58" s="194">
        <f t="shared" ca="1" si="16"/>
        <v>46.377876183513948</v>
      </c>
    </row>
    <row r="59" spans="2:6" ht="18" hidden="1" customHeight="1">
      <c r="B59" s="214">
        <v>0</v>
      </c>
      <c r="D59" s="157">
        <v>0</v>
      </c>
      <c r="E59" s="194">
        <f t="shared" ca="1" si="16"/>
        <v>46.377876183513948</v>
      </c>
    </row>
    <row r="60" spans="2:6" ht="18" customHeight="1">
      <c r="B60" s="214" t="s">
        <v>103</v>
      </c>
      <c r="D60" s="157">
        <f ca="1">SUM(D50:D59)</f>
        <v>46.377876183513948</v>
      </c>
      <c r="E60" s="194"/>
    </row>
    <row r="61" spans="2:6" ht="18" customHeight="1">
      <c r="B61" s="218" t="s">
        <v>87</v>
      </c>
      <c r="C61" s="219"/>
      <c r="D61" s="220">
        <f ca="1">'TPC and MoF'!D20</f>
        <v>22.58411965848509</v>
      </c>
      <c r="E61" s="221"/>
      <c r="F61" s="219"/>
    </row>
    <row r="62" spans="2:6" ht="18" customHeight="1">
      <c r="B62" s="216" t="s">
        <v>362</v>
      </c>
      <c r="C62" s="216"/>
      <c r="D62" s="217">
        <f ca="1">4+(D61-E53)/D54</f>
        <v>4.5008021879401223</v>
      </c>
      <c r="E62" s="216" t="s">
        <v>258</v>
      </c>
      <c r="F62" s="216"/>
    </row>
  </sheetData>
  <mergeCells count="2">
    <mergeCell ref="D8:E8"/>
    <mergeCell ref="F8:M8"/>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zoomScaleNormal="100" workbookViewId="0"/>
  </sheetViews>
  <sheetFormatPr defaultColWidth="13.7109375" defaultRowHeight="18" customHeight="1"/>
  <cols>
    <col min="1" max="1" width="4.85546875" style="1" customWidth="1"/>
    <col min="2" max="2" width="43.42578125" style="1" customWidth="1"/>
    <col min="3" max="3" width="7.140625" style="1" customWidth="1"/>
    <col min="4" max="15" width="12.7109375" style="1" customWidth="1"/>
    <col min="16" max="16384" width="13.7109375" style="1"/>
  </cols>
  <sheetData>
    <row r="1" spans="2:16" ht="15.75" customHeight="1"/>
    <row r="2" spans="2:16" s="2" customFormat="1" ht="18" customHeight="1">
      <c r="B2" s="36" t="str">
        <f>"Financial Model of " &amp; B4</f>
        <v>Financial Model of Proposed 6000 KGPD CBG plant set up M/s. SRSBIOX RENEWABLE LLP.</v>
      </c>
      <c r="C2" s="192"/>
      <c r="D2" s="192"/>
      <c r="E2" s="192"/>
      <c r="F2" s="192"/>
      <c r="G2" s="192"/>
      <c r="H2" s="192"/>
      <c r="I2" s="192"/>
      <c r="J2" s="192"/>
      <c r="K2" s="192"/>
      <c r="L2" s="192"/>
      <c r="M2" s="192"/>
      <c r="N2" s="1"/>
      <c r="O2" s="1"/>
      <c r="P2" s="27"/>
    </row>
    <row r="3" spans="2:16" s="2" customFormat="1" ht="12" customHeight="1">
      <c r="C3" s="27"/>
      <c r="D3" s="27"/>
      <c r="E3" s="27"/>
      <c r="F3" s="27"/>
      <c r="G3" s="27"/>
      <c r="H3" s="27"/>
      <c r="I3" s="27"/>
      <c r="J3" s="27"/>
      <c r="K3" s="27"/>
      <c r="L3" s="27"/>
      <c r="M3" s="27"/>
      <c r="N3" s="1"/>
      <c r="O3" s="1"/>
      <c r="P3" s="27"/>
    </row>
    <row r="4" spans="2:16" s="2" customFormat="1" ht="18" customHeight="1">
      <c r="B4" s="28" t="str">
        <f>'Common Assumption'!B4</f>
        <v>Proposed 6000 KGPD CBG plant set up M/s. SRSBIOX RENEWABLE LLP.</v>
      </c>
      <c r="C4" s="28"/>
      <c r="D4" s="29"/>
      <c r="E4" s="29"/>
      <c r="F4" s="29"/>
      <c r="G4" s="29"/>
      <c r="H4" s="29"/>
      <c r="I4" s="29"/>
      <c r="J4" s="29"/>
      <c r="K4" s="29"/>
      <c r="L4" s="29"/>
      <c r="M4" s="29"/>
      <c r="N4" s="1"/>
      <c r="O4" s="1"/>
      <c r="P4" s="27"/>
    </row>
    <row r="5" spans="2:16" s="2" customFormat="1" ht="13.5" customHeight="1">
      <c r="C5" s="27"/>
      <c r="D5" s="27"/>
      <c r="F5" s="30"/>
      <c r="N5" s="1"/>
      <c r="O5" s="1"/>
      <c r="P5" s="27"/>
    </row>
    <row r="6" spans="2:16" s="2" customFormat="1" ht="18" customHeight="1">
      <c r="B6" s="28" t="s">
        <v>363</v>
      </c>
      <c r="C6" s="28"/>
      <c r="D6" s="29"/>
      <c r="E6" s="29"/>
      <c r="F6" s="29"/>
      <c r="G6" s="29"/>
      <c r="H6" s="29"/>
      <c r="I6" s="29"/>
      <c r="J6" s="29"/>
      <c r="K6" s="29"/>
      <c r="L6" s="29"/>
      <c r="M6" s="29"/>
      <c r="N6" s="1"/>
      <c r="O6" s="1"/>
      <c r="P6" s="27"/>
    </row>
    <row r="7" spans="2:16" s="2" customFormat="1" ht="12.75" customHeight="1">
      <c r="C7" s="27"/>
      <c r="D7" s="27"/>
      <c r="F7" s="30"/>
      <c r="N7" s="1"/>
      <c r="O7" s="1"/>
      <c r="P7" s="27"/>
    </row>
    <row r="8" spans="2:16" s="2" customFormat="1" ht="18" customHeight="1">
      <c r="C8" s="27"/>
      <c r="D8" s="308" t="s">
        <v>8</v>
      </c>
      <c r="E8" s="308"/>
      <c r="F8" s="309" t="s">
        <v>50</v>
      </c>
      <c r="G8" s="309"/>
      <c r="H8" s="309"/>
      <c r="I8" s="309"/>
      <c r="J8" s="309"/>
      <c r="K8" s="309"/>
      <c r="L8" s="309"/>
      <c r="M8" s="309"/>
      <c r="N8" s="1"/>
      <c r="O8" s="1"/>
      <c r="P8" s="27"/>
    </row>
    <row r="9" spans="2:16" s="2" customFormat="1" ht="18" customHeight="1">
      <c r="B9" s="31" t="s">
        <v>51</v>
      </c>
      <c r="C9" s="32" t="s">
        <v>52</v>
      </c>
      <c r="D9" s="33"/>
      <c r="E9" s="33">
        <f>'Common Assumption'!E13</f>
        <v>45747</v>
      </c>
      <c r="F9" s="33">
        <f>DATE(YEAR(E9)+1,MONTH(E9),DAY(E9))</f>
        <v>46112</v>
      </c>
      <c r="G9" s="33">
        <f>DATE(YEAR(F9)+1,MONTH(F9),DAY(F9))</f>
        <v>46477</v>
      </c>
      <c r="H9" s="33">
        <f t="shared" ref="H9:M9" si="0">DATE(YEAR(G9)+1,MONTH(G9),DAY(G9))</f>
        <v>46843</v>
      </c>
      <c r="I9" s="33">
        <f t="shared" si="0"/>
        <v>47208</v>
      </c>
      <c r="J9" s="33">
        <f t="shared" si="0"/>
        <v>47573</v>
      </c>
      <c r="K9" s="33">
        <f t="shared" si="0"/>
        <v>47938</v>
      </c>
      <c r="L9" s="33">
        <f t="shared" si="0"/>
        <v>48304</v>
      </c>
      <c r="M9" s="33">
        <f t="shared" si="0"/>
        <v>48669</v>
      </c>
      <c r="N9" s="1"/>
      <c r="O9" s="1"/>
      <c r="P9" s="27"/>
    </row>
    <row r="10" spans="2:16" s="34" customFormat="1" ht="18" customHeight="1">
      <c r="B10" s="39" t="s">
        <v>53</v>
      </c>
      <c r="C10" s="40"/>
      <c r="D10" s="38"/>
      <c r="E10" s="38">
        <v>0</v>
      </c>
      <c r="F10" s="41">
        <v>1</v>
      </c>
      <c r="G10" s="41">
        <f>F10+1</f>
        <v>2</v>
      </c>
      <c r="H10" s="41">
        <f t="shared" ref="H10:M10" si="1">G10+1</f>
        <v>3</v>
      </c>
      <c r="I10" s="41">
        <f t="shared" si="1"/>
        <v>4</v>
      </c>
      <c r="J10" s="41">
        <f t="shared" si="1"/>
        <v>5</v>
      </c>
      <c r="K10" s="41">
        <f t="shared" si="1"/>
        <v>6</v>
      </c>
      <c r="L10" s="41">
        <f t="shared" si="1"/>
        <v>7</v>
      </c>
      <c r="M10" s="41">
        <f t="shared" si="1"/>
        <v>8</v>
      </c>
      <c r="N10" s="1"/>
      <c r="O10" s="1"/>
      <c r="P10" s="35"/>
    </row>
    <row r="11" spans="2:16" s="34" customFormat="1" ht="18" customHeight="1">
      <c r="B11" s="39" t="s">
        <v>54</v>
      </c>
      <c r="C11" s="40">
        <f>'Common Assumption'!E12</f>
        <v>7</v>
      </c>
      <c r="D11" s="38"/>
      <c r="E11" s="38">
        <f>C11</f>
        <v>7</v>
      </c>
      <c r="F11" s="40">
        <f>MONTH(F9-E9)</f>
        <v>12</v>
      </c>
      <c r="G11" s="40">
        <f t="shared" ref="G11:M11" si="2">MONTH(G9-F9)</f>
        <v>12</v>
      </c>
      <c r="H11" s="40">
        <f t="shared" si="2"/>
        <v>12</v>
      </c>
      <c r="I11" s="40">
        <f t="shared" si="2"/>
        <v>12</v>
      </c>
      <c r="J11" s="40">
        <f t="shared" si="2"/>
        <v>12</v>
      </c>
      <c r="K11" s="40">
        <f t="shared" si="2"/>
        <v>12</v>
      </c>
      <c r="L11" s="40">
        <f t="shared" si="2"/>
        <v>12</v>
      </c>
      <c r="M11" s="40">
        <f t="shared" si="2"/>
        <v>12</v>
      </c>
      <c r="N11" s="1"/>
      <c r="O11" s="1"/>
      <c r="P11" s="35"/>
    </row>
    <row r="12" spans="2:16" ht="7.5" customHeight="1"/>
    <row r="13" spans="2:16" ht="18" customHeight="1">
      <c r="B13" s="2" t="s">
        <v>364</v>
      </c>
      <c r="C13" s="2"/>
      <c r="D13" s="2"/>
      <c r="E13" s="2"/>
      <c r="F13" s="48">
        <f>IS!F13</f>
        <v>13.497962759224524</v>
      </c>
      <c r="G13" s="48">
        <f>IS!G13</f>
        <v>17.716076121482189</v>
      </c>
      <c r="H13" s="48">
        <f>IS!H13</f>
        <v>18.601879927556297</v>
      </c>
      <c r="I13" s="48">
        <f>IS!I13</f>
        <v>19.531973923934114</v>
      </c>
      <c r="J13" s="48">
        <f>IS!J13</f>
        <v>20.508572620130824</v>
      </c>
      <c r="K13" s="48">
        <f>IS!K13</f>
        <v>21.534001251137362</v>
      </c>
      <c r="L13" s="48">
        <f>IS!L13</f>
        <v>22.610701313694229</v>
      </c>
      <c r="M13" s="48">
        <f>IS!M13</f>
        <v>23.741236379378943</v>
      </c>
    </row>
    <row r="14" spans="2:16" ht="18" customHeight="1">
      <c r="B14" s="2" t="s">
        <v>365</v>
      </c>
      <c r="C14" s="2"/>
      <c r="D14" s="2"/>
      <c r="E14" s="2"/>
      <c r="F14" s="48">
        <f>IS!F15+IS!F16+IS!F17</f>
        <v>6.679412000000001</v>
      </c>
      <c r="G14" s="48">
        <f>IS!G15+IS!G16+IS!G17</f>
        <v>8.5438492499999992</v>
      </c>
      <c r="H14" s="48">
        <f>IS!H15+IS!H16+IS!H17</f>
        <v>9.0279997125000016</v>
      </c>
      <c r="I14" s="48">
        <f>IS!I15+IS!I16+IS!I17</f>
        <v>9.542053498125</v>
      </c>
      <c r="J14" s="48">
        <f>IS!J15+IS!J16+IS!J17</f>
        <v>10.088075353031252</v>
      </c>
      <c r="K14" s="48">
        <f>IS!K15+IS!K16+IS!K17</f>
        <v>10.668290218682817</v>
      </c>
      <c r="L14" s="48">
        <f>IS!L15+IS!L16+IS!L17</f>
        <v>11.285096937416959</v>
      </c>
      <c r="M14" s="48">
        <f>IS!M15+IS!M16+IS!M17</f>
        <v>11.941083212867806</v>
      </c>
    </row>
    <row r="15" spans="2:16" ht="18" customHeight="1">
      <c r="B15" s="101" t="s">
        <v>366</v>
      </c>
      <c r="C15" s="101"/>
      <c r="D15" s="101"/>
      <c r="E15" s="101"/>
      <c r="F15" s="110">
        <f>F13-F14</f>
        <v>6.8185507592245234</v>
      </c>
      <c r="G15" s="110">
        <f t="shared" ref="G15:M15" si="3">G13-G14</f>
        <v>9.1722268714821897</v>
      </c>
      <c r="H15" s="110">
        <f t="shared" si="3"/>
        <v>9.5738802150562954</v>
      </c>
      <c r="I15" s="110">
        <f t="shared" si="3"/>
        <v>9.9899204258091139</v>
      </c>
      <c r="J15" s="110">
        <f t="shared" si="3"/>
        <v>10.420497267099572</v>
      </c>
      <c r="K15" s="110">
        <f t="shared" si="3"/>
        <v>10.865711032454545</v>
      </c>
      <c r="L15" s="110">
        <f t="shared" si="3"/>
        <v>11.325604376277269</v>
      </c>
      <c r="M15" s="110">
        <f t="shared" si="3"/>
        <v>11.800153166511137</v>
      </c>
    </row>
    <row r="16" spans="2:16" ht="18" customHeight="1">
      <c r="B16" s="2" t="s">
        <v>367</v>
      </c>
      <c r="C16" s="2"/>
      <c r="D16" s="2"/>
      <c r="E16" s="2"/>
      <c r="F16" s="48">
        <f>IS!F18+IS!F19+IS!F31</f>
        <v>1.2420219148783869</v>
      </c>
      <c r="G16" s="48">
        <f>IS!G18+IS!G19+IS!G31</f>
        <v>1.5850367176531661</v>
      </c>
      <c r="H16" s="48">
        <f>IS!H18+IS!H19+IS!H31</f>
        <v>1.6591677402333869</v>
      </c>
      <c r="I16" s="48">
        <f>IS!I18+IS!I19+IS!I31</f>
        <v>1.7371290412972935</v>
      </c>
      <c r="J16" s="48">
        <f>IS!J18+IS!J19+IS!J31</f>
        <v>1.8191196659993549</v>
      </c>
      <c r="K16" s="48">
        <f>IS!K18+IS!K19+IS!K31</f>
        <v>1.9053867258334285</v>
      </c>
      <c r="L16" s="48">
        <f>IS!L18+IS!L19+IS!L31</f>
        <v>1.9961031628648715</v>
      </c>
      <c r="M16" s="48">
        <f>IS!M18+IS!M19+IS!M31</f>
        <v>2.0914769977866299</v>
      </c>
    </row>
    <row r="17" spans="2:13" ht="18" customHeight="1">
      <c r="B17" s="2" t="s">
        <v>368</v>
      </c>
      <c r="C17" s="2"/>
      <c r="D17" s="2"/>
      <c r="E17" s="2"/>
      <c r="F17" s="48">
        <f>F15-F16</f>
        <v>5.5765288443461367</v>
      </c>
      <c r="G17" s="48">
        <f t="shared" ref="G17:M17" si="4">G15-G16</f>
        <v>7.5871901538290238</v>
      </c>
      <c r="H17" s="48">
        <f t="shared" si="4"/>
        <v>7.9147124748229087</v>
      </c>
      <c r="I17" s="48">
        <f t="shared" si="4"/>
        <v>8.2527913845118199</v>
      </c>
      <c r="J17" s="48">
        <f t="shared" si="4"/>
        <v>8.6013776011002179</v>
      </c>
      <c r="K17" s="48">
        <f t="shared" si="4"/>
        <v>8.960324306621116</v>
      </c>
      <c r="L17" s="48">
        <f t="shared" si="4"/>
        <v>9.3295012134123976</v>
      </c>
      <c r="M17" s="48">
        <f t="shared" si="4"/>
        <v>9.7086761687245069</v>
      </c>
    </row>
    <row r="18" spans="2:13" ht="18" customHeight="1">
      <c r="B18" s="101" t="s">
        <v>369</v>
      </c>
      <c r="C18" s="101"/>
      <c r="D18" s="101"/>
      <c r="E18" s="101"/>
      <c r="F18" s="202">
        <f>F15/F13</f>
        <v>0.50515406516177541</v>
      </c>
      <c r="G18" s="202">
        <f t="shared" ref="G18:M18" si="5">G15/G13</f>
        <v>0.5177346726547486</v>
      </c>
      <c r="H18" s="202">
        <f t="shared" si="5"/>
        <v>0.51467272406558329</v>
      </c>
      <c r="I18" s="202">
        <f t="shared" si="5"/>
        <v>0.51146496840074385</v>
      </c>
      <c r="J18" s="202">
        <f t="shared" si="5"/>
        <v>0.50810446246614993</v>
      </c>
      <c r="K18" s="202">
        <f t="shared" si="5"/>
        <v>0.50458393243943234</v>
      </c>
      <c r="L18" s="202">
        <f t="shared" si="5"/>
        <v>0.50089575812572817</v>
      </c>
      <c r="M18" s="202">
        <f t="shared" si="5"/>
        <v>0.4970319564637527</v>
      </c>
    </row>
    <row r="19" spans="2:13" ht="18" customHeight="1">
      <c r="B19" s="203" t="s">
        <v>370</v>
      </c>
      <c r="C19" s="101"/>
      <c r="D19" s="101"/>
      <c r="E19" s="101"/>
      <c r="F19" s="110">
        <f>(F16/F15)*F13</f>
        <v>2.458699237589288</v>
      </c>
      <c r="G19" s="110">
        <f t="shared" ref="G19:M19" si="6">(G16/G15)*G13</f>
        <v>3.0614845815245366</v>
      </c>
      <c r="H19" s="110">
        <f t="shared" si="6"/>
        <v>3.2237335740799113</v>
      </c>
      <c r="I19" s="110">
        <f t="shared" si="6"/>
        <v>3.3963793194458147</v>
      </c>
      <c r="J19" s="110">
        <f t="shared" si="6"/>
        <v>3.5802080091365962</v>
      </c>
      <c r="K19" s="110">
        <f t="shared" si="6"/>
        <v>3.7761541803793794</v>
      </c>
      <c r="L19" s="110">
        <f t="shared" si="6"/>
        <v>3.9850670134120727</v>
      </c>
      <c r="M19" s="110">
        <f t="shared" si="6"/>
        <v>4.2079326501799201</v>
      </c>
    </row>
    <row r="20" spans="2:13" ht="18" customHeight="1">
      <c r="B20" s="61" t="s">
        <v>371</v>
      </c>
      <c r="C20" s="61"/>
      <c r="D20" s="61"/>
      <c r="E20" s="61"/>
      <c r="F20" s="204">
        <f>F19/F13</f>
        <v>0.18215335761754195</v>
      </c>
      <c r="G20" s="204">
        <f t="shared" ref="G20:M20" si="7">G19/G13</f>
        <v>0.17280827653547032</v>
      </c>
      <c r="H20" s="204">
        <f t="shared" si="7"/>
        <v>0.17330149353906774</v>
      </c>
      <c r="I20" s="204">
        <f t="shared" si="7"/>
        <v>0.17388817600682721</v>
      </c>
      <c r="J20" s="204">
        <f t="shared" si="7"/>
        <v>0.17457129150091763</v>
      </c>
      <c r="K20" s="204">
        <f t="shared" si="7"/>
        <v>0.17535775800978623</v>
      </c>
      <c r="L20" s="204">
        <f t="shared" si="7"/>
        <v>0.17624694422894821</v>
      </c>
      <c r="M20" s="204">
        <f t="shared" si="7"/>
        <v>0.17724151273919447</v>
      </c>
    </row>
    <row r="21" spans="2:13" ht="18" customHeight="1">
      <c r="B21" s="2"/>
      <c r="C21" s="2"/>
      <c r="D21" s="2"/>
      <c r="E21" s="2"/>
      <c r="F21" s="2"/>
      <c r="G21" s="2"/>
      <c r="H21" s="2"/>
      <c r="I21" s="2"/>
      <c r="J21" s="2"/>
      <c r="K21" s="2"/>
      <c r="L21" s="2"/>
      <c r="M21" s="2"/>
    </row>
    <row r="22" spans="2:13" ht="18" customHeight="1">
      <c r="B22" s="193" t="s">
        <v>372</v>
      </c>
      <c r="C22" s="193"/>
      <c r="D22" s="193"/>
      <c r="E22" s="193"/>
      <c r="F22" s="193"/>
      <c r="G22" s="193"/>
      <c r="H22" s="193"/>
      <c r="I22" s="193"/>
      <c r="J22" s="193"/>
      <c r="K22" s="193"/>
      <c r="L22" s="193"/>
      <c r="M22" s="193"/>
    </row>
    <row r="24" spans="2:13" ht="18" customHeight="1">
      <c r="B24" s="2" t="s">
        <v>288</v>
      </c>
      <c r="C24" s="2"/>
      <c r="D24" s="2"/>
      <c r="E24" s="2"/>
      <c r="F24" s="107">
        <f ca="1">IS!F59</f>
        <v>0.46153165910817684</v>
      </c>
      <c r="G24" s="107">
        <f ca="1">IS!G59</f>
        <v>0.43872439605066937</v>
      </c>
      <c r="H24" s="107">
        <f ca="1">IS!H59</f>
        <v>0.4264768945044905</v>
      </c>
      <c r="I24" s="107">
        <f ca="1">IS!I59</f>
        <v>0.42342804536086792</v>
      </c>
      <c r="J24" s="107">
        <f ca="1">IS!J59</f>
        <v>0.42037792862577317</v>
      </c>
      <c r="K24" s="107">
        <f ca="1">IS!K59</f>
        <v>0.41852731114251956</v>
      </c>
      <c r="L24" s="107">
        <f ca="1">IS!L59</f>
        <v>0.4150620778210824</v>
      </c>
      <c r="M24" s="107">
        <f ca="1">IS!M59</f>
        <v>0.41139762440602495</v>
      </c>
    </row>
    <row r="25" spans="2:13" ht="18" customHeight="1">
      <c r="B25" s="119" t="s">
        <v>373</v>
      </c>
      <c r="C25" s="119"/>
      <c r="D25" s="119"/>
      <c r="E25" s="119"/>
      <c r="F25" s="319">
        <f ca="1">AVERAGE(F24:O24)</f>
        <v>0.42694074212745053</v>
      </c>
      <c r="G25" s="319"/>
      <c r="H25" s="319"/>
      <c r="I25" s="319"/>
      <c r="J25" s="319"/>
      <c r="K25" s="319"/>
      <c r="L25" s="319"/>
      <c r="M25" s="319"/>
    </row>
    <row r="26" spans="2:13" ht="18" customHeight="1">
      <c r="B26" s="2" t="s">
        <v>289</v>
      </c>
      <c r="C26" s="2"/>
      <c r="D26" s="2"/>
      <c r="E26" s="2"/>
      <c r="F26" s="107">
        <f ca="1">IS!F61</f>
        <v>0.38373705421815246</v>
      </c>
      <c r="G26" s="107">
        <f ca="1">IS!G61</f>
        <v>0.37945231613446034</v>
      </c>
      <c r="H26" s="107">
        <f ca="1">IS!H61</f>
        <v>0.37018152846385483</v>
      </c>
      <c r="I26" s="107">
        <f ca="1">IS!I61</f>
        <v>0.36966652162734498</v>
      </c>
      <c r="J26" s="107">
        <f ca="1">IS!J61</f>
        <v>0.36917647745098942</v>
      </c>
      <c r="K26" s="107">
        <f ca="1">IS!K61</f>
        <v>0.37061189854173593</v>
      </c>
      <c r="L26" s="107">
        <f ca="1">IS!L61</f>
        <v>0.36955303384687982</v>
      </c>
      <c r="M26" s="107">
        <f ca="1">IS!M61</f>
        <v>0.3679369327046339</v>
      </c>
    </row>
    <row r="27" spans="2:13" ht="18" customHeight="1">
      <c r="B27" s="119" t="s">
        <v>373</v>
      </c>
      <c r="C27" s="119"/>
      <c r="D27" s="119"/>
      <c r="E27" s="119"/>
      <c r="F27" s="319">
        <f ca="1">AVERAGE(F26:O26)</f>
        <v>0.37253947037350643</v>
      </c>
      <c r="G27" s="319"/>
      <c r="H27" s="319"/>
      <c r="I27" s="319"/>
      <c r="J27" s="319"/>
      <c r="K27" s="319"/>
      <c r="L27" s="319"/>
      <c r="M27" s="319"/>
    </row>
    <row r="28" spans="2:13" ht="18" customHeight="1">
      <c r="B28" s="2" t="s">
        <v>290</v>
      </c>
      <c r="C28" s="2"/>
      <c r="D28" s="2"/>
      <c r="E28" s="2"/>
      <c r="F28" s="107">
        <f ca="1">IS!F63</f>
        <v>0.19898276293260217</v>
      </c>
      <c r="G28" s="107">
        <f ca="1">IS!G63</f>
        <v>0.22002298789336044</v>
      </c>
      <c r="H28" s="107">
        <f ca="1">IS!H63</f>
        <v>0.2223303891171827</v>
      </c>
      <c r="I28" s="107">
        <f ca="1">IS!I63</f>
        <v>0.23170942179370321</v>
      </c>
      <c r="J28" s="107">
        <f ca="1">IS!J63</f>
        <v>0.24151153496555861</v>
      </c>
      <c r="K28" s="107">
        <f ca="1">IS!K63</f>
        <v>0.25188791108707692</v>
      </c>
      <c r="L28" s="107">
        <f ca="1">IS!L63</f>
        <v>0.26021955448179579</v>
      </c>
      <c r="M28" s="107">
        <f ca="1">IS!M63</f>
        <v>0.26879475154595656</v>
      </c>
    </row>
    <row r="29" spans="2:13" ht="18" customHeight="1">
      <c r="B29" s="119" t="s">
        <v>373</v>
      </c>
      <c r="C29" s="119"/>
      <c r="D29" s="119"/>
      <c r="E29" s="119"/>
      <c r="F29" s="319">
        <f ca="1">AVERAGE(F28:O28)</f>
        <v>0.23693241422715455</v>
      </c>
      <c r="G29" s="319"/>
      <c r="H29" s="319"/>
      <c r="I29" s="319"/>
      <c r="J29" s="319"/>
      <c r="K29" s="319"/>
      <c r="L29" s="319"/>
      <c r="M29" s="319"/>
    </row>
    <row r="30" spans="2:13" ht="18" customHeight="1">
      <c r="B30" s="2" t="s">
        <v>291</v>
      </c>
      <c r="C30" s="2"/>
      <c r="D30" s="2"/>
      <c r="E30" s="2"/>
      <c r="F30" s="107">
        <f>IS!F65</f>
        <v>0</v>
      </c>
      <c r="G30" s="107">
        <f>IS!G65</f>
        <v>0.3125</v>
      </c>
      <c r="H30" s="107">
        <f>IS!H65</f>
        <v>4.9999999999999822E-2</v>
      </c>
      <c r="I30" s="107">
        <f>IS!I65</f>
        <v>5.0000000000000044E-2</v>
      </c>
      <c r="J30" s="107">
        <f>IS!J65</f>
        <v>5.0000000000000266E-2</v>
      </c>
      <c r="K30" s="107">
        <f>IS!K65</f>
        <v>4.9999999999999822E-2</v>
      </c>
      <c r="L30" s="107">
        <f>IS!L65</f>
        <v>5.0000000000000044E-2</v>
      </c>
      <c r="M30" s="107">
        <f>IS!M65</f>
        <v>5.0000000000000044E-2</v>
      </c>
    </row>
    <row r="31" spans="2:13" ht="18" customHeight="1">
      <c r="B31" s="119" t="s">
        <v>373</v>
      </c>
      <c r="C31" s="119"/>
      <c r="D31" s="119"/>
      <c r="E31" s="119"/>
      <c r="F31" s="319">
        <f>AVERAGE(F30:O30)</f>
        <v>7.6562500000000006E-2</v>
      </c>
      <c r="G31" s="319"/>
      <c r="H31" s="319"/>
      <c r="I31" s="319"/>
      <c r="J31" s="319"/>
      <c r="K31" s="319"/>
      <c r="L31" s="319"/>
      <c r="M31" s="319"/>
    </row>
    <row r="32" spans="2:13" ht="18" customHeight="1">
      <c r="B32" s="2" t="s">
        <v>374</v>
      </c>
      <c r="C32" s="2"/>
      <c r="D32" s="2"/>
      <c r="E32" s="2"/>
      <c r="F32" s="107">
        <f ca="1">IS!F56/(BS!F13+BS!F14+BS!F15)</f>
        <v>0.21699507598350881</v>
      </c>
      <c r="G32" s="107">
        <f ca="1">IS!G56/(BS!G13+BS!G14+BS!G15)</f>
        <v>0.25494633984861897</v>
      </c>
      <c r="H32" s="107">
        <f ca="1">IS!H56/(BS!H13+BS!H14+BS!H15)</f>
        <v>0.24159039026866558</v>
      </c>
      <c r="I32" s="107">
        <f ca="1">IS!I56/(BS!I13+BS!I14+BS!I15)</f>
        <v>0.23270152981391087</v>
      </c>
      <c r="J32" s="107">
        <f ca="1">IS!J56/(BS!J13+BS!J14+BS!J15)</f>
        <v>0.22281133895639568</v>
      </c>
      <c r="K32" s="107">
        <f ca="1">IS!K56/(BS!K13+BS!K14+BS!K15)</f>
        <v>0.21533970593788679</v>
      </c>
      <c r="L32" s="107">
        <f ca="1">IS!L56/(BS!L13+BS!L14+BS!L15)</f>
        <v>0.20842534648255179</v>
      </c>
      <c r="M32" s="107">
        <f ca="1">IS!M56/(BS!M13+BS!M14+BS!M15)</f>
        <v>0.18796898782469226</v>
      </c>
    </row>
    <row r="33" spans="2:13" ht="18" customHeight="1">
      <c r="B33" s="119" t="s">
        <v>373</v>
      </c>
      <c r="C33" s="119"/>
      <c r="D33" s="119"/>
      <c r="E33" s="119"/>
      <c r="F33" s="319">
        <f ca="1">AVERAGE(F32:O32)</f>
        <v>0.22259733938952883</v>
      </c>
      <c r="G33" s="319"/>
      <c r="H33" s="319"/>
      <c r="I33" s="319"/>
      <c r="J33" s="319"/>
      <c r="K33" s="319"/>
      <c r="L33" s="319"/>
      <c r="M33" s="319"/>
    </row>
    <row r="34" spans="2:13" ht="18" customHeight="1">
      <c r="B34" s="2" t="s">
        <v>375</v>
      </c>
      <c r="C34" s="2"/>
      <c r="D34" s="2"/>
      <c r="E34" s="2"/>
      <c r="F34" s="107">
        <f ca="1">IS!F41/(BS!F13)</f>
        <v>0.31288728846376102</v>
      </c>
      <c r="G34" s="107">
        <f ca="1">IS!G41/(BS!G13)</f>
        <v>0.45408779899075058</v>
      </c>
      <c r="H34" s="107">
        <f ca="1">IS!H41/(BS!H13)</f>
        <v>0.48179235229050543</v>
      </c>
      <c r="I34" s="107">
        <f ca="1">IS!I41/(BS!I13)</f>
        <v>0.52722265817100189</v>
      </c>
      <c r="J34" s="107">
        <f ca="1">IS!J41/(BS!J13)</f>
        <v>0.57700230780735995</v>
      </c>
      <c r="K34" s="107">
        <f ca="1">IS!K41/(BS!K13)</f>
        <v>0.63188245368107288</v>
      </c>
      <c r="L34" s="107">
        <f ca="1">IS!L41/(BS!L13)</f>
        <v>0.68542225137257939</v>
      </c>
      <c r="M34" s="107">
        <f ca="1">IS!M41/(BS!M13)</f>
        <v>0.74340992295943698</v>
      </c>
    </row>
    <row r="35" spans="2:13" ht="18" customHeight="1">
      <c r="B35" s="119" t="s">
        <v>373</v>
      </c>
      <c r="C35" s="119"/>
      <c r="D35" s="119"/>
      <c r="E35" s="119"/>
      <c r="F35" s="319">
        <f ca="1">AVERAGE(F34:O34)</f>
        <v>0.55171337921705843</v>
      </c>
      <c r="G35" s="319"/>
      <c r="H35" s="319"/>
      <c r="I35" s="319"/>
      <c r="J35" s="319"/>
      <c r="K35" s="319"/>
      <c r="L35" s="319"/>
      <c r="M35" s="319"/>
    </row>
    <row r="36" spans="2:13" ht="18" customHeight="1">
      <c r="B36" s="2" t="s">
        <v>376</v>
      </c>
      <c r="C36" s="2"/>
      <c r="D36" s="2"/>
      <c r="E36" s="2"/>
      <c r="F36" s="107">
        <f ca="1">IS!F41/(BS!F13+BS!F14)</f>
        <v>0.23831999228957235</v>
      </c>
      <c r="G36" s="107">
        <f ca="1">IS!G41/(BS!G13+BS!G14)</f>
        <v>0.25698596557176445</v>
      </c>
      <c r="H36" s="107">
        <f ca="1">IS!H41/(BS!H13+BS!H14)</f>
        <v>0.21424729999876505</v>
      </c>
      <c r="I36" s="107">
        <f ca="1">IS!I41/(BS!I13+BS!I14)</f>
        <v>0.18992238429337213</v>
      </c>
      <c r="J36" s="107">
        <f ca="1">IS!J41/(BS!J13+BS!J14)</f>
        <v>0.17208577831027824</v>
      </c>
      <c r="K36" s="107">
        <f ca="1">IS!K41/(BS!K13+BS!K14)</f>
        <v>0.1585702126102673</v>
      </c>
      <c r="L36" s="107">
        <f ca="1">IS!L41/(BS!L13+BS!L14)</f>
        <v>0.14676202286807846</v>
      </c>
      <c r="M36" s="107">
        <f ca="1">IS!M41/(BS!M13+BS!M14)</f>
        <v>0.13731993961378908</v>
      </c>
    </row>
    <row r="37" spans="2:13" ht="18" customHeight="1">
      <c r="B37" s="119" t="s">
        <v>373</v>
      </c>
      <c r="C37" s="119"/>
      <c r="D37" s="119"/>
      <c r="E37" s="119"/>
      <c r="F37" s="319">
        <f ca="1">AVERAGE(F36:O36)</f>
        <v>0.18927669944448589</v>
      </c>
      <c r="G37" s="319"/>
      <c r="H37" s="319"/>
      <c r="I37" s="319"/>
      <c r="J37" s="319"/>
      <c r="K37" s="319"/>
      <c r="L37" s="319"/>
      <c r="M37" s="319"/>
    </row>
    <row r="38" spans="2:13" ht="18" customHeight="1">
      <c r="B38" s="2" t="s">
        <v>336</v>
      </c>
      <c r="C38" s="2"/>
      <c r="D38" s="2"/>
      <c r="E38" s="2"/>
      <c r="F38" s="48">
        <f ca="1">DSCR!F21</f>
        <v>3.367795823203291</v>
      </c>
      <c r="G38" s="48">
        <f ca="1">DSCR!G21</f>
        <v>2.2280892110446815</v>
      </c>
      <c r="H38" s="48">
        <f ca="1">DSCR!H21</f>
        <v>2.3818379496121778</v>
      </c>
      <c r="I38" s="48">
        <f ca="1">DSCR!I21</f>
        <v>2.1361986401881841</v>
      </c>
      <c r="J38" s="48">
        <f ca="1">DSCR!J21</f>
        <v>2.3655781332072743</v>
      </c>
      <c r="K38" s="48">
        <f ca="1">DSCR!K21</f>
        <v>2.630261475634438</v>
      </c>
      <c r="L38" s="48">
        <f ca="1">DSCR!L21</f>
        <v>2.610640401225838</v>
      </c>
      <c r="M38" s="48">
        <f ca="1">DSCR!M21</f>
        <v>2.4887679741686619</v>
      </c>
    </row>
    <row r="39" spans="2:13" ht="18" customHeight="1">
      <c r="B39" s="119" t="s">
        <v>373</v>
      </c>
      <c r="C39" s="119"/>
      <c r="D39" s="119"/>
      <c r="E39" s="119"/>
      <c r="F39" s="318">
        <f ca="1">AVERAGE(F38:O38)</f>
        <v>2.5261462010355684</v>
      </c>
      <c r="G39" s="318"/>
      <c r="H39" s="318"/>
      <c r="I39" s="318"/>
      <c r="J39" s="318"/>
      <c r="K39" s="318"/>
      <c r="L39" s="318"/>
      <c r="M39" s="318"/>
    </row>
    <row r="40" spans="2:13" ht="18" customHeight="1">
      <c r="B40" s="2" t="s">
        <v>377</v>
      </c>
      <c r="C40" s="2"/>
      <c r="D40" s="2"/>
      <c r="E40" s="2"/>
      <c r="F40" s="48">
        <f ca="1">IS!F55/(IS!F36+IS!F37)</f>
        <v>3.9168925689652068</v>
      </c>
      <c r="G40" s="48">
        <f ca="1">IS!G55/(IS!G36+IS!G37)</f>
        <v>5.1355007074807411</v>
      </c>
      <c r="H40" s="48">
        <f ca="1">IS!H55/(IS!H36+IS!H37)</f>
        <v>5.8361138890023598</v>
      </c>
      <c r="I40" s="48">
        <f ca="1">IS!I55/(IS!I36+IS!I37)</f>
        <v>7.053955876753637</v>
      </c>
      <c r="J40" s="48">
        <f ca="1">IS!J55/(IS!J36+IS!J37)</f>
        <v>9.052423596600466</v>
      </c>
      <c r="K40" s="48">
        <f ca="1">IS!K55/(IS!K36+IS!K37)</f>
        <v>12.306964059619322</v>
      </c>
      <c r="L40" s="48">
        <f ca="1">IS!L55/(IS!L36+IS!L37)</f>
        <v>19.026720155404327</v>
      </c>
      <c r="M40" s="48">
        <f ca="1">IS!M55/(IS!M36+IS!M37)</f>
        <v>47.074285802054135</v>
      </c>
    </row>
    <row r="41" spans="2:13" ht="18" customHeight="1">
      <c r="B41" s="119" t="s">
        <v>373</v>
      </c>
      <c r="C41" s="119"/>
      <c r="D41" s="119"/>
      <c r="E41" s="119"/>
      <c r="F41" s="318">
        <f ca="1">AVERAGE(F40:O40)</f>
        <v>13.675357081985023</v>
      </c>
      <c r="G41" s="318"/>
      <c r="H41" s="318"/>
      <c r="I41" s="318"/>
      <c r="J41" s="318"/>
      <c r="K41" s="318"/>
      <c r="L41" s="318"/>
      <c r="M41" s="318"/>
    </row>
    <row r="42" spans="2:13" ht="18" customHeight="1">
      <c r="B42" s="2" t="s">
        <v>378</v>
      </c>
      <c r="C42" s="2"/>
      <c r="D42" s="2"/>
      <c r="E42" s="2"/>
      <c r="F42" s="48">
        <f>IFERROR(BS!F31/BS!F15,0)</f>
        <v>1.6724271672904127</v>
      </c>
      <c r="G42" s="48">
        <f>IFERROR(BS!G31/BS!G15,0)</f>
        <v>1.7877244310879525</v>
      </c>
      <c r="H42" s="48">
        <f>IFERROR(BS!H31/BS!H15,0)</f>
        <v>2.0626686510663013</v>
      </c>
      <c r="I42" s="48">
        <f>IFERROR(BS!I31/BS!I15,0)</f>
        <v>2.4900324094217372</v>
      </c>
      <c r="J42" s="48">
        <f>IFERROR(BS!J31/BS!J15,0)</f>
        <v>3.246350011402229</v>
      </c>
      <c r="K42" s="48">
        <f>IFERROR(BS!K31/BS!K15,0)</f>
        <v>5.5501177308123841</v>
      </c>
      <c r="L42" s="48" t="s">
        <v>794</v>
      </c>
      <c r="M42" s="48" t="s">
        <v>794</v>
      </c>
    </row>
    <row r="43" spans="2:13" ht="18" customHeight="1">
      <c r="B43" s="119" t="s">
        <v>373</v>
      </c>
      <c r="C43" s="119"/>
      <c r="D43" s="119"/>
      <c r="E43" s="119"/>
      <c r="F43" s="318">
        <f>AVERAGE(F42:O42)</f>
        <v>2.8015534001801696</v>
      </c>
      <c r="G43" s="318"/>
      <c r="H43" s="318"/>
      <c r="I43" s="318"/>
      <c r="J43" s="318"/>
      <c r="K43" s="318"/>
      <c r="L43" s="318"/>
      <c r="M43" s="318"/>
    </row>
    <row r="44" spans="2:13" ht="18" customHeight="1">
      <c r="B44" s="2" t="s">
        <v>379</v>
      </c>
      <c r="C44" s="2"/>
      <c r="D44" s="2"/>
      <c r="E44" s="2"/>
      <c r="F44" s="48">
        <f ca="1">'Working Capital Assessment'!F66/'Working Capital Assessment'!F67</f>
        <v>2.3703246321712363</v>
      </c>
      <c r="G44" s="48">
        <f ca="1">'Working Capital Assessment'!G66/'Working Capital Assessment'!G67</f>
        <v>2.4204990135323801</v>
      </c>
      <c r="H44" s="48">
        <f ca="1">'Working Capital Assessment'!H66/'Working Capital Assessment'!H67</f>
        <v>2.4143310744436155</v>
      </c>
      <c r="I44" s="48">
        <f ca="1">'Working Capital Assessment'!I66/'Working Capital Assessment'!I67</f>
        <v>2.404921884412353</v>
      </c>
      <c r="J44" s="48">
        <f ca="1">'Working Capital Assessment'!J66/'Working Capital Assessment'!J67</f>
        <v>2.3950279578851323</v>
      </c>
      <c r="K44" s="48">
        <f ca="1">'Working Capital Assessment'!K66/'Working Capital Assessment'!K67</f>
        <v>2.3844780719293439</v>
      </c>
      <c r="L44" s="48">
        <f ca="1">'Working Capital Assessment'!L66/'Working Capital Assessment'!L67</f>
        <v>2.3737601134679798</v>
      </c>
      <c r="M44" s="48">
        <f ca="1">'Working Capital Assessment'!M66/'Working Capital Assessment'!M67</f>
        <v>2.3627182208170248</v>
      </c>
    </row>
    <row r="45" spans="2:13" ht="18" customHeight="1">
      <c r="B45" s="119" t="s">
        <v>373</v>
      </c>
      <c r="C45" s="119"/>
      <c r="D45" s="119"/>
      <c r="E45" s="119"/>
      <c r="F45" s="318">
        <f ca="1">AVERAGE(F44:O44)</f>
        <v>2.3907576210823831</v>
      </c>
      <c r="G45" s="318"/>
      <c r="H45" s="318"/>
      <c r="I45" s="318"/>
      <c r="J45" s="318"/>
      <c r="K45" s="318"/>
      <c r="L45" s="318"/>
      <c r="M45" s="318"/>
    </row>
    <row r="46" spans="2:13" ht="18" customHeight="1">
      <c r="B46" s="2" t="s">
        <v>380</v>
      </c>
      <c r="C46" s="2"/>
      <c r="D46" s="2"/>
      <c r="E46" s="2"/>
      <c r="F46" s="48">
        <f ca="1">(BS!F15+BS!F17+BS!F18+BS!F19)/(BS!F13+BS!F14-BS!F40)</f>
        <v>1.3819917125355616</v>
      </c>
      <c r="G46" s="48">
        <f ca="1">(BS!G15+BS!G17+BS!G18+BS!G19)/(BS!G13+BS!G14-BS!G40)</f>
        <v>0.94637036343371583</v>
      </c>
      <c r="H46" s="48">
        <f ca="1">(BS!H15+BS!H17+BS!H18+BS!H19)/(BS!H13+BS!H14-BS!H40)</f>
        <v>0.67203379196747781</v>
      </c>
      <c r="I46" s="48">
        <f ca="1">(BS!I15+BS!I17+BS!I18+BS!I19)/(BS!I13+BS!I14-BS!I40)</f>
        <v>0.46213679700583143</v>
      </c>
      <c r="J46" s="48">
        <f ca="1">(BS!J15+BS!J17+BS!J18+BS!J19)/(BS!J13+BS!J14-BS!J40)</f>
        <v>0.3150766066506096</v>
      </c>
      <c r="K46" s="48">
        <f ca="1">(BS!K15+BS!K17+BS!K18+BS!K19)/(BS!K13+BS!K14-BS!K40)</f>
        <v>0.20881769428735603</v>
      </c>
      <c r="L46" s="48">
        <f ca="1">(BS!L15+BS!L17+BS!L18+BS!L19)/(BS!L13+BS!L14-BS!L40)</f>
        <v>0.12169126271388227</v>
      </c>
      <c r="M46" s="48">
        <f ca="1">(BS!M15+BS!M17+BS!M18+BS!M19)/(BS!M13+BS!M14-BS!M40)</f>
        <v>4.5362253459411833E-2</v>
      </c>
    </row>
    <row r="47" spans="2:13" ht="18" customHeight="1">
      <c r="B47" s="119" t="s">
        <v>373</v>
      </c>
      <c r="C47" s="119"/>
      <c r="D47" s="119"/>
      <c r="E47" s="119"/>
      <c r="F47" s="318">
        <f ca="1">AVERAGE(F46:O46)</f>
        <v>0.51918506025673072</v>
      </c>
      <c r="G47" s="318"/>
      <c r="H47" s="318"/>
      <c r="I47" s="318"/>
      <c r="J47" s="318"/>
      <c r="K47" s="318"/>
      <c r="L47" s="318"/>
      <c r="M47" s="318"/>
    </row>
    <row r="48" spans="2:13" ht="18" customHeight="1">
      <c r="B48" s="2" t="s">
        <v>381</v>
      </c>
      <c r="C48" s="2"/>
      <c r="D48" s="2"/>
      <c r="E48" s="2"/>
      <c r="F48" s="48">
        <f ca="1">(BS!F15+BS!F18)/(BS!F13)</f>
        <v>1.6309185515793119</v>
      </c>
      <c r="G48" s="48">
        <f ca="1">(BS!G15+BS!G18)/(BS!G13)</f>
        <v>1.4678266964213806</v>
      </c>
      <c r="H48" s="48">
        <f ca="1">(BS!H15+BS!H18)/(BS!H13)</f>
        <v>1.3047348412634494</v>
      </c>
      <c r="I48" s="48">
        <f ca="1">(BS!I15+BS!I18)/(BS!I13)</f>
        <v>1.0716765802427657</v>
      </c>
      <c r="J48" s="48">
        <f ca="1">(BS!J15+BS!J18)/(BS!J13)</f>
        <v>0.83861831922208196</v>
      </c>
      <c r="K48" s="48">
        <f ca="1">(BS!K15+BS!K18)/(BS!K13)</f>
        <v>0.60556005820139824</v>
      </c>
      <c r="L48" s="48">
        <f ca="1">(BS!L15+BS!L18)/(BS!L13)</f>
        <v>0.33254429266702179</v>
      </c>
      <c r="M48" s="48">
        <f ca="1">(BS!M15+BS!M18)/(BS!M13)</f>
        <v>0</v>
      </c>
    </row>
    <row r="49" spans="2:13" ht="18" customHeight="1">
      <c r="B49" s="119" t="s">
        <v>373</v>
      </c>
      <c r="C49" s="119"/>
      <c r="D49" s="119"/>
      <c r="E49" s="119"/>
      <c r="F49" s="318">
        <f ca="1">AVERAGE(F48:O48)</f>
        <v>0.90648491744967619</v>
      </c>
      <c r="G49" s="318"/>
      <c r="H49" s="318"/>
      <c r="I49" s="318"/>
      <c r="J49" s="318"/>
      <c r="K49" s="318"/>
      <c r="L49" s="318"/>
      <c r="M49" s="318"/>
    </row>
  </sheetData>
  <mergeCells count="15">
    <mergeCell ref="F47:M47"/>
    <mergeCell ref="F49:M49"/>
    <mergeCell ref="D8:E8"/>
    <mergeCell ref="F25:M25"/>
    <mergeCell ref="F27:M27"/>
    <mergeCell ref="F29:M29"/>
    <mergeCell ref="F31:M31"/>
    <mergeCell ref="F33:M33"/>
    <mergeCell ref="F35:M35"/>
    <mergeCell ref="F37:M37"/>
    <mergeCell ref="F39:M39"/>
    <mergeCell ref="F41:M41"/>
    <mergeCell ref="F43:M43"/>
    <mergeCell ref="F45:M45"/>
    <mergeCell ref="F8:M8"/>
  </mergeCells>
  <pageMargins left="0.7" right="0.7" top="0.75" bottom="0.75" header="0.3" footer="0.3"/>
  <pageSetup orientation="portrait" r:id="rId1"/>
  <ignoredErrors>
    <ignoredError sqref="F26:M26 F28 F30 F42:K42 F44:M44 F38:M38 F40:M40 F16:M16 F46 F36 F48 F32:M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showGridLines="0" workbookViewId="0"/>
  </sheetViews>
  <sheetFormatPr defaultColWidth="13.7109375" defaultRowHeight="18" customHeight="1"/>
  <cols>
    <col min="1" max="1" width="4.85546875" style="1" customWidth="1"/>
    <col min="2" max="2" width="9.5703125" style="1" customWidth="1"/>
    <col min="3" max="3" width="50.42578125" style="1" bestFit="1" customWidth="1"/>
    <col min="4" max="4" width="22.85546875" style="1" customWidth="1"/>
    <col min="5" max="5" width="17.140625" style="1" customWidth="1"/>
    <col min="6" max="6" width="23.5703125" style="1" customWidth="1"/>
    <col min="7" max="15" width="12.7109375" style="1" customWidth="1"/>
    <col min="16" max="16384" width="13.7109375" style="1"/>
  </cols>
  <sheetData>
    <row r="1" spans="2:16" ht="15.75" customHeight="1"/>
    <row r="2" spans="2:16" s="2" customFormat="1" ht="18" customHeight="1">
      <c r="B2" s="36" t="str">
        <f>"Financial Model of " &amp; B4</f>
        <v>Financial Model of Proposed 6000 KGPD CBG plant set up M/s. SRSBIOX RENEWABLE LLP.</v>
      </c>
      <c r="C2" s="254"/>
      <c r="D2" s="254"/>
      <c r="E2" s="254"/>
      <c r="F2" s="254"/>
      <c r="G2" s="1"/>
      <c r="H2" s="1"/>
      <c r="I2" s="1"/>
      <c r="J2" s="1"/>
      <c r="K2" s="1"/>
      <c r="L2" s="1"/>
      <c r="M2" s="1"/>
      <c r="N2" s="1"/>
      <c r="O2" s="1"/>
      <c r="P2" s="27"/>
    </row>
    <row r="3" spans="2:16" s="2" customFormat="1" ht="12" customHeight="1">
      <c r="C3" s="27"/>
      <c r="D3" s="27"/>
      <c r="E3" s="27"/>
      <c r="F3" s="27"/>
      <c r="G3" s="1"/>
      <c r="H3" s="1"/>
      <c r="I3" s="1"/>
      <c r="J3" s="1"/>
      <c r="K3" s="1"/>
      <c r="L3" s="1"/>
      <c r="M3" s="1"/>
      <c r="N3" s="1"/>
      <c r="O3" s="1"/>
      <c r="P3" s="27"/>
    </row>
    <row r="4" spans="2:16" s="2" customFormat="1" ht="18" customHeight="1">
      <c r="B4" s="28" t="str">
        <f>'Common Assumption'!B4</f>
        <v>Proposed 6000 KGPD CBG plant set up M/s. SRSBIOX RENEWABLE LLP.</v>
      </c>
      <c r="C4" s="28"/>
      <c r="D4" s="29"/>
      <c r="E4" s="29"/>
      <c r="F4" s="29"/>
      <c r="G4" s="1"/>
      <c r="H4" s="1"/>
      <c r="I4" s="1"/>
      <c r="J4" s="1"/>
      <c r="K4" s="1"/>
      <c r="L4" s="1"/>
      <c r="M4" s="1"/>
      <c r="N4" s="1"/>
      <c r="O4" s="1"/>
      <c r="P4" s="27"/>
    </row>
    <row r="5" spans="2:16" s="2" customFormat="1" ht="13.5" customHeight="1">
      <c r="C5" s="27"/>
      <c r="D5" s="27"/>
      <c r="F5" s="30"/>
      <c r="G5" s="1"/>
      <c r="H5" s="1"/>
      <c r="I5" s="1"/>
      <c r="J5" s="1"/>
      <c r="K5" s="1"/>
      <c r="L5" s="1"/>
      <c r="M5" s="1"/>
      <c r="N5" s="1"/>
      <c r="O5" s="1"/>
      <c r="P5" s="27"/>
    </row>
    <row r="6" spans="2:16" s="2" customFormat="1" ht="18" customHeight="1">
      <c r="B6" s="28" t="s">
        <v>441</v>
      </c>
      <c r="C6" s="28"/>
      <c r="D6" s="29"/>
      <c r="E6" s="29"/>
      <c r="F6" s="29"/>
      <c r="G6" s="1"/>
      <c r="H6" s="1"/>
      <c r="I6" s="1"/>
      <c r="J6" s="1"/>
      <c r="K6" s="1"/>
      <c r="L6" s="1"/>
      <c r="M6" s="1"/>
      <c r="N6" s="1"/>
      <c r="O6" s="1"/>
      <c r="P6" s="27"/>
    </row>
    <row r="7" spans="2:16" s="2" customFormat="1" ht="12.75" customHeight="1">
      <c r="C7" s="27"/>
      <c r="D7" s="27"/>
      <c r="F7" s="30"/>
      <c r="G7" s="1"/>
      <c r="H7" s="1"/>
      <c r="I7" s="1"/>
      <c r="J7" s="1"/>
      <c r="K7" s="1"/>
      <c r="L7" s="1"/>
      <c r="M7" s="1"/>
      <c r="N7" s="1"/>
      <c r="O7" s="1"/>
      <c r="P7" s="27"/>
    </row>
    <row r="8" spans="2:16" s="2" customFormat="1" ht="18" hidden="1" customHeight="1">
      <c r="C8" s="27"/>
      <c r="D8" s="308" t="s">
        <v>8</v>
      </c>
      <c r="E8" s="308"/>
      <c r="F8" s="309" t="s">
        <v>50</v>
      </c>
      <c r="G8" s="309"/>
      <c r="H8" s="309"/>
      <c r="I8" s="309"/>
      <c r="J8" s="309"/>
      <c r="K8" s="309"/>
      <c r="L8" s="309"/>
      <c r="M8" s="309"/>
      <c r="N8" s="1"/>
      <c r="O8" s="1"/>
      <c r="P8" s="27"/>
    </row>
    <row r="9" spans="2:16" s="2" customFormat="1" ht="18" hidden="1" customHeight="1">
      <c r="B9" s="31" t="s">
        <v>51</v>
      </c>
      <c r="C9" s="32" t="s">
        <v>52</v>
      </c>
      <c r="D9" s="33"/>
      <c r="E9" s="33">
        <f>'Common Assumption'!E13</f>
        <v>45747</v>
      </c>
      <c r="F9" s="33">
        <f>DATE(YEAR(E9)+1,MONTH(E9),DAY(E9))</f>
        <v>46112</v>
      </c>
      <c r="G9" s="33">
        <f>DATE(YEAR(F9)+1,MONTH(F9),DAY(F9))</f>
        <v>46477</v>
      </c>
      <c r="H9" s="33">
        <f t="shared" ref="H9:M9" si="0">DATE(YEAR(G9)+1,MONTH(G9),DAY(G9))</f>
        <v>46843</v>
      </c>
      <c r="I9" s="33">
        <f t="shared" si="0"/>
        <v>47208</v>
      </c>
      <c r="J9" s="33">
        <f t="shared" si="0"/>
        <v>47573</v>
      </c>
      <c r="K9" s="33">
        <f t="shared" si="0"/>
        <v>47938</v>
      </c>
      <c r="L9" s="33">
        <f t="shared" si="0"/>
        <v>48304</v>
      </c>
      <c r="M9" s="33">
        <f t="shared" si="0"/>
        <v>48669</v>
      </c>
      <c r="N9" s="1"/>
      <c r="O9" s="1"/>
      <c r="P9" s="27"/>
    </row>
    <row r="10" spans="2:16" s="34" customFormat="1" ht="18" hidden="1" customHeight="1">
      <c r="B10" s="39" t="s">
        <v>53</v>
      </c>
      <c r="C10" s="40"/>
      <c r="D10" s="38"/>
      <c r="E10" s="38">
        <v>0</v>
      </c>
      <c r="F10" s="41">
        <v>1</v>
      </c>
      <c r="G10" s="41">
        <f>F10+1</f>
        <v>2</v>
      </c>
      <c r="H10" s="41">
        <f t="shared" ref="H10:M10" si="1">G10+1</f>
        <v>3</v>
      </c>
      <c r="I10" s="41">
        <f t="shared" si="1"/>
        <v>4</v>
      </c>
      <c r="J10" s="41">
        <f t="shared" si="1"/>
        <v>5</v>
      </c>
      <c r="K10" s="41">
        <f t="shared" si="1"/>
        <v>6</v>
      </c>
      <c r="L10" s="41">
        <f t="shared" si="1"/>
        <v>7</v>
      </c>
      <c r="M10" s="41">
        <f t="shared" si="1"/>
        <v>8</v>
      </c>
      <c r="N10" s="1"/>
      <c r="O10" s="1"/>
      <c r="P10" s="35"/>
    </row>
    <row r="11" spans="2:16" s="34" customFormat="1" ht="18" hidden="1" customHeight="1">
      <c r="B11" s="39" t="s">
        <v>54</v>
      </c>
      <c r="C11" s="40">
        <f>'Common Assumption'!E12</f>
        <v>7</v>
      </c>
      <c r="D11" s="38"/>
      <c r="E11" s="38">
        <f>C11</f>
        <v>7</v>
      </c>
      <c r="F11" s="40">
        <f>MONTH(F9-E9)</f>
        <v>12</v>
      </c>
      <c r="G11" s="40">
        <f t="shared" ref="G11:M11" si="2">MONTH(G9-F9)</f>
        <v>12</v>
      </c>
      <c r="H11" s="40">
        <f t="shared" si="2"/>
        <v>12</v>
      </c>
      <c r="I11" s="40">
        <f t="shared" si="2"/>
        <v>12</v>
      </c>
      <c r="J11" s="40">
        <f t="shared" si="2"/>
        <v>12</v>
      </c>
      <c r="K11" s="40">
        <f t="shared" si="2"/>
        <v>12</v>
      </c>
      <c r="L11" s="40">
        <f t="shared" si="2"/>
        <v>12</v>
      </c>
      <c r="M11" s="40">
        <f t="shared" si="2"/>
        <v>12</v>
      </c>
      <c r="N11" s="1"/>
      <c r="O11" s="1"/>
      <c r="P11" s="35"/>
    </row>
    <row r="12" spans="2:16" ht="19.5" hidden="1" customHeight="1">
      <c r="B12" s="320" t="s">
        <v>464</v>
      </c>
      <c r="C12" s="320"/>
      <c r="D12" s="320"/>
      <c r="E12" s="320"/>
    </row>
    <row r="13" spans="2:16" ht="19.5" hidden="1" customHeight="1">
      <c r="B13" s="259" t="s">
        <v>443</v>
      </c>
      <c r="C13" s="257" t="s">
        <v>2</v>
      </c>
      <c r="D13" s="259" t="s">
        <v>465</v>
      </c>
      <c r="E13" s="259" t="s">
        <v>466</v>
      </c>
    </row>
    <row r="14" spans="2:16" ht="19.5" hidden="1" customHeight="1">
      <c r="B14" s="258" t="s">
        <v>444</v>
      </c>
      <c r="C14" s="256" t="s">
        <v>445</v>
      </c>
      <c r="D14" s="258">
        <v>2.83</v>
      </c>
      <c r="E14" s="258">
        <v>4.3899999999999997</v>
      </c>
    </row>
    <row r="15" spans="2:16" ht="19.5" hidden="1" customHeight="1">
      <c r="B15" s="258" t="s">
        <v>448</v>
      </c>
      <c r="C15" s="256" t="s">
        <v>449</v>
      </c>
      <c r="D15" s="258">
        <v>2.4700000000000002</v>
      </c>
      <c r="E15" s="258">
        <v>3.91</v>
      </c>
    </row>
    <row r="16" spans="2:16" ht="19.5" hidden="1" customHeight="1">
      <c r="B16" s="258" t="s">
        <v>452</v>
      </c>
      <c r="C16" s="256" t="s">
        <v>453</v>
      </c>
      <c r="D16" s="258">
        <v>3.07</v>
      </c>
      <c r="E16" s="258">
        <v>4.71</v>
      </c>
    </row>
    <row r="17" spans="2:6" ht="19.5" hidden="1" customHeight="1">
      <c r="B17" s="258" t="s">
        <v>456</v>
      </c>
      <c r="C17" s="256" t="s">
        <v>457</v>
      </c>
      <c r="D17" s="258">
        <v>2.95</v>
      </c>
      <c r="E17" s="258">
        <v>4.57</v>
      </c>
    </row>
    <row r="18" spans="2:6" ht="19.5" hidden="1" customHeight="1">
      <c r="B18" s="258" t="s">
        <v>460</v>
      </c>
      <c r="C18" s="256" t="s">
        <v>461</v>
      </c>
      <c r="D18" s="258">
        <v>3.05</v>
      </c>
      <c r="E18" s="258">
        <v>4.49</v>
      </c>
    </row>
    <row r="19" spans="2:6" ht="15" hidden="1"/>
    <row r="20" spans="2:6" ht="22.5" hidden="1" customHeight="1">
      <c r="B20" s="320" t="s">
        <v>442</v>
      </c>
      <c r="C20" s="320"/>
      <c r="D20" s="320"/>
      <c r="E20" s="320"/>
      <c r="F20" s="320"/>
    </row>
    <row r="21" spans="2:6" ht="22.5" hidden="1" customHeight="1">
      <c r="B21" s="259" t="s">
        <v>443</v>
      </c>
      <c r="C21" s="257" t="s">
        <v>2</v>
      </c>
      <c r="D21" s="259" t="s">
        <v>356</v>
      </c>
      <c r="E21" s="259" t="s">
        <v>357</v>
      </c>
      <c r="F21" s="259" t="s">
        <v>362</v>
      </c>
    </row>
    <row r="22" spans="2:6" ht="22.5" hidden="1" customHeight="1">
      <c r="B22" s="258" t="s">
        <v>444</v>
      </c>
      <c r="C22" s="256" t="s">
        <v>445</v>
      </c>
      <c r="D22" s="258" t="s">
        <v>446</v>
      </c>
      <c r="E22" s="260">
        <v>0.28310000000000002</v>
      </c>
      <c r="F22" s="258" t="s">
        <v>447</v>
      </c>
    </row>
    <row r="23" spans="2:6" ht="22.5" hidden="1" customHeight="1">
      <c r="B23" s="258" t="s">
        <v>448</v>
      </c>
      <c r="C23" s="256" t="s">
        <v>449</v>
      </c>
      <c r="D23" s="258" t="s">
        <v>450</v>
      </c>
      <c r="E23" s="260">
        <v>0.23419999999999999</v>
      </c>
      <c r="F23" s="258" t="s">
        <v>451</v>
      </c>
    </row>
    <row r="24" spans="2:6" ht="22.5" hidden="1" customHeight="1">
      <c r="B24" s="258" t="s">
        <v>452</v>
      </c>
      <c r="C24" s="256" t="s">
        <v>453</v>
      </c>
      <c r="D24" s="258" t="s">
        <v>454</v>
      </c>
      <c r="E24" s="260">
        <v>0.31319999999999998</v>
      </c>
      <c r="F24" s="258" t="s">
        <v>455</v>
      </c>
    </row>
    <row r="25" spans="2:6" ht="22.5" hidden="1" customHeight="1">
      <c r="B25" s="258" t="s">
        <v>456</v>
      </c>
      <c r="C25" s="256" t="s">
        <v>457</v>
      </c>
      <c r="D25" s="258" t="s">
        <v>458</v>
      </c>
      <c r="E25" s="260">
        <v>0.2964</v>
      </c>
      <c r="F25" s="258" t="s">
        <v>459</v>
      </c>
    </row>
    <row r="26" spans="2:6" ht="22.5" hidden="1" customHeight="1">
      <c r="B26" s="258" t="s">
        <v>460</v>
      </c>
      <c r="C26" s="256" t="s">
        <v>461</v>
      </c>
      <c r="D26" s="258" t="s">
        <v>462</v>
      </c>
      <c r="E26" s="260">
        <v>0.33239999999999997</v>
      </c>
      <c r="F26" s="258" t="s">
        <v>463</v>
      </c>
    </row>
  </sheetData>
  <mergeCells count="4">
    <mergeCell ref="D8:E8"/>
    <mergeCell ref="F8:M8"/>
    <mergeCell ref="B20:F20"/>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Revised Cost Sheet</vt:lpstr>
      <vt:lpstr>6 TPD CBG Cost sheet</vt:lpstr>
      <vt:lpstr>Input &amp; Output Calc.</vt:lpstr>
      <vt:lpstr>TPC and MoF</vt:lpstr>
      <vt:lpstr>Sheet1</vt:lpstr>
      <vt:lpstr>Common Assumption</vt:lpstr>
      <vt:lpstr>Revenue &amp; Expense Modelling</vt:lpstr>
      <vt:lpstr>IS</vt:lpstr>
      <vt:lpstr>BS</vt:lpstr>
      <vt:lpstr>CFS</vt:lpstr>
      <vt:lpstr>sal &amp; wages</vt:lpstr>
      <vt:lpstr>Loan Schedule</vt:lpstr>
      <vt:lpstr>Depreciation Schedule</vt:lpstr>
      <vt:lpstr>Working Capital Assessment</vt:lpstr>
      <vt:lpstr>DSCR</vt:lpstr>
      <vt:lpstr>NPV &amp; IRR, Payback Period</vt:lpstr>
      <vt:lpstr>Ratio and Break Even Analysis</vt:lpstr>
      <vt:lpstr>Sensitivity Analysis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2024-09-05T08:16:26Z</dcterms:modified>
</cp:coreProperties>
</file>