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L-1" sheetId="1" r:id="rId1"/>
    <sheet name="TL-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6" i="1"/>
  <c r="F16" s="1"/>
  <c r="E15"/>
  <c r="F15" s="1"/>
  <c r="E14"/>
  <c r="F14" s="1"/>
  <c r="D14"/>
  <c r="F13"/>
  <c r="E13"/>
  <c r="E12"/>
  <c r="F12" s="1"/>
  <c r="F11"/>
  <c r="E11"/>
  <c r="D10"/>
  <c r="E10" s="1"/>
  <c r="F9"/>
  <c r="E9"/>
  <c r="E8"/>
  <c r="F8" s="1"/>
  <c r="D7"/>
  <c r="E7" s="1"/>
  <c r="F7" s="1"/>
  <c r="F6"/>
  <c r="E6"/>
  <c r="E5"/>
  <c r="F5" s="1"/>
  <c r="F4"/>
  <c r="E4"/>
  <c r="E3"/>
  <c r="F3" s="1"/>
  <c r="F20" l="1"/>
  <c r="F10"/>
  <c r="J58" i="2" l="1"/>
  <c r="J60" s="1"/>
  <c r="I58"/>
  <c r="I60" s="1"/>
  <c r="G57"/>
  <c r="F57"/>
  <c r="H57" s="1"/>
  <c r="K57" s="1"/>
  <c r="H56"/>
  <c r="K56" s="1"/>
  <c r="G56"/>
  <c r="H55"/>
  <c r="K55" s="1"/>
  <c r="G55"/>
  <c r="H54"/>
  <c r="K54" s="1"/>
  <c r="G54"/>
  <c r="F54"/>
  <c r="K53"/>
  <c r="H53"/>
  <c r="H52"/>
  <c r="K52" s="1"/>
  <c r="G52"/>
  <c r="H51"/>
  <c r="K51" s="1"/>
  <c r="G51"/>
  <c r="H50"/>
  <c r="K50" s="1"/>
  <c r="G50"/>
  <c r="H49"/>
  <c r="K49" s="1"/>
  <c r="G49"/>
  <c r="H48"/>
  <c r="K48" s="1"/>
  <c r="G48"/>
  <c r="F48"/>
  <c r="K47"/>
  <c r="H47"/>
  <c r="G47"/>
  <c r="F47"/>
  <c r="K46"/>
  <c r="H46"/>
  <c r="G46"/>
  <c r="F45"/>
  <c r="G45" s="1"/>
  <c r="G44"/>
  <c r="F44"/>
  <c r="H44" s="1"/>
  <c r="K44" s="1"/>
  <c r="H43"/>
  <c r="K43" s="1"/>
  <c r="G43"/>
  <c r="F43"/>
  <c r="K42"/>
  <c r="H42"/>
  <c r="G42"/>
  <c r="F42"/>
  <c r="F41"/>
  <c r="G41" s="1"/>
  <c r="G40"/>
  <c r="F40"/>
  <c r="H40" s="1"/>
  <c r="K40" s="1"/>
  <c r="H39"/>
  <c r="K39" s="1"/>
  <c r="G39"/>
  <c r="F39"/>
  <c r="K38"/>
  <c r="H38"/>
  <c r="G38"/>
  <c r="F38"/>
  <c r="F37"/>
  <c r="G37" s="1"/>
  <c r="G36"/>
  <c r="H36" s="1"/>
  <c r="K36" s="1"/>
  <c r="G35"/>
  <c r="G58" s="1"/>
  <c r="G60" s="1"/>
  <c r="F35"/>
  <c r="H35" s="1"/>
  <c r="K35" s="1"/>
  <c r="H34"/>
  <c r="K34" s="1"/>
  <c r="G34"/>
  <c r="H33"/>
  <c r="K33" s="1"/>
  <c r="G33"/>
  <c r="H32"/>
  <c r="K32" s="1"/>
  <c r="G32"/>
  <c r="H31"/>
  <c r="K31" s="1"/>
  <c r="G31"/>
  <c r="H30"/>
  <c r="K30" s="1"/>
  <c r="G30"/>
  <c r="H29"/>
  <c r="K29" s="1"/>
  <c r="G29"/>
  <c r="H28"/>
  <c r="K28" s="1"/>
  <c r="G28"/>
  <c r="H27"/>
  <c r="K27" s="1"/>
  <c r="G27"/>
  <c r="H26"/>
  <c r="K26" s="1"/>
  <c r="G26"/>
  <c r="H25"/>
  <c r="K25" s="1"/>
  <c r="G25"/>
  <c r="H24"/>
  <c r="K24" s="1"/>
  <c r="G24"/>
  <c r="H23"/>
  <c r="K23" s="1"/>
  <c r="G23"/>
  <c r="H22"/>
  <c r="K22" s="1"/>
  <c r="G22"/>
  <c r="H21"/>
  <c r="K21" s="1"/>
  <c r="G21"/>
  <c r="H20"/>
  <c r="K20" s="1"/>
  <c r="G20"/>
  <c r="H19"/>
  <c r="K19" s="1"/>
  <c r="G19"/>
  <c r="F19"/>
  <c r="K18"/>
  <c r="H18"/>
  <c r="G18"/>
  <c r="A18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K17"/>
  <c r="H17"/>
  <c r="G17"/>
  <c r="F17"/>
  <c r="J13"/>
  <c r="G13"/>
  <c r="J11"/>
  <c r="I11"/>
  <c r="I13" s="1"/>
  <c r="G11"/>
  <c r="K10"/>
  <c r="H10"/>
  <c r="F10"/>
  <c r="H9"/>
  <c r="K9" s="1"/>
  <c r="F9"/>
  <c r="F8"/>
  <c r="H8" s="1"/>
  <c r="K8" s="1"/>
  <c r="I7"/>
  <c r="F7"/>
  <c r="H7" s="1"/>
  <c r="K7" s="1"/>
  <c r="I6"/>
  <c r="F6"/>
  <c r="H6" s="1"/>
  <c r="K5"/>
  <c r="H5"/>
  <c r="F5"/>
  <c r="F11" s="1"/>
  <c r="F13" s="1"/>
  <c r="H11" l="1"/>
  <c r="H13" s="1"/>
  <c r="K6"/>
  <c r="K11" s="1"/>
  <c r="K13" s="1"/>
  <c r="F58"/>
  <c r="F60" s="1"/>
  <c r="H37"/>
  <c r="K37" s="1"/>
  <c r="K58" s="1"/>
  <c r="H41"/>
  <c r="K41" s="1"/>
  <c r="H45"/>
  <c r="K45" s="1"/>
  <c r="K60" l="1"/>
  <c r="H58"/>
  <c r="H60" s="1"/>
</calcChain>
</file>

<file path=xl/sharedStrings.xml><?xml version="1.0" encoding="utf-8"?>
<sst xmlns="http://schemas.openxmlformats.org/spreadsheetml/2006/main" count="251" uniqueCount="184">
  <si>
    <t>Maa Vindyavasni Foils Ltd</t>
  </si>
  <si>
    <t>Import</t>
  </si>
  <si>
    <t>S.NO.</t>
  </si>
  <si>
    <t>Company Name</t>
  </si>
  <si>
    <t>P.I. No</t>
  </si>
  <si>
    <t xml:space="preserve">Date </t>
  </si>
  <si>
    <t>Name of item &amp; Description</t>
  </si>
  <si>
    <t>Amount in RS</t>
  </si>
  <si>
    <t>GST AMOUNT</t>
  </si>
  <si>
    <t>TOTAL AMOUNT</t>
  </si>
  <si>
    <t>Paid by maa</t>
  </si>
  <si>
    <t>pay after m/c start</t>
  </si>
  <si>
    <t>BALANCE</t>
  </si>
  <si>
    <t>Jiangyin Greenleaf Industrial Co Ltd, China</t>
  </si>
  <si>
    <t>GL-240509HT</t>
  </si>
  <si>
    <t>09/05/2024</t>
  </si>
  <si>
    <t>Heater Furnace 80pcs ( 41600$)</t>
  </si>
  <si>
    <t>Jiangsu Greenleaf Metallurgy Equipment Co Ltd,  Jiangyin Province, China</t>
  </si>
  <si>
    <t>GL-230809SP</t>
  </si>
  <si>
    <t>09/08/2023</t>
  </si>
  <si>
    <t>Spray bar1650mm &amp; 1600mm  - 2 Set ( 82000$)</t>
  </si>
  <si>
    <t>GL-230525F</t>
  </si>
  <si>
    <t>25/05/2023</t>
  </si>
  <si>
    <t>Filteration unit -2 unit (83000$)</t>
  </si>
  <si>
    <t>Jincheng Group IMP &amp; Exp Co Ltd</t>
  </si>
  <si>
    <t>avicnjsc18052024</t>
  </si>
  <si>
    <t>28/04/2024</t>
  </si>
  <si>
    <t>Sarvo control values And Emplifier (17750$)</t>
  </si>
  <si>
    <t>JIANGYIN AUPU MACHINERY CO LTD, CHINA</t>
  </si>
  <si>
    <t>F0410</t>
  </si>
  <si>
    <t>22/04/2024</t>
  </si>
  <si>
    <t>Bealling 16000$</t>
  </si>
  <si>
    <t>GL-240509RG</t>
  </si>
  <si>
    <t>Roll Grinder 270000$</t>
  </si>
  <si>
    <t xml:space="preserve">Transport Charges Against Imports APROX 16 Containers </t>
  </si>
  <si>
    <t>Total Import</t>
  </si>
  <si>
    <t>Domestic</t>
  </si>
  <si>
    <t>Vision Associates,                                             666-67, 1st Floor , Churiwalan, Chawri Bazar, Delhi</t>
  </si>
  <si>
    <t>THU/29/FEB/24</t>
  </si>
  <si>
    <t>29/02/2024</t>
  </si>
  <si>
    <t>Foil and sheet mill capling</t>
  </si>
  <si>
    <t xml:space="preserve">KISAAN DIE TECH PVT LTD, SS GT Road Industrial Area, Ghaziabad </t>
  </si>
  <si>
    <t>24-25D-0015</t>
  </si>
  <si>
    <t>18/05/2024</t>
  </si>
  <si>
    <t>Bearing Housing</t>
  </si>
  <si>
    <t xml:space="preserve">JASCH INDUSTRIES LIMITED,                       43/5, Bahalgarh, Sonipat, </t>
  </si>
  <si>
    <t>JIL/2023-24/064</t>
  </si>
  <si>
    <t>13/05/2023</t>
  </si>
  <si>
    <t>Electronic Thickness Gauge Sheet Mill, &amp; Foil Mill Along With AGC Panal</t>
  </si>
  <si>
    <r>
      <rPr>
        <b/>
        <sz val="14"/>
        <rFont val="Calibri"/>
        <family val="2"/>
        <scheme val="minor"/>
      </rPr>
      <t>Murguppa Morgan Thermal Ceramics Ltd</t>
    </r>
    <r>
      <rPr>
        <sz val="14"/>
        <rFont val="Calibri"/>
        <family val="2"/>
        <scheme val="minor"/>
      </rPr>
      <t>, Plot no 681, Mothiboyan Sanand Kalol State Higway, Gandhinagar, Gujrat</t>
    </r>
  </si>
  <si>
    <t>M124000299</t>
  </si>
  <si>
    <t>Murugappa morgan thermail</t>
  </si>
  <si>
    <t>SHANKY ENGINEERING WORKS,                         49, Arya Nagar Industrial Area, Ghaziabad Up</t>
  </si>
  <si>
    <t>SEW/MVFL/048-M</t>
  </si>
  <si>
    <t>04/03/2024</t>
  </si>
  <si>
    <t xml:space="preserve">Heat exchanger, Admiraty Brass Tube, Copper Tube, </t>
  </si>
  <si>
    <t>FS Compressor India Pvt Ltd,                              Plot no S-3, Phase-II, Chakan MIDC Village, Savardari, Khed, Pune Maharashtra,</t>
  </si>
  <si>
    <t>P I No 2404/2024/PI007</t>
  </si>
  <si>
    <t>04/04/2024</t>
  </si>
  <si>
    <t>FS CURTIS  air compresser</t>
  </si>
  <si>
    <t>S H ENTERPRISES (GHAZIABAD</t>
  </si>
  <si>
    <t>15/05/2024</t>
  </si>
  <si>
    <t>Pneumatics accessories</t>
  </si>
  <si>
    <t>PIPE AND SECTIONS PVT LTD</t>
  </si>
  <si>
    <t>PNSPL/QT/24-25/988</t>
  </si>
  <si>
    <t>CO2 PIPE LINE</t>
  </si>
  <si>
    <t>MAA JAALPA BHAWANI ENTERPRISES,           Bhora Kalan Gurugram, Haryana</t>
  </si>
  <si>
    <t>02</t>
  </si>
  <si>
    <t>Co2</t>
  </si>
  <si>
    <t>VARIA PRATIK ENGINEERING</t>
  </si>
  <si>
    <t>15/05/24</t>
  </si>
  <si>
    <t>chock of foil mill and roll</t>
  </si>
  <si>
    <t xml:space="preserve"> chock of sheet mill and roll </t>
  </si>
  <si>
    <t xml:space="preserve">Centraline lubro tech engineers </t>
  </si>
  <si>
    <t>cl/elh-3405</t>
  </si>
  <si>
    <t>Oil mist system bearing</t>
  </si>
  <si>
    <t>A K ELECTRICALS, Bawana Delhi</t>
  </si>
  <si>
    <t>105</t>
  </si>
  <si>
    <t>02/05/2024</t>
  </si>
  <si>
    <t xml:space="preserve">DC Motor. </t>
  </si>
  <si>
    <t>V-MARC INDIA LIMITED,                                               Sector IIDC , SIDCUL, Plot no 3, 4, 18, 20, Haridwar, Uttarakhand</t>
  </si>
  <si>
    <t>SO_HW, 242510102</t>
  </si>
  <si>
    <t>21/05/2024</t>
  </si>
  <si>
    <t>Wire &amp; Industrial Power Cable</t>
  </si>
  <si>
    <t>Gaurav Steels</t>
  </si>
  <si>
    <t>Sr No 5</t>
  </si>
  <si>
    <t>17/05/2024</t>
  </si>
  <si>
    <t>Steel for m/c hood , chiney and lining</t>
  </si>
  <si>
    <t xml:space="preserve">Action construction equipment ltd </t>
  </si>
  <si>
    <t>ace/23-24/kc/1303</t>
  </si>
  <si>
    <t>13/03/2024</t>
  </si>
  <si>
    <t>Crain</t>
  </si>
  <si>
    <t>SAHIB DASS METAL PVT LTD, Asaf Ali Road, Delhi</t>
  </si>
  <si>
    <t>DE/24-25/27</t>
  </si>
  <si>
    <t>16/05/2024</t>
  </si>
  <si>
    <t xml:space="preserve">  Hydrolic SHEET SS  </t>
  </si>
  <si>
    <t>PNSPL/QT/24-25/1014</t>
  </si>
  <si>
    <t>16/05/2025</t>
  </si>
  <si>
    <t>Hydrolic Pipeline MS AND SS</t>
  </si>
  <si>
    <t>ASHIANA HVAC SOLUTION
B12 Ground Floor, Lohia Nagar
Markeet.Ghaziabad - 201 001 (U.P)</t>
  </si>
  <si>
    <t>Q 17/05/2024</t>
  </si>
  <si>
    <t>AC For Panel</t>
  </si>
  <si>
    <t>24-25D-0016</t>
  </si>
  <si>
    <t>FORGING AS PER DRG</t>
  </si>
  <si>
    <t>AGGARWAL LUBRICANTS ,                          Ambedkar Road, Ghaziabad</t>
  </si>
  <si>
    <t>PI</t>
  </si>
  <si>
    <t>Grease AP-3</t>
  </si>
  <si>
    <t>Grease-XHP222</t>
  </si>
  <si>
    <t xml:space="preserve"> 15/05/2024 </t>
  </si>
  <si>
    <t>Hydraulic Oil 32 GREAD</t>
  </si>
  <si>
    <t xml:space="preserve"> 15/05/2024</t>
  </si>
  <si>
    <t>Hydraulic Oil 68 GREAD</t>
  </si>
  <si>
    <t>Gear Oil  8000 ltr</t>
  </si>
  <si>
    <t>TASHIKENT OIL CO PVT                                  (BARODA )</t>
  </si>
  <si>
    <t>Coolent castrol 60000 ltr</t>
  </si>
  <si>
    <t>Coolent castrol 80000 ltr</t>
  </si>
  <si>
    <t>Ginol 6000 ltr</t>
  </si>
  <si>
    <t>Panels Power Movers,                                           Block no 8, Plot no 166, Ramesh Nagar, Delhi</t>
  </si>
  <si>
    <t>PPM/029/2024-25</t>
  </si>
  <si>
    <t>LLN Blower</t>
  </si>
  <si>
    <t xml:space="preserve">ADITI POWER SOLUTION SERVICES ,                      Shahbery ,  NODIA </t>
  </si>
  <si>
    <t>APSS/GST1(24-25)</t>
  </si>
  <si>
    <t>UPS 1000 kva</t>
  </si>
  <si>
    <t>Kaveri Induetries, Kh no 42 Block D, Harpala Road, Sikari , Ballabh garh, faridabad, Haryana</t>
  </si>
  <si>
    <t>18/5/2024</t>
  </si>
  <si>
    <t>2 FURNACE from Kaveri Industries</t>
  </si>
  <si>
    <t>01</t>
  </si>
  <si>
    <t xml:space="preserve">EARTHING </t>
  </si>
  <si>
    <t>Abhinav Pharrmaachemm,                            Pokhran Road, Thane , Maharashtra</t>
  </si>
  <si>
    <t>AP/02/23-24/DPI/RM</t>
  </si>
  <si>
    <t>POWER HYFLO SUPERCEL ZBS300</t>
  </si>
  <si>
    <t>POWER TONSIL</t>
  </si>
  <si>
    <t>Filter Paper Roll</t>
  </si>
  <si>
    <t xml:space="preserve">DADU ENTERPRICES </t>
  </si>
  <si>
    <t>DE/24-25/25</t>
  </si>
  <si>
    <t>MS Pipe and Others</t>
  </si>
  <si>
    <t>APSS/GST(24-25)</t>
  </si>
  <si>
    <t>BATTRY 200 AH 320 Nos</t>
  </si>
  <si>
    <t>ASHU SALES PVT LTD</t>
  </si>
  <si>
    <t xml:space="preserve">Mail </t>
  </si>
  <si>
    <t>08/04/2024</t>
  </si>
  <si>
    <t>Casing Pump UP150/45, Diesel Engine Pump DB80/26xe</t>
  </si>
  <si>
    <t>Raman Instruments Pvt. Ltd.                                      B-14,PUNIT INDUSTRIAL CO-OP. SOCIETY,
PLOT 11 &amp; 11 A, TTC TURBHE,
NAVI MUMBAI-400 705
E-MAIL: sales.mumbai@ramaninstruments.in
TEL. NO: +91-22-26439614/ 26439615</t>
  </si>
  <si>
    <t>RE:NRS/MVFL-HHA-FMS/24125</t>
  </si>
  <si>
    <t>20/05/2024</t>
  </si>
  <si>
    <t>Lab Equipment</t>
  </si>
  <si>
    <t>INDUSTRIAL CONTROL SYSTEM,                             1853/9, Surya Bazar, Bhagirath Palace, Delhi</t>
  </si>
  <si>
    <t>PI-022</t>
  </si>
  <si>
    <t>ABB (SH)-33 KV Ind. VCB, 1250A, 31.5kA, 3 Panel Board (1+2 Panel)</t>
  </si>
  <si>
    <t>Sona Testing Inc ,                                             12/59 B Tilak Nagar New Delhi-110018, INDIA
Tel: +91- 8810223588, 7982932201</t>
  </si>
  <si>
    <t>MVFL/STI/2024-25/221</t>
  </si>
  <si>
    <t>Fully Computerized Universal Testing Machine 5000kgf with touch screen display. Wedge Grips for Flat Dumbbell Testing</t>
  </si>
  <si>
    <t>Total</t>
  </si>
  <si>
    <t>Grand Total</t>
  </si>
  <si>
    <t>S.No.</t>
  </si>
  <si>
    <t>Machine Name</t>
  </si>
  <si>
    <t>Amount</t>
  </si>
  <si>
    <t>GST @18%</t>
  </si>
  <si>
    <t>Aanvi Enterprises           S35-36, First Floor, Community Centre, Phase-1, Maya Puri, New Delhi-110064</t>
  </si>
  <si>
    <t xml:space="preserve">Hydraulic Power Unit </t>
  </si>
  <si>
    <t>MACRO POWERTECH INDIA PVT LTD- F-616/649, UPSIDC Industrial Area, Phase -II, M.G Road Ghaziabad Email-info@macropowertech.in, +91-9810372550</t>
  </si>
  <si>
    <t>TRANSFORMER AND SARVO</t>
  </si>
  <si>
    <t>MAMTA ENGINEERING- E-37,38, SEC-17 KAVI NAGARINDUSTRIAL AREA GHAIABAD U.P Phone No-+91-8800705002</t>
  </si>
  <si>
    <t>ASHU SALES PVT LTD- Out Side Delhi Gate G.T Road Ghaziabad U.P 201001 Email-ashu.aspl@gmail.com 0120-4376764, Mobile No-+91-9654719410</t>
  </si>
  <si>
    <t>ELECTRAL PLANES &amp; Motors</t>
  </si>
  <si>
    <t>SUDHA MACHINERIES &amp; INDUSTRIES PVT LTD- Plot No-651,652 Village Moti Bhouan , Gandhinagar, Gujarat,</t>
  </si>
  <si>
    <t>Foil Separator Machine</t>
  </si>
  <si>
    <t>GUPTA ENTERPRISES-Shade No-6 Silver Estate Rakanpur Kalol Gandhinagar Gurajarat-382721 Contact No-8980932268</t>
  </si>
  <si>
    <t>HEAVY GAUGE REWINDER MACHINE</t>
  </si>
  <si>
    <t>SAMKRISH MACHINE TOOLS</t>
  </si>
  <si>
    <t>Linear Position Transducer Housing</t>
  </si>
  <si>
    <t>NORTH STREET COOLING TOWER PVT LTD</t>
  </si>
  <si>
    <t>Cooling Tower</t>
  </si>
  <si>
    <t>SERVOCONTROL- Survey No-683, Industrial Estate Udyambag Delgaum 590008 Comtact No-+91-8312407501 Email-sales@servocontrolsindia.com</t>
  </si>
  <si>
    <t>TEMPOSONIC SENSORS ASSEMBLY</t>
  </si>
  <si>
    <t>ANJNI STEELS0- Plot No-10 Loha Mandi Ghaziabad UP email-anjnisteels@gmail.com Phone No- +91-9810459039</t>
  </si>
  <si>
    <t xml:space="preserve">Machine Foundation-Iron Material </t>
  </si>
  <si>
    <t>UNITED VAN DER HORST LIMITED- MIDC, E 29/30, united van der horst ltd,taloja, navi mumbai, Mumbai Suburban,Maharashtra, 410208</t>
  </si>
  <si>
    <t>Roll Chock</t>
  </si>
  <si>
    <t>RAGTRON INDIA- B-7 MG ROAD UPSIDC INDUSTRIAL AREA MASOORI GHAZIABAD U.P</t>
  </si>
  <si>
    <t>DC Driver and Automation Electrical Panel</t>
  </si>
  <si>
    <t>ACG SYSTEM</t>
  </si>
  <si>
    <t xml:space="preserve">ELECTRICITY EQUIPMENT AND INSTALLATION and other </t>
  </si>
  <si>
    <t>TOTAL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</si>
</sst>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5" formatCode="_ * #,##0_ ;_ * \-#,##0_ ;_ * &quot;-&quot;??_ ;_ @_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65" fontId="3" fillId="0" borderId="0" xfId="1" applyNumberFormat="1" applyFont="1" applyAlignment="1">
      <alignment horizontal="left" vertical="center"/>
    </xf>
    <xf numFmtId="165" fontId="4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left" vertical="center" wrapText="1"/>
    </xf>
    <xf numFmtId="165" fontId="4" fillId="0" borderId="1" xfId="1" quotePrefix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left" vertical="center"/>
    </xf>
    <xf numFmtId="165" fontId="3" fillId="0" borderId="1" xfId="1" applyNumberFormat="1" applyFont="1" applyBorder="1" applyAlignment="1">
      <alignment horizontal="left" vertical="center"/>
    </xf>
    <xf numFmtId="165" fontId="3" fillId="2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3" xfId="1" applyNumberFormat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left" vertical="center" wrapText="1"/>
    </xf>
    <xf numFmtId="165" fontId="6" fillId="0" borderId="1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 wrapText="1"/>
    </xf>
    <xf numFmtId="165" fontId="6" fillId="0" borderId="1" xfId="1" quotePrefix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left" vertical="center"/>
    </xf>
    <xf numFmtId="165" fontId="6" fillId="3" borderId="1" xfId="1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3" fontId="8" fillId="0" borderId="1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topLeftCell="A16" workbookViewId="0">
      <selection activeCell="K5" sqref="K5"/>
    </sheetView>
  </sheetViews>
  <sheetFormatPr defaultRowHeight="15"/>
  <cols>
    <col min="1" max="1" width="7.28515625" bestFit="1" customWidth="1"/>
    <col min="2" max="2" width="45.28515625" customWidth="1"/>
    <col min="3" max="3" width="27.5703125" customWidth="1"/>
    <col min="4" max="4" width="16" bestFit="1" customWidth="1"/>
    <col min="5" max="5" width="14.28515625" bestFit="1" customWidth="1"/>
    <col min="6" max="6" width="17.28515625" bestFit="1" customWidth="1"/>
  </cols>
  <sheetData>
    <row r="1" spans="1:6" ht="32.25">
      <c r="A1" s="25" t="s">
        <v>36</v>
      </c>
      <c r="B1" s="25"/>
      <c r="C1" s="26"/>
      <c r="D1" s="27"/>
      <c r="E1" s="27"/>
      <c r="F1" s="27"/>
    </row>
    <row r="2" spans="1:6" ht="18.75">
      <c r="A2" s="28" t="s">
        <v>154</v>
      </c>
      <c r="B2" s="29" t="s">
        <v>3</v>
      </c>
      <c r="C2" s="30" t="s">
        <v>155</v>
      </c>
      <c r="D2" s="28" t="s">
        <v>156</v>
      </c>
      <c r="E2" s="28" t="s">
        <v>157</v>
      </c>
      <c r="F2" s="28" t="s">
        <v>152</v>
      </c>
    </row>
    <row r="3" spans="1:6" ht="47.25">
      <c r="A3" s="31">
        <v>1</v>
      </c>
      <c r="B3" s="32" t="s">
        <v>158</v>
      </c>
      <c r="C3" s="33" t="s">
        <v>159</v>
      </c>
      <c r="D3" s="34">
        <v>7000000</v>
      </c>
      <c r="E3" s="35">
        <f t="shared" ref="E3:E16" si="0">D3*18%</f>
        <v>1260000</v>
      </c>
      <c r="F3" s="35">
        <f t="shared" ref="F3:F16" si="1">D3+E3</f>
        <v>8260000</v>
      </c>
    </row>
    <row r="4" spans="1:6" ht="63">
      <c r="A4" s="31">
        <v>2</v>
      </c>
      <c r="B4" s="32" t="s">
        <v>160</v>
      </c>
      <c r="C4" s="33" t="s">
        <v>161</v>
      </c>
      <c r="D4" s="34">
        <v>7100000</v>
      </c>
      <c r="E4" s="35">
        <f t="shared" si="0"/>
        <v>1278000</v>
      </c>
      <c r="F4" s="35">
        <f t="shared" si="1"/>
        <v>8378000</v>
      </c>
    </row>
    <row r="5" spans="1:6" ht="47.25">
      <c r="A5" s="31">
        <v>3</v>
      </c>
      <c r="B5" s="32" t="s">
        <v>162</v>
      </c>
      <c r="C5" s="33"/>
      <c r="D5" s="34">
        <v>3700000</v>
      </c>
      <c r="E5" s="35">
        <f t="shared" si="0"/>
        <v>666000</v>
      </c>
      <c r="F5" s="35">
        <f t="shared" si="1"/>
        <v>4366000</v>
      </c>
    </row>
    <row r="6" spans="1:6" ht="63">
      <c r="A6" s="31">
        <v>4</v>
      </c>
      <c r="B6" s="32" t="s">
        <v>163</v>
      </c>
      <c r="C6" s="33" t="s">
        <v>164</v>
      </c>
      <c r="D6" s="35">
        <v>1132760</v>
      </c>
      <c r="E6" s="35">
        <f t="shared" si="0"/>
        <v>203896.8</v>
      </c>
      <c r="F6" s="35">
        <f t="shared" si="1"/>
        <v>1336656.8</v>
      </c>
    </row>
    <row r="7" spans="1:6" ht="63">
      <c r="A7" s="31">
        <v>6</v>
      </c>
      <c r="B7" s="32" t="s">
        <v>163</v>
      </c>
      <c r="C7" s="33" t="s">
        <v>164</v>
      </c>
      <c r="D7" s="35">
        <f>6005077</f>
        <v>6005077</v>
      </c>
      <c r="E7" s="35">
        <f t="shared" si="0"/>
        <v>1080913.8599999999</v>
      </c>
      <c r="F7" s="35">
        <f t="shared" si="1"/>
        <v>7085990.8599999994</v>
      </c>
    </row>
    <row r="8" spans="1:6" ht="47.25">
      <c r="A8" s="31">
        <v>7</v>
      </c>
      <c r="B8" s="32" t="s">
        <v>165</v>
      </c>
      <c r="C8" s="33" t="s">
        <v>166</v>
      </c>
      <c r="D8" s="34">
        <v>10000000</v>
      </c>
      <c r="E8" s="34">
        <f t="shared" si="0"/>
        <v>1800000</v>
      </c>
      <c r="F8" s="34">
        <f t="shared" si="1"/>
        <v>11800000</v>
      </c>
    </row>
    <row r="9" spans="1:6" ht="47.25">
      <c r="A9" s="31">
        <v>8</v>
      </c>
      <c r="B9" s="32" t="s">
        <v>167</v>
      </c>
      <c r="C9" s="33" t="s">
        <v>168</v>
      </c>
      <c r="D9" s="34">
        <v>6500000</v>
      </c>
      <c r="E9" s="34">
        <f t="shared" si="0"/>
        <v>1170000</v>
      </c>
      <c r="F9" s="34">
        <f t="shared" si="1"/>
        <v>7670000</v>
      </c>
    </row>
    <row r="10" spans="1:6" ht="31.5">
      <c r="A10" s="31">
        <v>9</v>
      </c>
      <c r="B10" s="32" t="s">
        <v>169</v>
      </c>
      <c r="C10" s="33" t="s">
        <v>170</v>
      </c>
      <c r="D10" s="34">
        <f>1450000*2</f>
        <v>2900000</v>
      </c>
      <c r="E10" s="34">
        <f t="shared" si="0"/>
        <v>522000</v>
      </c>
      <c r="F10" s="34">
        <f t="shared" si="1"/>
        <v>3422000</v>
      </c>
    </row>
    <row r="11" spans="1:6" ht="15.75">
      <c r="A11" s="31">
        <v>10</v>
      </c>
      <c r="B11" s="32" t="s">
        <v>171</v>
      </c>
      <c r="C11" s="33" t="s">
        <v>172</v>
      </c>
      <c r="D11" s="34">
        <v>1000000</v>
      </c>
      <c r="E11" s="34">
        <f t="shared" si="0"/>
        <v>180000</v>
      </c>
      <c r="F11" s="34">
        <f t="shared" si="1"/>
        <v>1180000</v>
      </c>
    </row>
    <row r="12" spans="1:6" ht="63">
      <c r="A12" s="31">
        <v>11</v>
      </c>
      <c r="B12" s="32" t="s">
        <v>173</v>
      </c>
      <c r="C12" s="33" t="s">
        <v>174</v>
      </c>
      <c r="D12" s="34">
        <v>385652</v>
      </c>
      <c r="E12" s="34">
        <f t="shared" si="0"/>
        <v>69417.36</v>
      </c>
      <c r="F12" s="34">
        <f t="shared" si="1"/>
        <v>455069.36</v>
      </c>
    </row>
    <row r="13" spans="1:6" ht="47.25">
      <c r="A13" s="31">
        <v>12</v>
      </c>
      <c r="B13" s="32" t="s">
        <v>175</v>
      </c>
      <c r="C13" s="33" t="s">
        <v>176</v>
      </c>
      <c r="D13" s="34">
        <v>17599920</v>
      </c>
      <c r="E13" s="34">
        <f t="shared" si="0"/>
        <v>3167985.6</v>
      </c>
      <c r="F13" s="34">
        <f t="shared" si="1"/>
        <v>20767905.600000001</v>
      </c>
    </row>
    <row r="14" spans="1:6" ht="63">
      <c r="A14" s="31">
        <v>13</v>
      </c>
      <c r="B14" s="32" t="s">
        <v>177</v>
      </c>
      <c r="C14" s="33" t="s">
        <v>178</v>
      </c>
      <c r="D14" s="34">
        <f>1512490+137760+852800+3264000</f>
        <v>5767050</v>
      </c>
      <c r="E14" s="34">
        <f t="shared" si="0"/>
        <v>1038069</v>
      </c>
      <c r="F14" s="34">
        <f t="shared" si="1"/>
        <v>6805119</v>
      </c>
    </row>
    <row r="15" spans="1:6" ht="31.5">
      <c r="A15" s="31">
        <v>14</v>
      </c>
      <c r="B15" s="32" t="s">
        <v>179</v>
      </c>
      <c r="C15" s="36" t="s">
        <v>180</v>
      </c>
      <c r="D15" s="35">
        <v>6900000</v>
      </c>
      <c r="E15" s="35">
        <f t="shared" si="0"/>
        <v>1242000</v>
      </c>
      <c r="F15" s="35">
        <f t="shared" si="1"/>
        <v>8142000</v>
      </c>
    </row>
    <row r="16" spans="1:6" ht="31.5">
      <c r="A16" s="31">
        <v>15</v>
      </c>
      <c r="B16" s="32" t="s">
        <v>179</v>
      </c>
      <c r="C16" s="33" t="s">
        <v>181</v>
      </c>
      <c r="D16" s="35">
        <v>2850000</v>
      </c>
      <c r="E16" s="35">
        <f t="shared" si="0"/>
        <v>513000</v>
      </c>
      <c r="F16" s="35">
        <f t="shared" si="1"/>
        <v>3363000</v>
      </c>
    </row>
    <row r="17" spans="1:6" ht="31.5">
      <c r="A17" s="31">
        <v>16</v>
      </c>
      <c r="B17" s="32" t="s">
        <v>182</v>
      </c>
      <c r="C17" s="33"/>
      <c r="D17" s="35"/>
      <c r="E17" s="35"/>
      <c r="F17" s="35">
        <v>10000000</v>
      </c>
    </row>
    <row r="18" spans="1:6" ht="15.75">
      <c r="A18" s="31"/>
      <c r="B18" s="32"/>
      <c r="C18" s="33"/>
      <c r="D18" s="35"/>
      <c r="E18" s="35"/>
      <c r="F18" s="35"/>
    </row>
    <row r="19" spans="1:6" ht="15.75">
      <c r="A19" s="31"/>
      <c r="B19" s="32"/>
      <c r="C19" s="33"/>
      <c r="D19" s="35"/>
      <c r="E19" s="35"/>
      <c r="F19" s="35"/>
    </row>
    <row r="20" spans="1:6" ht="15.75">
      <c r="A20" s="31"/>
      <c r="B20" s="32"/>
      <c r="C20" s="33"/>
      <c r="D20" s="35"/>
      <c r="E20" s="37" t="s">
        <v>183</v>
      </c>
      <c r="F20" s="37">
        <f>SUM(F3:F19)</f>
        <v>103031741.62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0"/>
  <sheetViews>
    <sheetView topLeftCell="C1" workbookViewId="0">
      <selection activeCell="O7" sqref="O7"/>
    </sheetView>
  </sheetViews>
  <sheetFormatPr defaultRowHeight="15"/>
  <cols>
    <col min="1" max="1" width="32.28515625" bestFit="1" customWidth="1"/>
    <col min="2" max="2" width="67.5703125" bestFit="1" customWidth="1"/>
    <col min="3" max="3" width="28.42578125" bestFit="1" customWidth="1"/>
    <col min="4" max="4" width="17.140625" bestFit="1" customWidth="1"/>
    <col min="5" max="5" width="44" bestFit="1" customWidth="1"/>
    <col min="6" max="6" width="17.7109375" bestFit="1" customWidth="1"/>
    <col min="7" max="7" width="16.140625" bestFit="1" customWidth="1"/>
    <col min="8" max="8" width="17.7109375" bestFit="1" customWidth="1"/>
    <col min="9" max="9" width="14" bestFit="1" customWidth="1"/>
    <col min="10" max="10" width="16.42578125" customWidth="1"/>
    <col min="11" max="11" width="17.7109375" bestFit="1" customWidth="1"/>
  </cols>
  <sheetData>
    <row r="1" spans="1:11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8.75">
      <c r="A2" s="3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8.7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75">
      <c r="A4" s="4" t="s">
        <v>2</v>
      </c>
      <c r="B4" s="5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6" t="s">
        <v>11</v>
      </c>
      <c r="K4" s="4" t="s">
        <v>12</v>
      </c>
    </row>
    <row r="5" spans="1:11" ht="18.75">
      <c r="A5" s="7">
        <v>1</v>
      </c>
      <c r="B5" s="8" t="s">
        <v>13</v>
      </c>
      <c r="C5" s="7" t="s">
        <v>14</v>
      </c>
      <c r="D5" s="9" t="s">
        <v>15</v>
      </c>
      <c r="E5" s="10" t="s">
        <v>16</v>
      </c>
      <c r="F5" s="7">
        <f>41600*86</f>
        <v>3577600</v>
      </c>
      <c r="G5" s="7">
        <v>0</v>
      </c>
      <c r="H5" s="7">
        <f t="shared" ref="H5:H10" si="0">F5+G5</f>
        <v>3577600</v>
      </c>
      <c r="I5" s="7">
        <v>0</v>
      </c>
      <c r="J5" s="7">
        <v>0</v>
      </c>
      <c r="K5" s="7">
        <f>+H5-I5</f>
        <v>3577600</v>
      </c>
    </row>
    <row r="6" spans="1:11" ht="37.5">
      <c r="A6" s="7">
        <v>2</v>
      </c>
      <c r="B6" s="8" t="s">
        <v>17</v>
      </c>
      <c r="C6" s="7" t="s">
        <v>18</v>
      </c>
      <c r="D6" s="9" t="s">
        <v>19</v>
      </c>
      <c r="E6" s="8" t="s">
        <v>20</v>
      </c>
      <c r="F6" s="7">
        <f>82000*86</f>
        <v>7052000</v>
      </c>
      <c r="G6" s="7">
        <v>0</v>
      </c>
      <c r="H6" s="7">
        <f t="shared" si="0"/>
        <v>7052000</v>
      </c>
      <c r="I6" s="7">
        <f>24600*85</f>
        <v>2091000</v>
      </c>
      <c r="J6" s="7">
        <v>0</v>
      </c>
      <c r="K6" s="7">
        <f t="shared" ref="K6:K10" si="1">+H6-I6</f>
        <v>4961000</v>
      </c>
    </row>
    <row r="7" spans="1:11" ht="18.75">
      <c r="A7" s="7">
        <v>3</v>
      </c>
      <c r="B7" s="8" t="s">
        <v>13</v>
      </c>
      <c r="C7" s="7" t="s">
        <v>21</v>
      </c>
      <c r="D7" s="7" t="s">
        <v>22</v>
      </c>
      <c r="E7" s="10" t="s">
        <v>23</v>
      </c>
      <c r="F7" s="7">
        <f>83000*86</f>
        <v>7138000</v>
      </c>
      <c r="G7" s="7">
        <v>0</v>
      </c>
      <c r="H7" s="7">
        <f t="shared" si="0"/>
        <v>7138000</v>
      </c>
      <c r="I7" s="7">
        <f>24900*85</f>
        <v>2116500</v>
      </c>
      <c r="J7" s="7">
        <v>0</v>
      </c>
      <c r="K7" s="7">
        <f t="shared" si="1"/>
        <v>5021500</v>
      </c>
    </row>
    <row r="8" spans="1:11" ht="37.5">
      <c r="A8" s="7">
        <v>4</v>
      </c>
      <c r="B8" s="8" t="s">
        <v>24</v>
      </c>
      <c r="C8" s="7" t="s">
        <v>25</v>
      </c>
      <c r="D8" s="9" t="s">
        <v>26</v>
      </c>
      <c r="E8" s="8" t="s">
        <v>27</v>
      </c>
      <c r="F8" s="7">
        <f>17750*86</f>
        <v>1526500</v>
      </c>
      <c r="G8" s="7">
        <v>0</v>
      </c>
      <c r="H8" s="7">
        <f t="shared" si="0"/>
        <v>1526500</v>
      </c>
      <c r="I8" s="7">
        <v>0</v>
      </c>
      <c r="J8" s="7">
        <v>0</v>
      </c>
      <c r="K8" s="7">
        <f t="shared" si="1"/>
        <v>1526500</v>
      </c>
    </row>
    <row r="9" spans="1:11" ht="18.75">
      <c r="A9" s="7">
        <v>5</v>
      </c>
      <c r="B9" s="8" t="s">
        <v>28</v>
      </c>
      <c r="C9" s="7" t="s">
        <v>29</v>
      </c>
      <c r="D9" s="9" t="s">
        <v>30</v>
      </c>
      <c r="E9" s="10" t="s">
        <v>31</v>
      </c>
      <c r="F9" s="7">
        <f>16000*86</f>
        <v>1376000</v>
      </c>
      <c r="G9" s="7">
        <v>0</v>
      </c>
      <c r="H9" s="7">
        <f t="shared" si="0"/>
        <v>1376000</v>
      </c>
      <c r="I9" s="7">
        <v>0</v>
      </c>
      <c r="J9" s="7">
        <v>0</v>
      </c>
      <c r="K9" s="7">
        <f t="shared" si="1"/>
        <v>1376000</v>
      </c>
    </row>
    <row r="10" spans="1:11" ht="18.75">
      <c r="A10" s="7">
        <v>6</v>
      </c>
      <c r="B10" s="8" t="s">
        <v>13</v>
      </c>
      <c r="C10" s="7" t="s">
        <v>32</v>
      </c>
      <c r="D10" s="9" t="s">
        <v>15</v>
      </c>
      <c r="E10" s="10" t="s">
        <v>33</v>
      </c>
      <c r="F10" s="7">
        <f>270000*86</f>
        <v>23220000</v>
      </c>
      <c r="G10" s="7">
        <v>0</v>
      </c>
      <c r="H10" s="7">
        <f t="shared" si="0"/>
        <v>23220000</v>
      </c>
      <c r="I10" s="7">
        <v>0</v>
      </c>
      <c r="J10" s="7">
        <v>0</v>
      </c>
      <c r="K10" s="7">
        <f t="shared" si="1"/>
        <v>23220000</v>
      </c>
    </row>
    <row r="11" spans="1:11" ht="18.75">
      <c r="A11" s="11"/>
      <c r="B11" s="7"/>
      <c r="C11" s="7"/>
      <c r="D11" s="7"/>
      <c r="E11" s="7"/>
      <c r="F11" s="12">
        <f t="shared" ref="F11:K11" si="2">SUM(F5:F10)</f>
        <v>43890100</v>
      </c>
      <c r="G11" s="12">
        <f t="shared" si="2"/>
        <v>0</v>
      </c>
      <c r="H11" s="12">
        <f t="shared" si="2"/>
        <v>43890100</v>
      </c>
      <c r="I11" s="12">
        <f t="shared" si="2"/>
        <v>4207500</v>
      </c>
      <c r="J11" s="12">
        <f t="shared" si="2"/>
        <v>0</v>
      </c>
      <c r="K11" s="12">
        <f t="shared" si="2"/>
        <v>39682600</v>
      </c>
    </row>
    <row r="12" spans="1:11" ht="18.75">
      <c r="A12" s="13"/>
      <c r="B12" s="7" t="s">
        <v>34</v>
      </c>
      <c r="C12" s="7"/>
      <c r="D12" s="7"/>
      <c r="E12" s="7"/>
      <c r="F12" s="7"/>
      <c r="G12" s="7"/>
      <c r="H12" s="7"/>
      <c r="I12" s="7"/>
      <c r="J12" s="7"/>
      <c r="K12" s="7">
        <v>3500000</v>
      </c>
    </row>
    <row r="13" spans="1:11" ht="18.75">
      <c r="A13" s="14" t="s">
        <v>35</v>
      </c>
      <c r="B13" s="15"/>
      <c r="C13" s="15"/>
      <c r="D13" s="15"/>
      <c r="E13" s="16"/>
      <c r="F13" s="13">
        <f>SUM(F11)</f>
        <v>43890100</v>
      </c>
      <c r="G13" s="13">
        <f>SUM(G11)</f>
        <v>0</v>
      </c>
      <c r="H13" s="13">
        <f>SUM(H11)</f>
        <v>43890100</v>
      </c>
      <c r="I13" s="13">
        <f>SUM(I11)</f>
        <v>4207500</v>
      </c>
      <c r="J13" s="13">
        <f>SUM(J11)</f>
        <v>0</v>
      </c>
      <c r="K13" s="13">
        <f>+K11+K12</f>
        <v>43182600</v>
      </c>
    </row>
    <row r="14" spans="1:11" ht="18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8.75">
      <c r="A15" s="2" t="s">
        <v>36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75">
      <c r="A16" s="4" t="s">
        <v>2</v>
      </c>
      <c r="B16" s="5" t="s">
        <v>3</v>
      </c>
      <c r="C16" s="4" t="s">
        <v>4</v>
      </c>
      <c r="D16" s="4" t="s">
        <v>5</v>
      </c>
      <c r="E16" s="4" t="s">
        <v>6</v>
      </c>
      <c r="F16" s="4" t="s">
        <v>7</v>
      </c>
      <c r="G16" s="4" t="s">
        <v>8</v>
      </c>
      <c r="H16" s="4" t="s">
        <v>9</v>
      </c>
      <c r="I16" s="4" t="s">
        <v>10</v>
      </c>
      <c r="J16" s="6" t="s">
        <v>11</v>
      </c>
      <c r="K16" s="4" t="s">
        <v>12</v>
      </c>
    </row>
    <row r="17" spans="1:11" ht="37.5">
      <c r="A17" s="7">
        <v>1</v>
      </c>
      <c r="B17" s="17" t="s">
        <v>37</v>
      </c>
      <c r="C17" s="18" t="s">
        <v>38</v>
      </c>
      <c r="D17" s="18" t="s">
        <v>39</v>
      </c>
      <c r="E17" s="18" t="s">
        <v>40</v>
      </c>
      <c r="F17" s="18">
        <f>48200+83550+39030+47150+48220+29450</f>
        <v>295600</v>
      </c>
      <c r="G17" s="18">
        <f>F17*18%</f>
        <v>53208</v>
      </c>
      <c r="H17" s="18">
        <f>F17+G17</f>
        <v>348808</v>
      </c>
      <c r="I17" s="18"/>
      <c r="J17" s="18"/>
      <c r="K17" s="18">
        <f>H17-I17</f>
        <v>348808</v>
      </c>
    </row>
    <row r="18" spans="1:11" ht="37.5">
      <c r="A18" s="7">
        <f>+A17+1</f>
        <v>2</v>
      </c>
      <c r="B18" s="17" t="s">
        <v>41</v>
      </c>
      <c r="C18" s="18" t="s">
        <v>42</v>
      </c>
      <c r="D18" s="18" t="s">
        <v>43</v>
      </c>
      <c r="E18" s="18" t="s">
        <v>44</v>
      </c>
      <c r="F18" s="18">
        <v>174000</v>
      </c>
      <c r="G18" s="18">
        <f>F18*18%</f>
        <v>31320</v>
      </c>
      <c r="H18" s="18">
        <f>F18+G18</f>
        <v>205320</v>
      </c>
      <c r="I18" s="18"/>
      <c r="J18" s="18"/>
      <c r="K18" s="18">
        <f>H18-I18</f>
        <v>205320</v>
      </c>
    </row>
    <row r="19" spans="1:11" ht="37.5">
      <c r="A19" s="7">
        <f>+A18+1</f>
        <v>3</v>
      </c>
      <c r="B19" s="17" t="s">
        <v>45</v>
      </c>
      <c r="C19" s="18" t="s">
        <v>46</v>
      </c>
      <c r="D19" s="18" t="s">
        <v>47</v>
      </c>
      <c r="E19" s="19" t="s">
        <v>48</v>
      </c>
      <c r="F19" s="18">
        <f>3800000+3650000</f>
        <v>7450000</v>
      </c>
      <c r="G19" s="18">
        <f>F19*18%</f>
        <v>1341000</v>
      </c>
      <c r="H19" s="18">
        <f>F19+G19</f>
        <v>8791000</v>
      </c>
      <c r="I19" s="18"/>
      <c r="J19" s="18"/>
      <c r="K19" s="18">
        <f>H19-I19</f>
        <v>8791000</v>
      </c>
    </row>
    <row r="20" spans="1:11" ht="56.25">
      <c r="A20" s="7">
        <f t="shared" ref="A20:A57" si="3">+A19+1</f>
        <v>4</v>
      </c>
      <c r="B20" s="17" t="s">
        <v>49</v>
      </c>
      <c r="C20" s="18" t="s">
        <v>50</v>
      </c>
      <c r="D20" s="20" t="s">
        <v>15</v>
      </c>
      <c r="E20" s="18" t="s">
        <v>51</v>
      </c>
      <c r="F20" s="18">
        <v>739600</v>
      </c>
      <c r="G20" s="18">
        <f t="shared" ref="G20:G50" si="4">F20*18%</f>
        <v>133128</v>
      </c>
      <c r="H20" s="18">
        <f t="shared" ref="H20:H57" si="5">F20+G20</f>
        <v>872728</v>
      </c>
      <c r="I20" s="18"/>
      <c r="J20" s="18"/>
      <c r="K20" s="18">
        <f t="shared" ref="K20:K57" si="6">H20-I20</f>
        <v>872728</v>
      </c>
    </row>
    <row r="21" spans="1:11" ht="37.5">
      <c r="A21" s="7">
        <f t="shared" si="3"/>
        <v>5</v>
      </c>
      <c r="B21" s="17" t="s">
        <v>52</v>
      </c>
      <c r="C21" s="18" t="s">
        <v>53</v>
      </c>
      <c r="D21" s="20" t="s">
        <v>54</v>
      </c>
      <c r="E21" s="19" t="s">
        <v>55</v>
      </c>
      <c r="F21" s="18">
        <v>1000000</v>
      </c>
      <c r="G21" s="18">
        <f t="shared" si="4"/>
        <v>180000</v>
      </c>
      <c r="H21" s="18">
        <f t="shared" si="5"/>
        <v>1180000</v>
      </c>
      <c r="I21" s="18"/>
      <c r="J21" s="18"/>
      <c r="K21" s="18">
        <f t="shared" si="6"/>
        <v>1180000</v>
      </c>
    </row>
    <row r="22" spans="1:11" ht="56.25">
      <c r="A22" s="7">
        <f t="shared" si="3"/>
        <v>6</v>
      </c>
      <c r="B22" s="17" t="s">
        <v>56</v>
      </c>
      <c r="C22" s="19" t="s">
        <v>57</v>
      </c>
      <c r="D22" s="20" t="s">
        <v>58</v>
      </c>
      <c r="E22" s="18" t="s">
        <v>59</v>
      </c>
      <c r="F22" s="18">
        <v>10593220</v>
      </c>
      <c r="G22" s="18">
        <f t="shared" si="4"/>
        <v>1906779.5999999999</v>
      </c>
      <c r="H22" s="18">
        <f t="shared" si="5"/>
        <v>12499999.6</v>
      </c>
      <c r="I22" s="18">
        <v>1250000</v>
      </c>
      <c r="J22" s="18"/>
      <c r="K22" s="18">
        <f t="shared" si="6"/>
        <v>11249999.6</v>
      </c>
    </row>
    <row r="23" spans="1:11" ht="18.75">
      <c r="A23" s="7">
        <f t="shared" si="3"/>
        <v>7</v>
      </c>
      <c r="B23" s="21" t="s">
        <v>60</v>
      </c>
      <c r="C23" s="18">
        <v>26</v>
      </c>
      <c r="D23" s="20" t="s">
        <v>61</v>
      </c>
      <c r="E23" s="18" t="s">
        <v>62</v>
      </c>
      <c r="F23" s="18">
        <v>215208</v>
      </c>
      <c r="G23" s="18">
        <f t="shared" si="4"/>
        <v>38737.439999999995</v>
      </c>
      <c r="H23" s="18">
        <f t="shared" si="5"/>
        <v>253945.44</v>
      </c>
      <c r="I23" s="18"/>
      <c r="J23" s="18"/>
      <c r="K23" s="18">
        <f t="shared" si="6"/>
        <v>253945.44</v>
      </c>
    </row>
    <row r="24" spans="1:11" ht="18.75">
      <c r="A24" s="7">
        <f t="shared" si="3"/>
        <v>8</v>
      </c>
      <c r="B24" s="21" t="s">
        <v>63</v>
      </c>
      <c r="C24" s="18" t="s">
        <v>64</v>
      </c>
      <c r="D24" s="20" t="s">
        <v>61</v>
      </c>
      <c r="E24" s="18" t="s">
        <v>65</v>
      </c>
      <c r="F24" s="18">
        <v>509067</v>
      </c>
      <c r="G24" s="18">
        <f t="shared" si="4"/>
        <v>91632.06</v>
      </c>
      <c r="H24" s="18">
        <f t="shared" si="5"/>
        <v>600699.06000000006</v>
      </c>
      <c r="I24" s="18"/>
      <c r="J24" s="18"/>
      <c r="K24" s="18">
        <f t="shared" si="6"/>
        <v>600699.06000000006</v>
      </c>
    </row>
    <row r="25" spans="1:11" ht="37.5">
      <c r="A25" s="7">
        <f t="shared" si="3"/>
        <v>9</v>
      </c>
      <c r="B25" s="17" t="s">
        <v>66</v>
      </c>
      <c r="C25" s="20" t="s">
        <v>67</v>
      </c>
      <c r="D25" s="20" t="s">
        <v>43</v>
      </c>
      <c r="E25" s="18" t="s">
        <v>68</v>
      </c>
      <c r="F25" s="18">
        <v>8000000</v>
      </c>
      <c r="G25" s="18">
        <f t="shared" si="4"/>
        <v>1440000</v>
      </c>
      <c r="H25" s="18">
        <f t="shared" si="5"/>
        <v>9440000</v>
      </c>
      <c r="I25" s="18"/>
      <c r="J25" s="18"/>
      <c r="K25" s="18">
        <f t="shared" si="6"/>
        <v>9440000</v>
      </c>
    </row>
    <row r="26" spans="1:11" ht="18.75">
      <c r="A26" s="7">
        <f t="shared" si="3"/>
        <v>10</v>
      </c>
      <c r="B26" s="21" t="s">
        <v>69</v>
      </c>
      <c r="C26" s="18" t="s">
        <v>70</v>
      </c>
      <c r="D26" s="20" t="s">
        <v>61</v>
      </c>
      <c r="E26" s="18" t="s">
        <v>71</v>
      </c>
      <c r="F26" s="18">
        <v>2000000</v>
      </c>
      <c r="G26" s="18">
        <f t="shared" si="4"/>
        <v>360000</v>
      </c>
      <c r="H26" s="18">
        <f t="shared" si="5"/>
        <v>2360000</v>
      </c>
      <c r="I26" s="18"/>
      <c r="J26" s="18"/>
      <c r="K26" s="18">
        <f t="shared" si="6"/>
        <v>2360000</v>
      </c>
    </row>
    <row r="27" spans="1:11" ht="18.75">
      <c r="A27" s="7">
        <f t="shared" si="3"/>
        <v>11</v>
      </c>
      <c r="B27" s="21" t="s">
        <v>69</v>
      </c>
      <c r="C27" s="18" t="s">
        <v>70</v>
      </c>
      <c r="D27" s="20" t="s">
        <v>61</v>
      </c>
      <c r="E27" s="18" t="s">
        <v>72</v>
      </c>
      <c r="F27" s="18">
        <v>5000000</v>
      </c>
      <c r="G27" s="18">
        <f t="shared" si="4"/>
        <v>900000</v>
      </c>
      <c r="H27" s="18">
        <f t="shared" si="5"/>
        <v>5900000</v>
      </c>
      <c r="I27" s="22"/>
      <c r="J27" s="18"/>
      <c r="K27" s="18">
        <f t="shared" si="6"/>
        <v>5900000</v>
      </c>
    </row>
    <row r="28" spans="1:11" ht="18.75">
      <c r="A28" s="7">
        <f t="shared" si="3"/>
        <v>12</v>
      </c>
      <c r="B28" s="21" t="s">
        <v>73</v>
      </c>
      <c r="C28" s="18" t="s">
        <v>74</v>
      </c>
      <c r="D28" s="20" t="s">
        <v>61</v>
      </c>
      <c r="E28" s="18" t="s">
        <v>75</v>
      </c>
      <c r="F28" s="18">
        <v>1540000</v>
      </c>
      <c r="G28" s="18">
        <f t="shared" si="4"/>
        <v>277200</v>
      </c>
      <c r="H28" s="18">
        <f t="shared" si="5"/>
        <v>1817200</v>
      </c>
      <c r="I28" s="18"/>
      <c r="J28" s="18"/>
      <c r="K28" s="18">
        <f t="shared" si="6"/>
        <v>1817200</v>
      </c>
    </row>
    <row r="29" spans="1:11" ht="18.75">
      <c r="A29" s="7">
        <f t="shared" si="3"/>
        <v>13</v>
      </c>
      <c r="B29" s="21" t="s">
        <v>76</v>
      </c>
      <c r="C29" s="20" t="s">
        <v>77</v>
      </c>
      <c r="D29" s="20" t="s">
        <v>78</v>
      </c>
      <c r="E29" s="18" t="s">
        <v>79</v>
      </c>
      <c r="F29" s="18">
        <v>11600000</v>
      </c>
      <c r="G29" s="18">
        <f t="shared" si="4"/>
        <v>2088000</v>
      </c>
      <c r="H29" s="18">
        <f t="shared" si="5"/>
        <v>13688000</v>
      </c>
      <c r="I29" s="18"/>
      <c r="J29" s="18"/>
      <c r="K29" s="18">
        <f t="shared" si="6"/>
        <v>13688000</v>
      </c>
    </row>
    <row r="30" spans="1:11" ht="37.5">
      <c r="A30" s="7">
        <f t="shared" si="3"/>
        <v>14</v>
      </c>
      <c r="B30" s="17" t="s">
        <v>80</v>
      </c>
      <c r="C30" s="18" t="s">
        <v>81</v>
      </c>
      <c r="D30" s="20" t="s">
        <v>82</v>
      </c>
      <c r="E30" s="18" t="s">
        <v>83</v>
      </c>
      <c r="F30" s="18">
        <v>11104160</v>
      </c>
      <c r="G30" s="18">
        <f t="shared" si="4"/>
        <v>1998748.7999999998</v>
      </c>
      <c r="H30" s="18">
        <f t="shared" si="5"/>
        <v>13102908.800000001</v>
      </c>
      <c r="I30" s="18"/>
      <c r="J30" s="18"/>
      <c r="K30" s="18">
        <f t="shared" si="6"/>
        <v>13102908.800000001</v>
      </c>
    </row>
    <row r="31" spans="1:11" ht="18.75">
      <c r="A31" s="7">
        <f t="shared" si="3"/>
        <v>15</v>
      </c>
      <c r="B31" s="21" t="s">
        <v>84</v>
      </c>
      <c r="C31" s="18" t="s">
        <v>85</v>
      </c>
      <c r="D31" s="20" t="s">
        <v>86</v>
      </c>
      <c r="E31" s="18" t="s">
        <v>87</v>
      </c>
      <c r="F31" s="18">
        <v>2082360</v>
      </c>
      <c r="G31" s="18">
        <f t="shared" si="4"/>
        <v>374824.8</v>
      </c>
      <c r="H31" s="18">
        <f t="shared" si="5"/>
        <v>2457184.7999999998</v>
      </c>
      <c r="I31" s="18"/>
      <c r="J31" s="18"/>
      <c r="K31" s="18">
        <f t="shared" si="6"/>
        <v>2457184.7999999998</v>
      </c>
    </row>
    <row r="32" spans="1:11" ht="18.75">
      <c r="A32" s="7">
        <f t="shared" si="3"/>
        <v>16</v>
      </c>
      <c r="B32" s="21" t="s">
        <v>88</v>
      </c>
      <c r="C32" s="18" t="s">
        <v>89</v>
      </c>
      <c r="D32" s="20" t="s">
        <v>90</v>
      </c>
      <c r="E32" s="18" t="s">
        <v>91</v>
      </c>
      <c r="F32" s="18">
        <v>1619399</v>
      </c>
      <c r="G32" s="18">
        <f t="shared" si="4"/>
        <v>291491.82</v>
      </c>
      <c r="H32" s="18">
        <f t="shared" si="5"/>
        <v>1910890.82</v>
      </c>
      <c r="I32" s="18"/>
      <c r="J32" s="18"/>
      <c r="K32" s="18">
        <f t="shared" si="6"/>
        <v>1910890.82</v>
      </c>
    </row>
    <row r="33" spans="1:11" ht="18.75">
      <c r="A33" s="7">
        <f t="shared" si="3"/>
        <v>17</v>
      </c>
      <c r="B33" s="17" t="s">
        <v>92</v>
      </c>
      <c r="C33" s="18" t="s">
        <v>93</v>
      </c>
      <c r="D33" s="20" t="s">
        <v>94</v>
      </c>
      <c r="E33" s="23" t="s">
        <v>95</v>
      </c>
      <c r="F33" s="18">
        <v>229525</v>
      </c>
      <c r="G33" s="18">
        <f t="shared" si="4"/>
        <v>41314.5</v>
      </c>
      <c r="H33" s="18">
        <f t="shared" si="5"/>
        <v>270839.5</v>
      </c>
      <c r="I33" s="18"/>
      <c r="J33" s="18"/>
      <c r="K33" s="18">
        <f t="shared" si="6"/>
        <v>270839.5</v>
      </c>
    </row>
    <row r="34" spans="1:11" ht="18.75">
      <c r="A34" s="7">
        <f t="shared" si="3"/>
        <v>18</v>
      </c>
      <c r="B34" s="21" t="s">
        <v>63</v>
      </c>
      <c r="C34" s="18" t="s">
        <v>96</v>
      </c>
      <c r="D34" s="20" t="s">
        <v>97</v>
      </c>
      <c r="E34" s="18" t="s">
        <v>98</v>
      </c>
      <c r="F34" s="18">
        <v>496632</v>
      </c>
      <c r="G34" s="18">
        <f t="shared" si="4"/>
        <v>89393.76</v>
      </c>
      <c r="H34" s="18">
        <f t="shared" si="5"/>
        <v>586025.76</v>
      </c>
      <c r="I34" s="18"/>
      <c r="J34" s="18"/>
      <c r="K34" s="18">
        <f t="shared" si="6"/>
        <v>586025.76</v>
      </c>
    </row>
    <row r="35" spans="1:11" ht="56.25">
      <c r="A35" s="7">
        <f t="shared" si="3"/>
        <v>19</v>
      </c>
      <c r="B35" s="17" t="s">
        <v>99</v>
      </c>
      <c r="C35" s="18" t="s">
        <v>100</v>
      </c>
      <c r="D35" s="20" t="s">
        <v>86</v>
      </c>
      <c r="E35" s="18" t="s">
        <v>101</v>
      </c>
      <c r="F35" s="18">
        <f>86500*6</f>
        <v>519000</v>
      </c>
      <c r="G35" s="18">
        <f>F35*28%</f>
        <v>145320</v>
      </c>
      <c r="H35" s="18">
        <f t="shared" si="5"/>
        <v>664320</v>
      </c>
      <c r="I35" s="18"/>
      <c r="J35" s="18"/>
      <c r="K35" s="18">
        <f t="shared" si="6"/>
        <v>664320</v>
      </c>
    </row>
    <row r="36" spans="1:11" ht="37.5">
      <c r="A36" s="7">
        <f t="shared" si="3"/>
        <v>20</v>
      </c>
      <c r="B36" s="17" t="s">
        <v>41</v>
      </c>
      <c r="C36" s="18" t="s">
        <v>102</v>
      </c>
      <c r="D36" s="20" t="s">
        <v>43</v>
      </c>
      <c r="E36" s="18" t="s">
        <v>103</v>
      </c>
      <c r="F36" s="18">
        <v>272800</v>
      </c>
      <c r="G36" s="18">
        <f>F36*18%</f>
        <v>49104</v>
      </c>
      <c r="H36" s="18">
        <f t="shared" si="5"/>
        <v>321904</v>
      </c>
      <c r="I36" s="18"/>
      <c r="J36" s="18"/>
      <c r="K36" s="18">
        <f t="shared" si="6"/>
        <v>321904</v>
      </c>
    </row>
    <row r="37" spans="1:11" ht="37.5">
      <c r="A37" s="7">
        <f t="shared" si="3"/>
        <v>21</v>
      </c>
      <c r="B37" s="17" t="s">
        <v>104</v>
      </c>
      <c r="C37" s="18" t="s">
        <v>105</v>
      </c>
      <c r="D37" s="20" t="s">
        <v>86</v>
      </c>
      <c r="E37" s="18" t="s">
        <v>106</v>
      </c>
      <c r="F37" s="18">
        <f>90*215</f>
        <v>19350</v>
      </c>
      <c r="G37" s="18">
        <f t="shared" si="4"/>
        <v>3483</v>
      </c>
      <c r="H37" s="18">
        <f t="shared" si="5"/>
        <v>22833</v>
      </c>
      <c r="I37" s="18"/>
      <c r="J37" s="18"/>
      <c r="K37" s="18">
        <f t="shared" si="6"/>
        <v>22833</v>
      </c>
    </row>
    <row r="38" spans="1:11" ht="37.5">
      <c r="A38" s="7">
        <f t="shared" si="3"/>
        <v>22</v>
      </c>
      <c r="B38" s="17" t="s">
        <v>104</v>
      </c>
      <c r="C38" s="18" t="s">
        <v>105</v>
      </c>
      <c r="D38" s="20" t="s">
        <v>86</v>
      </c>
      <c r="E38" s="18" t="s">
        <v>107</v>
      </c>
      <c r="F38" s="18">
        <f>36*310</f>
        <v>11160</v>
      </c>
      <c r="G38" s="18">
        <f t="shared" si="4"/>
        <v>2008.8</v>
      </c>
      <c r="H38" s="18">
        <f t="shared" si="5"/>
        <v>13168.8</v>
      </c>
      <c r="I38" s="18"/>
      <c r="J38" s="18"/>
      <c r="K38" s="18">
        <f t="shared" si="6"/>
        <v>13168.8</v>
      </c>
    </row>
    <row r="39" spans="1:11" ht="37.5">
      <c r="A39" s="7">
        <f t="shared" si="3"/>
        <v>23</v>
      </c>
      <c r="B39" s="17" t="s">
        <v>104</v>
      </c>
      <c r="C39" s="18" t="s">
        <v>105</v>
      </c>
      <c r="D39" s="23" t="s">
        <v>108</v>
      </c>
      <c r="E39" s="18" t="s">
        <v>109</v>
      </c>
      <c r="F39" s="18">
        <f>5040*102</f>
        <v>514080</v>
      </c>
      <c r="G39" s="18">
        <f t="shared" si="4"/>
        <v>92534.399999999994</v>
      </c>
      <c r="H39" s="18">
        <f t="shared" si="5"/>
        <v>606614.4</v>
      </c>
      <c r="I39" s="18"/>
      <c r="J39" s="18"/>
      <c r="K39" s="18">
        <f t="shared" si="6"/>
        <v>606614.4</v>
      </c>
    </row>
    <row r="40" spans="1:11" ht="37.5">
      <c r="A40" s="7">
        <f t="shared" si="3"/>
        <v>24</v>
      </c>
      <c r="B40" s="17" t="s">
        <v>104</v>
      </c>
      <c r="C40" s="18" t="s">
        <v>105</v>
      </c>
      <c r="D40" s="23" t="s">
        <v>110</v>
      </c>
      <c r="E40" s="18" t="s">
        <v>111</v>
      </c>
      <c r="F40" s="18">
        <f>3150*102</f>
        <v>321300</v>
      </c>
      <c r="G40" s="18">
        <f t="shared" si="4"/>
        <v>57834</v>
      </c>
      <c r="H40" s="18">
        <f t="shared" si="5"/>
        <v>379134</v>
      </c>
      <c r="I40" s="18"/>
      <c r="J40" s="18"/>
      <c r="K40" s="18">
        <f t="shared" si="6"/>
        <v>379134</v>
      </c>
    </row>
    <row r="41" spans="1:11" ht="37.5">
      <c r="A41" s="7">
        <f t="shared" si="3"/>
        <v>25</v>
      </c>
      <c r="B41" s="17" t="s">
        <v>104</v>
      </c>
      <c r="C41" s="18" t="s">
        <v>105</v>
      </c>
      <c r="D41" s="23" t="s">
        <v>110</v>
      </c>
      <c r="E41" s="18" t="s">
        <v>112</v>
      </c>
      <c r="F41" s="18">
        <f>7980*138</f>
        <v>1101240</v>
      </c>
      <c r="G41" s="18">
        <f t="shared" si="4"/>
        <v>198223.19999999998</v>
      </c>
      <c r="H41" s="18">
        <f t="shared" si="5"/>
        <v>1299463.2</v>
      </c>
      <c r="I41" s="18"/>
      <c r="J41" s="18"/>
      <c r="K41" s="18">
        <f t="shared" si="6"/>
        <v>1299463.2</v>
      </c>
    </row>
    <row r="42" spans="1:11" ht="18.75">
      <c r="A42" s="7">
        <f t="shared" si="3"/>
        <v>26</v>
      </c>
      <c r="B42" s="17" t="s">
        <v>113</v>
      </c>
      <c r="C42" s="18" t="s">
        <v>61</v>
      </c>
      <c r="D42" s="23" t="s">
        <v>110</v>
      </c>
      <c r="E42" s="18" t="s">
        <v>114</v>
      </c>
      <c r="F42" s="18">
        <f>60000*95</f>
        <v>5700000</v>
      </c>
      <c r="G42" s="18">
        <f t="shared" si="4"/>
        <v>1026000</v>
      </c>
      <c r="H42" s="18">
        <f t="shared" si="5"/>
        <v>6726000</v>
      </c>
      <c r="I42" s="18"/>
      <c r="J42" s="18"/>
      <c r="K42" s="18">
        <f t="shared" si="6"/>
        <v>6726000</v>
      </c>
    </row>
    <row r="43" spans="1:11" ht="18.75">
      <c r="A43" s="7">
        <f t="shared" si="3"/>
        <v>27</v>
      </c>
      <c r="B43" s="17" t="s">
        <v>113</v>
      </c>
      <c r="C43" s="18" t="s">
        <v>61</v>
      </c>
      <c r="D43" s="23" t="s">
        <v>110</v>
      </c>
      <c r="E43" s="24" t="s">
        <v>115</v>
      </c>
      <c r="F43" s="18">
        <f>80000*94</f>
        <v>7520000</v>
      </c>
      <c r="G43" s="18">
        <f t="shared" si="4"/>
        <v>1353600</v>
      </c>
      <c r="H43" s="18">
        <f t="shared" si="5"/>
        <v>8873600</v>
      </c>
      <c r="I43" s="18"/>
      <c r="J43" s="18"/>
      <c r="K43" s="18">
        <f t="shared" si="6"/>
        <v>8873600</v>
      </c>
    </row>
    <row r="44" spans="1:11" ht="18.75">
      <c r="A44" s="7">
        <f t="shared" si="3"/>
        <v>28</v>
      </c>
      <c r="B44" s="17" t="s">
        <v>113</v>
      </c>
      <c r="C44" s="18" t="s">
        <v>61</v>
      </c>
      <c r="D44" s="23" t="s">
        <v>110</v>
      </c>
      <c r="E44" s="18" t="s">
        <v>116</v>
      </c>
      <c r="F44" s="18">
        <f>6000*215</f>
        <v>1290000</v>
      </c>
      <c r="G44" s="18">
        <f t="shared" si="4"/>
        <v>232200</v>
      </c>
      <c r="H44" s="18">
        <f t="shared" si="5"/>
        <v>1522200</v>
      </c>
      <c r="I44" s="18"/>
      <c r="J44" s="18"/>
      <c r="K44" s="18">
        <f t="shared" si="6"/>
        <v>1522200</v>
      </c>
    </row>
    <row r="45" spans="1:11" ht="37.5">
      <c r="A45" s="7">
        <f t="shared" si="3"/>
        <v>29</v>
      </c>
      <c r="B45" s="17" t="s">
        <v>117</v>
      </c>
      <c r="C45" s="18" t="s">
        <v>118</v>
      </c>
      <c r="D45" s="20" t="s">
        <v>58</v>
      </c>
      <c r="E45" s="18" t="s">
        <v>119</v>
      </c>
      <c r="F45" s="18">
        <f>214987+59670</f>
        <v>274657</v>
      </c>
      <c r="G45" s="18">
        <f t="shared" si="4"/>
        <v>49438.259999999995</v>
      </c>
      <c r="H45" s="18">
        <f t="shared" si="5"/>
        <v>324095.26</v>
      </c>
      <c r="I45" s="18"/>
      <c r="J45" s="18"/>
      <c r="K45" s="18">
        <f t="shared" si="6"/>
        <v>324095.26</v>
      </c>
    </row>
    <row r="46" spans="1:11" ht="37.5">
      <c r="A46" s="7">
        <f t="shared" si="3"/>
        <v>30</v>
      </c>
      <c r="B46" s="17" t="s">
        <v>120</v>
      </c>
      <c r="C46" s="18" t="s">
        <v>121</v>
      </c>
      <c r="D46" s="18" t="s">
        <v>61</v>
      </c>
      <c r="E46" s="18" t="s">
        <v>122</v>
      </c>
      <c r="F46" s="18">
        <v>6560000</v>
      </c>
      <c r="G46" s="18">
        <f t="shared" si="4"/>
        <v>1180800</v>
      </c>
      <c r="H46" s="18">
        <f t="shared" si="5"/>
        <v>7740800</v>
      </c>
      <c r="I46" s="18"/>
      <c r="J46" s="18"/>
      <c r="K46" s="18">
        <f t="shared" si="6"/>
        <v>7740800</v>
      </c>
    </row>
    <row r="47" spans="1:11" ht="37.5">
      <c r="A47" s="7">
        <f t="shared" si="3"/>
        <v>31</v>
      </c>
      <c r="B47" s="17" t="s">
        <v>123</v>
      </c>
      <c r="C47" s="18" t="s">
        <v>124</v>
      </c>
      <c r="D47" s="18" t="s">
        <v>124</v>
      </c>
      <c r="E47" s="18" t="s">
        <v>125</v>
      </c>
      <c r="F47" s="18">
        <f>21000000*2</f>
        <v>42000000</v>
      </c>
      <c r="G47" s="18">
        <f t="shared" si="4"/>
        <v>7560000</v>
      </c>
      <c r="H47" s="18">
        <f t="shared" si="5"/>
        <v>49560000</v>
      </c>
      <c r="I47" s="18"/>
      <c r="J47" s="18"/>
      <c r="K47" s="18">
        <f t="shared" si="6"/>
        <v>49560000</v>
      </c>
    </row>
    <row r="48" spans="1:11" ht="37.5">
      <c r="A48" s="7">
        <f t="shared" si="3"/>
        <v>32</v>
      </c>
      <c r="B48" s="17" t="s">
        <v>66</v>
      </c>
      <c r="C48" s="20" t="s">
        <v>126</v>
      </c>
      <c r="D48" s="18"/>
      <c r="E48" s="21" t="s">
        <v>127</v>
      </c>
      <c r="F48" s="18">
        <f>8500*110</f>
        <v>935000</v>
      </c>
      <c r="G48" s="18">
        <f t="shared" si="4"/>
        <v>168300</v>
      </c>
      <c r="H48" s="18">
        <f t="shared" si="5"/>
        <v>1103300</v>
      </c>
      <c r="I48" s="18"/>
      <c r="J48" s="18"/>
      <c r="K48" s="18">
        <f t="shared" si="6"/>
        <v>1103300</v>
      </c>
    </row>
    <row r="49" spans="1:11" ht="37.5">
      <c r="A49" s="7">
        <f>+A48+1</f>
        <v>33</v>
      </c>
      <c r="B49" s="17" t="s">
        <v>128</v>
      </c>
      <c r="C49" s="18" t="s">
        <v>129</v>
      </c>
      <c r="D49" s="18" t="s">
        <v>43</v>
      </c>
      <c r="E49" s="18" t="s">
        <v>130</v>
      </c>
      <c r="F49" s="18">
        <v>144000</v>
      </c>
      <c r="G49" s="18">
        <f t="shared" si="4"/>
        <v>25920</v>
      </c>
      <c r="H49" s="18">
        <f t="shared" si="5"/>
        <v>169920</v>
      </c>
      <c r="I49" s="18"/>
      <c r="J49" s="18"/>
      <c r="K49" s="18">
        <f t="shared" si="6"/>
        <v>169920</v>
      </c>
    </row>
    <row r="50" spans="1:11" ht="37.5">
      <c r="A50" s="7">
        <f t="shared" si="3"/>
        <v>34</v>
      </c>
      <c r="B50" s="17" t="s">
        <v>128</v>
      </c>
      <c r="C50" s="18" t="s">
        <v>129</v>
      </c>
      <c r="D50" s="18" t="s">
        <v>43</v>
      </c>
      <c r="E50" s="18" t="s">
        <v>131</v>
      </c>
      <c r="F50" s="18">
        <v>348000</v>
      </c>
      <c r="G50" s="18">
        <f t="shared" si="4"/>
        <v>62640</v>
      </c>
      <c r="H50" s="18">
        <f t="shared" si="5"/>
        <v>410640</v>
      </c>
      <c r="I50" s="18"/>
      <c r="J50" s="18"/>
      <c r="K50" s="18">
        <f t="shared" si="6"/>
        <v>410640</v>
      </c>
    </row>
    <row r="51" spans="1:11" ht="37.5">
      <c r="A51" s="7">
        <f t="shared" si="3"/>
        <v>35</v>
      </c>
      <c r="B51" s="17" t="s">
        <v>128</v>
      </c>
      <c r="C51" s="18" t="s">
        <v>129</v>
      </c>
      <c r="D51" s="18" t="s">
        <v>43</v>
      </c>
      <c r="E51" s="18" t="s">
        <v>132</v>
      </c>
      <c r="F51" s="18">
        <v>324000</v>
      </c>
      <c r="G51" s="18">
        <f>F51*12%</f>
        <v>38880</v>
      </c>
      <c r="H51" s="18">
        <f t="shared" si="5"/>
        <v>362880</v>
      </c>
      <c r="I51" s="18"/>
      <c r="J51" s="18"/>
      <c r="K51" s="18">
        <f t="shared" si="6"/>
        <v>362880</v>
      </c>
    </row>
    <row r="52" spans="1:11" ht="18.75">
      <c r="A52" s="7">
        <f t="shared" si="3"/>
        <v>36</v>
      </c>
      <c r="B52" s="21" t="s">
        <v>133</v>
      </c>
      <c r="C52" s="18" t="s">
        <v>134</v>
      </c>
      <c r="D52" s="18" t="s">
        <v>94</v>
      </c>
      <c r="E52" s="18" t="s">
        <v>135</v>
      </c>
      <c r="F52" s="18">
        <v>488968</v>
      </c>
      <c r="G52" s="18">
        <f t="shared" ref="G52:G54" si="7">F52*18%</f>
        <v>88014.239999999991</v>
      </c>
      <c r="H52" s="18">
        <f t="shared" si="5"/>
        <v>576982.24</v>
      </c>
      <c r="I52" s="18"/>
      <c r="J52" s="18"/>
      <c r="K52" s="18">
        <f t="shared" si="6"/>
        <v>576982.24</v>
      </c>
    </row>
    <row r="53" spans="1:11" ht="37.5">
      <c r="A53" s="7">
        <f t="shared" si="3"/>
        <v>37</v>
      </c>
      <c r="B53" s="17" t="s">
        <v>120</v>
      </c>
      <c r="C53" s="18" t="s">
        <v>136</v>
      </c>
      <c r="D53" s="18" t="s">
        <v>61</v>
      </c>
      <c r="E53" s="18" t="s">
        <v>137</v>
      </c>
      <c r="F53" s="18">
        <v>4944000</v>
      </c>
      <c r="G53" s="18">
        <v>1384320</v>
      </c>
      <c r="H53" s="18">
        <f t="shared" si="5"/>
        <v>6328320</v>
      </c>
      <c r="I53" s="18"/>
      <c r="J53" s="18"/>
      <c r="K53" s="18">
        <f t="shared" si="6"/>
        <v>6328320</v>
      </c>
    </row>
    <row r="54" spans="1:11" ht="37.5">
      <c r="A54" s="7">
        <f t="shared" si="3"/>
        <v>38</v>
      </c>
      <c r="B54" s="21" t="s">
        <v>138</v>
      </c>
      <c r="C54" s="18" t="s">
        <v>139</v>
      </c>
      <c r="D54" s="20" t="s">
        <v>140</v>
      </c>
      <c r="E54" s="19" t="s">
        <v>141</v>
      </c>
      <c r="F54" s="18">
        <f>359510+260190</f>
        <v>619700</v>
      </c>
      <c r="G54" s="18">
        <f t="shared" si="7"/>
        <v>111546</v>
      </c>
      <c r="H54" s="18">
        <f t="shared" si="5"/>
        <v>731246</v>
      </c>
      <c r="I54" s="18"/>
      <c r="J54" s="18"/>
      <c r="K54" s="18">
        <f t="shared" si="6"/>
        <v>731246</v>
      </c>
    </row>
    <row r="55" spans="1:11" ht="112.5">
      <c r="A55" s="7">
        <f t="shared" si="3"/>
        <v>39</v>
      </c>
      <c r="B55" s="17" t="s">
        <v>142</v>
      </c>
      <c r="C55" s="19" t="s">
        <v>143</v>
      </c>
      <c r="D55" s="20" t="s">
        <v>144</v>
      </c>
      <c r="E55" s="19" t="s">
        <v>145</v>
      </c>
      <c r="F55" s="18">
        <v>1900000</v>
      </c>
      <c r="G55" s="18">
        <f>F55*18%</f>
        <v>342000</v>
      </c>
      <c r="H55" s="18">
        <f t="shared" si="5"/>
        <v>2242000</v>
      </c>
      <c r="I55" s="18"/>
      <c r="J55" s="18"/>
      <c r="K55" s="18">
        <f t="shared" si="6"/>
        <v>2242000</v>
      </c>
    </row>
    <row r="56" spans="1:11" ht="37.5">
      <c r="A56" s="7">
        <f t="shared" si="3"/>
        <v>40</v>
      </c>
      <c r="B56" s="17" t="s">
        <v>146</v>
      </c>
      <c r="C56" s="18" t="s">
        <v>147</v>
      </c>
      <c r="D56" s="20" t="s">
        <v>82</v>
      </c>
      <c r="E56" s="19" t="s">
        <v>148</v>
      </c>
      <c r="F56" s="18">
        <v>2125000</v>
      </c>
      <c r="G56" s="18">
        <f>F56*18%</f>
        <v>382500</v>
      </c>
      <c r="H56" s="18">
        <f t="shared" si="5"/>
        <v>2507500</v>
      </c>
      <c r="I56" s="18"/>
      <c r="J56" s="18"/>
      <c r="K56" s="18">
        <f t="shared" si="6"/>
        <v>2507500</v>
      </c>
    </row>
    <row r="57" spans="1:11" ht="75">
      <c r="A57" s="7">
        <f t="shared" si="3"/>
        <v>41</v>
      </c>
      <c r="B57" s="17" t="s">
        <v>149</v>
      </c>
      <c r="C57" s="19" t="s">
        <v>150</v>
      </c>
      <c r="D57" s="20" t="s">
        <v>144</v>
      </c>
      <c r="E57" s="19" t="s">
        <v>151</v>
      </c>
      <c r="F57" s="18">
        <f>950000+85000</f>
        <v>1035000</v>
      </c>
      <c r="G57" s="18">
        <f>F57*18%</f>
        <v>186300</v>
      </c>
      <c r="H57" s="18">
        <f t="shared" si="5"/>
        <v>1221300</v>
      </c>
      <c r="I57" s="18"/>
      <c r="J57" s="18"/>
      <c r="K57" s="18">
        <f t="shared" si="6"/>
        <v>1221300</v>
      </c>
    </row>
    <row r="58" spans="1:11" ht="18.75">
      <c r="A58" s="14" t="s">
        <v>152</v>
      </c>
      <c r="B58" s="15"/>
      <c r="C58" s="15"/>
      <c r="D58" s="15"/>
      <c r="E58" s="16"/>
      <c r="F58" s="13">
        <f>SUM(F17:F57)</f>
        <v>143616026</v>
      </c>
      <c r="G58" s="13">
        <f t="shared" ref="G58:J58" si="8">SUM(G17:G57)</f>
        <v>26377744.679999996</v>
      </c>
      <c r="H58" s="13">
        <f t="shared" si="8"/>
        <v>169993770.68000001</v>
      </c>
      <c r="I58" s="13">
        <f t="shared" si="8"/>
        <v>1250000</v>
      </c>
      <c r="J58" s="13">
        <f t="shared" si="8"/>
        <v>0</v>
      </c>
      <c r="K58" s="13">
        <f>SUM(K17:K57)-118</f>
        <v>168743652.68000001</v>
      </c>
    </row>
    <row r="59" spans="1:11" ht="18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8.75">
      <c r="A60" s="14" t="s">
        <v>153</v>
      </c>
      <c r="B60" s="15"/>
      <c r="C60" s="15"/>
      <c r="D60" s="15"/>
      <c r="E60" s="16"/>
      <c r="F60" s="13">
        <f t="shared" ref="F60:K60" si="9">+F58+F13</f>
        <v>187506126</v>
      </c>
      <c r="G60" s="13">
        <f t="shared" si="9"/>
        <v>26377744.679999996</v>
      </c>
      <c r="H60" s="13">
        <f t="shared" si="9"/>
        <v>213883870.68000001</v>
      </c>
      <c r="I60" s="13">
        <f t="shared" si="9"/>
        <v>5457500</v>
      </c>
      <c r="J60" s="13">
        <f t="shared" si="9"/>
        <v>0</v>
      </c>
      <c r="K60" s="13">
        <f t="shared" si="9"/>
        <v>211926252.68000001</v>
      </c>
    </row>
  </sheetData>
  <mergeCells count="3">
    <mergeCell ref="A13:E13"/>
    <mergeCell ref="A58:E58"/>
    <mergeCell ref="A60:E6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TL-1</vt:lpstr>
      <vt:lpstr>TL-2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2024-06-13T13:05:47Z</dcterms:modified>
</cp:coreProperties>
</file>